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X:\Honaker Law Office\Clients\02020 - Farmers RECC\0003 - 2024 Rate Case\Drafts\AG DR1\To File\"/>
    </mc:Choice>
  </mc:AlternateContent>
  <xr:revisionPtr revIDLastSave="0" documentId="8_{EE014E08-4002-47E8-B567-BBB50E8D40D9}" xr6:coauthVersionLast="47" xr6:coauthVersionMax="47" xr10:uidLastSave="{00000000-0000-0000-0000-000000000000}"/>
  <bookViews>
    <workbookView xWindow="42210" yWindow="1770" windowWidth="20160" windowHeight="12840" tabRatio="783" activeTab="3" xr2:uid="{87FF5408-64D2-40B8-B74F-8494C0F1876E}"/>
  </bookViews>
  <sheets>
    <sheet name="Benefit Summary" sheetId="11" r:id="rId1"/>
    <sheet name="2023" sheetId="9" r:id="rId2"/>
    <sheet name="2024" sheetId="12" r:id="rId3"/>
    <sheet name="2025" sheetId="20"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64" i="20" l="1"/>
  <c r="X84" i="20" l="1"/>
  <c r="W84" i="20"/>
  <c r="V84" i="20"/>
  <c r="S84" i="20"/>
  <c r="R84" i="20"/>
  <c r="Q84" i="20"/>
  <c r="P84" i="20"/>
  <c r="O84" i="20"/>
  <c r="N84" i="20"/>
  <c r="M84" i="20"/>
  <c r="L84" i="20"/>
  <c r="K84" i="20"/>
  <c r="J84" i="20"/>
  <c r="H84" i="20"/>
  <c r="G84" i="20"/>
  <c r="F84" i="20"/>
  <c r="E84" i="20"/>
  <c r="D84" i="20"/>
  <c r="Z81" i="20"/>
  <c r="I81" i="20"/>
  <c r="Y81" i="20" s="1"/>
  <c r="Z80" i="20"/>
  <c r="I80" i="20"/>
  <c r="Y80" i="20" s="1"/>
  <c r="Z79" i="20"/>
  <c r="I79" i="20"/>
  <c r="Y79" i="20" s="1"/>
  <c r="Z78" i="20"/>
  <c r="I78" i="20"/>
  <c r="Y78" i="20" s="1"/>
  <c r="Z77" i="20"/>
  <c r="I77" i="20"/>
  <c r="Y77" i="20" s="1"/>
  <c r="Z76" i="20"/>
  <c r="I76" i="20"/>
  <c r="Y76" i="20" s="1"/>
  <c r="Z75" i="20"/>
  <c r="I75" i="20"/>
  <c r="Y75" i="20" s="1"/>
  <c r="Z74" i="20"/>
  <c r="I74" i="20"/>
  <c r="Y74" i="20" s="1"/>
  <c r="Z73" i="20"/>
  <c r="I73" i="20"/>
  <c r="Y73" i="20" s="1"/>
  <c r="Z72" i="20"/>
  <c r="I72" i="20"/>
  <c r="Y72" i="20" s="1"/>
  <c r="Z71" i="20"/>
  <c r="I71" i="20"/>
  <c r="Y71" i="20" s="1"/>
  <c r="Z70" i="20"/>
  <c r="I70" i="20"/>
  <c r="Y70" i="20" s="1"/>
  <c r="Z69" i="20"/>
  <c r="I69" i="20"/>
  <c r="Y69" i="20" s="1"/>
  <c r="Z68" i="20"/>
  <c r="I68" i="20"/>
  <c r="Y68" i="20" s="1"/>
  <c r="Z67" i="20"/>
  <c r="I67" i="20"/>
  <c r="Y67" i="20" s="1"/>
  <c r="Z66" i="20"/>
  <c r="I66" i="20"/>
  <c r="Y66" i="20" s="1"/>
  <c r="Z65" i="20"/>
  <c r="I65" i="20"/>
  <c r="Y65" i="20" s="1"/>
  <c r="I64" i="20"/>
  <c r="Y64" i="20" s="1"/>
  <c r="Z63" i="20"/>
  <c r="I63" i="20"/>
  <c r="Y63" i="20" s="1"/>
  <c r="Z62" i="20"/>
  <c r="I62" i="20"/>
  <c r="Y62" i="20" s="1"/>
  <c r="Z61" i="20"/>
  <c r="I61" i="20"/>
  <c r="Y61" i="20" s="1"/>
  <c r="Z60" i="20"/>
  <c r="I60" i="20"/>
  <c r="Y60" i="20" s="1"/>
  <c r="Z59" i="20"/>
  <c r="T59" i="20"/>
  <c r="I59" i="20"/>
  <c r="Z58" i="20"/>
  <c r="T58" i="20"/>
  <c r="I58" i="20"/>
  <c r="Z57" i="20"/>
  <c r="T57" i="20"/>
  <c r="I57" i="20"/>
  <c r="Z56" i="20"/>
  <c r="T56" i="20"/>
  <c r="I56" i="20"/>
  <c r="Z55" i="20"/>
  <c r="T55" i="20"/>
  <c r="I55" i="20"/>
  <c r="Z54" i="20"/>
  <c r="T54" i="20"/>
  <c r="I54" i="20"/>
  <c r="U53" i="20"/>
  <c r="Z53" i="20" s="1"/>
  <c r="T53" i="20"/>
  <c r="I53" i="20"/>
  <c r="U52" i="20"/>
  <c r="Z52" i="20" s="1"/>
  <c r="T52" i="20"/>
  <c r="I52" i="20"/>
  <c r="U51" i="20"/>
  <c r="Z51" i="20" s="1"/>
  <c r="T51" i="20"/>
  <c r="I51" i="20"/>
  <c r="Z50" i="20"/>
  <c r="T50" i="20"/>
  <c r="I50" i="20"/>
  <c r="Z49" i="20"/>
  <c r="T49" i="20"/>
  <c r="I49" i="20"/>
  <c r="Z48" i="20"/>
  <c r="T48" i="20"/>
  <c r="I48" i="20"/>
  <c r="Z47" i="20"/>
  <c r="T47" i="20"/>
  <c r="I47" i="20"/>
  <c r="Z46" i="20"/>
  <c r="T46" i="20"/>
  <c r="I46" i="20"/>
  <c r="Z45" i="20"/>
  <c r="T45" i="20"/>
  <c r="I45" i="20"/>
  <c r="Z44" i="20"/>
  <c r="I44" i="20"/>
  <c r="Y44" i="20" s="1"/>
  <c r="U43" i="20"/>
  <c r="Z43" i="20" s="1"/>
  <c r="T43" i="20"/>
  <c r="I43" i="20"/>
  <c r="Z42" i="20"/>
  <c r="T42" i="20"/>
  <c r="I42" i="20"/>
  <c r="Z41" i="20"/>
  <c r="T41" i="20"/>
  <c r="I41" i="20"/>
  <c r="Z40" i="20"/>
  <c r="T40" i="20"/>
  <c r="I40" i="20"/>
  <c r="Z39" i="20"/>
  <c r="T39" i="20"/>
  <c r="I39" i="20"/>
  <c r="Z38" i="20"/>
  <c r="T38" i="20"/>
  <c r="I38" i="20"/>
  <c r="Z37" i="20"/>
  <c r="T37" i="20"/>
  <c r="I37" i="20"/>
  <c r="Z36" i="20"/>
  <c r="T36" i="20"/>
  <c r="I36" i="20"/>
  <c r="Z35" i="20"/>
  <c r="T35" i="20"/>
  <c r="I35" i="20"/>
  <c r="Z34" i="20"/>
  <c r="T34" i="20"/>
  <c r="I34" i="20"/>
  <c r="Z33" i="20"/>
  <c r="T33" i="20"/>
  <c r="I33" i="20"/>
  <c r="Z32" i="20"/>
  <c r="T32" i="20"/>
  <c r="I32" i="20"/>
  <c r="U31" i="20"/>
  <c r="Z31" i="20" s="1"/>
  <c r="T31" i="20"/>
  <c r="I31" i="20"/>
  <c r="Z30" i="20"/>
  <c r="I30" i="20"/>
  <c r="Y30" i="20" s="1"/>
  <c r="Z29" i="20"/>
  <c r="I29" i="20"/>
  <c r="Y29" i="20" s="1"/>
  <c r="Z28" i="20"/>
  <c r="I28" i="20"/>
  <c r="Y28" i="20" s="1"/>
  <c r="U27" i="20"/>
  <c r="Z27" i="20" s="1"/>
  <c r="I27" i="20"/>
  <c r="Y27" i="20" s="1"/>
  <c r="U26" i="20"/>
  <c r="Z26" i="20" s="1"/>
  <c r="I26" i="20"/>
  <c r="Y26" i="20" s="1"/>
  <c r="Z25" i="20"/>
  <c r="I25" i="20"/>
  <c r="Y25" i="20" s="1"/>
  <c r="U24" i="20"/>
  <c r="I24" i="20"/>
  <c r="Y24" i="20" s="1"/>
  <c r="Z23" i="20"/>
  <c r="I23" i="20"/>
  <c r="Y23" i="20" s="1"/>
  <c r="Z22" i="20"/>
  <c r="I22" i="20"/>
  <c r="Y22" i="20" s="1"/>
  <c r="Z21" i="20"/>
  <c r="I21" i="20"/>
  <c r="Y21" i="20" s="1"/>
  <c r="Z20" i="20"/>
  <c r="I20" i="20"/>
  <c r="Y20" i="20" s="1"/>
  <c r="Z19" i="20"/>
  <c r="I19" i="20"/>
  <c r="Y19" i="20" s="1"/>
  <c r="Z18" i="20"/>
  <c r="I18" i="20"/>
  <c r="Y18" i="20" s="1"/>
  <c r="Z17" i="20"/>
  <c r="I17" i="20"/>
  <c r="Y17" i="20" s="1"/>
  <c r="Z16" i="20"/>
  <c r="I16" i="20"/>
  <c r="Y16" i="20" s="1"/>
  <c r="Z15" i="20"/>
  <c r="I15" i="20"/>
  <c r="Y15" i="20" s="1"/>
  <c r="Z14" i="20"/>
  <c r="I14" i="20"/>
  <c r="Y14" i="20" s="1"/>
  <c r="Z13" i="20"/>
  <c r="I13" i="20"/>
  <c r="Y13" i="20" s="1"/>
  <c r="Z12" i="20"/>
  <c r="I12" i="20"/>
  <c r="Y12" i="20" s="1"/>
  <c r="Z11" i="20"/>
  <c r="I11" i="20"/>
  <c r="Y11" i="20" s="1"/>
  <c r="Z10" i="20"/>
  <c r="I10" i="20"/>
  <c r="Y10" i="20" s="1"/>
  <c r="Z9" i="20"/>
  <c r="I9" i="20"/>
  <c r="Y9" i="20" s="1"/>
  <c r="Z8" i="20"/>
  <c r="I8" i="20"/>
  <c r="Y8" i="20" s="1"/>
  <c r="Z7" i="20"/>
  <c r="I7" i="20"/>
  <c r="Y7" i="20" s="1"/>
  <c r="Y6" i="20"/>
  <c r="V6" i="20"/>
  <c r="T6" i="20"/>
  <c r="R6" i="20"/>
  <c r="P6" i="20"/>
  <c r="N6" i="20"/>
  <c r="L6" i="20"/>
  <c r="Y34" i="20" l="1"/>
  <c r="Y38" i="20"/>
  <c r="Y42" i="20"/>
  <c r="Y33" i="20"/>
  <c r="Y37" i="20"/>
  <c r="Y41" i="20"/>
  <c r="Y31" i="20"/>
  <c r="Y32" i="20"/>
  <c r="Y36" i="20"/>
  <c r="Y40" i="20"/>
  <c r="Y47" i="20"/>
  <c r="Y51" i="20"/>
  <c r="Y35" i="20"/>
  <c r="Y39" i="20"/>
  <c r="Y43" i="20"/>
  <c r="Y46" i="20"/>
  <c r="Y50" i="20"/>
  <c r="U84" i="20"/>
  <c r="Y45" i="20"/>
  <c r="Y49" i="20"/>
  <c r="Y57" i="20"/>
  <c r="Y48" i="20"/>
  <c r="Y52" i="20"/>
  <c r="T84" i="20"/>
  <c r="Y56" i="20"/>
  <c r="I84" i="20"/>
  <c r="Z24" i="20"/>
  <c r="Z84" i="20" s="1"/>
  <c r="Y55" i="20"/>
  <c r="Y59" i="20"/>
  <c r="Y53" i="20"/>
  <c r="Y54" i="20"/>
  <c r="Y58" i="20"/>
  <c r="Y84" i="20" l="1"/>
  <c r="D11" i="12"/>
  <c r="D8" i="12"/>
  <c r="D20" i="12"/>
  <c r="D9" i="12"/>
  <c r="I59" i="9" l="1"/>
  <c r="I60" i="9"/>
  <c r="I61" i="9"/>
  <c r="I62" i="9"/>
  <c r="F82" i="12"/>
  <c r="T51" i="12" l="1"/>
  <c r="T40" i="12"/>
  <c r="T41" i="12"/>
  <c r="T39" i="12"/>
  <c r="T57" i="12"/>
  <c r="T31" i="12"/>
  <c r="T50" i="12"/>
  <c r="T55" i="12"/>
  <c r="T49" i="12"/>
  <c r="T33" i="12"/>
  <c r="T36" i="12"/>
  <c r="T48" i="12"/>
  <c r="T32" i="12"/>
  <c r="T38" i="12"/>
  <c r="T47" i="12"/>
  <c r="T42" i="12"/>
  <c r="T45" i="12"/>
  <c r="T56" i="12"/>
  <c r="T46" i="12"/>
  <c r="T58" i="12"/>
  <c r="T54" i="12"/>
  <c r="T37" i="12"/>
  <c r="T52" i="12"/>
  <c r="T34" i="12"/>
  <c r="T53" i="12"/>
  <c r="T35" i="12"/>
  <c r="T43" i="12"/>
  <c r="I51" i="12" l="1"/>
  <c r="I52" i="12"/>
  <c r="I53" i="12"/>
  <c r="I54" i="12"/>
  <c r="I55" i="12"/>
  <c r="I56" i="12"/>
  <c r="I57" i="12"/>
  <c r="I58" i="12"/>
  <c r="I59" i="12"/>
  <c r="I60" i="12"/>
  <c r="I61" i="12"/>
  <c r="I62" i="12"/>
  <c r="I63" i="12"/>
  <c r="I67" i="12"/>
  <c r="I68" i="12"/>
  <c r="I69" i="12"/>
  <c r="I70" i="12"/>
  <c r="I71" i="12"/>
  <c r="U53" i="12" l="1"/>
  <c r="U52" i="12"/>
  <c r="Z52" i="12" s="1"/>
  <c r="U51" i="12"/>
  <c r="Z51" i="12" s="1"/>
  <c r="U43" i="12"/>
  <c r="Z43" i="12" s="1"/>
  <c r="U38" i="12"/>
  <c r="U27" i="12"/>
  <c r="Z27" i="12" s="1"/>
  <c r="U26" i="12"/>
  <c r="Z26" i="12" s="1"/>
  <c r="U24" i="12"/>
  <c r="Z24" i="12" s="1"/>
  <c r="L61" i="12"/>
  <c r="Y61" i="12" s="1"/>
  <c r="L54" i="12"/>
  <c r="Y54" i="12" s="1"/>
  <c r="L66" i="12"/>
  <c r="L12" i="12"/>
  <c r="J61" i="12"/>
  <c r="J44" i="12"/>
  <c r="J41" i="12"/>
  <c r="J40" i="12"/>
  <c r="J12" i="12"/>
  <c r="M82" i="12"/>
  <c r="Z61" i="12"/>
  <c r="K82" i="12"/>
  <c r="Z57" i="12"/>
  <c r="Z58" i="12"/>
  <c r="Z59" i="12"/>
  <c r="Z60" i="12"/>
  <c r="Z62" i="12"/>
  <c r="Z63" i="12"/>
  <c r="Z67" i="12"/>
  <c r="Y60" i="12"/>
  <c r="X82" i="12"/>
  <c r="W82" i="12"/>
  <c r="V82" i="12"/>
  <c r="T82" i="12"/>
  <c r="S82" i="12"/>
  <c r="R82" i="12"/>
  <c r="Q82" i="12"/>
  <c r="P82" i="12"/>
  <c r="O82" i="12"/>
  <c r="N82" i="12"/>
  <c r="G82" i="12"/>
  <c r="E82" i="12"/>
  <c r="Z79" i="12"/>
  <c r="I79" i="12"/>
  <c r="Y79" i="12" s="1"/>
  <c r="Z77" i="12"/>
  <c r="I77" i="12"/>
  <c r="Y77" i="12" s="1"/>
  <c r="Z76" i="12"/>
  <c r="I76" i="12"/>
  <c r="Y76" i="12" s="1"/>
  <c r="Z75" i="12"/>
  <c r="I75" i="12"/>
  <c r="Y75" i="12" s="1"/>
  <c r="Z74" i="12"/>
  <c r="I74" i="12"/>
  <c r="Y74" i="12" s="1"/>
  <c r="Z73" i="12"/>
  <c r="I73" i="12"/>
  <c r="Y73" i="12" s="1"/>
  <c r="Z72" i="12"/>
  <c r="I72" i="12"/>
  <c r="Y72" i="12" s="1"/>
  <c r="Z71" i="12"/>
  <c r="Z70" i="12"/>
  <c r="Y70" i="12"/>
  <c r="Z69" i="12"/>
  <c r="Y69" i="12"/>
  <c r="Z68" i="12"/>
  <c r="Y68" i="12"/>
  <c r="Y67" i="12"/>
  <c r="Y63" i="12"/>
  <c r="Y62" i="12"/>
  <c r="Y59" i="12"/>
  <c r="Y58" i="12"/>
  <c r="Y57" i="12"/>
  <c r="Z56" i="12"/>
  <c r="Y56" i="12"/>
  <c r="Z55" i="12"/>
  <c r="Y55" i="12"/>
  <c r="Z54" i="12"/>
  <c r="Z53" i="12"/>
  <c r="Y53" i="12"/>
  <c r="Y52" i="12"/>
  <c r="Y51" i="12"/>
  <c r="Z50" i="12"/>
  <c r="I50" i="12"/>
  <c r="Y50" i="12" s="1"/>
  <c r="Z49" i="12"/>
  <c r="I49" i="12"/>
  <c r="Y49" i="12" s="1"/>
  <c r="Z48" i="12"/>
  <c r="I48" i="12"/>
  <c r="Y48" i="12" s="1"/>
  <c r="Z47" i="12"/>
  <c r="I47" i="12"/>
  <c r="Y47" i="12" s="1"/>
  <c r="Z46" i="12"/>
  <c r="I46" i="12"/>
  <c r="Y46" i="12" s="1"/>
  <c r="Z45" i="12"/>
  <c r="I45" i="12"/>
  <c r="Y45" i="12" s="1"/>
  <c r="Z44" i="12"/>
  <c r="I44" i="12"/>
  <c r="I43" i="12"/>
  <c r="Y43" i="12" s="1"/>
  <c r="Z42" i="12"/>
  <c r="I42" i="12"/>
  <c r="Y42" i="12" s="1"/>
  <c r="Z78" i="12"/>
  <c r="I78" i="12"/>
  <c r="Y78" i="12" s="1"/>
  <c r="Z41" i="12"/>
  <c r="I41" i="12"/>
  <c r="I40" i="12"/>
  <c r="Z39" i="12"/>
  <c r="I39" i="12"/>
  <c r="Y39" i="12" s="1"/>
  <c r="Z38" i="12"/>
  <c r="I38" i="12"/>
  <c r="Y38" i="12" s="1"/>
  <c r="Z37" i="12"/>
  <c r="I37" i="12"/>
  <c r="Y37" i="12" s="1"/>
  <c r="Z36" i="12"/>
  <c r="I36" i="12"/>
  <c r="Y36" i="12" s="1"/>
  <c r="Z35" i="12"/>
  <c r="I35" i="12"/>
  <c r="Y35" i="12" s="1"/>
  <c r="Z34" i="12"/>
  <c r="I34" i="12"/>
  <c r="Y34" i="12" s="1"/>
  <c r="Z33" i="12"/>
  <c r="I33" i="12"/>
  <c r="Y33" i="12" s="1"/>
  <c r="Z32" i="12"/>
  <c r="I32" i="12"/>
  <c r="Y32" i="12" s="1"/>
  <c r="Z31" i="12"/>
  <c r="I31" i="12"/>
  <c r="Y31" i="12" s="1"/>
  <c r="Z30" i="12"/>
  <c r="I30" i="12"/>
  <c r="Y30" i="12" s="1"/>
  <c r="Z29" i="12"/>
  <c r="I29" i="12"/>
  <c r="Y29" i="12" s="1"/>
  <c r="Z28" i="12"/>
  <c r="I28" i="12"/>
  <c r="Y28" i="12" s="1"/>
  <c r="I27" i="12"/>
  <c r="Y27" i="12" s="1"/>
  <c r="I26" i="12"/>
  <c r="Y26" i="12" s="1"/>
  <c r="Z25" i="12"/>
  <c r="I25" i="12"/>
  <c r="Y25" i="12" s="1"/>
  <c r="I24" i="12"/>
  <c r="Y24" i="12" s="1"/>
  <c r="Z66" i="12"/>
  <c r="I66" i="12"/>
  <c r="Z23" i="12"/>
  <c r="I23" i="12"/>
  <c r="Y23" i="12" s="1"/>
  <c r="Z22" i="12"/>
  <c r="I22" i="12"/>
  <c r="Y22" i="12" s="1"/>
  <c r="Z21" i="12"/>
  <c r="I21" i="12"/>
  <c r="Y21" i="12" s="1"/>
  <c r="Z20" i="12"/>
  <c r="I20" i="12"/>
  <c r="Y20" i="12" s="1"/>
  <c r="Z19" i="12"/>
  <c r="I19" i="12"/>
  <c r="Y19" i="12" s="1"/>
  <c r="Z18" i="12"/>
  <c r="I18" i="12"/>
  <c r="Y18" i="12" s="1"/>
  <c r="Z65" i="12"/>
  <c r="I65" i="12"/>
  <c r="Y65" i="12" s="1"/>
  <c r="Z17" i="12"/>
  <c r="I17" i="12"/>
  <c r="Y17" i="12" s="1"/>
  <c r="Z16" i="12"/>
  <c r="I16" i="12"/>
  <c r="Y16" i="12" s="1"/>
  <c r="Z15" i="12"/>
  <c r="I15" i="12"/>
  <c r="Y15" i="12" s="1"/>
  <c r="Z64" i="12"/>
  <c r="I64" i="12"/>
  <c r="Y64" i="12" s="1"/>
  <c r="Z14" i="12"/>
  <c r="I14" i="12"/>
  <c r="Y14" i="12" s="1"/>
  <c r="Z13" i="12"/>
  <c r="I13" i="12"/>
  <c r="Y13" i="12" s="1"/>
  <c r="Z12" i="12"/>
  <c r="I12" i="12"/>
  <c r="Z11" i="12"/>
  <c r="I11" i="12"/>
  <c r="Y11" i="12" s="1"/>
  <c r="Z10" i="12"/>
  <c r="I10" i="12"/>
  <c r="Y10" i="12" s="1"/>
  <c r="Z9" i="12"/>
  <c r="I9" i="12"/>
  <c r="Y9" i="12" s="1"/>
  <c r="Z8" i="12"/>
  <c r="I8" i="12"/>
  <c r="Y8" i="12" s="1"/>
  <c r="Z7" i="12"/>
  <c r="I7" i="12"/>
  <c r="Y7" i="12" s="1"/>
  <c r="H82" i="12"/>
  <c r="AB6" i="12"/>
  <c r="Y6" i="12"/>
  <c r="V6" i="12"/>
  <c r="T6" i="12"/>
  <c r="R6" i="12"/>
  <c r="P6" i="12"/>
  <c r="N6" i="12"/>
  <c r="L6" i="12"/>
  <c r="Y41" i="12" l="1"/>
  <c r="Y66" i="12"/>
  <c r="Y44" i="12"/>
  <c r="U82" i="12"/>
  <c r="J82" i="12"/>
  <c r="L82" i="12"/>
  <c r="Y40" i="12"/>
  <c r="Y12" i="12"/>
  <c r="Z40" i="12"/>
  <c r="Y71" i="12"/>
  <c r="D82" i="12"/>
  <c r="Z82" i="12" l="1"/>
  <c r="Y82" i="12"/>
  <c r="I82" i="12"/>
  <c r="Z59" i="9" l="1"/>
  <c r="Z62" i="9"/>
  <c r="Y59" i="9"/>
  <c r="Y62" i="9"/>
  <c r="Z7" i="9" l="1"/>
  <c r="Z8" i="9"/>
  <c r="Z9" i="9"/>
  <c r="Z10" i="9"/>
  <c r="Z11" i="9"/>
  <c r="Z12" i="9"/>
  <c r="Z13" i="9"/>
  <c r="Z14" i="9"/>
  <c r="Z64" i="9"/>
  <c r="Z15" i="9"/>
  <c r="Z16" i="9"/>
  <c r="Z17" i="9"/>
  <c r="Z65" i="9"/>
  <c r="Z18" i="9"/>
  <c r="Z19" i="9"/>
  <c r="Z20" i="9"/>
  <c r="Z21" i="9"/>
  <c r="Z22" i="9"/>
  <c r="Z23" i="9"/>
  <c r="Z66" i="9"/>
  <c r="Z25" i="9"/>
  <c r="Z28" i="9"/>
  <c r="Z29" i="9"/>
  <c r="Z30" i="9"/>
  <c r="Z31" i="9"/>
  <c r="Z32" i="9"/>
  <c r="Z33" i="9"/>
  <c r="Z34" i="9"/>
  <c r="Z35" i="9"/>
  <c r="Z36" i="9"/>
  <c r="Z37" i="9"/>
  <c r="Z38" i="9"/>
  <c r="Z39" i="9"/>
  <c r="Z40" i="9"/>
  <c r="Z41" i="9"/>
  <c r="Z78" i="9"/>
  <c r="Z42" i="9"/>
  <c r="Z44" i="9"/>
  <c r="Z45" i="9"/>
  <c r="Z46" i="9"/>
  <c r="Z47" i="9"/>
  <c r="Z48" i="9"/>
  <c r="Z49" i="9"/>
  <c r="Z50" i="9"/>
  <c r="Z54" i="9"/>
  <c r="Z55" i="9"/>
  <c r="Z56" i="9"/>
  <c r="Z57" i="9"/>
  <c r="Z58" i="9"/>
  <c r="Z63" i="9"/>
  <c r="Z67" i="9"/>
  <c r="Z68" i="9"/>
  <c r="Z69" i="9"/>
  <c r="Z70" i="9"/>
  <c r="Z71" i="9"/>
  <c r="Z72" i="9"/>
  <c r="Z73" i="9"/>
  <c r="Z74" i="9"/>
  <c r="Z75" i="9"/>
  <c r="Z76" i="9"/>
  <c r="Z77" i="9"/>
  <c r="V81" i="9"/>
  <c r="R81" i="9" l="1"/>
  <c r="L81" i="9" l="1"/>
  <c r="J81" i="9"/>
  <c r="F71" i="9" l="1"/>
  <c r="U53" i="9" l="1"/>
  <c r="Z53" i="9" s="1"/>
  <c r="U52" i="9"/>
  <c r="Z52" i="9" s="1"/>
  <c r="U51" i="9"/>
  <c r="Z51" i="9" s="1"/>
  <c r="U43" i="9"/>
  <c r="Z43" i="9" s="1"/>
  <c r="U27" i="9"/>
  <c r="Z27" i="9" s="1"/>
  <c r="U26" i="9"/>
  <c r="Z26" i="9" s="1"/>
  <c r="U24" i="9"/>
  <c r="Z24" i="9" s="1"/>
  <c r="I58" i="9"/>
  <c r="Y58" i="9" s="1"/>
  <c r="I57" i="9"/>
  <c r="Y57" i="9" s="1"/>
  <c r="I56" i="9"/>
  <c r="Y56" i="9" s="1"/>
  <c r="AB6" i="9" l="1"/>
  <c r="X81" i="9" l="1"/>
  <c r="W81" i="9"/>
  <c r="T81" i="9"/>
  <c r="S81" i="9"/>
  <c r="Q81" i="9"/>
  <c r="P81" i="9"/>
  <c r="O81" i="9"/>
  <c r="N81" i="9"/>
  <c r="M81" i="9"/>
  <c r="K81" i="9"/>
  <c r="H81" i="9"/>
  <c r="G81" i="9"/>
  <c r="F81" i="9"/>
  <c r="E81" i="9"/>
  <c r="D81" i="9"/>
  <c r="I77" i="9"/>
  <c r="Y77" i="9" s="1"/>
  <c r="I76" i="9"/>
  <c r="Y76" i="9" s="1"/>
  <c r="I75" i="9"/>
  <c r="Y75" i="9" s="1"/>
  <c r="I74" i="9"/>
  <c r="Y74" i="9" s="1"/>
  <c r="I73" i="9"/>
  <c r="Y73" i="9" s="1"/>
  <c r="I72" i="9"/>
  <c r="Y72" i="9" s="1"/>
  <c r="I71" i="9"/>
  <c r="Y71" i="9" s="1"/>
  <c r="I70" i="9"/>
  <c r="Y70" i="9" s="1"/>
  <c r="I69" i="9"/>
  <c r="Y69" i="9" s="1"/>
  <c r="I68" i="9"/>
  <c r="Y68" i="9" s="1"/>
  <c r="I67" i="9"/>
  <c r="Y67" i="9" s="1"/>
  <c r="I63" i="9"/>
  <c r="Y63" i="9" s="1"/>
  <c r="I55" i="9"/>
  <c r="Y55" i="9" s="1"/>
  <c r="I54" i="9"/>
  <c r="Y54" i="9" s="1"/>
  <c r="I53" i="9"/>
  <c r="Y53" i="9" s="1"/>
  <c r="I52" i="9"/>
  <c r="Y52" i="9" s="1"/>
  <c r="I51" i="9"/>
  <c r="Y51" i="9" s="1"/>
  <c r="I50" i="9"/>
  <c r="Y50" i="9" s="1"/>
  <c r="I49" i="9"/>
  <c r="Y49" i="9" s="1"/>
  <c r="I48" i="9"/>
  <c r="Y48" i="9" s="1"/>
  <c r="I47" i="9"/>
  <c r="Y47" i="9" s="1"/>
  <c r="I46" i="9"/>
  <c r="Y46" i="9" s="1"/>
  <c r="I45" i="9"/>
  <c r="Y45" i="9" s="1"/>
  <c r="I44" i="9"/>
  <c r="Y44" i="9" s="1"/>
  <c r="I43" i="9"/>
  <c r="Y43" i="9" s="1"/>
  <c r="I42" i="9"/>
  <c r="Y42" i="9" s="1"/>
  <c r="I78" i="9"/>
  <c r="Y78" i="9" s="1"/>
  <c r="I41" i="9"/>
  <c r="Y41" i="9" s="1"/>
  <c r="I40" i="9"/>
  <c r="Y40" i="9" s="1"/>
  <c r="I39" i="9"/>
  <c r="Y39" i="9" s="1"/>
  <c r="I38" i="9"/>
  <c r="Y38" i="9" s="1"/>
  <c r="I37" i="9"/>
  <c r="Y37" i="9" s="1"/>
  <c r="I36" i="9"/>
  <c r="Y36" i="9" s="1"/>
  <c r="I35" i="9"/>
  <c r="Y35" i="9" s="1"/>
  <c r="I34" i="9"/>
  <c r="Y34" i="9" s="1"/>
  <c r="I33" i="9"/>
  <c r="Y33" i="9" s="1"/>
  <c r="I32" i="9"/>
  <c r="Y32" i="9" s="1"/>
  <c r="I31" i="9"/>
  <c r="Y31" i="9" s="1"/>
  <c r="I30" i="9"/>
  <c r="Y30" i="9" s="1"/>
  <c r="I29" i="9"/>
  <c r="Y29" i="9" s="1"/>
  <c r="I28" i="9"/>
  <c r="Y28" i="9" s="1"/>
  <c r="I27" i="9"/>
  <c r="Y27" i="9" s="1"/>
  <c r="I26" i="9"/>
  <c r="Y26" i="9" s="1"/>
  <c r="I25" i="9"/>
  <c r="Y25" i="9" s="1"/>
  <c r="I24" i="9"/>
  <c r="Y24" i="9" s="1"/>
  <c r="I66" i="9"/>
  <c r="Y66" i="9" s="1"/>
  <c r="I23" i="9"/>
  <c r="Y23" i="9" s="1"/>
  <c r="I22" i="9"/>
  <c r="Y22" i="9" s="1"/>
  <c r="I21" i="9"/>
  <c r="Y21" i="9" s="1"/>
  <c r="I20" i="9"/>
  <c r="Y20" i="9" s="1"/>
  <c r="I19" i="9"/>
  <c r="Y19" i="9" s="1"/>
  <c r="I18" i="9"/>
  <c r="Y18" i="9" s="1"/>
  <c r="I65" i="9"/>
  <c r="Y65" i="9" s="1"/>
  <c r="I17" i="9"/>
  <c r="Y17" i="9" s="1"/>
  <c r="I16" i="9"/>
  <c r="Y16" i="9" s="1"/>
  <c r="I15" i="9"/>
  <c r="Y15" i="9" s="1"/>
  <c r="I64" i="9"/>
  <c r="Y64" i="9" s="1"/>
  <c r="I14" i="9"/>
  <c r="Y14" i="9" s="1"/>
  <c r="I13" i="9"/>
  <c r="Y13" i="9" s="1"/>
  <c r="I12" i="9"/>
  <c r="Y12" i="9" s="1"/>
  <c r="I11" i="9"/>
  <c r="Y11" i="9" s="1"/>
  <c r="I10" i="9"/>
  <c r="Y10" i="9" s="1"/>
  <c r="I9" i="9"/>
  <c r="Y9" i="9" s="1"/>
  <c r="I8" i="9"/>
  <c r="Y8" i="9" s="1"/>
  <c r="I7" i="9"/>
  <c r="Y7" i="9" s="1"/>
  <c r="U81" i="9"/>
  <c r="Y6" i="9"/>
  <c r="V6" i="9"/>
  <c r="T6" i="9"/>
  <c r="R6" i="9"/>
  <c r="P6" i="9"/>
  <c r="N6" i="9"/>
  <c r="L6" i="9"/>
  <c r="I81" i="9" l="1"/>
  <c r="Z81" i="9"/>
  <c r="Y81" i="9"/>
</calcChain>
</file>

<file path=xl/sharedStrings.xml><?xml version="1.0" encoding="utf-8"?>
<sst xmlns="http://schemas.openxmlformats.org/spreadsheetml/2006/main" count="121" uniqueCount="49">
  <si>
    <t>Regular</t>
  </si>
  <si>
    <t>Overtime</t>
  </si>
  <si>
    <t>Vacation Payout</t>
  </si>
  <si>
    <t>Bonus</t>
  </si>
  <si>
    <t>Other</t>
  </si>
  <si>
    <t>Sub-Total</t>
  </si>
  <si>
    <t>Health Benefits Cost</t>
  </si>
  <si>
    <t>Dental Benefits</t>
  </si>
  <si>
    <t>Vision</t>
  </si>
  <si>
    <t>Life Insurance</t>
  </si>
  <si>
    <t>AD&amp;D</t>
  </si>
  <si>
    <t>401k</t>
  </si>
  <si>
    <t>Defined Benefit Retirement</t>
  </si>
  <si>
    <t>Any Other</t>
  </si>
  <si>
    <t>Totals</t>
  </si>
  <si>
    <t>Employee</t>
  </si>
  <si>
    <t>Company</t>
  </si>
  <si>
    <t>TOTALS</t>
  </si>
  <si>
    <t>Farmers RECC</t>
  </si>
  <si>
    <t>Farmers</t>
  </si>
  <si>
    <t>PSC Reference</t>
  </si>
  <si>
    <t>Service Awards</t>
  </si>
  <si>
    <t>Long Term Disability Insurance (AD&amp;D)</t>
  </si>
  <si>
    <t>Other - Employee Assistance Program</t>
  </si>
  <si>
    <t>Medical Insurance</t>
  </si>
  <si>
    <t>Dental Insurance</t>
  </si>
  <si>
    <t>Delta Dental of Kentucky is the dental provider.  Premiums are paid 35% by the employer and 65% by the employee.</t>
  </si>
  <si>
    <t>Vision Plan</t>
  </si>
  <si>
    <t>EyeMed is the vision provider.  Premiums are paid 100% by the employee.</t>
  </si>
  <si>
    <t>Retirement Plans</t>
  </si>
  <si>
    <t>Other - Business Travel/Accident Insurance</t>
  </si>
  <si>
    <r>
      <t>Employees,</t>
    </r>
    <r>
      <rPr>
        <u/>
        <sz val="11"/>
        <color rgb="FF000000"/>
        <rFont val="Arial Narrow"/>
        <family val="2"/>
      </rPr>
      <t xml:space="preserve"> hired before January 1, 2012</t>
    </r>
    <r>
      <rPr>
        <sz val="11"/>
        <color rgb="FF000000"/>
        <rFont val="Arial Narrow"/>
        <family val="2"/>
      </rPr>
      <t>, are eligible for a Retirement Security Plan (“RS”) defined benefit plan and a 401k defined contribution retirement plan.  All plans are administered by National Rural Electric Cooperative Association (“ NRECA”).  The annual billing rate for the RS plan is determined by NRECA.  RS billing rates are 2021 – 23.10%, 2022 – 23.57% and 2023 – 24.28%.   Participants do not make employee contributions to the RS Plan.  Employees have the option to contribute to the 401k plan.  Farmers RECC contributes an employer contribution equal to 100% of the employee elective contributions of 0.5% to 1.0% of the participant’s compensation.</t>
    </r>
  </si>
  <si>
    <t xml:space="preserve">The coverage is paid by the cooperative at the rate of two times of an employee's annual salary.  The plan is administered by NRECA.  </t>
  </si>
  <si>
    <t xml:space="preserve">This insurance is administered by Hartford.  The coverage is paid by the cooperative.  </t>
  </si>
  <si>
    <t>11/01/2023 Pay Rate</t>
  </si>
  <si>
    <t>Position Title - as of December 31, 2023</t>
  </si>
  <si>
    <t>Position Title - as of December 31, 2024</t>
  </si>
  <si>
    <t>11/01/2024 Pay Rate</t>
  </si>
  <si>
    <r>
      <t>Since 2016, Farmers RECC has been a member of the Kentucky Rural Electric Cooperative ("KREC") employers benefit group.  Medical coverage is offered through the Anthem network.  Premiums are paid 90% by the employer and 10% by the employee.  Deductibles and out of pocket costs are paid by the employee.  A single plan has a $1500 deductible and a $2000 maximum out of pocket.  A family plan has an embedded $3000 deductible with a  $4000 maximum out of pocket.  There are no copays associated with this plan.</t>
    </r>
    <r>
      <rPr>
        <sz val="11"/>
        <color rgb="FFFF0000"/>
        <rFont val="Arial Narrow"/>
        <family val="2"/>
      </rPr>
      <t xml:space="preserve">  Please note, effective 01/01/2025, premiums will be paid 88% by the employer and 12% by the employee.</t>
    </r>
    <r>
      <rPr>
        <sz val="11"/>
        <color theme="1"/>
        <rFont val="Arial Narrow"/>
        <family val="2"/>
      </rPr>
      <t xml:space="preserve"> </t>
    </r>
  </si>
  <si>
    <t>CONFIDENTIAL - Case No 2025-00107</t>
  </si>
  <si>
    <t>Q1 - 2025</t>
  </si>
  <si>
    <t>Case No 2025-00107</t>
  </si>
  <si>
    <t>Benefits listed below apply to all full-time employees:</t>
  </si>
  <si>
    <r>
      <t xml:space="preserve">Employees, </t>
    </r>
    <r>
      <rPr>
        <u/>
        <sz val="11"/>
        <color theme="1"/>
        <rFont val="Arial Narrow"/>
        <family val="2"/>
      </rPr>
      <t>hired after January 1, 2012</t>
    </r>
    <r>
      <rPr>
        <sz val="11"/>
        <color theme="1"/>
        <rFont val="Arial Narrow"/>
        <family val="2"/>
      </rPr>
      <t xml:space="preserve">, are eligible for a 401k defined contribution retirement plan.  The plan is administered by NRECA.  Following one month of eligibility service, the employee may make employee contributions to the Plan.  After an employee completes one year of eligibility service, Farmers RECC contributes to each Participant’s account an employer contribution equal to 100% of employee elective contributions of 1.0% to 4.0% of the participant’s compensation.  After an Employee completes one year of eligibility service, Farmers RECC contributes to each participant’s account an employer base contribution equal to 6.0% of the participant’s compensation.     </t>
    </r>
  </si>
  <si>
    <t>Salary &amp; Benefit Data by Non Salaried Employees</t>
  </si>
  <si>
    <t>01/01/2025 Pay Rate</t>
  </si>
  <si>
    <t>This policy is a specialized insurance coverage designed to protect employees traveling for business purposes.  It offers comprehensive protection against unexpected incidents and expenses that can occur during a business travel.  The cost is paid by the cooperative.  In 2024, the annual cost was $324.00</t>
  </si>
  <si>
    <t>This program is offered at no cost to the employee.  It is a voluntary, work-based program that offers free and confidential assessments, short-term counseling, referrals, and follow-up services to employees who have personal and/or work-related problems.  In 2024, the total cost was $3,154.00.</t>
  </si>
  <si>
    <t xml:space="preserve">OAG Response 29d, Response 29h, Response 29i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</si>
</sst>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_(* \(#,##0\);_(* &quot;-&quot;_);_(@_)"/>
    <numFmt numFmtId="44" formatCode="_(&quot;$&quot;* #,##0.00_);_(&quot;$&quot;* \(#,##0.00\);_(&quot;$&quot;* &quot;-&quot;??_);_(@_)"/>
    <numFmt numFmtId="43" formatCode="_(* #,##0.00_);_(* \(#,##0.00\);_(* &quot;-&quot;??_);_(@_)"/>
    <numFmt numFmtId="164" formatCode="0_);\(0\)"/>
    <numFmt numFmtId="165" formatCode="_(* #,##0_);_(* \(#,##0\);_(* &quot;-&quot;??_);_(@_)"/>
    <numFmt numFmtId="166" formatCode="_(&quot;$&quot;* #,##0_);_(&quot;$&quot;* \(#,##0\);_(&quot;$&quot;* &quot;-&quot;??_);_(@_)"/>
    <numFmt numFmtId="167" formatCode="_(* #,##0.0_);_(* \(#,##0.0\);_(* &quot;-&quot;?_);_(@_)"/>
    <numFmt numFmtId="168" formatCode="0.000"/>
  </numFmts>
  <fonts count="21" x14ac:knownFonts="1">
    <font>
      <sz val="11"/>
      <color theme="1"/>
      <name val="Calibri"/>
      <family val="2"/>
      <scheme val="minor"/>
    </font>
    <font>
      <sz val="11"/>
      <color theme="1"/>
      <name val="Calibri"/>
      <family val="2"/>
      <scheme val="minor"/>
    </font>
    <font>
      <b/>
      <sz val="12"/>
      <color rgb="FF000000"/>
      <name val="Arial Narrow"/>
      <family val="2"/>
    </font>
    <font>
      <sz val="12"/>
      <color theme="1"/>
      <name val="Arial Narrow"/>
      <family val="2"/>
    </font>
    <font>
      <b/>
      <sz val="12"/>
      <color theme="1"/>
      <name val="Arial Narrow"/>
      <family val="2"/>
    </font>
    <font>
      <sz val="12"/>
      <color rgb="FF000000"/>
      <name val="Arial Narrow"/>
      <family val="2"/>
    </font>
    <font>
      <sz val="12"/>
      <name val="Arial Narrow"/>
      <family val="2"/>
    </font>
    <font>
      <sz val="12"/>
      <color rgb="FF0070C0"/>
      <name val="Arial Narrow"/>
      <family val="2"/>
    </font>
    <font>
      <sz val="12"/>
      <color rgb="FF282D2D"/>
      <name val="Arial Narrow"/>
      <family val="2"/>
    </font>
    <font>
      <sz val="12"/>
      <color theme="1"/>
      <name val="Arial"/>
      <family val="2"/>
    </font>
    <font>
      <b/>
      <sz val="12"/>
      <color rgb="FFFF0000"/>
      <name val="Arial Narrow"/>
      <family val="2"/>
    </font>
    <font>
      <sz val="11"/>
      <color theme="1"/>
      <name val="Arial Narrow"/>
      <family val="2"/>
    </font>
    <font>
      <b/>
      <u/>
      <sz val="11"/>
      <color rgb="FFFF0000"/>
      <name val="Arial Narrow"/>
      <family val="2"/>
    </font>
    <font>
      <b/>
      <sz val="11"/>
      <color rgb="FFFF0000"/>
      <name val="Arial Narrow"/>
      <family val="2"/>
    </font>
    <font>
      <sz val="11"/>
      <color rgb="FF000000"/>
      <name val="Arial Narrow"/>
      <family val="2"/>
    </font>
    <font>
      <sz val="11"/>
      <color rgb="FFFF0000"/>
      <name val="Arial Narrow"/>
      <family val="2"/>
    </font>
    <font>
      <u/>
      <sz val="11"/>
      <color rgb="FF000000"/>
      <name val="Arial Narrow"/>
      <family val="2"/>
    </font>
    <font>
      <b/>
      <sz val="11"/>
      <color theme="1"/>
      <name val="Arial Narrow"/>
      <family val="2"/>
    </font>
    <font>
      <sz val="12"/>
      <color rgb="FFFF0000"/>
      <name val="Arial Narrow"/>
      <family val="2"/>
    </font>
    <font>
      <b/>
      <sz val="16"/>
      <color rgb="FFFF0000"/>
      <name val="Arial Narrow"/>
      <family val="2"/>
    </font>
    <font>
      <u/>
      <sz val="11"/>
      <color theme="1"/>
      <name val="Arial Narrow"/>
      <family val="2"/>
    </font>
  </fonts>
  <fills count="4">
    <fill>
      <patternFill patternType="none"/>
    </fill>
    <fill>
      <patternFill patternType="gray125"/>
    </fill>
    <fill>
      <patternFill patternType="solid">
        <fgColor theme="3" tint="0.59999389629810485"/>
        <bgColor indexed="64"/>
      </patternFill>
    </fill>
    <fill>
      <patternFill patternType="solid">
        <fgColor rgb="FFFFFFCC"/>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0" fontId="9" fillId="0" borderId="0"/>
    <xf numFmtId="44" fontId="1" fillId="0" borderId="0" applyFont="0" applyFill="0" applyBorder="0" applyAlignment="0" applyProtection="0"/>
  </cellStyleXfs>
  <cellXfs count="67">
    <xf numFmtId="0" fontId="0" fillId="0" borderId="0" xfId="0"/>
    <xf numFmtId="49" fontId="2" fillId="0" borderId="0" xfId="0" applyNumberFormat="1" applyFont="1" applyFill="1" applyBorder="1" applyAlignment="1">
      <alignment horizontal="left" vertical="top"/>
    </xf>
    <xf numFmtId="0" fontId="3" fillId="0" borderId="0" xfId="0" applyFont="1" applyFill="1" applyBorder="1" applyAlignment="1">
      <alignment horizontal="left" vertical="top"/>
    </xf>
    <xf numFmtId="0" fontId="3" fillId="0" borderId="0" xfId="0" applyFont="1"/>
    <xf numFmtId="164" fontId="4" fillId="0" borderId="1" xfId="0" applyNumberFormat="1" applyFont="1" applyFill="1" applyBorder="1" applyAlignment="1" applyProtection="1">
      <alignment horizontal="center" vertical="top" wrapText="1"/>
    </xf>
    <xf numFmtId="0" fontId="2" fillId="0" borderId="0" xfId="0" applyFont="1" applyFill="1" applyBorder="1" applyAlignment="1">
      <alignment horizontal="left" vertical="top"/>
    </xf>
    <xf numFmtId="0" fontId="5" fillId="0" borderId="0" xfId="0" applyFont="1" applyFill="1" applyBorder="1" applyAlignment="1">
      <alignment horizontal="left" vertical="top"/>
    </xf>
    <xf numFmtId="49" fontId="5" fillId="0" borderId="1" xfId="0" applyNumberFormat="1" applyFont="1" applyFill="1" applyBorder="1" applyAlignment="1">
      <alignment horizontal="center" vertical="center" wrapText="1"/>
    </xf>
    <xf numFmtId="0" fontId="3" fillId="0" borderId="1" xfId="0" applyFont="1" applyBorder="1" applyAlignment="1" applyProtection="1">
      <alignment horizontal="left"/>
      <protection locked="0"/>
    </xf>
    <xf numFmtId="166" fontId="5" fillId="2" borderId="1" xfId="0" applyNumberFormat="1" applyFont="1" applyFill="1" applyBorder="1" applyAlignment="1">
      <alignment vertical="top"/>
    </xf>
    <xf numFmtId="41" fontId="7" fillId="0" borderId="1" xfId="0" applyNumberFormat="1" applyFont="1" applyFill="1" applyBorder="1" applyAlignment="1" applyProtection="1">
      <alignment vertical="top"/>
      <protection locked="0"/>
    </xf>
    <xf numFmtId="41" fontId="5" fillId="2" borderId="1" xfId="0" applyNumberFormat="1" applyFont="1" applyFill="1" applyBorder="1" applyAlignment="1">
      <alignment vertical="top"/>
    </xf>
    <xf numFmtId="49" fontId="8" fillId="0" borderId="1" xfId="0" applyNumberFormat="1" applyFont="1" applyFill="1" applyBorder="1" applyAlignment="1" applyProtection="1">
      <alignment horizontal="left" vertical="center" wrapText="1"/>
      <protection locked="0"/>
    </xf>
    <xf numFmtId="49" fontId="7" fillId="0" borderId="1" xfId="0" applyNumberFormat="1" applyFont="1" applyFill="1" applyBorder="1" applyAlignment="1" applyProtection="1">
      <alignment horizontal="left" vertical="center" wrapText="1"/>
      <protection locked="0"/>
    </xf>
    <xf numFmtId="0" fontId="2" fillId="0" borderId="1" xfId="0" applyFont="1" applyFill="1" applyBorder="1" applyAlignment="1">
      <alignment horizontal="left" vertical="top"/>
    </xf>
    <xf numFmtId="0" fontId="2" fillId="2" borderId="1" xfId="0" applyFont="1" applyFill="1" applyBorder="1" applyAlignment="1">
      <alignment horizontal="left" vertical="top"/>
    </xf>
    <xf numFmtId="166" fontId="2" fillId="2" borderId="1" xfId="0" applyNumberFormat="1" applyFont="1" applyFill="1" applyBorder="1" applyAlignment="1">
      <alignment vertical="top"/>
    </xf>
    <xf numFmtId="41" fontId="6" fillId="0" borderId="1" xfId="0" applyNumberFormat="1" applyFont="1" applyFill="1" applyBorder="1" applyAlignment="1" applyProtection="1">
      <alignment vertical="top"/>
      <protection locked="0"/>
    </xf>
    <xf numFmtId="0" fontId="6" fillId="0" borderId="1" xfId="0" applyFont="1" applyBorder="1" applyAlignment="1" applyProtection="1">
      <alignment horizontal="center"/>
      <protection locked="0"/>
    </xf>
    <xf numFmtId="0" fontId="3" fillId="0" borderId="1" xfId="0" applyFont="1" applyBorder="1" applyAlignment="1" applyProtection="1">
      <alignment horizontal="center"/>
      <protection locked="0"/>
    </xf>
    <xf numFmtId="0" fontId="3" fillId="0" borderId="1" xfId="0" applyFont="1" applyFill="1" applyBorder="1" applyAlignment="1" applyProtection="1">
      <alignment horizontal="center"/>
      <protection locked="0"/>
    </xf>
    <xf numFmtId="0" fontId="10" fillId="0" borderId="0" xfId="0" applyFont="1" applyFill="1" applyBorder="1" applyAlignment="1">
      <alignment horizontal="left" vertical="top"/>
    </xf>
    <xf numFmtId="165" fontId="6" fillId="0" borderId="1" xfId="1" applyNumberFormat="1" applyFont="1" applyFill="1" applyBorder="1" applyAlignment="1" applyProtection="1">
      <alignment vertical="top"/>
      <protection locked="0"/>
    </xf>
    <xf numFmtId="43" fontId="3" fillId="0" borderId="0" xfId="0" applyNumberFormat="1" applyFont="1"/>
    <xf numFmtId="43" fontId="6" fillId="0" borderId="1" xfId="1" applyFont="1" applyFill="1" applyBorder="1" applyAlignment="1" applyProtection="1">
      <alignment vertical="top"/>
      <protection locked="0"/>
    </xf>
    <xf numFmtId="43" fontId="3" fillId="0" borderId="0" xfId="0" applyNumberFormat="1" applyFont="1" applyFill="1" applyBorder="1" applyAlignment="1">
      <alignment horizontal="left" vertical="top"/>
    </xf>
    <xf numFmtId="43" fontId="3" fillId="0" borderId="0" xfId="1" applyFont="1"/>
    <xf numFmtId="0" fontId="3" fillId="0" borderId="1" xfId="0" applyFont="1" applyBorder="1" applyAlignment="1">
      <alignment horizontal="center" wrapText="1"/>
    </xf>
    <xf numFmtId="44" fontId="3" fillId="0" borderId="1" xfId="3" applyFont="1" applyBorder="1" applyAlignment="1">
      <alignment horizontal="center"/>
    </xf>
    <xf numFmtId="0" fontId="11" fillId="0" borderId="0" xfId="0" applyFont="1"/>
    <xf numFmtId="0" fontId="11" fillId="0" borderId="0" xfId="0" applyFont="1" applyAlignment="1">
      <alignment wrapText="1"/>
    </xf>
    <xf numFmtId="0" fontId="12" fillId="0" borderId="0" xfId="0" applyFont="1" applyAlignment="1">
      <alignment wrapText="1"/>
    </xf>
    <xf numFmtId="0" fontId="11" fillId="0" borderId="0" xfId="0" applyFont="1" applyAlignment="1">
      <alignment horizontal="justify" vertical="center"/>
    </xf>
    <xf numFmtId="0" fontId="11" fillId="0" borderId="0" xfId="0" applyFont="1" applyAlignment="1">
      <alignment horizontal="left" vertical="center" wrapText="1"/>
    </xf>
    <xf numFmtId="0" fontId="14" fillId="0" borderId="0" xfId="0" applyFont="1" applyAlignment="1">
      <alignment horizontal="justify" vertical="center"/>
    </xf>
    <xf numFmtId="0" fontId="11" fillId="0" borderId="0" xfId="0" applyFont="1" applyAlignment="1">
      <alignment horizontal="justify" wrapText="1"/>
    </xf>
    <xf numFmtId="0" fontId="17" fillId="0" borderId="0" xfId="0" applyFont="1" applyAlignment="1">
      <alignment wrapText="1"/>
    </xf>
    <xf numFmtId="0" fontId="12" fillId="0" borderId="0" xfId="0" applyFont="1"/>
    <xf numFmtId="0" fontId="12" fillId="0" borderId="0" xfId="0" applyFont="1" applyBorder="1" applyAlignment="1">
      <alignment wrapText="1"/>
    </xf>
    <xf numFmtId="0" fontId="11" fillId="0" borderId="0" xfId="0" applyFont="1" applyAlignment="1">
      <alignment horizontal="justify" vertical="center" wrapText="1"/>
    </xf>
    <xf numFmtId="44" fontId="3" fillId="3" borderId="1" xfId="3" applyFont="1" applyFill="1" applyBorder="1" applyAlignment="1" applyProtection="1">
      <alignment horizontal="left"/>
      <protection locked="0"/>
    </xf>
    <xf numFmtId="0" fontId="3" fillId="3" borderId="1" xfId="0" applyFont="1" applyFill="1" applyBorder="1" applyAlignment="1" applyProtection="1">
      <alignment horizontal="left"/>
      <protection locked="0"/>
    </xf>
    <xf numFmtId="49" fontId="7" fillId="3" borderId="1" xfId="0" applyNumberFormat="1" applyFont="1" applyFill="1" applyBorder="1" applyAlignment="1" applyProtection="1">
      <alignment horizontal="left" vertical="center" wrapText="1"/>
      <protection locked="0"/>
    </xf>
    <xf numFmtId="0" fontId="2" fillId="3" borderId="1" xfId="0" applyFont="1" applyFill="1" applyBorder="1" applyAlignment="1">
      <alignment horizontal="left" vertical="top"/>
    </xf>
    <xf numFmtId="0" fontId="18" fillId="0" borderId="0" xfId="0" applyFont="1" applyFill="1" applyBorder="1" applyAlignment="1">
      <alignment horizontal="left" vertical="top"/>
    </xf>
    <xf numFmtId="0" fontId="18" fillId="0" borderId="0" xfId="0" applyFont="1"/>
    <xf numFmtId="0" fontId="18" fillId="0" borderId="0" xfId="0" applyFont="1" applyFill="1" applyBorder="1" applyAlignment="1">
      <alignment horizontal="center" vertical="top" wrapText="1"/>
    </xf>
    <xf numFmtId="43" fontId="3" fillId="0" borderId="1" xfId="1" applyFont="1" applyBorder="1"/>
    <xf numFmtId="43" fontId="6" fillId="0" borderId="1" xfId="1" applyFont="1" applyBorder="1" applyProtection="1">
      <protection locked="0"/>
    </xf>
    <xf numFmtId="43" fontId="5" fillId="2" borderId="1" xfId="1" applyFont="1" applyFill="1" applyBorder="1" applyAlignment="1">
      <alignment vertical="top"/>
    </xf>
    <xf numFmtId="43" fontId="6" fillId="0" borderId="1" xfId="1" applyFont="1" applyFill="1" applyBorder="1" applyProtection="1">
      <protection locked="0"/>
    </xf>
    <xf numFmtId="43" fontId="5" fillId="0" borderId="0" xfId="0" applyNumberFormat="1" applyFont="1" applyFill="1" applyBorder="1" applyAlignment="1">
      <alignment horizontal="left" vertical="top"/>
    </xf>
    <xf numFmtId="165" fontId="2" fillId="2" borderId="1" xfId="1" applyNumberFormat="1" applyFont="1" applyFill="1" applyBorder="1" applyAlignment="1">
      <alignment vertical="top"/>
    </xf>
    <xf numFmtId="41" fontId="3" fillId="0" borderId="0" xfId="0" applyNumberFormat="1" applyFont="1" applyFill="1" applyBorder="1" applyAlignment="1">
      <alignment horizontal="left" vertical="top"/>
    </xf>
    <xf numFmtId="0" fontId="6" fillId="0" borderId="1" xfId="0" applyFont="1" applyFill="1" applyBorder="1" applyAlignment="1" applyProtection="1">
      <alignment horizontal="center"/>
      <protection locked="0"/>
    </xf>
    <xf numFmtId="0" fontId="3" fillId="0" borderId="1" xfId="0" applyFont="1" applyFill="1" applyBorder="1" applyAlignment="1" applyProtection="1">
      <alignment horizontal="left"/>
      <protection locked="0"/>
    </xf>
    <xf numFmtId="167" fontId="3" fillId="0" borderId="0" xfId="0" applyNumberFormat="1" applyFont="1"/>
    <xf numFmtId="168" fontId="3" fillId="0" borderId="0" xfId="0" applyNumberFormat="1" applyFont="1"/>
    <xf numFmtId="0" fontId="19" fillId="0" borderId="0" xfId="0" applyFont="1" applyFill="1" applyBorder="1" applyAlignment="1">
      <alignment horizontal="left" vertical="top"/>
    </xf>
    <xf numFmtId="166" fontId="2" fillId="2" borderId="1" xfId="3" applyNumberFormat="1" applyFont="1" applyFill="1" applyBorder="1" applyAlignment="1">
      <alignment vertical="top"/>
    </xf>
    <xf numFmtId="0" fontId="13" fillId="0" borderId="0" xfId="0" applyFont="1" applyAlignment="1">
      <alignment wrapText="1"/>
    </xf>
    <xf numFmtId="49" fontId="5" fillId="0" borderId="2" xfId="0" applyNumberFormat="1" applyFont="1" applyFill="1" applyBorder="1" applyAlignment="1">
      <alignment horizontal="center" vertical="center" wrapText="1"/>
    </xf>
    <xf numFmtId="49" fontId="5" fillId="0" borderId="5" xfId="0" applyNumberFormat="1" applyFont="1" applyFill="1" applyBorder="1" applyAlignment="1">
      <alignment horizontal="center" vertical="center" wrapText="1"/>
    </xf>
    <xf numFmtId="0" fontId="18" fillId="0" borderId="6" xfId="0" applyFont="1" applyFill="1" applyBorder="1" applyAlignment="1">
      <alignment horizontal="center" vertical="top" wrapText="1"/>
    </xf>
    <xf numFmtId="49" fontId="5" fillId="0" borderId="3" xfId="0" applyNumberFormat="1"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49" fontId="5" fillId="0" borderId="2" xfId="0" quotePrefix="1" applyNumberFormat="1" applyFont="1" applyFill="1" applyBorder="1" applyAlignment="1">
      <alignment horizontal="center" vertical="center" wrapText="1"/>
    </xf>
  </cellXfs>
  <cellStyles count="4">
    <cellStyle name="Comma" xfId="1" builtinId="3"/>
    <cellStyle name="Currency" xfId="3" builtinId="4"/>
    <cellStyle name="Normal" xfId="0" builtinId="0"/>
    <cellStyle name="Normal 2" xfId="2" xr:uid="{21ED767A-62C8-48B0-9B17-EE3D11679FA8}"/>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347C0-88B0-4193-AF0E-0B9A484B29FA}">
  <sheetPr>
    <pageSetUpPr fitToPage="1"/>
  </sheetPr>
  <dimension ref="A1:B31"/>
  <sheetViews>
    <sheetView workbookViewId="0">
      <selection activeCell="A17" sqref="A17"/>
    </sheetView>
  </sheetViews>
  <sheetFormatPr defaultColWidth="9.15234375" defaultRowHeight="14.15" x14ac:dyDescent="0.35"/>
  <cols>
    <col min="1" max="1" width="94.84375" style="30" customWidth="1"/>
    <col min="2" max="16384" width="9.15234375" style="29"/>
  </cols>
  <sheetData>
    <row r="1" spans="1:1" x14ac:dyDescent="0.35">
      <c r="A1" s="36" t="s">
        <v>18</v>
      </c>
    </row>
    <row r="2" spans="1:1" x14ac:dyDescent="0.35">
      <c r="A2" s="36" t="s">
        <v>41</v>
      </c>
    </row>
    <row r="3" spans="1:1" x14ac:dyDescent="0.35">
      <c r="A3" s="36" t="s">
        <v>48</v>
      </c>
    </row>
    <row r="4" spans="1:1" x14ac:dyDescent="0.35">
      <c r="A4" s="36"/>
    </row>
    <row r="5" spans="1:1" x14ac:dyDescent="0.35">
      <c r="A5" s="60" t="s">
        <v>42</v>
      </c>
    </row>
    <row r="7" spans="1:1" x14ac:dyDescent="0.35">
      <c r="A7" s="31" t="s">
        <v>24</v>
      </c>
    </row>
    <row r="8" spans="1:1" ht="84.9" x14ac:dyDescent="0.35">
      <c r="A8" s="35" t="s">
        <v>38</v>
      </c>
    </row>
    <row r="9" spans="1:1" x14ac:dyDescent="0.35">
      <c r="A9" s="35"/>
    </row>
    <row r="10" spans="1:1" x14ac:dyDescent="0.35">
      <c r="A10" s="31" t="s">
        <v>25</v>
      </c>
    </row>
    <row r="11" spans="1:1" x14ac:dyDescent="0.35">
      <c r="A11" s="35" t="s">
        <v>26</v>
      </c>
    </row>
    <row r="13" spans="1:1" x14ac:dyDescent="0.35">
      <c r="A13" s="31" t="s">
        <v>27</v>
      </c>
    </row>
    <row r="14" spans="1:1" x14ac:dyDescent="0.35">
      <c r="A14" s="35" t="s">
        <v>28</v>
      </c>
    </row>
    <row r="16" spans="1:1" x14ac:dyDescent="0.35">
      <c r="A16" s="31" t="s">
        <v>29</v>
      </c>
    </row>
    <row r="17" spans="1:2" ht="84.9" x14ac:dyDescent="0.35">
      <c r="A17" s="34" t="s">
        <v>31</v>
      </c>
    </row>
    <row r="18" spans="1:2" ht="11.25" customHeight="1" x14ac:dyDescent="0.35">
      <c r="A18" s="34"/>
    </row>
    <row r="19" spans="1:2" ht="84.9" x14ac:dyDescent="0.35">
      <c r="A19" s="32" t="s">
        <v>43</v>
      </c>
    </row>
    <row r="20" spans="1:2" x14ac:dyDescent="0.35">
      <c r="A20" s="29"/>
    </row>
    <row r="21" spans="1:2" x14ac:dyDescent="0.35">
      <c r="A21" s="37" t="s">
        <v>9</v>
      </c>
    </row>
    <row r="22" spans="1:2" ht="28.3" x14ac:dyDescent="0.35">
      <c r="A22" s="39" t="s">
        <v>32</v>
      </c>
    </row>
    <row r="23" spans="1:2" x14ac:dyDescent="0.35">
      <c r="A23" s="33"/>
    </row>
    <row r="24" spans="1:2" x14ac:dyDescent="0.35">
      <c r="A24" s="31" t="s">
        <v>22</v>
      </c>
    </row>
    <row r="25" spans="1:2" x14ac:dyDescent="0.35">
      <c r="A25" s="33" t="s">
        <v>33</v>
      </c>
    </row>
    <row r="27" spans="1:2" x14ac:dyDescent="0.35">
      <c r="A27" s="31" t="s">
        <v>30</v>
      </c>
    </row>
    <row r="28" spans="1:2" ht="42.45" x14ac:dyDescent="0.35">
      <c r="A28" s="35" t="s">
        <v>46</v>
      </c>
    </row>
    <row r="30" spans="1:2" x14ac:dyDescent="0.35">
      <c r="A30" s="38" t="s">
        <v>23</v>
      </c>
    </row>
    <row r="31" spans="1:2" ht="42.45" x14ac:dyDescent="0.35">
      <c r="A31" s="35" t="s">
        <v>47</v>
      </c>
      <c r="B31" s="30"/>
    </row>
  </sheetData>
  <pageMargins left="0.7" right="0.7" top="0.75" bottom="0.75" header="0.3" footer="0.3"/>
  <pageSetup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038D3-6308-4C91-A7D3-4E9D853CA42A}">
  <sheetPr>
    <pageSetUpPr fitToPage="1"/>
  </sheetPr>
  <dimension ref="A1:AB81"/>
  <sheetViews>
    <sheetView workbookViewId="0">
      <pane ySplit="6" topLeftCell="A54" activePane="bottomLeft" state="frozen"/>
      <selection pane="bottomLeft" activeCell="A7" sqref="A7:B62"/>
    </sheetView>
  </sheetViews>
  <sheetFormatPr defaultColWidth="9.15234375" defaultRowHeight="15.45" x14ac:dyDescent="0.4"/>
  <cols>
    <col min="1" max="1" width="10.84375" style="3" customWidth="1"/>
    <col min="2" max="2" width="34.53515625" style="3" customWidth="1"/>
    <col min="3" max="3" width="11.69140625" style="3" customWidth="1"/>
    <col min="4" max="5" width="11.3046875" style="3" customWidth="1"/>
    <col min="6" max="6" width="14.84375" style="3" customWidth="1"/>
    <col min="7" max="7" width="9.3828125" style="3" customWidth="1"/>
    <col min="8" max="8" width="10.3046875" style="3" customWidth="1"/>
    <col min="9" max="9" width="13" style="3" customWidth="1"/>
    <col min="10" max="10" width="11.84375" style="3" customWidth="1"/>
    <col min="11" max="11" width="11.3046875" style="3" customWidth="1"/>
    <col min="12" max="12" width="10.3046875" style="3" customWidth="1"/>
    <col min="13" max="13" width="11.3046875" style="3" customWidth="1"/>
    <col min="14" max="14" width="10.3046875" style="3" customWidth="1"/>
    <col min="15" max="15" width="11.3046875" style="3" customWidth="1"/>
    <col min="16" max="16" width="9.3828125" style="3" customWidth="1"/>
    <col min="17" max="17" width="10.69140625" style="3" customWidth="1"/>
    <col min="18" max="18" width="9.3828125" style="3" customWidth="1"/>
    <col min="19" max="19" width="10" style="3" customWidth="1"/>
    <col min="20" max="20" width="9.3828125" style="3" customWidth="1"/>
    <col min="21" max="22" width="9.69140625" style="3" customWidth="1"/>
    <col min="23" max="23" width="11.15234375" style="3" customWidth="1"/>
    <col min="24" max="24" width="9.3828125" style="3" customWidth="1"/>
    <col min="25" max="25" width="11.3046875" style="3" customWidth="1"/>
    <col min="26" max="26" width="9.69140625" style="3" customWidth="1"/>
    <col min="27" max="29" width="9.15234375" style="3" customWidth="1"/>
    <col min="30" max="16384" width="9.15234375" style="3"/>
  </cols>
  <sheetData>
    <row r="1" spans="1:28" x14ac:dyDescent="0.4">
      <c r="A1" s="1" t="s">
        <v>18</v>
      </c>
      <c r="B1" s="2"/>
      <c r="C1" s="2"/>
      <c r="E1" s="2"/>
      <c r="F1" s="2"/>
      <c r="G1" s="2"/>
      <c r="H1" s="2"/>
      <c r="I1" s="21"/>
      <c r="J1" s="2"/>
      <c r="K1" s="53"/>
      <c r="L1" s="25"/>
      <c r="M1" s="25"/>
      <c r="N1" s="25"/>
      <c r="O1" s="25"/>
      <c r="P1" s="2"/>
      <c r="Q1" s="2"/>
      <c r="R1" s="2"/>
      <c r="S1" s="2"/>
      <c r="T1" s="2"/>
      <c r="U1" s="2"/>
      <c r="V1" s="2"/>
      <c r="W1" s="2"/>
      <c r="X1" s="2"/>
      <c r="Y1" s="2"/>
      <c r="Z1" s="2"/>
    </row>
    <row r="2" spans="1:28" x14ac:dyDescent="0.4">
      <c r="A2" s="1" t="s">
        <v>39</v>
      </c>
      <c r="B2" s="2"/>
      <c r="C2" s="2"/>
      <c r="E2" s="4">
        <v>2023</v>
      </c>
      <c r="F2" s="2"/>
      <c r="G2" s="2"/>
      <c r="H2" s="2"/>
      <c r="I2" s="2"/>
      <c r="J2" s="2"/>
      <c r="K2" s="2"/>
      <c r="L2" s="23"/>
      <c r="M2" s="25"/>
      <c r="N2" s="25"/>
      <c r="O2" s="25"/>
      <c r="P2" s="25"/>
      <c r="Q2" s="2"/>
      <c r="R2" s="2"/>
      <c r="S2" s="2"/>
      <c r="T2" s="2"/>
      <c r="U2" s="2"/>
      <c r="V2" s="2"/>
      <c r="W2" s="2"/>
      <c r="X2" s="2"/>
      <c r="Y2" s="2"/>
      <c r="Z2" s="2"/>
    </row>
    <row r="3" spans="1:28" x14ac:dyDescent="0.4">
      <c r="A3" s="1" t="s">
        <v>44</v>
      </c>
      <c r="B3" s="2"/>
      <c r="C3" s="2"/>
      <c r="D3"/>
      <c r="F3" s="2"/>
      <c r="G3" s="2"/>
      <c r="H3" s="2"/>
      <c r="I3" s="2"/>
      <c r="J3" s="2"/>
      <c r="K3" s="25"/>
      <c r="L3" s="23"/>
      <c r="M3" s="25"/>
      <c r="N3" s="25"/>
      <c r="O3" s="2"/>
      <c r="P3" s="25"/>
      <c r="Q3" s="2"/>
      <c r="R3" s="2"/>
      <c r="S3" s="2"/>
      <c r="T3" s="2"/>
      <c r="U3" s="2"/>
      <c r="V3" s="2"/>
      <c r="W3" s="2"/>
      <c r="X3" s="2"/>
      <c r="Y3" s="2"/>
      <c r="Z3" s="2"/>
    </row>
    <row r="4" spans="1:28" x14ac:dyDescent="0.4">
      <c r="A4" s="2"/>
      <c r="B4" s="5"/>
      <c r="C4" s="5"/>
      <c r="D4" s="44"/>
      <c r="E4" s="44"/>
      <c r="F4" s="44"/>
      <c r="G4" s="44"/>
      <c r="H4" s="44"/>
      <c r="I4" s="51"/>
      <c r="J4" s="63"/>
      <c r="K4" s="63"/>
      <c r="L4" s="63"/>
      <c r="M4" s="63"/>
      <c r="N4" s="63"/>
      <c r="O4" s="63"/>
      <c r="P4" s="63"/>
      <c r="Q4" s="63"/>
      <c r="R4" s="63"/>
      <c r="S4" s="63"/>
      <c r="T4" s="63"/>
      <c r="U4" s="63"/>
      <c r="V4" s="63"/>
      <c r="W4" s="63"/>
      <c r="X4" s="46"/>
      <c r="Y4" s="6"/>
      <c r="Z4" s="6"/>
      <c r="AB4" s="45"/>
    </row>
    <row r="5" spans="1:28" ht="30" customHeight="1" x14ac:dyDescent="0.4">
      <c r="A5" s="61" t="s">
        <v>20</v>
      </c>
      <c r="B5" s="61" t="s">
        <v>35</v>
      </c>
      <c r="C5" s="61" t="s">
        <v>34</v>
      </c>
      <c r="D5" s="61" t="s">
        <v>0</v>
      </c>
      <c r="E5" s="61" t="s">
        <v>1</v>
      </c>
      <c r="F5" s="61" t="s">
        <v>2</v>
      </c>
      <c r="G5" s="61" t="s">
        <v>4</v>
      </c>
      <c r="H5" s="61" t="s">
        <v>3</v>
      </c>
      <c r="I5" s="61" t="s">
        <v>5</v>
      </c>
      <c r="J5" s="64" t="s">
        <v>6</v>
      </c>
      <c r="K5" s="65"/>
      <c r="L5" s="64" t="s">
        <v>7</v>
      </c>
      <c r="M5" s="65"/>
      <c r="N5" s="64" t="s">
        <v>8</v>
      </c>
      <c r="O5" s="65"/>
      <c r="P5" s="64" t="s">
        <v>9</v>
      </c>
      <c r="Q5" s="65"/>
      <c r="R5" s="64" t="s">
        <v>10</v>
      </c>
      <c r="S5" s="65"/>
      <c r="T5" s="64" t="s">
        <v>11</v>
      </c>
      <c r="U5" s="65"/>
      <c r="V5" s="64" t="s">
        <v>12</v>
      </c>
      <c r="W5" s="65"/>
      <c r="X5" s="61" t="s">
        <v>13</v>
      </c>
      <c r="Y5" s="64" t="s">
        <v>14</v>
      </c>
      <c r="Z5" s="65"/>
      <c r="AB5" s="27" t="s">
        <v>21</v>
      </c>
    </row>
    <row r="6" spans="1:28" x14ac:dyDescent="0.4">
      <c r="A6" s="62"/>
      <c r="B6" s="62"/>
      <c r="C6" s="62"/>
      <c r="D6" s="62"/>
      <c r="E6" s="62"/>
      <c r="F6" s="62"/>
      <c r="G6" s="62"/>
      <c r="H6" s="62"/>
      <c r="I6" s="62"/>
      <c r="J6" s="7" t="s">
        <v>19</v>
      </c>
      <c r="K6" s="7" t="s">
        <v>15</v>
      </c>
      <c r="L6" s="7" t="str">
        <f>+$J$6</f>
        <v>Farmers</v>
      </c>
      <c r="M6" s="7" t="s">
        <v>15</v>
      </c>
      <c r="N6" s="7" t="str">
        <f>+$J$6</f>
        <v>Farmers</v>
      </c>
      <c r="O6" s="7" t="s">
        <v>15</v>
      </c>
      <c r="P6" s="7" t="str">
        <f>+$J$6</f>
        <v>Farmers</v>
      </c>
      <c r="Q6" s="7" t="s">
        <v>15</v>
      </c>
      <c r="R6" s="7" t="str">
        <f>+$J$6</f>
        <v>Farmers</v>
      </c>
      <c r="S6" s="7" t="s">
        <v>15</v>
      </c>
      <c r="T6" s="7" t="str">
        <f>+$J$6</f>
        <v>Farmers</v>
      </c>
      <c r="U6" s="7" t="s">
        <v>15</v>
      </c>
      <c r="V6" s="7" t="str">
        <f>+$J$6</f>
        <v>Farmers</v>
      </c>
      <c r="W6" s="7" t="s">
        <v>15</v>
      </c>
      <c r="X6" s="62" t="s">
        <v>16</v>
      </c>
      <c r="Y6" s="7" t="str">
        <f>+$J$6</f>
        <v>Farmers</v>
      </c>
      <c r="Z6" s="7" t="s">
        <v>15</v>
      </c>
      <c r="AB6" s="7" t="str">
        <f>+$J$6</f>
        <v>Farmers</v>
      </c>
    </row>
    <row r="7" spans="1:28" x14ac:dyDescent="0.4">
      <c r="A7" s="19"/>
      <c r="B7" s="8"/>
      <c r="C7" s="40">
        <v>35.880000000000003</v>
      </c>
      <c r="D7" s="47">
        <v>73119.839999999997</v>
      </c>
      <c r="E7" s="48">
        <v>2876.16</v>
      </c>
      <c r="F7" s="24"/>
      <c r="G7" s="24"/>
      <c r="H7" s="48"/>
      <c r="I7" s="49">
        <f t="shared" ref="I7:I63" si="0">SUM(D7:H7)</f>
        <v>75996</v>
      </c>
      <c r="J7" s="22">
        <v>15676.2</v>
      </c>
      <c r="K7" s="17">
        <v>1741.92</v>
      </c>
      <c r="L7" s="22">
        <v>240.36</v>
      </c>
      <c r="M7" s="17">
        <v>446.4</v>
      </c>
      <c r="N7" s="17"/>
      <c r="O7" s="17">
        <v>90.48</v>
      </c>
      <c r="P7" s="17">
        <v>366.36</v>
      </c>
      <c r="Q7" s="17"/>
      <c r="R7" s="17">
        <v>315.36</v>
      </c>
      <c r="S7" s="17"/>
      <c r="T7" s="17">
        <v>717.12</v>
      </c>
      <c r="U7" s="17">
        <v>3319.37</v>
      </c>
      <c r="V7" s="17">
        <v>17292.96</v>
      </c>
      <c r="W7" s="17"/>
      <c r="X7" s="22">
        <v>56</v>
      </c>
      <c r="Y7" s="9">
        <f t="shared" ref="Y7:Y63" si="1">+I7+J7+L7+N7+P7+R7+T7+V7+X7</f>
        <v>110660.35999999999</v>
      </c>
      <c r="Z7" s="9">
        <f t="shared" ref="Z7:Z59" si="2">+K7+M7+O7+Q7+S7+U7+W7+X7</f>
        <v>5654.17</v>
      </c>
      <c r="AB7" s="28">
        <v>400</v>
      </c>
    </row>
    <row r="8" spans="1:28" x14ac:dyDescent="0.4">
      <c r="A8" s="19"/>
      <c r="B8" s="8"/>
      <c r="C8" s="40">
        <v>23.7</v>
      </c>
      <c r="D8" s="47">
        <v>47587.199999999997</v>
      </c>
      <c r="E8" s="48">
        <v>610.55999999999995</v>
      </c>
      <c r="F8" s="24"/>
      <c r="G8" s="24"/>
      <c r="H8" s="48"/>
      <c r="I8" s="49">
        <f t="shared" si="0"/>
        <v>48197.759999999995</v>
      </c>
      <c r="J8" s="22">
        <v>15676.2</v>
      </c>
      <c r="K8" s="17">
        <v>1741.92</v>
      </c>
      <c r="L8" s="22">
        <v>108.36</v>
      </c>
      <c r="M8" s="17">
        <v>201.6</v>
      </c>
      <c r="N8" s="17"/>
      <c r="O8" s="17"/>
      <c r="P8" s="17">
        <v>244.2</v>
      </c>
      <c r="Q8" s="17"/>
      <c r="R8" s="17">
        <v>209.28</v>
      </c>
      <c r="S8" s="17"/>
      <c r="T8" s="17">
        <v>473.65</v>
      </c>
      <c r="U8" s="17">
        <v>2600</v>
      </c>
      <c r="V8" s="17">
        <v>11418.72</v>
      </c>
      <c r="W8" s="17"/>
      <c r="X8" s="22">
        <v>56</v>
      </c>
      <c r="Y8" s="9">
        <f t="shared" si="1"/>
        <v>76384.169999999984</v>
      </c>
      <c r="Z8" s="9">
        <f t="shared" si="2"/>
        <v>4599.5200000000004</v>
      </c>
      <c r="AB8" s="28"/>
    </row>
    <row r="9" spans="1:28" x14ac:dyDescent="0.4">
      <c r="A9" s="19"/>
      <c r="B9" s="8"/>
      <c r="C9" s="40">
        <v>33.700000000000003</v>
      </c>
      <c r="D9" s="47">
        <v>68408.56</v>
      </c>
      <c r="E9" s="48">
        <v>97.5</v>
      </c>
      <c r="F9" s="24"/>
      <c r="G9" s="24"/>
      <c r="H9" s="48"/>
      <c r="I9" s="49">
        <f t="shared" si="0"/>
        <v>68506.06</v>
      </c>
      <c r="J9" s="22">
        <v>6628.32</v>
      </c>
      <c r="K9" s="17">
        <v>736.56</v>
      </c>
      <c r="L9" s="22">
        <v>108.36</v>
      </c>
      <c r="M9" s="17">
        <v>201.6</v>
      </c>
      <c r="N9" s="17"/>
      <c r="O9" s="17"/>
      <c r="P9" s="17">
        <v>345.96</v>
      </c>
      <c r="Q9" s="17"/>
      <c r="R9" s="17">
        <v>302.27999999999997</v>
      </c>
      <c r="S9" s="17"/>
      <c r="T9" s="17">
        <v>679.65</v>
      </c>
      <c r="U9" s="17">
        <v>2600</v>
      </c>
      <c r="V9" s="17">
        <v>16413.240000000002</v>
      </c>
      <c r="W9" s="17"/>
      <c r="X9" s="22">
        <v>56</v>
      </c>
      <c r="Y9" s="9">
        <f t="shared" si="1"/>
        <v>93039.87000000001</v>
      </c>
      <c r="Z9" s="9">
        <f t="shared" si="2"/>
        <v>3594.16</v>
      </c>
      <c r="AB9" s="28"/>
    </row>
    <row r="10" spans="1:28" x14ac:dyDescent="0.4">
      <c r="A10" s="19"/>
      <c r="B10" s="8"/>
      <c r="C10" s="40">
        <v>45.71</v>
      </c>
      <c r="D10" s="47">
        <v>92414.56</v>
      </c>
      <c r="E10" s="48">
        <v>11090.43</v>
      </c>
      <c r="F10" s="24"/>
      <c r="G10" s="24"/>
      <c r="H10" s="50"/>
      <c r="I10" s="49">
        <f t="shared" si="0"/>
        <v>103504.98999999999</v>
      </c>
      <c r="J10" s="22">
        <v>21136.080000000002</v>
      </c>
      <c r="K10" s="17">
        <v>2348.64</v>
      </c>
      <c r="L10" s="22">
        <v>418.32</v>
      </c>
      <c r="M10" s="17">
        <v>777.12</v>
      </c>
      <c r="N10" s="17"/>
      <c r="O10" s="17"/>
      <c r="P10" s="17">
        <v>462.96</v>
      </c>
      <c r="Q10" s="17"/>
      <c r="R10" s="17">
        <v>400.68</v>
      </c>
      <c r="S10" s="17"/>
      <c r="T10" s="17">
        <v>913.74</v>
      </c>
      <c r="U10" s="17">
        <v>2600</v>
      </c>
      <c r="V10" s="17">
        <v>22028.04</v>
      </c>
      <c r="W10" s="17"/>
      <c r="X10" s="22">
        <v>56</v>
      </c>
      <c r="Y10" s="9">
        <f t="shared" si="1"/>
        <v>148920.81</v>
      </c>
      <c r="Z10" s="9">
        <f t="shared" si="2"/>
        <v>5781.76</v>
      </c>
      <c r="AB10" s="28"/>
    </row>
    <row r="11" spans="1:28" x14ac:dyDescent="0.4">
      <c r="A11" s="19"/>
      <c r="B11" s="8"/>
      <c r="C11" s="40">
        <v>43.41</v>
      </c>
      <c r="D11" s="47">
        <v>86978.3</v>
      </c>
      <c r="E11" s="48">
        <v>14643.68</v>
      </c>
      <c r="F11" s="24"/>
      <c r="G11" s="24"/>
      <c r="H11" s="48"/>
      <c r="I11" s="49">
        <f t="shared" si="0"/>
        <v>101621.98000000001</v>
      </c>
      <c r="J11" s="22">
        <v>13714.68</v>
      </c>
      <c r="K11" s="17">
        <v>1524</v>
      </c>
      <c r="L11" s="22">
        <v>265.2</v>
      </c>
      <c r="M11" s="17">
        <v>492.72</v>
      </c>
      <c r="N11" s="17"/>
      <c r="O11" s="17"/>
      <c r="P11" s="17">
        <v>442.68</v>
      </c>
      <c r="Q11" s="17"/>
      <c r="R11" s="17">
        <v>368.4</v>
      </c>
      <c r="S11" s="17"/>
      <c r="T11" s="17">
        <v>867.68</v>
      </c>
      <c r="U11" s="17">
        <v>780</v>
      </c>
      <c r="V11" s="17">
        <v>20919.12</v>
      </c>
      <c r="W11" s="17"/>
      <c r="X11" s="22">
        <v>56</v>
      </c>
      <c r="Y11" s="9">
        <f t="shared" si="1"/>
        <v>138255.74</v>
      </c>
      <c r="Z11" s="9">
        <f t="shared" si="2"/>
        <v>2852.7200000000003</v>
      </c>
      <c r="AB11" s="28"/>
    </row>
    <row r="12" spans="1:28" x14ac:dyDescent="0.4">
      <c r="A12" s="19"/>
      <c r="B12" s="8"/>
      <c r="C12" s="40">
        <v>28.93</v>
      </c>
      <c r="D12" s="47">
        <v>58250.8</v>
      </c>
      <c r="E12" s="48">
        <v>17624.62</v>
      </c>
      <c r="F12" s="24"/>
      <c r="G12" s="24"/>
      <c r="H12" s="50"/>
      <c r="I12" s="49">
        <f t="shared" si="0"/>
        <v>75875.42</v>
      </c>
      <c r="J12" s="22">
        <v>21136.080000000002</v>
      </c>
      <c r="K12" s="17">
        <v>2348.64</v>
      </c>
      <c r="L12" s="22">
        <v>418.32</v>
      </c>
      <c r="M12" s="17">
        <v>777.12</v>
      </c>
      <c r="N12" s="17"/>
      <c r="O12" s="17">
        <v>172.08</v>
      </c>
      <c r="P12" s="17">
        <v>295.08</v>
      </c>
      <c r="Q12" s="17"/>
      <c r="R12" s="17">
        <v>258.36</v>
      </c>
      <c r="S12" s="17"/>
      <c r="T12" s="17">
        <v>581.22</v>
      </c>
      <c r="U12" s="17">
        <v>3900</v>
      </c>
      <c r="V12" s="17">
        <v>14029.56</v>
      </c>
      <c r="W12" s="17"/>
      <c r="X12" s="22">
        <v>56</v>
      </c>
      <c r="Y12" s="9">
        <f t="shared" si="1"/>
        <v>112650.04000000001</v>
      </c>
      <c r="Z12" s="9">
        <f t="shared" si="2"/>
        <v>7253.84</v>
      </c>
      <c r="AB12" s="28"/>
    </row>
    <row r="13" spans="1:28" x14ac:dyDescent="0.4">
      <c r="A13" s="19"/>
      <c r="B13" s="8"/>
      <c r="C13" s="40">
        <v>25.17</v>
      </c>
      <c r="D13" s="47">
        <v>50774.400000000001</v>
      </c>
      <c r="E13" s="48">
        <v>1560.9</v>
      </c>
      <c r="F13" s="24"/>
      <c r="G13" s="24"/>
      <c r="H13" s="50"/>
      <c r="I13" s="49">
        <f t="shared" si="0"/>
        <v>52335.3</v>
      </c>
      <c r="J13" s="22">
        <v>21136.080000000002</v>
      </c>
      <c r="K13" s="17">
        <v>2348.64</v>
      </c>
      <c r="L13" s="22">
        <v>418.32</v>
      </c>
      <c r="M13" s="17">
        <v>777.12</v>
      </c>
      <c r="N13" s="17"/>
      <c r="O13" s="17"/>
      <c r="P13" s="17">
        <v>259.44</v>
      </c>
      <c r="Q13" s="17"/>
      <c r="R13" s="17">
        <v>224.04</v>
      </c>
      <c r="S13" s="17"/>
      <c r="T13" s="17">
        <v>506.32</v>
      </c>
      <c r="U13" s="17">
        <v>1040</v>
      </c>
      <c r="V13" s="17">
        <v>12222.48</v>
      </c>
      <c r="W13" s="17"/>
      <c r="X13" s="22">
        <v>56</v>
      </c>
      <c r="Y13" s="9">
        <f t="shared" si="1"/>
        <v>87157.98000000001</v>
      </c>
      <c r="Z13" s="9">
        <f t="shared" si="2"/>
        <v>4221.76</v>
      </c>
      <c r="AB13" s="28"/>
    </row>
    <row r="14" spans="1:28" x14ac:dyDescent="0.4">
      <c r="A14" s="19"/>
      <c r="B14" s="8"/>
      <c r="C14" s="40">
        <v>30.74</v>
      </c>
      <c r="D14" s="47">
        <v>61806.559999999998</v>
      </c>
      <c r="E14" s="48">
        <v>4356</v>
      </c>
      <c r="F14" s="24"/>
      <c r="G14" s="24"/>
      <c r="H14" s="48"/>
      <c r="I14" s="49">
        <f t="shared" si="0"/>
        <v>66162.559999999998</v>
      </c>
      <c r="J14" s="22">
        <v>13714.68</v>
      </c>
      <c r="K14" s="17">
        <v>1524</v>
      </c>
      <c r="L14" s="22">
        <v>265.2</v>
      </c>
      <c r="M14" s="17">
        <v>492.72</v>
      </c>
      <c r="N14" s="17"/>
      <c r="O14" s="17"/>
      <c r="P14" s="17">
        <v>315.48</v>
      </c>
      <c r="Q14" s="17"/>
      <c r="R14" s="17">
        <v>270.12</v>
      </c>
      <c r="S14" s="17"/>
      <c r="T14" s="17">
        <v>614.26</v>
      </c>
      <c r="U14" s="17">
        <v>2600</v>
      </c>
      <c r="V14" s="17">
        <v>14812.2</v>
      </c>
      <c r="W14" s="17"/>
      <c r="X14" s="22">
        <v>56</v>
      </c>
      <c r="Y14" s="9">
        <f t="shared" si="1"/>
        <v>96210.499999999971</v>
      </c>
      <c r="Z14" s="9">
        <f t="shared" si="2"/>
        <v>4672.72</v>
      </c>
      <c r="AB14" s="28"/>
    </row>
    <row r="15" spans="1:28" x14ac:dyDescent="0.4">
      <c r="A15" s="19"/>
      <c r="B15" s="8"/>
      <c r="C15" s="40">
        <v>40.869999999999997</v>
      </c>
      <c r="D15" s="47">
        <v>81997.7</v>
      </c>
      <c r="E15" s="48">
        <v>27111.31</v>
      </c>
      <c r="F15" s="24"/>
      <c r="G15" s="24"/>
      <c r="H15" s="48"/>
      <c r="I15" s="49">
        <f t="shared" si="0"/>
        <v>109109.01</v>
      </c>
      <c r="J15" s="22">
        <v>21136.080000000002</v>
      </c>
      <c r="K15" s="17">
        <v>2348.64</v>
      </c>
      <c r="L15" s="22">
        <v>108.36</v>
      </c>
      <c r="M15" s="17">
        <v>201.6</v>
      </c>
      <c r="N15" s="17"/>
      <c r="O15" s="17"/>
      <c r="P15" s="17">
        <v>417.24</v>
      </c>
      <c r="Q15" s="17"/>
      <c r="R15" s="17">
        <v>346.8</v>
      </c>
      <c r="S15" s="17"/>
      <c r="T15" s="17">
        <v>816.9</v>
      </c>
      <c r="U15" s="17">
        <v>2600</v>
      </c>
      <c r="V15" s="17">
        <v>19695.96</v>
      </c>
      <c r="W15" s="17"/>
      <c r="X15" s="22">
        <v>56</v>
      </c>
      <c r="Y15" s="9">
        <f t="shared" si="1"/>
        <v>151686.34999999998</v>
      </c>
      <c r="Z15" s="9">
        <f t="shared" si="2"/>
        <v>5206.24</v>
      </c>
      <c r="AB15" s="28">
        <v>250</v>
      </c>
    </row>
    <row r="16" spans="1:28" x14ac:dyDescent="0.4">
      <c r="A16" s="19"/>
      <c r="B16" s="8"/>
      <c r="C16" s="40">
        <v>30.74</v>
      </c>
      <c r="D16" s="47">
        <v>62005.31</v>
      </c>
      <c r="E16" s="48">
        <v>8927.94</v>
      </c>
      <c r="F16" s="24"/>
      <c r="G16" s="24"/>
      <c r="H16" s="48"/>
      <c r="I16" s="49">
        <f t="shared" si="0"/>
        <v>70933.25</v>
      </c>
      <c r="J16" s="22">
        <v>6628.32</v>
      </c>
      <c r="K16" s="17">
        <v>736.56</v>
      </c>
      <c r="L16" s="22">
        <v>240.36</v>
      </c>
      <c r="M16" s="17">
        <v>446.4</v>
      </c>
      <c r="N16" s="17"/>
      <c r="O16" s="17"/>
      <c r="P16" s="17">
        <v>315.48</v>
      </c>
      <c r="Q16" s="17"/>
      <c r="R16" s="17">
        <v>270.12</v>
      </c>
      <c r="S16" s="17"/>
      <c r="T16" s="17">
        <v>614.26</v>
      </c>
      <c r="U16" s="17">
        <v>650</v>
      </c>
      <c r="V16" s="17">
        <v>14812.2</v>
      </c>
      <c r="W16" s="17"/>
      <c r="X16" s="22">
        <v>56</v>
      </c>
      <c r="Y16" s="9">
        <f t="shared" si="1"/>
        <v>93869.989999999991</v>
      </c>
      <c r="Z16" s="9">
        <f t="shared" si="2"/>
        <v>1888.96</v>
      </c>
      <c r="AB16" s="28"/>
    </row>
    <row r="17" spans="1:28" x14ac:dyDescent="0.4">
      <c r="A17" s="19"/>
      <c r="B17" s="8"/>
      <c r="C17" s="40">
        <v>43.41</v>
      </c>
      <c r="D17" s="47">
        <v>86905</v>
      </c>
      <c r="E17" s="48">
        <v>12531.24</v>
      </c>
      <c r="F17" s="24"/>
      <c r="G17" s="24"/>
      <c r="H17" s="48"/>
      <c r="I17" s="49">
        <f t="shared" si="0"/>
        <v>99436.24</v>
      </c>
      <c r="J17" s="22">
        <v>21136.080000000002</v>
      </c>
      <c r="K17" s="17">
        <v>2348.64</v>
      </c>
      <c r="L17" s="22">
        <v>108.36</v>
      </c>
      <c r="M17" s="17">
        <v>201.6</v>
      </c>
      <c r="N17" s="17"/>
      <c r="O17" s="17">
        <v>90.48</v>
      </c>
      <c r="P17" s="17">
        <v>442.68</v>
      </c>
      <c r="Q17" s="17"/>
      <c r="R17" s="17">
        <v>368.4</v>
      </c>
      <c r="S17" s="17"/>
      <c r="T17" s="17">
        <v>867.68</v>
      </c>
      <c r="U17" s="17">
        <v>2080</v>
      </c>
      <c r="V17" s="17">
        <v>20919.12</v>
      </c>
      <c r="W17" s="17"/>
      <c r="X17" s="22">
        <v>56</v>
      </c>
      <c r="Y17" s="9">
        <f t="shared" si="1"/>
        <v>143334.56</v>
      </c>
      <c r="Z17" s="9">
        <f t="shared" si="2"/>
        <v>4776.7199999999993</v>
      </c>
      <c r="AB17" s="28"/>
    </row>
    <row r="18" spans="1:28" x14ac:dyDescent="0.4">
      <c r="A18" s="19"/>
      <c r="B18" s="8"/>
      <c r="C18" s="40">
        <v>43.41</v>
      </c>
      <c r="D18" s="47">
        <v>86242.42</v>
      </c>
      <c r="E18" s="48">
        <v>27492.15</v>
      </c>
      <c r="F18" s="24"/>
      <c r="G18" s="24"/>
      <c r="H18" s="48"/>
      <c r="I18" s="49">
        <f t="shared" si="0"/>
        <v>113734.57</v>
      </c>
      <c r="J18" s="22">
        <v>21136.080000000002</v>
      </c>
      <c r="K18" s="17">
        <v>2348.64</v>
      </c>
      <c r="L18" s="22">
        <v>108.36</v>
      </c>
      <c r="M18" s="17">
        <v>201.6</v>
      </c>
      <c r="N18" s="17"/>
      <c r="O18" s="17"/>
      <c r="P18" s="17">
        <v>442.68</v>
      </c>
      <c r="Q18" s="17"/>
      <c r="R18" s="17">
        <v>368.4</v>
      </c>
      <c r="S18" s="17"/>
      <c r="T18" s="17">
        <v>861.05</v>
      </c>
      <c r="U18" s="17">
        <v>8450.33</v>
      </c>
      <c r="V18" s="17">
        <v>20919.12</v>
      </c>
      <c r="W18" s="17"/>
      <c r="X18" s="22">
        <v>56</v>
      </c>
      <c r="Y18" s="9">
        <f t="shared" si="1"/>
        <v>157626.25999999998</v>
      </c>
      <c r="Z18" s="9">
        <f t="shared" si="2"/>
        <v>11056.57</v>
      </c>
      <c r="AB18" s="28"/>
    </row>
    <row r="19" spans="1:28" x14ac:dyDescent="0.4">
      <c r="A19" s="19"/>
      <c r="B19" s="8"/>
      <c r="C19" s="40">
        <v>45.71</v>
      </c>
      <c r="D19" s="47">
        <v>93418.08</v>
      </c>
      <c r="E19" s="48">
        <v>16635.68</v>
      </c>
      <c r="F19" s="24"/>
      <c r="G19" s="24"/>
      <c r="H19" s="48"/>
      <c r="I19" s="49">
        <f t="shared" si="0"/>
        <v>110053.76000000001</v>
      </c>
      <c r="J19" s="22">
        <v>15676.2</v>
      </c>
      <c r="K19" s="17">
        <v>1741.92</v>
      </c>
      <c r="L19" s="22">
        <v>108.36</v>
      </c>
      <c r="M19" s="17">
        <v>201.6</v>
      </c>
      <c r="N19" s="17"/>
      <c r="O19" s="17"/>
      <c r="P19" s="17">
        <v>462.96</v>
      </c>
      <c r="Q19" s="17"/>
      <c r="R19" s="17">
        <v>400.68</v>
      </c>
      <c r="S19" s="17"/>
      <c r="T19" s="17">
        <v>913.74</v>
      </c>
      <c r="U19" s="17">
        <v>3900</v>
      </c>
      <c r="V19" s="17">
        <v>22028.04</v>
      </c>
      <c r="W19" s="17"/>
      <c r="X19" s="22">
        <v>56</v>
      </c>
      <c r="Y19" s="9">
        <f t="shared" si="1"/>
        <v>149699.74000000002</v>
      </c>
      <c r="Z19" s="9">
        <f t="shared" si="2"/>
        <v>5899.52</v>
      </c>
      <c r="AB19" s="28"/>
    </row>
    <row r="20" spans="1:28" x14ac:dyDescent="0.4">
      <c r="A20" s="19"/>
      <c r="B20" s="8"/>
      <c r="C20" s="40">
        <v>25.29</v>
      </c>
      <c r="D20" s="47">
        <v>52437.84</v>
      </c>
      <c r="E20" s="48">
        <v>920.98</v>
      </c>
      <c r="F20" s="24"/>
      <c r="G20" s="24"/>
      <c r="H20" s="48"/>
      <c r="I20" s="49">
        <f t="shared" si="0"/>
        <v>53358.82</v>
      </c>
      <c r="J20" s="22">
        <v>15676.2</v>
      </c>
      <c r="K20" s="17">
        <v>1741.92</v>
      </c>
      <c r="L20" s="22">
        <v>240.36</v>
      </c>
      <c r="M20" s="17">
        <v>446.4</v>
      </c>
      <c r="N20" s="17"/>
      <c r="O20" s="17">
        <v>172.08</v>
      </c>
      <c r="P20" s="17">
        <v>269.64</v>
      </c>
      <c r="Q20" s="17"/>
      <c r="R20" s="17">
        <v>231.72</v>
      </c>
      <c r="S20" s="17"/>
      <c r="T20" s="17">
        <v>521.54</v>
      </c>
      <c r="U20" s="17">
        <v>1950</v>
      </c>
      <c r="V20" s="17">
        <v>12645.72</v>
      </c>
      <c r="W20" s="17"/>
      <c r="X20" s="22">
        <v>56</v>
      </c>
      <c r="Y20" s="9">
        <f t="shared" si="1"/>
        <v>83000</v>
      </c>
      <c r="Z20" s="9">
        <f t="shared" si="2"/>
        <v>4366.3999999999996</v>
      </c>
      <c r="AB20" s="28"/>
    </row>
    <row r="21" spans="1:28" x14ac:dyDescent="0.4">
      <c r="A21" s="19"/>
      <c r="B21" s="8"/>
      <c r="C21" s="40">
        <v>40.869999999999997</v>
      </c>
      <c r="D21" s="47">
        <v>81997.850000000006</v>
      </c>
      <c r="E21" s="48">
        <v>17578.099999999999</v>
      </c>
      <c r="F21" s="24"/>
      <c r="G21" s="24"/>
      <c r="H21" s="48"/>
      <c r="I21" s="49">
        <f t="shared" si="0"/>
        <v>99575.950000000012</v>
      </c>
      <c r="J21" s="22">
        <v>13714.68</v>
      </c>
      <c r="K21" s="17">
        <v>1524</v>
      </c>
      <c r="L21" s="22">
        <v>265.2</v>
      </c>
      <c r="M21" s="17">
        <v>492.72</v>
      </c>
      <c r="N21" s="17"/>
      <c r="O21" s="17"/>
      <c r="P21" s="17">
        <v>417.24</v>
      </c>
      <c r="Q21" s="17"/>
      <c r="R21" s="17">
        <v>346.8</v>
      </c>
      <c r="S21" s="17"/>
      <c r="T21" s="17">
        <v>816.9</v>
      </c>
      <c r="U21" s="17">
        <v>816.9</v>
      </c>
      <c r="V21" s="17">
        <v>19695.96</v>
      </c>
      <c r="W21" s="17"/>
      <c r="X21" s="22">
        <v>56</v>
      </c>
      <c r="Y21" s="9">
        <f t="shared" si="1"/>
        <v>134888.73000000001</v>
      </c>
      <c r="Z21" s="9">
        <f t="shared" si="2"/>
        <v>2889.62</v>
      </c>
      <c r="AB21" s="28">
        <v>200</v>
      </c>
    </row>
    <row r="22" spans="1:28" x14ac:dyDescent="0.4">
      <c r="A22" s="19"/>
      <c r="B22" s="8"/>
      <c r="C22" s="40">
        <v>23.65</v>
      </c>
      <c r="D22" s="47">
        <v>47326.86</v>
      </c>
      <c r="E22" s="48">
        <v>313.20999999999998</v>
      </c>
      <c r="F22" s="24"/>
      <c r="G22" s="24"/>
      <c r="H22" s="48"/>
      <c r="I22" s="49">
        <f t="shared" si="0"/>
        <v>47640.07</v>
      </c>
      <c r="J22" s="22">
        <v>6628.32</v>
      </c>
      <c r="K22" s="17">
        <v>736.56</v>
      </c>
      <c r="L22" s="22">
        <v>108.36</v>
      </c>
      <c r="M22" s="17">
        <v>201.6</v>
      </c>
      <c r="N22" s="17"/>
      <c r="O22" s="17"/>
      <c r="P22" s="17">
        <v>239.16</v>
      </c>
      <c r="Q22" s="17"/>
      <c r="R22" s="17">
        <v>205.92</v>
      </c>
      <c r="S22" s="17"/>
      <c r="T22" s="17">
        <v>472.83</v>
      </c>
      <c r="U22" s="17">
        <v>2480</v>
      </c>
      <c r="V22" s="17">
        <v>11398.56</v>
      </c>
      <c r="W22" s="17"/>
      <c r="X22" s="22">
        <v>56</v>
      </c>
      <c r="Y22" s="9">
        <f t="shared" si="1"/>
        <v>66749.22</v>
      </c>
      <c r="Z22" s="9">
        <f t="shared" si="2"/>
        <v>3474.16</v>
      </c>
      <c r="AB22" s="28"/>
    </row>
    <row r="23" spans="1:28" x14ac:dyDescent="0.4">
      <c r="A23" s="19"/>
      <c r="B23" s="8"/>
      <c r="C23" s="40">
        <v>32.729999999999997</v>
      </c>
      <c r="D23" s="47">
        <v>55251.9</v>
      </c>
      <c r="E23" s="48">
        <v>2655.62</v>
      </c>
      <c r="F23" s="24"/>
      <c r="G23" s="24"/>
      <c r="H23" s="48"/>
      <c r="I23" s="49">
        <f t="shared" si="0"/>
        <v>57907.520000000004</v>
      </c>
      <c r="J23" s="22">
        <v>21136.080000000002</v>
      </c>
      <c r="K23" s="17">
        <v>2348.64</v>
      </c>
      <c r="L23" s="22">
        <v>418.32</v>
      </c>
      <c r="M23" s="17">
        <v>777.12</v>
      </c>
      <c r="N23" s="17"/>
      <c r="O23" s="17">
        <v>180.96</v>
      </c>
      <c r="P23" s="17">
        <v>269.64</v>
      </c>
      <c r="Q23" s="17"/>
      <c r="R23" s="17">
        <v>230.16</v>
      </c>
      <c r="S23" s="17"/>
      <c r="T23" s="17">
        <v>551.91999999999996</v>
      </c>
      <c r="U23" s="17">
        <v>2120</v>
      </c>
      <c r="V23" s="17">
        <v>12863.04</v>
      </c>
      <c r="W23" s="17"/>
      <c r="X23" s="22">
        <v>56</v>
      </c>
      <c r="Y23" s="9">
        <f t="shared" si="1"/>
        <v>93432.680000000022</v>
      </c>
      <c r="Z23" s="9">
        <f t="shared" si="2"/>
        <v>5482.7199999999993</v>
      </c>
      <c r="AB23" s="28"/>
    </row>
    <row r="24" spans="1:28" x14ac:dyDescent="0.4">
      <c r="A24" s="19"/>
      <c r="B24" s="8"/>
      <c r="C24" s="40">
        <v>25.37</v>
      </c>
      <c r="D24" s="47">
        <v>50771.89</v>
      </c>
      <c r="E24" s="48">
        <v>808.12</v>
      </c>
      <c r="F24" s="24"/>
      <c r="G24" s="24"/>
      <c r="H24" s="48"/>
      <c r="I24" s="49">
        <f t="shared" si="0"/>
        <v>51580.01</v>
      </c>
      <c r="J24" s="22">
        <v>13714.68</v>
      </c>
      <c r="K24" s="17">
        <v>1524</v>
      </c>
      <c r="L24" s="22">
        <v>265.2</v>
      </c>
      <c r="M24" s="17">
        <v>492.72</v>
      </c>
      <c r="N24" s="17"/>
      <c r="O24" s="17">
        <v>180.96</v>
      </c>
      <c r="P24" s="17">
        <v>259.44</v>
      </c>
      <c r="Q24" s="17"/>
      <c r="R24" s="17">
        <v>223.08</v>
      </c>
      <c r="S24" s="17"/>
      <c r="T24" s="17">
        <v>507.15</v>
      </c>
      <c r="U24" s="17">
        <f>546+468</f>
        <v>1014</v>
      </c>
      <c r="V24" s="17">
        <v>12226.68</v>
      </c>
      <c r="W24" s="17"/>
      <c r="X24" s="22">
        <v>56</v>
      </c>
      <c r="Y24" s="9">
        <f t="shared" si="1"/>
        <v>78832.239999999991</v>
      </c>
      <c r="Z24" s="9">
        <f t="shared" si="2"/>
        <v>3267.68</v>
      </c>
      <c r="AB24" s="28">
        <v>150</v>
      </c>
    </row>
    <row r="25" spans="1:28" x14ac:dyDescent="0.4">
      <c r="A25" s="19"/>
      <c r="B25" s="8"/>
      <c r="C25" s="40">
        <v>20.66</v>
      </c>
      <c r="D25" s="47">
        <v>41324.01</v>
      </c>
      <c r="E25" s="48">
        <v>3367.86</v>
      </c>
      <c r="F25" s="24"/>
      <c r="G25" s="24"/>
      <c r="H25" s="48"/>
      <c r="I25" s="49">
        <f t="shared" si="0"/>
        <v>44691.87</v>
      </c>
      <c r="J25" s="22">
        <v>6628.32</v>
      </c>
      <c r="K25" s="17">
        <v>736.56</v>
      </c>
      <c r="L25" s="22">
        <v>108.36</v>
      </c>
      <c r="M25" s="17">
        <v>201.6</v>
      </c>
      <c r="N25" s="17"/>
      <c r="O25" s="17"/>
      <c r="P25" s="17">
        <v>208.56</v>
      </c>
      <c r="Q25" s="17"/>
      <c r="R25" s="17">
        <v>181.56</v>
      </c>
      <c r="S25" s="17"/>
      <c r="T25" s="17">
        <v>412.91</v>
      </c>
      <c r="U25" s="17">
        <v>1730</v>
      </c>
      <c r="V25" s="17">
        <v>9954.1200000000008</v>
      </c>
      <c r="W25" s="17"/>
      <c r="X25" s="22">
        <v>56</v>
      </c>
      <c r="Y25" s="9">
        <f t="shared" si="1"/>
        <v>62241.700000000004</v>
      </c>
      <c r="Z25" s="9">
        <f t="shared" si="2"/>
        <v>2724.16</v>
      </c>
      <c r="AB25" s="28">
        <v>150</v>
      </c>
    </row>
    <row r="26" spans="1:28" x14ac:dyDescent="0.4">
      <c r="A26" s="19"/>
      <c r="B26" s="8"/>
      <c r="C26" s="40">
        <v>31.68</v>
      </c>
      <c r="D26" s="47">
        <v>60855.12</v>
      </c>
      <c r="E26" s="48">
        <v>5026.32</v>
      </c>
      <c r="F26" s="24"/>
      <c r="G26" s="24"/>
      <c r="H26" s="48"/>
      <c r="I26" s="49">
        <f t="shared" si="0"/>
        <v>65881.440000000002</v>
      </c>
      <c r="J26" s="22">
        <v>21136.080000000002</v>
      </c>
      <c r="K26" s="17">
        <v>2348.64</v>
      </c>
      <c r="L26" s="22">
        <v>418.32</v>
      </c>
      <c r="M26" s="17">
        <v>777.12</v>
      </c>
      <c r="N26" s="17"/>
      <c r="O26" s="17">
        <v>266.16000000000003</v>
      </c>
      <c r="P26" s="17">
        <v>305.27999999999997</v>
      </c>
      <c r="Q26" s="17"/>
      <c r="R26" s="17">
        <v>259.8</v>
      </c>
      <c r="S26" s="17"/>
      <c r="T26" s="17">
        <v>607.78</v>
      </c>
      <c r="U26" s="17">
        <f>3684.8+645.82</f>
        <v>4330.62</v>
      </c>
      <c r="V26" s="17">
        <v>14544.72</v>
      </c>
      <c r="W26" s="17"/>
      <c r="X26" s="22">
        <v>56</v>
      </c>
      <c r="Y26" s="9">
        <f t="shared" si="1"/>
        <v>103209.42000000001</v>
      </c>
      <c r="Z26" s="9">
        <f t="shared" si="2"/>
        <v>7778.5399999999991</v>
      </c>
      <c r="AB26" s="28"/>
    </row>
    <row r="27" spans="1:28" x14ac:dyDescent="0.4">
      <c r="A27" s="19"/>
      <c r="B27" s="8"/>
      <c r="C27" s="40">
        <v>43.41</v>
      </c>
      <c r="D27" s="47">
        <v>86905.11</v>
      </c>
      <c r="E27" s="48">
        <v>28143.39</v>
      </c>
      <c r="F27" s="24"/>
      <c r="G27" s="24"/>
      <c r="H27" s="48"/>
      <c r="I27" s="49">
        <f t="shared" si="0"/>
        <v>115048.5</v>
      </c>
      <c r="J27" s="22">
        <v>13714.68</v>
      </c>
      <c r="K27" s="17">
        <v>1524</v>
      </c>
      <c r="L27" s="22">
        <v>108.36</v>
      </c>
      <c r="M27" s="17">
        <v>201.6</v>
      </c>
      <c r="N27" s="17"/>
      <c r="O27" s="17">
        <v>180.96</v>
      </c>
      <c r="P27" s="17">
        <v>442.68</v>
      </c>
      <c r="Q27" s="17"/>
      <c r="R27" s="17">
        <v>368.4</v>
      </c>
      <c r="S27" s="17"/>
      <c r="T27" s="17">
        <v>867.68</v>
      </c>
      <c r="U27" s="17">
        <f>1735.14+4337.93</f>
        <v>6073.0700000000006</v>
      </c>
      <c r="V27" s="17">
        <v>20919.12</v>
      </c>
      <c r="W27" s="17"/>
      <c r="X27" s="22">
        <v>56</v>
      </c>
      <c r="Y27" s="9">
        <f t="shared" si="1"/>
        <v>151525.41999999998</v>
      </c>
      <c r="Z27" s="9">
        <f t="shared" si="2"/>
        <v>8035.630000000001</v>
      </c>
      <c r="AB27" s="28"/>
    </row>
    <row r="28" spans="1:28" x14ac:dyDescent="0.4">
      <c r="A28" s="19"/>
      <c r="B28" s="8"/>
      <c r="C28" s="40">
        <v>20.81</v>
      </c>
      <c r="D28" s="47">
        <v>41634.32</v>
      </c>
      <c r="E28" s="50">
        <v>1057.55</v>
      </c>
      <c r="F28" s="24"/>
      <c r="G28" s="24"/>
      <c r="H28" s="48"/>
      <c r="I28" s="49">
        <f t="shared" si="0"/>
        <v>42691.87</v>
      </c>
      <c r="J28" s="22">
        <v>13714.68</v>
      </c>
      <c r="K28" s="17">
        <v>1524</v>
      </c>
      <c r="L28" s="22">
        <v>265.2</v>
      </c>
      <c r="M28" s="17">
        <v>492.72</v>
      </c>
      <c r="N28" s="17"/>
      <c r="O28" s="17"/>
      <c r="P28" s="17">
        <v>213.72</v>
      </c>
      <c r="Q28" s="17"/>
      <c r="R28" s="17">
        <v>182.88</v>
      </c>
      <c r="S28" s="17"/>
      <c r="T28" s="17">
        <v>416.03</v>
      </c>
      <c r="U28" s="17">
        <v>1950</v>
      </c>
      <c r="V28" s="17">
        <v>10029.84</v>
      </c>
      <c r="W28" s="17"/>
      <c r="X28" s="22">
        <v>56</v>
      </c>
      <c r="Y28" s="9">
        <f t="shared" si="1"/>
        <v>67570.22</v>
      </c>
      <c r="Z28" s="9">
        <f t="shared" si="2"/>
        <v>4022.7200000000003</v>
      </c>
      <c r="AB28" s="28"/>
    </row>
    <row r="29" spans="1:28" x14ac:dyDescent="0.4">
      <c r="A29" s="19"/>
      <c r="B29" s="8"/>
      <c r="C29" s="40">
        <v>40.869999999999997</v>
      </c>
      <c r="D29" s="47">
        <v>81823.13</v>
      </c>
      <c r="E29" s="50">
        <v>18676.060000000001</v>
      </c>
      <c r="F29" s="24"/>
      <c r="G29" s="24"/>
      <c r="H29" s="48"/>
      <c r="I29" s="49">
        <f t="shared" si="0"/>
        <v>100499.19</v>
      </c>
      <c r="J29" s="22">
        <v>21136.080000000002</v>
      </c>
      <c r="K29" s="17">
        <v>2348.64</v>
      </c>
      <c r="L29" s="22">
        <v>418.32</v>
      </c>
      <c r="M29" s="17">
        <v>777.12</v>
      </c>
      <c r="N29" s="17"/>
      <c r="O29" s="17"/>
      <c r="P29" s="17">
        <v>417.24</v>
      </c>
      <c r="Q29" s="17"/>
      <c r="R29" s="17">
        <v>346.8</v>
      </c>
      <c r="S29" s="17"/>
      <c r="T29" s="17">
        <v>816.9</v>
      </c>
      <c r="U29" s="17">
        <v>4084.44</v>
      </c>
      <c r="V29" s="17">
        <v>19695.96</v>
      </c>
      <c r="W29" s="17"/>
      <c r="X29" s="22">
        <v>56</v>
      </c>
      <c r="Y29" s="9">
        <f t="shared" si="1"/>
        <v>143386.49000000002</v>
      </c>
      <c r="Z29" s="9">
        <f t="shared" si="2"/>
        <v>7266.2</v>
      </c>
      <c r="AB29" s="28"/>
    </row>
    <row r="30" spans="1:28" x14ac:dyDescent="0.4">
      <c r="A30" s="19"/>
      <c r="B30" s="8"/>
      <c r="C30" s="40">
        <v>31.97</v>
      </c>
      <c r="D30" s="47">
        <v>61407.199999999997</v>
      </c>
      <c r="E30" s="50">
        <v>11113.64</v>
      </c>
      <c r="F30" s="24"/>
      <c r="G30" s="24"/>
      <c r="H30" s="48"/>
      <c r="I30" s="49">
        <f t="shared" si="0"/>
        <v>72520.84</v>
      </c>
      <c r="J30" s="22">
        <v>21136.080000000002</v>
      </c>
      <c r="K30" s="17">
        <v>2348.64</v>
      </c>
      <c r="L30" s="22">
        <v>108.36</v>
      </c>
      <c r="M30" s="17">
        <v>201.6</v>
      </c>
      <c r="N30" s="17"/>
      <c r="O30" s="17">
        <v>90.48</v>
      </c>
      <c r="P30" s="17">
        <v>310.32</v>
      </c>
      <c r="Q30" s="17"/>
      <c r="R30" s="17">
        <v>267.72000000000003</v>
      </c>
      <c r="S30" s="17"/>
      <c r="T30" s="17">
        <v>613.35</v>
      </c>
      <c r="U30" s="17">
        <v>5059.72</v>
      </c>
      <c r="V30" s="17">
        <v>14678.04</v>
      </c>
      <c r="W30" s="17"/>
      <c r="X30" s="22">
        <v>56</v>
      </c>
      <c r="Y30" s="9">
        <f t="shared" si="1"/>
        <v>109690.71000000002</v>
      </c>
      <c r="Z30" s="9">
        <f t="shared" si="2"/>
        <v>7756.4400000000005</v>
      </c>
      <c r="AB30" s="28"/>
    </row>
    <row r="31" spans="1:28" x14ac:dyDescent="0.4">
      <c r="A31" s="19"/>
      <c r="B31" s="8"/>
      <c r="C31" s="40">
        <v>40.869999999999997</v>
      </c>
      <c r="D31" s="47">
        <v>81796.14</v>
      </c>
      <c r="E31" s="50">
        <v>32771.129999999997</v>
      </c>
      <c r="F31" s="24"/>
      <c r="G31" s="24"/>
      <c r="H31" s="48"/>
      <c r="I31" s="49">
        <f t="shared" si="0"/>
        <v>114567.26999999999</v>
      </c>
      <c r="J31" s="22">
        <v>21136.080000000002</v>
      </c>
      <c r="K31" s="17">
        <v>2348.64</v>
      </c>
      <c r="L31" s="22">
        <v>108.36</v>
      </c>
      <c r="M31" s="17">
        <v>201.6</v>
      </c>
      <c r="N31" s="17"/>
      <c r="O31" s="17"/>
      <c r="P31" s="17">
        <v>417.24</v>
      </c>
      <c r="Q31" s="17"/>
      <c r="R31" s="17">
        <v>346.8</v>
      </c>
      <c r="S31" s="17"/>
      <c r="T31" s="17">
        <v>8168.88</v>
      </c>
      <c r="U31" s="17">
        <v>8168.86</v>
      </c>
      <c r="V31" s="17"/>
      <c r="W31" s="17"/>
      <c r="X31" s="22">
        <v>56</v>
      </c>
      <c r="Y31" s="9">
        <f t="shared" si="1"/>
        <v>144800.62999999995</v>
      </c>
      <c r="Z31" s="9">
        <f t="shared" si="2"/>
        <v>10775.099999999999</v>
      </c>
      <c r="AB31" s="28"/>
    </row>
    <row r="32" spans="1:28" x14ac:dyDescent="0.4">
      <c r="A32" s="19"/>
      <c r="B32" s="8"/>
      <c r="C32" s="40">
        <v>40.869999999999997</v>
      </c>
      <c r="D32" s="47">
        <v>81796.100000000006</v>
      </c>
      <c r="E32" s="50">
        <v>19524.060000000001</v>
      </c>
      <c r="F32" s="24"/>
      <c r="G32" s="24"/>
      <c r="H32" s="48"/>
      <c r="I32" s="49">
        <f t="shared" si="0"/>
        <v>101320.16</v>
      </c>
      <c r="J32" s="22">
        <v>21136.080000000002</v>
      </c>
      <c r="K32" s="17">
        <v>2348.64</v>
      </c>
      <c r="L32" s="22">
        <v>418.32</v>
      </c>
      <c r="M32" s="17">
        <v>777.12</v>
      </c>
      <c r="N32" s="17"/>
      <c r="O32" s="17"/>
      <c r="P32" s="17">
        <v>417.24</v>
      </c>
      <c r="Q32" s="17"/>
      <c r="R32" s="17">
        <v>346.8</v>
      </c>
      <c r="S32" s="17"/>
      <c r="T32" s="17">
        <v>8168.67</v>
      </c>
      <c r="U32" s="17">
        <v>4084.42</v>
      </c>
      <c r="V32" s="17"/>
      <c r="W32" s="17"/>
      <c r="X32" s="22">
        <v>56</v>
      </c>
      <c r="Y32" s="9">
        <f t="shared" si="1"/>
        <v>131863.27000000002</v>
      </c>
      <c r="Z32" s="9">
        <f t="shared" si="2"/>
        <v>7266.18</v>
      </c>
      <c r="AB32" s="28"/>
    </row>
    <row r="33" spans="1:28" x14ac:dyDescent="0.4">
      <c r="A33" s="19"/>
      <c r="B33" s="8"/>
      <c r="C33" s="40">
        <v>20.55</v>
      </c>
      <c r="D33" s="47">
        <v>41328.120000000003</v>
      </c>
      <c r="E33" s="50">
        <v>2109.52</v>
      </c>
      <c r="F33" s="24"/>
      <c r="G33" s="24"/>
      <c r="H33" s="48"/>
      <c r="I33" s="49">
        <f t="shared" si="0"/>
        <v>43437.64</v>
      </c>
      <c r="J33" s="22">
        <v>15676.2</v>
      </c>
      <c r="K33" s="17">
        <v>1741.92</v>
      </c>
      <c r="L33" s="22">
        <v>240.36</v>
      </c>
      <c r="M33" s="17">
        <v>446.4</v>
      </c>
      <c r="N33" s="17"/>
      <c r="O33" s="17">
        <v>90.48</v>
      </c>
      <c r="P33" s="17">
        <v>208.56</v>
      </c>
      <c r="Q33" s="17"/>
      <c r="R33" s="17">
        <v>179.76</v>
      </c>
      <c r="S33" s="17"/>
      <c r="T33" s="17">
        <v>4107.46</v>
      </c>
      <c r="U33" s="17">
        <v>1642.94</v>
      </c>
      <c r="V33" s="17"/>
      <c r="W33" s="17"/>
      <c r="X33" s="22">
        <v>56</v>
      </c>
      <c r="Y33" s="9">
        <f t="shared" si="1"/>
        <v>63905.979999999996</v>
      </c>
      <c r="Z33" s="9">
        <f t="shared" si="2"/>
        <v>3977.7400000000002</v>
      </c>
      <c r="AB33" s="28">
        <v>100</v>
      </c>
    </row>
    <row r="34" spans="1:28" x14ac:dyDescent="0.4">
      <c r="A34" s="19"/>
      <c r="B34" s="8"/>
      <c r="C34" s="40">
        <v>40.869999999999997</v>
      </c>
      <c r="D34" s="47">
        <v>81172.179999999993</v>
      </c>
      <c r="E34" s="50">
        <v>21292.85</v>
      </c>
      <c r="F34" s="24"/>
      <c r="G34" s="24"/>
      <c r="H34" s="48"/>
      <c r="I34" s="49">
        <f t="shared" si="0"/>
        <v>102465.03</v>
      </c>
      <c r="J34" s="22">
        <v>15266.030000000494</v>
      </c>
      <c r="K34" s="17">
        <v>1806.14</v>
      </c>
      <c r="L34" s="22">
        <v>108.36</v>
      </c>
      <c r="M34" s="17">
        <v>201.6</v>
      </c>
      <c r="N34" s="17"/>
      <c r="O34" s="17"/>
      <c r="P34" s="17">
        <v>417.24</v>
      </c>
      <c r="Q34" s="17"/>
      <c r="R34" s="17">
        <v>346.8</v>
      </c>
      <c r="S34" s="17"/>
      <c r="T34" s="17">
        <v>8106.47</v>
      </c>
      <c r="U34" s="17">
        <v>4053.23</v>
      </c>
      <c r="V34" s="17"/>
      <c r="W34" s="17"/>
      <c r="X34" s="22">
        <v>56</v>
      </c>
      <c r="Y34" s="9">
        <f t="shared" si="1"/>
        <v>126765.9300000005</v>
      </c>
      <c r="Z34" s="9">
        <f t="shared" si="2"/>
        <v>6116.97</v>
      </c>
      <c r="AB34" s="28">
        <v>100</v>
      </c>
    </row>
    <row r="35" spans="1:28" x14ac:dyDescent="0.4">
      <c r="A35" s="19"/>
      <c r="B35" s="8"/>
      <c r="C35" s="40">
        <v>40.869999999999997</v>
      </c>
      <c r="D35" s="47">
        <v>81809.5</v>
      </c>
      <c r="E35" s="50">
        <v>22361.05</v>
      </c>
      <c r="F35" s="24"/>
      <c r="G35" s="24"/>
      <c r="H35" s="48"/>
      <c r="I35" s="49">
        <f t="shared" si="0"/>
        <v>104170.55</v>
      </c>
      <c r="J35" s="22">
        <v>6628.32</v>
      </c>
      <c r="K35" s="17">
        <v>736.56</v>
      </c>
      <c r="L35" s="22">
        <v>108.36</v>
      </c>
      <c r="M35" s="17">
        <v>201.6</v>
      </c>
      <c r="N35" s="17"/>
      <c r="O35" s="17"/>
      <c r="P35" s="17">
        <v>417.24</v>
      </c>
      <c r="Q35" s="17"/>
      <c r="R35" s="17">
        <v>346.8</v>
      </c>
      <c r="S35" s="17"/>
      <c r="T35" s="17">
        <v>8168.85</v>
      </c>
      <c r="U35" s="17">
        <v>3653.32</v>
      </c>
      <c r="V35" s="17"/>
      <c r="W35" s="17"/>
      <c r="X35" s="22">
        <v>56</v>
      </c>
      <c r="Y35" s="9">
        <f t="shared" si="1"/>
        <v>119896.12000000001</v>
      </c>
      <c r="Z35" s="9">
        <f t="shared" si="2"/>
        <v>4647.4800000000005</v>
      </c>
      <c r="AB35" s="28"/>
    </row>
    <row r="36" spans="1:28" x14ac:dyDescent="0.4">
      <c r="A36" s="19"/>
      <c r="B36" s="8"/>
      <c r="C36" s="40">
        <v>40.869999999999997</v>
      </c>
      <c r="D36" s="47">
        <v>81796.259999999995</v>
      </c>
      <c r="E36" s="50">
        <v>23326.3</v>
      </c>
      <c r="F36" s="24"/>
      <c r="G36" s="24"/>
      <c r="H36" s="48"/>
      <c r="I36" s="49">
        <f t="shared" si="0"/>
        <v>105122.56</v>
      </c>
      <c r="J36" s="22">
        <v>21136.080000000002</v>
      </c>
      <c r="K36" s="17">
        <v>2348.64</v>
      </c>
      <c r="L36" s="22">
        <v>108.36</v>
      </c>
      <c r="M36" s="17">
        <v>201.6</v>
      </c>
      <c r="N36" s="17"/>
      <c r="O36" s="17"/>
      <c r="P36" s="17">
        <v>417.24</v>
      </c>
      <c r="Q36" s="17"/>
      <c r="R36" s="17">
        <v>346.7</v>
      </c>
      <c r="S36" s="17"/>
      <c r="T36" s="17">
        <v>8168.89</v>
      </c>
      <c r="U36" s="17">
        <v>8168.89</v>
      </c>
      <c r="V36" s="17"/>
      <c r="W36" s="17"/>
      <c r="X36" s="22">
        <v>56</v>
      </c>
      <c r="Y36" s="9">
        <f t="shared" si="1"/>
        <v>135355.83000000002</v>
      </c>
      <c r="Z36" s="9">
        <f t="shared" si="2"/>
        <v>10775.130000000001</v>
      </c>
      <c r="AB36" s="28"/>
    </row>
    <row r="37" spans="1:28" x14ac:dyDescent="0.4">
      <c r="A37" s="19"/>
      <c r="B37" s="8"/>
      <c r="C37" s="40">
        <v>40.869999999999997</v>
      </c>
      <c r="D37" s="47">
        <v>81145.289999999994</v>
      </c>
      <c r="E37" s="50">
        <v>17178.439999999999</v>
      </c>
      <c r="F37" s="24"/>
      <c r="G37" s="24"/>
      <c r="H37" s="50"/>
      <c r="I37" s="49">
        <f t="shared" si="0"/>
        <v>98323.73</v>
      </c>
      <c r="J37" s="22">
        <v>6628.32</v>
      </c>
      <c r="K37" s="17">
        <v>736.56</v>
      </c>
      <c r="L37" s="22">
        <v>108.36</v>
      </c>
      <c r="M37" s="17">
        <v>201.6</v>
      </c>
      <c r="N37" s="17"/>
      <c r="O37" s="17">
        <v>90.48</v>
      </c>
      <c r="P37" s="17">
        <v>417.24</v>
      </c>
      <c r="Q37" s="17"/>
      <c r="R37" s="17">
        <v>346.8</v>
      </c>
      <c r="S37" s="17"/>
      <c r="T37" s="17">
        <v>8106.48</v>
      </c>
      <c r="U37" s="17">
        <v>8236.9500000000007</v>
      </c>
      <c r="V37" s="17"/>
      <c r="W37" s="17"/>
      <c r="X37" s="22">
        <v>56</v>
      </c>
      <c r="Y37" s="9">
        <f t="shared" si="1"/>
        <v>113986.93</v>
      </c>
      <c r="Z37" s="9">
        <f t="shared" si="2"/>
        <v>9321.59</v>
      </c>
      <c r="AB37" s="28"/>
    </row>
    <row r="38" spans="1:28" x14ac:dyDescent="0.4">
      <c r="A38" s="19"/>
      <c r="B38" s="8"/>
      <c r="C38" s="40">
        <v>40.869999999999997</v>
      </c>
      <c r="D38" s="47">
        <v>78740.14</v>
      </c>
      <c r="E38" s="50">
        <v>12702.09</v>
      </c>
      <c r="F38" s="24"/>
      <c r="G38" s="24"/>
      <c r="H38" s="50"/>
      <c r="I38" s="49">
        <f t="shared" si="0"/>
        <v>91442.23</v>
      </c>
      <c r="J38" s="22">
        <v>6628.32</v>
      </c>
      <c r="K38" s="17">
        <v>736.56</v>
      </c>
      <c r="L38" s="22">
        <v>108.36</v>
      </c>
      <c r="M38" s="17">
        <v>201.6</v>
      </c>
      <c r="N38" s="17"/>
      <c r="O38" s="17"/>
      <c r="P38" s="17">
        <v>345.96</v>
      </c>
      <c r="Q38" s="17"/>
      <c r="R38" s="17">
        <v>289.8</v>
      </c>
      <c r="S38" s="17"/>
      <c r="T38" s="17">
        <v>7868.85</v>
      </c>
      <c r="U38" s="17">
        <v>9442.61</v>
      </c>
      <c r="V38" s="17"/>
      <c r="W38" s="17"/>
      <c r="X38" s="22">
        <v>56</v>
      </c>
      <c r="Y38" s="9">
        <f t="shared" si="1"/>
        <v>106739.52</v>
      </c>
      <c r="Z38" s="9">
        <f t="shared" si="2"/>
        <v>10436.77</v>
      </c>
      <c r="AB38" s="28">
        <v>50</v>
      </c>
    </row>
    <row r="39" spans="1:28" x14ac:dyDescent="0.4">
      <c r="A39" s="19"/>
      <c r="B39" s="8"/>
      <c r="C39" s="40">
        <v>25.55</v>
      </c>
      <c r="D39" s="47">
        <v>51159.68</v>
      </c>
      <c r="E39" s="50">
        <v>1348.1</v>
      </c>
      <c r="F39" s="24"/>
      <c r="G39" s="24"/>
      <c r="H39" s="50"/>
      <c r="I39" s="49">
        <f t="shared" si="0"/>
        <v>52507.78</v>
      </c>
      <c r="J39" s="22">
        <v>6628.32</v>
      </c>
      <c r="K39" s="17">
        <v>736.56</v>
      </c>
      <c r="L39" s="22"/>
      <c r="M39" s="17"/>
      <c r="N39" s="17"/>
      <c r="O39" s="17"/>
      <c r="P39" s="17">
        <v>259.44</v>
      </c>
      <c r="Q39" s="17"/>
      <c r="R39" s="17">
        <v>225.6</v>
      </c>
      <c r="S39" s="17"/>
      <c r="T39" s="17">
        <v>4595.82</v>
      </c>
      <c r="U39" s="17">
        <v>1531.94</v>
      </c>
      <c r="V39" s="17"/>
      <c r="W39" s="17"/>
      <c r="X39" s="22">
        <v>56</v>
      </c>
      <c r="Y39" s="9">
        <f t="shared" si="1"/>
        <v>64272.959999999999</v>
      </c>
      <c r="Z39" s="9">
        <f t="shared" si="2"/>
        <v>2324.5</v>
      </c>
      <c r="AB39" s="28"/>
    </row>
    <row r="40" spans="1:28" x14ac:dyDescent="0.4">
      <c r="A40" s="19"/>
      <c r="B40" s="8"/>
      <c r="C40" s="40">
        <v>28.66</v>
      </c>
      <c r="D40" s="47">
        <v>56956.959999999999</v>
      </c>
      <c r="E40" s="50">
        <v>6347.68</v>
      </c>
      <c r="F40" s="24"/>
      <c r="G40" s="24"/>
      <c r="H40" s="50"/>
      <c r="I40" s="49">
        <f t="shared" si="0"/>
        <v>63304.639999999999</v>
      </c>
      <c r="J40" s="22">
        <v>10775.27</v>
      </c>
      <c r="K40" s="17">
        <v>1197.3499999999999</v>
      </c>
      <c r="L40" s="22">
        <v>100.15</v>
      </c>
      <c r="M40" s="17">
        <v>186</v>
      </c>
      <c r="N40" s="17"/>
      <c r="O40" s="17">
        <v>127.88</v>
      </c>
      <c r="P40" s="17">
        <v>290.04000000000002</v>
      </c>
      <c r="Q40" s="17"/>
      <c r="R40" s="17">
        <v>249.84</v>
      </c>
      <c r="S40" s="17"/>
      <c r="T40" s="17">
        <v>5689.55</v>
      </c>
      <c r="U40" s="17">
        <v>3551.2</v>
      </c>
      <c r="V40" s="17"/>
      <c r="W40" s="17"/>
      <c r="X40" s="22">
        <v>56</v>
      </c>
      <c r="Y40" s="9">
        <f t="shared" si="1"/>
        <v>80465.489999999991</v>
      </c>
      <c r="Z40" s="9">
        <f t="shared" si="2"/>
        <v>5118.43</v>
      </c>
      <c r="AB40" s="28"/>
    </row>
    <row r="41" spans="1:28" x14ac:dyDescent="0.4">
      <c r="A41" s="19"/>
      <c r="B41" s="8"/>
      <c r="C41" s="40">
        <v>37.729999999999997</v>
      </c>
      <c r="D41" s="47">
        <v>75467.98</v>
      </c>
      <c r="E41" s="50">
        <v>24097.599999999999</v>
      </c>
      <c r="F41" s="24"/>
      <c r="G41" s="24"/>
      <c r="H41" s="50"/>
      <c r="I41" s="49">
        <f t="shared" si="0"/>
        <v>99565.579999999987</v>
      </c>
      <c r="J41" s="22">
        <v>15676.2</v>
      </c>
      <c r="K41" s="17">
        <v>1741.92</v>
      </c>
      <c r="L41" s="22">
        <v>240.36</v>
      </c>
      <c r="M41" s="17">
        <v>446.4</v>
      </c>
      <c r="N41" s="17"/>
      <c r="O41" s="17">
        <v>172.08</v>
      </c>
      <c r="P41" s="17">
        <v>345.96</v>
      </c>
      <c r="Q41" s="17"/>
      <c r="R41" s="17">
        <v>289.8</v>
      </c>
      <c r="S41" s="17"/>
      <c r="T41" s="17">
        <v>7540.62</v>
      </c>
      <c r="U41" s="17">
        <v>7540.6</v>
      </c>
      <c r="V41" s="17"/>
      <c r="W41" s="17"/>
      <c r="X41" s="22">
        <v>56</v>
      </c>
      <c r="Y41" s="9">
        <f t="shared" si="1"/>
        <v>123714.51999999999</v>
      </c>
      <c r="Z41" s="9">
        <f t="shared" si="2"/>
        <v>9957</v>
      </c>
      <c r="AB41" s="28"/>
    </row>
    <row r="42" spans="1:28" x14ac:dyDescent="0.4">
      <c r="A42" s="19"/>
      <c r="B42" s="8"/>
      <c r="C42" s="40">
        <v>24.21</v>
      </c>
      <c r="D42" s="47">
        <v>48468.26</v>
      </c>
      <c r="E42" s="50">
        <v>6739.5</v>
      </c>
      <c r="F42" s="24"/>
      <c r="G42" s="24"/>
      <c r="H42" s="50"/>
      <c r="I42" s="49">
        <f t="shared" si="0"/>
        <v>55207.76</v>
      </c>
      <c r="J42" s="22">
        <v>21136.080000000002</v>
      </c>
      <c r="K42" s="17">
        <v>2348.64</v>
      </c>
      <c r="L42" s="22">
        <v>418.32</v>
      </c>
      <c r="M42" s="17">
        <v>777.12</v>
      </c>
      <c r="N42" s="17"/>
      <c r="O42" s="17">
        <v>266.16000000000003</v>
      </c>
      <c r="P42" s="17">
        <v>249.36</v>
      </c>
      <c r="Q42" s="17"/>
      <c r="R42" s="17">
        <v>212.76</v>
      </c>
      <c r="S42" s="17"/>
      <c r="T42" s="17">
        <v>4838.54</v>
      </c>
      <c r="U42" s="17">
        <v>1935.41</v>
      </c>
      <c r="V42" s="17"/>
      <c r="W42" s="17"/>
      <c r="X42" s="22">
        <v>56</v>
      </c>
      <c r="Y42" s="9">
        <f t="shared" si="1"/>
        <v>82118.819999999992</v>
      </c>
      <c r="Z42" s="9">
        <f t="shared" si="2"/>
        <v>5383.33</v>
      </c>
      <c r="AB42" s="28"/>
    </row>
    <row r="43" spans="1:28" x14ac:dyDescent="0.4">
      <c r="A43" s="19"/>
      <c r="B43" s="8"/>
      <c r="C43" s="40">
        <v>21.75</v>
      </c>
      <c r="D43" s="47">
        <v>40918.720000000001</v>
      </c>
      <c r="E43" s="50">
        <v>972.13</v>
      </c>
      <c r="F43" s="24"/>
      <c r="G43" s="24"/>
      <c r="H43" s="48"/>
      <c r="I43" s="49">
        <f t="shared" si="0"/>
        <v>41890.85</v>
      </c>
      <c r="J43" s="22"/>
      <c r="K43" s="17"/>
      <c r="L43" s="22">
        <v>108.36</v>
      </c>
      <c r="M43" s="17">
        <v>201.6</v>
      </c>
      <c r="N43" s="17"/>
      <c r="O43" s="17">
        <v>90.48</v>
      </c>
      <c r="P43" s="17">
        <v>203.52</v>
      </c>
      <c r="Q43" s="17"/>
      <c r="R43" s="17">
        <v>172.2</v>
      </c>
      <c r="S43" s="17"/>
      <c r="T43" s="17">
        <v>4090.07</v>
      </c>
      <c r="U43" s="17">
        <f>1635.99+1635.99</f>
        <v>3271.98</v>
      </c>
      <c r="V43" s="17"/>
      <c r="W43" s="17"/>
      <c r="X43" s="22">
        <v>56</v>
      </c>
      <c r="Y43" s="9">
        <f t="shared" si="1"/>
        <v>46520.999999999993</v>
      </c>
      <c r="Z43" s="9">
        <f t="shared" si="2"/>
        <v>3620.06</v>
      </c>
      <c r="AB43" s="28"/>
    </row>
    <row r="44" spans="1:28" x14ac:dyDescent="0.4">
      <c r="A44" s="19"/>
      <c r="B44" s="8"/>
      <c r="C44" s="40">
        <v>32.619999999999997</v>
      </c>
      <c r="D44" s="47">
        <v>65875.69</v>
      </c>
      <c r="E44" s="50">
        <v>24337.89</v>
      </c>
      <c r="F44" s="24"/>
      <c r="G44" s="24"/>
      <c r="H44" s="48"/>
      <c r="I44" s="49">
        <f t="shared" si="0"/>
        <v>90213.58</v>
      </c>
      <c r="J44" s="22"/>
      <c r="K44" s="17"/>
      <c r="L44" s="22">
        <v>240.36</v>
      </c>
      <c r="M44" s="17">
        <v>446.4</v>
      </c>
      <c r="N44" s="17"/>
      <c r="O44" s="17"/>
      <c r="P44" s="17">
        <v>330.72</v>
      </c>
      <c r="Q44" s="17"/>
      <c r="R44" s="17">
        <v>241.8</v>
      </c>
      <c r="S44" s="17"/>
      <c r="T44" s="17">
        <v>3949.13</v>
      </c>
      <c r="U44" s="17"/>
      <c r="V44" s="17"/>
      <c r="W44" s="17"/>
      <c r="X44" s="22">
        <v>56</v>
      </c>
      <c r="Y44" s="9">
        <f t="shared" si="1"/>
        <v>95031.590000000011</v>
      </c>
      <c r="Z44" s="9">
        <f t="shared" si="2"/>
        <v>502.4</v>
      </c>
      <c r="AB44" s="28"/>
    </row>
    <row r="45" spans="1:28" x14ac:dyDescent="0.4">
      <c r="A45" s="19"/>
      <c r="B45" s="8"/>
      <c r="C45" s="40">
        <v>30.61</v>
      </c>
      <c r="D45" s="47">
        <v>59208.41</v>
      </c>
      <c r="E45" s="50">
        <v>20711.599999999999</v>
      </c>
      <c r="F45" s="24"/>
      <c r="G45" s="24"/>
      <c r="H45" s="48"/>
      <c r="I45" s="49">
        <f t="shared" si="0"/>
        <v>79920.010000000009</v>
      </c>
      <c r="J45" s="22">
        <v>6628.32</v>
      </c>
      <c r="K45" s="17">
        <v>736.56</v>
      </c>
      <c r="L45" s="22">
        <v>108.36</v>
      </c>
      <c r="M45" s="17">
        <v>201.6</v>
      </c>
      <c r="N45" s="17"/>
      <c r="O45" s="17"/>
      <c r="P45" s="17">
        <v>295.08</v>
      </c>
      <c r="Q45" s="17"/>
      <c r="R45" s="17">
        <v>248.76</v>
      </c>
      <c r="S45" s="17"/>
      <c r="T45" s="17">
        <v>5916.24</v>
      </c>
      <c r="U45" s="17">
        <v>4275.1499999999996</v>
      </c>
      <c r="V45" s="17"/>
      <c r="W45" s="17"/>
      <c r="X45" s="22">
        <v>56</v>
      </c>
      <c r="Y45" s="9">
        <f t="shared" si="1"/>
        <v>93172.770000000019</v>
      </c>
      <c r="Z45" s="9">
        <f t="shared" si="2"/>
        <v>5269.3099999999995</v>
      </c>
      <c r="AB45" s="28"/>
    </row>
    <row r="46" spans="1:28" x14ac:dyDescent="0.4">
      <c r="A46" s="19"/>
      <c r="B46" s="8"/>
      <c r="C46" s="40">
        <v>29.34</v>
      </c>
      <c r="D46" s="47">
        <v>58234.16</v>
      </c>
      <c r="E46" s="50">
        <v>15975.18</v>
      </c>
      <c r="F46" s="24"/>
      <c r="G46" s="24"/>
      <c r="H46" s="48"/>
      <c r="I46" s="49">
        <f t="shared" si="0"/>
        <v>74209.34</v>
      </c>
      <c r="J46" s="22">
        <v>6628.32</v>
      </c>
      <c r="K46" s="17">
        <v>736.56</v>
      </c>
      <c r="L46" s="22">
        <v>108.36</v>
      </c>
      <c r="M46" s="17">
        <v>201.6</v>
      </c>
      <c r="N46" s="17"/>
      <c r="O46" s="17"/>
      <c r="P46" s="17">
        <v>279.83999999999997</v>
      </c>
      <c r="Q46" s="17"/>
      <c r="R46" s="17">
        <v>222.48</v>
      </c>
      <c r="S46" s="17"/>
      <c r="T46" s="17">
        <v>5819.94</v>
      </c>
      <c r="U46" s="17">
        <v>2327.98</v>
      </c>
      <c r="V46" s="17"/>
      <c r="W46" s="17"/>
      <c r="X46" s="22">
        <v>56</v>
      </c>
      <c r="Y46" s="9">
        <f t="shared" si="1"/>
        <v>87324.28</v>
      </c>
      <c r="Z46" s="9">
        <f t="shared" si="2"/>
        <v>3322.14</v>
      </c>
      <c r="AB46" s="28"/>
    </row>
    <row r="47" spans="1:28" x14ac:dyDescent="0.4">
      <c r="A47" s="19"/>
      <c r="B47" s="8"/>
      <c r="C47" s="40">
        <v>30.81</v>
      </c>
      <c r="D47" s="47">
        <v>61952.19</v>
      </c>
      <c r="E47" s="50">
        <v>2061.6799999999998</v>
      </c>
      <c r="F47" s="24"/>
      <c r="G47" s="24"/>
      <c r="H47" s="48"/>
      <c r="I47" s="49">
        <f t="shared" si="0"/>
        <v>64013.87</v>
      </c>
      <c r="J47" s="22">
        <v>6628.32</v>
      </c>
      <c r="K47" s="17">
        <v>736.56</v>
      </c>
      <c r="L47" s="22">
        <v>108.36</v>
      </c>
      <c r="M47" s="17">
        <v>201.6</v>
      </c>
      <c r="N47" s="17"/>
      <c r="O47" s="17"/>
      <c r="P47" s="17">
        <v>315.48</v>
      </c>
      <c r="Q47" s="17"/>
      <c r="R47" s="17">
        <v>270.83999999999997</v>
      </c>
      <c r="S47" s="17"/>
      <c r="T47" s="17">
        <v>4746.8599999999997</v>
      </c>
      <c r="U47" s="17">
        <v>6158.06</v>
      </c>
      <c r="V47" s="17"/>
      <c r="W47" s="17"/>
      <c r="X47" s="22">
        <v>56</v>
      </c>
      <c r="Y47" s="9">
        <f t="shared" si="1"/>
        <v>76139.73</v>
      </c>
      <c r="Z47" s="9">
        <f t="shared" si="2"/>
        <v>7152.22</v>
      </c>
      <c r="AB47" s="28"/>
    </row>
    <row r="48" spans="1:28" x14ac:dyDescent="0.4">
      <c r="A48" s="19"/>
      <c r="B48" s="8"/>
      <c r="C48" s="40">
        <v>19.260000000000002</v>
      </c>
      <c r="D48" s="47">
        <v>35891.050000000003</v>
      </c>
      <c r="E48" s="50">
        <v>558.61</v>
      </c>
      <c r="F48" s="24"/>
      <c r="G48" s="24"/>
      <c r="H48" s="48"/>
      <c r="I48" s="49">
        <f t="shared" si="0"/>
        <v>36449.660000000003</v>
      </c>
      <c r="J48" s="22">
        <v>21136.080000000002</v>
      </c>
      <c r="K48" s="17">
        <v>2348.64</v>
      </c>
      <c r="L48" s="22">
        <v>418.32</v>
      </c>
      <c r="M48" s="17">
        <v>777.12</v>
      </c>
      <c r="N48" s="17"/>
      <c r="O48" s="17">
        <v>266.16000000000003</v>
      </c>
      <c r="P48" s="17">
        <v>183.12</v>
      </c>
      <c r="Q48" s="17"/>
      <c r="R48" s="17">
        <v>157.19999999999999</v>
      </c>
      <c r="S48" s="17"/>
      <c r="T48" s="17">
        <v>2234.94</v>
      </c>
      <c r="U48" s="17">
        <v>1434.77</v>
      </c>
      <c r="V48" s="17"/>
      <c r="W48" s="17"/>
      <c r="X48" s="22">
        <v>56</v>
      </c>
      <c r="Y48" s="9">
        <f t="shared" si="1"/>
        <v>60635.320000000007</v>
      </c>
      <c r="Z48" s="9">
        <f t="shared" si="2"/>
        <v>4882.6899999999996</v>
      </c>
      <c r="AB48" s="28"/>
    </row>
    <row r="49" spans="1:28" x14ac:dyDescent="0.4">
      <c r="A49" s="19"/>
      <c r="B49" s="8"/>
      <c r="C49" s="40">
        <v>19.260000000000002</v>
      </c>
      <c r="D49" s="47">
        <v>35607.120000000003</v>
      </c>
      <c r="E49" s="50">
        <v>1340.37</v>
      </c>
      <c r="F49" s="24"/>
      <c r="G49" s="24"/>
      <c r="H49" s="48"/>
      <c r="I49" s="49">
        <f t="shared" si="0"/>
        <v>36947.490000000005</v>
      </c>
      <c r="J49" s="22">
        <v>13714.68</v>
      </c>
      <c r="K49" s="17">
        <v>1524</v>
      </c>
      <c r="L49" s="22">
        <v>221</v>
      </c>
      <c r="M49" s="17">
        <v>410.6</v>
      </c>
      <c r="N49" s="17"/>
      <c r="O49" s="17">
        <v>90.48</v>
      </c>
      <c r="P49" s="17">
        <v>173.04</v>
      </c>
      <c r="Q49" s="17"/>
      <c r="R49" s="17">
        <v>157.19999999999999</v>
      </c>
      <c r="S49" s="17"/>
      <c r="T49" s="17">
        <v>747.74</v>
      </c>
      <c r="U49" s="17">
        <v>1422.29</v>
      </c>
      <c r="V49" s="17"/>
      <c r="W49" s="17"/>
      <c r="X49" s="22">
        <v>56</v>
      </c>
      <c r="Y49" s="9">
        <f t="shared" si="1"/>
        <v>52017.15</v>
      </c>
      <c r="Z49" s="9">
        <f t="shared" si="2"/>
        <v>3503.37</v>
      </c>
      <c r="AB49" s="28"/>
    </row>
    <row r="50" spans="1:28" x14ac:dyDescent="0.4">
      <c r="A50" s="19"/>
      <c r="B50" s="8"/>
      <c r="C50" s="40">
        <v>19.260000000000002</v>
      </c>
      <c r="D50" s="47">
        <v>35650.32</v>
      </c>
      <c r="E50" s="50">
        <v>1221.04</v>
      </c>
      <c r="F50" s="24"/>
      <c r="G50" s="24"/>
      <c r="H50" s="48"/>
      <c r="I50" s="49">
        <f t="shared" si="0"/>
        <v>36871.360000000001</v>
      </c>
      <c r="J50" s="22">
        <v>6628.32</v>
      </c>
      <c r="K50" s="17">
        <v>736.56</v>
      </c>
      <c r="L50" s="22">
        <v>108.36</v>
      </c>
      <c r="M50" s="17">
        <v>201.6</v>
      </c>
      <c r="N50" s="17"/>
      <c r="O50" s="17">
        <v>90.48</v>
      </c>
      <c r="P50" s="17">
        <v>173.04</v>
      </c>
      <c r="Q50" s="17"/>
      <c r="R50" s="17">
        <v>157.19999999999999</v>
      </c>
      <c r="S50" s="17"/>
      <c r="T50" s="17">
        <v>747.74</v>
      </c>
      <c r="U50" s="17">
        <v>1422.29</v>
      </c>
      <c r="V50" s="17"/>
      <c r="W50" s="17"/>
      <c r="X50" s="22">
        <v>56</v>
      </c>
      <c r="Y50" s="9">
        <f t="shared" si="1"/>
        <v>44742.02</v>
      </c>
      <c r="Z50" s="9">
        <f t="shared" si="2"/>
        <v>2506.9299999999998</v>
      </c>
      <c r="AB50" s="28"/>
    </row>
    <row r="51" spans="1:28" x14ac:dyDescent="0.4">
      <c r="A51" s="19"/>
      <c r="B51" s="8"/>
      <c r="C51" s="40">
        <v>29.34</v>
      </c>
      <c r="D51" s="47">
        <v>58686.96</v>
      </c>
      <c r="E51" s="50">
        <v>17705.22</v>
      </c>
      <c r="F51" s="24"/>
      <c r="G51" s="24"/>
      <c r="H51" s="48"/>
      <c r="I51" s="49">
        <f t="shared" si="0"/>
        <v>76392.179999999993</v>
      </c>
      <c r="J51" s="22"/>
      <c r="K51" s="17"/>
      <c r="L51" s="22"/>
      <c r="M51" s="17"/>
      <c r="N51" s="17"/>
      <c r="O51" s="17"/>
      <c r="P51" s="17">
        <v>300.24</v>
      </c>
      <c r="Q51" s="17"/>
      <c r="R51" s="17">
        <v>270.83999999999997</v>
      </c>
      <c r="S51" s="17"/>
      <c r="T51" s="17">
        <v>1160.74</v>
      </c>
      <c r="U51" s="17">
        <f>2345.9+3518.84</f>
        <v>5864.74</v>
      </c>
      <c r="V51" s="17"/>
      <c r="W51" s="17"/>
      <c r="X51" s="22">
        <v>56</v>
      </c>
      <c r="Y51" s="9">
        <f t="shared" si="1"/>
        <v>78180</v>
      </c>
      <c r="Z51" s="9">
        <f t="shared" si="2"/>
        <v>5920.74</v>
      </c>
      <c r="AB51" s="28"/>
    </row>
    <row r="52" spans="1:28" x14ac:dyDescent="0.4">
      <c r="A52" s="19"/>
      <c r="B52" s="8"/>
      <c r="C52" s="40">
        <v>27.25</v>
      </c>
      <c r="D52" s="47">
        <v>52716.57</v>
      </c>
      <c r="E52" s="50">
        <v>15870.15</v>
      </c>
      <c r="F52" s="24"/>
      <c r="G52" s="24"/>
      <c r="H52" s="48"/>
      <c r="I52" s="49">
        <f t="shared" si="0"/>
        <v>68586.720000000001</v>
      </c>
      <c r="J52" s="22"/>
      <c r="K52" s="17"/>
      <c r="L52" s="22"/>
      <c r="M52" s="17"/>
      <c r="N52" s="17"/>
      <c r="O52" s="17"/>
      <c r="P52" s="17">
        <v>264.60000000000002</v>
      </c>
      <c r="Q52" s="17"/>
      <c r="R52" s="17">
        <v>241.8</v>
      </c>
      <c r="S52" s="17"/>
      <c r="T52" s="17">
        <v>1068.4000000000001</v>
      </c>
      <c r="U52" s="17">
        <f>2107.36+2107.36</f>
        <v>4214.72</v>
      </c>
      <c r="V52" s="17"/>
      <c r="W52" s="17"/>
      <c r="X52" s="22">
        <v>56</v>
      </c>
      <c r="Y52" s="9">
        <f t="shared" si="1"/>
        <v>70217.52</v>
      </c>
      <c r="Z52" s="9">
        <f t="shared" si="2"/>
        <v>4270.72</v>
      </c>
      <c r="AB52" s="28"/>
    </row>
    <row r="53" spans="1:28" x14ac:dyDescent="0.4">
      <c r="A53" s="19"/>
      <c r="B53" s="8"/>
      <c r="C53" s="40">
        <v>27.25</v>
      </c>
      <c r="D53" s="47">
        <v>54494.84</v>
      </c>
      <c r="E53" s="50">
        <v>17056.64</v>
      </c>
      <c r="F53" s="24"/>
      <c r="G53" s="24"/>
      <c r="H53" s="48"/>
      <c r="I53" s="49">
        <f t="shared" si="0"/>
        <v>71551.48</v>
      </c>
      <c r="J53" s="22"/>
      <c r="K53" s="17"/>
      <c r="L53" s="22"/>
      <c r="M53" s="17"/>
      <c r="N53" s="17"/>
      <c r="O53" s="17"/>
      <c r="P53" s="17">
        <v>279.83999999999997</v>
      </c>
      <c r="Q53" s="17"/>
      <c r="R53" s="17">
        <v>251.52</v>
      </c>
      <c r="S53" s="17"/>
      <c r="T53" s="17">
        <v>4406</v>
      </c>
      <c r="U53" s="17">
        <f>2178.4+3267.6</f>
        <v>5446</v>
      </c>
      <c r="V53" s="17"/>
      <c r="W53" s="17"/>
      <c r="X53" s="22">
        <v>56</v>
      </c>
      <c r="Y53" s="9">
        <f t="shared" si="1"/>
        <v>76544.84</v>
      </c>
      <c r="Z53" s="9">
        <f t="shared" si="2"/>
        <v>5502</v>
      </c>
      <c r="AB53" s="28"/>
    </row>
    <row r="54" spans="1:28" x14ac:dyDescent="0.4">
      <c r="A54" s="19"/>
      <c r="B54" s="8"/>
      <c r="C54" s="40">
        <v>19.260000000000002</v>
      </c>
      <c r="D54" s="47">
        <v>31484.86</v>
      </c>
      <c r="E54" s="50">
        <v>508.19</v>
      </c>
      <c r="F54" s="24"/>
      <c r="G54" s="24"/>
      <c r="H54" s="48"/>
      <c r="I54" s="49">
        <f t="shared" si="0"/>
        <v>31993.05</v>
      </c>
      <c r="J54" s="22">
        <v>19374.740000000002</v>
      </c>
      <c r="K54" s="17">
        <v>2152.92</v>
      </c>
      <c r="L54" s="22">
        <v>383.46</v>
      </c>
      <c r="M54" s="17">
        <v>712.36</v>
      </c>
      <c r="N54" s="17"/>
      <c r="O54" s="17"/>
      <c r="P54" s="17">
        <v>158.62</v>
      </c>
      <c r="Q54" s="17"/>
      <c r="R54" s="17">
        <v>104.8</v>
      </c>
      <c r="S54" s="17"/>
      <c r="T54" s="17"/>
      <c r="U54" s="17">
        <v>564.30999999999995</v>
      </c>
      <c r="V54" s="17"/>
      <c r="W54" s="17"/>
      <c r="X54" s="22">
        <v>56</v>
      </c>
      <c r="Y54" s="9">
        <f t="shared" si="1"/>
        <v>52070.670000000006</v>
      </c>
      <c r="Z54" s="9">
        <f t="shared" si="2"/>
        <v>3485.59</v>
      </c>
      <c r="AB54" s="28"/>
    </row>
    <row r="55" spans="1:28" x14ac:dyDescent="0.4">
      <c r="A55" s="19"/>
      <c r="B55" s="8"/>
      <c r="C55" s="40">
        <v>25.86</v>
      </c>
      <c r="D55" s="47">
        <v>37601.279999999999</v>
      </c>
      <c r="E55" s="50">
        <v>6347.04</v>
      </c>
      <c r="F55" s="24"/>
      <c r="G55" s="24"/>
      <c r="H55" s="48"/>
      <c r="I55" s="49">
        <f t="shared" si="0"/>
        <v>43948.32</v>
      </c>
      <c r="J55" s="22">
        <v>4418.88</v>
      </c>
      <c r="K55" s="17">
        <v>491.04</v>
      </c>
      <c r="L55" s="22">
        <v>72.239999999999995</v>
      </c>
      <c r="M55" s="17">
        <v>134.4</v>
      </c>
      <c r="N55" s="17"/>
      <c r="O55" s="17">
        <v>60.32</v>
      </c>
      <c r="P55" s="17">
        <v>172.96</v>
      </c>
      <c r="Q55" s="17"/>
      <c r="R55" s="17">
        <v>118.2</v>
      </c>
      <c r="S55" s="17"/>
      <c r="T55" s="17"/>
      <c r="U55" s="17">
        <v>1668.25</v>
      </c>
      <c r="V55" s="17"/>
      <c r="W55" s="17"/>
      <c r="X55" s="22">
        <v>56</v>
      </c>
      <c r="Y55" s="9">
        <f t="shared" si="1"/>
        <v>48786.599999999991</v>
      </c>
      <c r="Z55" s="9">
        <f t="shared" si="2"/>
        <v>2410.0100000000002</v>
      </c>
      <c r="AB55" s="28"/>
    </row>
    <row r="56" spans="1:28" x14ac:dyDescent="0.4">
      <c r="A56" s="19"/>
      <c r="B56" s="8"/>
      <c r="C56" s="40">
        <v>37.729999999999997</v>
      </c>
      <c r="D56" s="47">
        <v>30796.05</v>
      </c>
      <c r="E56" s="50">
        <v>2591</v>
      </c>
      <c r="F56" s="24"/>
      <c r="G56" s="24"/>
      <c r="H56" s="48"/>
      <c r="I56" s="49">
        <f t="shared" ref="I56:I62" si="3">SUM(D56:H56)</f>
        <v>33387.050000000003</v>
      </c>
      <c r="J56" s="22">
        <v>8806.7000000000007</v>
      </c>
      <c r="K56" s="17">
        <v>978.6</v>
      </c>
      <c r="L56" s="22">
        <v>174.3</v>
      </c>
      <c r="M56" s="17">
        <v>323.8</v>
      </c>
      <c r="N56" s="17"/>
      <c r="O56" s="17">
        <v>110.9</v>
      </c>
      <c r="P56" s="17">
        <v>159</v>
      </c>
      <c r="Q56" s="17"/>
      <c r="R56" s="17">
        <v>87.06</v>
      </c>
      <c r="S56" s="17"/>
      <c r="T56" s="17"/>
      <c r="U56" s="17">
        <v>942.65</v>
      </c>
      <c r="V56" s="17"/>
      <c r="W56" s="17"/>
      <c r="X56" s="22">
        <v>56</v>
      </c>
      <c r="Y56" s="9">
        <f t="shared" ref="Y56:Y62" si="4">+I56+J56+L56+N56+P56+R56+T56+V56+X56</f>
        <v>42670.11</v>
      </c>
      <c r="Z56" s="9">
        <f t="shared" si="2"/>
        <v>2411.9500000000003</v>
      </c>
      <c r="AB56" s="28"/>
    </row>
    <row r="57" spans="1:28" x14ac:dyDescent="0.4">
      <c r="A57" s="19"/>
      <c r="B57" s="8"/>
      <c r="C57" s="40">
        <v>19.260000000000002</v>
      </c>
      <c r="D57" s="47">
        <v>11190.44</v>
      </c>
      <c r="E57" s="50">
        <v>28.88</v>
      </c>
      <c r="F57" s="24"/>
      <c r="G57" s="24"/>
      <c r="H57" s="48"/>
      <c r="I57" s="49">
        <f t="shared" si="3"/>
        <v>11219.32</v>
      </c>
      <c r="J57" s="22">
        <v>3428.67</v>
      </c>
      <c r="K57" s="17">
        <v>381</v>
      </c>
      <c r="L57" s="22">
        <v>27.09</v>
      </c>
      <c r="M57" s="17">
        <v>50.4</v>
      </c>
      <c r="N57" s="17"/>
      <c r="O57" s="17"/>
      <c r="P57" s="17">
        <v>43.26</v>
      </c>
      <c r="Q57" s="17"/>
      <c r="R57" s="17">
        <v>13.1</v>
      </c>
      <c r="S57" s="17"/>
      <c r="T57" s="17"/>
      <c r="U57" s="17">
        <v>184.89</v>
      </c>
      <c r="V57" s="17"/>
      <c r="W57" s="17"/>
      <c r="X57" s="22">
        <v>56</v>
      </c>
      <c r="Y57" s="9">
        <f t="shared" si="4"/>
        <v>14787.44</v>
      </c>
      <c r="Z57" s="9">
        <f t="shared" si="2"/>
        <v>672.29</v>
      </c>
      <c r="AB57" s="28"/>
    </row>
    <row r="58" spans="1:28" x14ac:dyDescent="0.4">
      <c r="A58" s="19"/>
      <c r="B58" s="8"/>
      <c r="C58" s="40">
        <v>22.5</v>
      </c>
      <c r="D58" s="47">
        <v>9904.4</v>
      </c>
      <c r="E58" s="50"/>
      <c r="F58" s="24"/>
      <c r="G58" s="24"/>
      <c r="H58" s="48"/>
      <c r="I58" s="49">
        <f t="shared" si="3"/>
        <v>9904.4</v>
      </c>
      <c r="J58" s="22">
        <v>3522.68</v>
      </c>
      <c r="K58" s="17">
        <v>391.44</v>
      </c>
      <c r="L58" s="22">
        <v>69.72</v>
      </c>
      <c r="M58" s="17">
        <v>129.52000000000001</v>
      </c>
      <c r="N58" s="17"/>
      <c r="O58" s="17">
        <v>44.36</v>
      </c>
      <c r="P58" s="17"/>
      <c r="Q58" s="17"/>
      <c r="R58" s="17"/>
      <c r="S58" s="17"/>
      <c r="T58" s="17"/>
      <c r="U58" s="17">
        <v>36</v>
      </c>
      <c r="V58" s="17"/>
      <c r="W58" s="17"/>
      <c r="X58" s="22">
        <v>56</v>
      </c>
      <c r="Y58" s="9">
        <f t="shared" si="4"/>
        <v>13552.8</v>
      </c>
      <c r="Z58" s="9">
        <f t="shared" si="2"/>
        <v>657.32</v>
      </c>
      <c r="AB58" s="28"/>
    </row>
    <row r="59" spans="1:28" x14ac:dyDescent="0.4">
      <c r="A59" s="19"/>
      <c r="B59" s="8"/>
      <c r="C59" s="40">
        <v>14</v>
      </c>
      <c r="D59" s="47">
        <v>1967</v>
      </c>
      <c r="E59" s="50"/>
      <c r="F59" s="24"/>
      <c r="G59" s="24"/>
      <c r="H59" s="48"/>
      <c r="I59" s="49">
        <f t="shared" si="3"/>
        <v>1967</v>
      </c>
      <c r="J59" s="22"/>
      <c r="K59" s="17"/>
      <c r="L59" s="22"/>
      <c r="M59" s="17"/>
      <c r="N59" s="17"/>
      <c r="O59" s="17"/>
      <c r="P59" s="17"/>
      <c r="Q59" s="17"/>
      <c r="R59" s="17"/>
      <c r="S59" s="17"/>
      <c r="T59" s="17"/>
      <c r="U59" s="17"/>
      <c r="V59" s="17"/>
      <c r="W59" s="17"/>
      <c r="X59" s="22"/>
      <c r="Y59" s="9">
        <f t="shared" si="4"/>
        <v>1967</v>
      </c>
      <c r="Z59" s="9">
        <f t="shared" si="2"/>
        <v>0</v>
      </c>
      <c r="AB59" s="28"/>
    </row>
    <row r="60" spans="1:28" x14ac:dyDescent="0.4">
      <c r="A60" s="19"/>
      <c r="B60" s="55"/>
      <c r="C60" s="40">
        <v>0</v>
      </c>
      <c r="D60" s="47"/>
      <c r="E60" s="50"/>
      <c r="F60" s="24"/>
      <c r="G60" s="24"/>
      <c r="H60" s="48"/>
      <c r="I60" s="49">
        <f t="shared" si="3"/>
        <v>0</v>
      </c>
      <c r="J60" s="22"/>
      <c r="K60" s="17"/>
      <c r="L60" s="22"/>
      <c r="M60" s="17"/>
      <c r="N60" s="17"/>
      <c r="O60" s="17"/>
      <c r="P60" s="17"/>
      <c r="Q60" s="17"/>
      <c r="R60" s="17"/>
      <c r="S60" s="17"/>
      <c r="T60" s="17"/>
      <c r="U60" s="17"/>
      <c r="V60" s="17"/>
      <c r="W60" s="17"/>
      <c r="X60" s="22"/>
      <c r="Y60" s="9"/>
      <c r="Z60" s="9"/>
      <c r="AB60" s="28"/>
    </row>
    <row r="61" spans="1:28" x14ac:dyDescent="0.4">
      <c r="A61" s="19"/>
      <c r="B61" s="55"/>
      <c r="C61" s="40">
        <v>0</v>
      </c>
      <c r="D61" s="47"/>
      <c r="E61" s="50"/>
      <c r="F61" s="24"/>
      <c r="G61" s="24"/>
      <c r="H61" s="48"/>
      <c r="I61" s="49">
        <f t="shared" si="3"/>
        <v>0</v>
      </c>
      <c r="J61" s="22"/>
      <c r="K61" s="17"/>
      <c r="L61" s="22"/>
      <c r="M61" s="17"/>
      <c r="N61" s="17"/>
      <c r="O61" s="17"/>
      <c r="P61" s="17"/>
      <c r="Q61" s="17"/>
      <c r="R61" s="17"/>
      <c r="S61" s="17"/>
      <c r="T61" s="17"/>
      <c r="U61" s="17"/>
      <c r="V61" s="17"/>
      <c r="W61" s="17"/>
      <c r="X61" s="22"/>
      <c r="Y61" s="9"/>
      <c r="Z61" s="9"/>
      <c r="AB61" s="28"/>
    </row>
    <row r="62" spans="1:28" x14ac:dyDescent="0.4">
      <c r="A62" s="18"/>
      <c r="B62" s="8"/>
      <c r="C62" s="40">
        <v>16</v>
      </c>
      <c r="D62" s="47">
        <v>15238.87</v>
      </c>
      <c r="E62" s="24"/>
      <c r="F62" s="24"/>
      <c r="G62" s="24"/>
      <c r="H62" s="48"/>
      <c r="I62" s="49">
        <f t="shared" si="3"/>
        <v>15238.87</v>
      </c>
      <c r="J62" s="24"/>
      <c r="K62" s="17"/>
      <c r="L62" s="24"/>
      <c r="M62" s="17"/>
      <c r="N62" s="17"/>
      <c r="O62" s="17"/>
      <c r="P62" s="17"/>
      <c r="Q62" s="17"/>
      <c r="R62" s="17"/>
      <c r="S62" s="17"/>
      <c r="T62" s="17"/>
      <c r="U62" s="17"/>
      <c r="V62" s="17">
        <v>1043.8800000000001</v>
      </c>
      <c r="W62" s="17"/>
      <c r="X62" s="22"/>
      <c r="Y62" s="9">
        <f t="shared" si="4"/>
        <v>16282.75</v>
      </c>
      <c r="Z62" s="9">
        <f t="shared" ref="Z62" si="5">+K62+M62+O62+Q62+S62+U62+W62+X62</f>
        <v>0</v>
      </c>
      <c r="AB62" s="28"/>
    </row>
    <row r="63" spans="1:28" x14ac:dyDescent="0.4">
      <c r="A63" s="18"/>
      <c r="B63" s="8"/>
      <c r="C63" s="40">
        <v>15.02</v>
      </c>
      <c r="D63" s="47">
        <v>1673.49</v>
      </c>
      <c r="E63" s="24"/>
      <c r="F63" s="24"/>
      <c r="G63" s="24"/>
      <c r="H63" s="48"/>
      <c r="I63" s="49">
        <f t="shared" si="0"/>
        <v>1673.49</v>
      </c>
      <c r="J63" s="24"/>
      <c r="K63" s="17"/>
      <c r="L63" s="24"/>
      <c r="M63" s="17"/>
      <c r="N63" s="17"/>
      <c r="O63" s="17"/>
      <c r="P63" s="17"/>
      <c r="Q63" s="17"/>
      <c r="R63" s="17"/>
      <c r="S63" s="17"/>
      <c r="T63" s="17"/>
      <c r="U63" s="17"/>
      <c r="V63" s="17">
        <v>2966.04</v>
      </c>
      <c r="W63" s="17"/>
      <c r="X63" s="22"/>
      <c r="Y63" s="9">
        <f t="shared" si="1"/>
        <v>4639.53</v>
      </c>
      <c r="Z63" s="9">
        <f t="shared" ref="Z63:Z77" si="6">+K63+M63+O63+Q63+S63+U63+W63+X63</f>
        <v>0</v>
      </c>
      <c r="AB63" s="28"/>
    </row>
    <row r="64" spans="1:28" x14ac:dyDescent="0.4">
      <c r="A64" s="54"/>
      <c r="B64" s="55"/>
      <c r="C64" s="40"/>
      <c r="D64" s="47">
        <v>39348.879999999997</v>
      </c>
      <c r="E64" s="48">
        <v>2122.8000000000002</v>
      </c>
      <c r="F64" s="24">
        <v>11712</v>
      </c>
      <c r="G64" s="24"/>
      <c r="H64" s="48"/>
      <c r="I64" s="49">
        <f>SUM(D64:H64)</f>
        <v>53183.68</v>
      </c>
      <c r="J64" s="22">
        <v>11757.15</v>
      </c>
      <c r="K64" s="17">
        <v>1306.44</v>
      </c>
      <c r="L64" s="22">
        <v>180.27</v>
      </c>
      <c r="M64" s="17">
        <v>334.8</v>
      </c>
      <c r="N64" s="17"/>
      <c r="O64" s="17"/>
      <c r="P64" s="17">
        <v>194.58</v>
      </c>
      <c r="Q64" s="17"/>
      <c r="R64" s="17">
        <v>150.4</v>
      </c>
      <c r="S64" s="17"/>
      <c r="T64" s="17">
        <v>390.4</v>
      </c>
      <c r="U64" s="17">
        <v>1350</v>
      </c>
      <c r="V64" s="17">
        <v>9241.92</v>
      </c>
      <c r="W64" s="17"/>
      <c r="X64" s="22">
        <v>56</v>
      </c>
      <c r="Y64" s="9">
        <f>+I64+J64+L64+N64+P64+R64+T64+V64+X64</f>
        <v>75154.399999999994</v>
      </c>
      <c r="Z64" s="9">
        <f>+K64+M64+O64+Q64+S64+U64+W64+X64</f>
        <v>3047.24</v>
      </c>
      <c r="AB64" s="28">
        <v>250</v>
      </c>
    </row>
    <row r="65" spans="1:28" x14ac:dyDescent="0.4">
      <c r="A65" s="54"/>
      <c r="B65" s="55"/>
      <c r="C65" s="40">
        <v>27.04</v>
      </c>
      <c r="D65" s="47">
        <v>54889.36</v>
      </c>
      <c r="E65" s="48">
        <v>4350.3999999999996</v>
      </c>
      <c r="F65" s="24"/>
      <c r="G65" s="24"/>
      <c r="H65" s="48"/>
      <c r="I65" s="49">
        <f>SUM(D65:H65)</f>
        <v>59239.76</v>
      </c>
      <c r="J65" s="22">
        <v>15676.2</v>
      </c>
      <c r="K65" s="17">
        <v>1741.92</v>
      </c>
      <c r="L65" s="22">
        <v>240.36</v>
      </c>
      <c r="M65" s="17">
        <v>446.4</v>
      </c>
      <c r="N65" s="17"/>
      <c r="O65" s="17"/>
      <c r="P65" s="17">
        <v>274.8</v>
      </c>
      <c r="Q65" s="17"/>
      <c r="R65" s="17">
        <v>239.64</v>
      </c>
      <c r="S65" s="17"/>
      <c r="T65" s="17">
        <v>539.96</v>
      </c>
      <c r="U65" s="17">
        <v>884</v>
      </c>
      <c r="V65" s="17">
        <v>13018.92</v>
      </c>
      <c r="W65" s="17"/>
      <c r="X65" s="22">
        <v>56</v>
      </c>
      <c r="Y65" s="9">
        <f>+I65+J65+L65+N65+P65+R65+T65+V65+X65</f>
        <v>89285.640000000014</v>
      </c>
      <c r="Z65" s="9">
        <f>+K65+M65+O65+Q65+S65+U65+W65+X65</f>
        <v>3128.32</v>
      </c>
      <c r="AB65" s="28"/>
    </row>
    <row r="66" spans="1:28" x14ac:dyDescent="0.4">
      <c r="A66" s="54"/>
      <c r="B66" s="55"/>
      <c r="C66" s="40">
        <v>20.21</v>
      </c>
      <c r="D66" s="47">
        <v>40842.32</v>
      </c>
      <c r="E66" s="48">
        <v>3026.58</v>
      </c>
      <c r="F66" s="24"/>
      <c r="G66" s="24"/>
      <c r="H66" s="48"/>
      <c r="I66" s="49">
        <f>SUM(D66:H66)</f>
        <v>43868.9</v>
      </c>
      <c r="J66" s="22">
        <v>15676.2</v>
      </c>
      <c r="K66" s="17">
        <v>1741.92</v>
      </c>
      <c r="L66" s="22">
        <v>240.36</v>
      </c>
      <c r="M66" s="17">
        <v>446.4</v>
      </c>
      <c r="N66" s="17"/>
      <c r="O66" s="17">
        <v>172.08</v>
      </c>
      <c r="P66" s="17">
        <v>208.56</v>
      </c>
      <c r="Q66" s="17"/>
      <c r="R66" s="17">
        <v>178.44</v>
      </c>
      <c r="S66" s="17"/>
      <c r="T66" s="17">
        <v>403.77</v>
      </c>
      <c r="U66" s="17">
        <v>520</v>
      </c>
      <c r="V66" s="17">
        <v>9736.7999999999993</v>
      </c>
      <c r="W66" s="17"/>
      <c r="X66" s="22">
        <v>56</v>
      </c>
      <c r="Y66" s="9">
        <f>+I66+J66+L66+N66+P66+R66+T66+V66+X66</f>
        <v>70369.03</v>
      </c>
      <c r="Z66" s="9">
        <f>+K66+M66+O66+Q66+S66+U66+W66+X66</f>
        <v>2936.4</v>
      </c>
      <c r="AB66" s="28"/>
    </row>
    <row r="67" spans="1:28" x14ac:dyDescent="0.4">
      <c r="A67" s="54"/>
      <c r="B67" s="55"/>
      <c r="C67" s="41"/>
      <c r="D67" s="47"/>
      <c r="E67" s="48"/>
      <c r="F67" s="24"/>
      <c r="G67" s="24"/>
      <c r="H67" s="48"/>
      <c r="I67" s="49">
        <f t="shared" ref="I67:I77" si="7">SUM(D67:H67)</f>
        <v>0</v>
      </c>
      <c r="J67" s="24"/>
      <c r="K67" s="17"/>
      <c r="L67" s="24"/>
      <c r="M67" s="17"/>
      <c r="N67" s="17"/>
      <c r="O67" s="17"/>
      <c r="P67" s="17"/>
      <c r="Q67" s="17"/>
      <c r="R67" s="17"/>
      <c r="S67" s="17"/>
      <c r="T67" s="17"/>
      <c r="U67" s="17"/>
      <c r="V67" s="17"/>
      <c r="W67" s="17"/>
      <c r="X67" s="22"/>
      <c r="Y67" s="9">
        <f t="shared" ref="Y67:Y77" si="8">+I67+J67+L67+N67+P67+R67+T67+V67+X67</f>
        <v>0</v>
      </c>
      <c r="Z67" s="9">
        <f t="shared" si="6"/>
        <v>0</v>
      </c>
      <c r="AB67" s="28"/>
    </row>
    <row r="68" spans="1:28" x14ac:dyDescent="0.4">
      <c r="A68" s="54"/>
      <c r="B68" s="55"/>
      <c r="C68" s="41"/>
      <c r="D68" s="47"/>
      <c r="E68" s="48"/>
      <c r="F68" s="24"/>
      <c r="G68" s="24"/>
      <c r="H68" s="48"/>
      <c r="I68" s="49">
        <f t="shared" si="7"/>
        <v>0</v>
      </c>
      <c r="J68" s="24"/>
      <c r="K68" s="17"/>
      <c r="L68" s="24"/>
      <c r="M68" s="17"/>
      <c r="N68" s="17"/>
      <c r="O68" s="17"/>
      <c r="P68" s="17"/>
      <c r="Q68" s="17"/>
      <c r="R68" s="17"/>
      <c r="S68" s="17"/>
      <c r="T68" s="17"/>
      <c r="U68" s="17"/>
      <c r="V68" s="17"/>
      <c r="W68" s="17"/>
      <c r="X68" s="22"/>
      <c r="Y68" s="9">
        <f t="shared" si="8"/>
        <v>0</v>
      </c>
      <c r="Z68" s="9">
        <f t="shared" si="6"/>
        <v>0</v>
      </c>
      <c r="AB68" s="28"/>
    </row>
    <row r="69" spans="1:28" x14ac:dyDescent="0.4">
      <c r="A69" s="54"/>
      <c r="B69" s="55"/>
      <c r="C69" s="41"/>
      <c r="D69" s="47"/>
      <c r="E69" s="48"/>
      <c r="F69" s="24"/>
      <c r="G69" s="24"/>
      <c r="H69" s="48"/>
      <c r="I69" s="49">
        <f t="shared" si="7"/>
        <v>0</v>
      </c>
      <c r="J69" s="24"/>
      <c r="K69" s="17"/>
      <c r="L69" s="24"/>
      <c r="M69" s="17"/>
      <c r="N69" s="17"/>
      <c r="O69" s="17"/>
      <c r="P69" s="17"/>
      <c r="Q69" s="17"/>
      <c r="R69" s="17"/>
      <c r="S69" s="17"/>
      <c r="T69" s="17"/>
      <c r="U69" s="17"/>
      <c r="V69" s="17"/>
      <c r="W69" s="17"/>
      <c r="X69" s="22"/>
      <c r="Y69" s="9">
        <f t="shared" si="8"/>
        <v>0</v>
      </c>
      <c r="Z69" s="9">
        <f t="shared" si="6"/>
        <v>0</v>
      </c>
      <c r="AB69" s="28"/>
    </row>
    <row r="70" spans="1:28" x14ac:dyDescent="0.4">
      <c r="A70" s="54"/>
      <c r="B70" s="55"/>
      <c r="C70" s="41"/>
      <c r="D70" s="47"/>
      <c r="E70" s="48"/>
      <c r="F70" s="24"/>
      <c r="G70" s="24"/>
      <c r="H70" s="48"/>
      <c r="I70" s="49">
        <f t="shared" si="7"/>
        <v>0</v>
      </c>
      <c r="J70" s="24"/>
      <c r="K70" s="17"/>
      <c r="L70" s="17"/>
      <c r="M70" s="17"/>
      <c r="N70" s="17"/>
      <c r="O70" s="17"/>
      <c r="P70" s="17"/>
      <c r="Q70" s="17"/>
      <c r="R70" s="17"/>
      <c r="S70" s="17"/>
      <c r="T70" s="17"/>
      <c r="U70" s="17"/>
      <c r="V70" s="17"/>
      <c r="W70" s="17"/>
      <c r="X70" s="22"/>
      <c r="Y70" s="9">
        <f t="shared" si="8"/>
        <v>0</v>
      </c>
      <c r="Z70" s="9">
        <f t="shared" si="6"/>
        <v>0</v>
      </c>
      <c r="AB70" s="28"/>
    </row>
    <row r="71" spans="1:28" x14ac:dyDescent="0.4">
      <c r="A71" s="54"/>
      <c r="B71" s="55"/>
      <c r="C71" s="41"/>
      <c r="D71" s="47">
        <v>1072</v>
      </c>
      <c r="E71" s="48">
        <v>603</v>
      </c>
      <c r="F71" s="24">
        <f>15203.37+5480.6</f>
        <v>20683.97</v>
      </c>
      <c r="G71" s="24"/>
      <c r="H71" s="48"/>
      <c r="I71" s="49">
        <f t="shared" si="7"/>
        <v>22358.97</v>
      </c>
      <c r="J71" s="24"/>
      <c r="K71" s="17"/>
      <c r="L71" s="17"/>
      <c r="M71" s="17"/>
      <c r="N71" s="17"/>
      <c r="O71" s="17"/>
      <c r="P71" s="17"/>
      <c r="Q71" s="17"/>
      <c r="R71" s="17"/>
      <c r="S71" s="17"/>
      <c r="T71" s="17"/>
      <c r="U71" s="17"/>
      <c r="V71" s="17">
        <v>1127.8900000000001</v>
      </c>
      <c r="W71" s="17"/>
      <c r="X71" s="22"/>
      <c r="Y71" s="9">
        <f t="shared" si="8"/>
        <v>23486.86</v>
      </c>
      <c r="Z71" s="9">
        <f t="shared" si="6"/>
        <v>0</v>
      </c>
      <c r="AB71" s="28"/>
    </row>
    <row r="72" spans="1:28" x14ac:dyDescent="0.4">
      <c r="A72" s="54"/>
      <c r="B72" s="55"/>
      <c r="C72" s="41"/>
      <c r="D72" s="47"/>
      <c r="E72" s="50"/>
      <c r="F72" s="24"/>
      <c r="G72" s="24"/>
      <c r="H72" s="48"/>
      <c r="I72" s="49">
        <f t="shared" si="7"/>
        <v>0</v>
      </c>
      <c r="J72" s="17"/>
      <c r="K72" s="17"/>
      <c r="L72" s="17"/>
      <c r="M72" s="17"/>
      <c r="N72" s="17"/>
      <c r="O72" s="17"/>
      <c r="P72" s="17"/>
      <c r="Q72" s="17"/>
      <c r="R72" s="17"/>
      <c r="S72" s="17"/>
      <c r="T72" s="17"/>
      <c r="U72" s="17"/>
      <c r="V72" s="17"/>
      <c r="W72" s="17"/>
      <c r="X72" s="22"/>
      <c r="Y72" s="9">
        <f t="shared" si="8"/>
        <v>0</v>
      </c>
      <c r="Z72" s="9">
        <f t="shared" si="6"/>
        <v>0</v>
      </c>
      <c r="AB72" s="28"/>
    </row>
    <row r="73" spans="1:28" x14ac:dyDescent="0.4">
      <c r="A73" s="54"/>
      <c r="B73" s="55"/>
      <c r="C73" s="41"/>
      <c r="D73" s="47"/>
      <c r="E73" s="48"/>
      <c r="F73" s="24"/>
      <c r="G73" s="24"/>
      <c r="H73" s="48"/>
      <c r="I73" s="49">
        <f t="shared" si="7"/>
        <v>0</v>
      </c>
      <c r="J73" s="17"/>
      <c r="K73" s="17"/>
      <c r="L73" s="17"/>
      <c r="M73" s="17"/>
      <c r="N73" s="17"/>
      <c r="O73" s="17"/>
      <c r="P73" s="17"/>
      <c r="Q73" s="17"/>
      <c r="R73" s="17"/>
      <c r="S73" s="17"/>
      <c r="T73" s="17"/>
      <c r="U73" s="17"/>
      <c r="V73" s="17"/>
      <c r="W73" s="17"/>
      <c r="X73" s="22"/>
      <c r="Y73" s="9">
        <f t="shared" si="8"/>
        <v>0</v>
      </c>
      <c r="Z73" s="9">
        <f t="shared" si="6"/>
        <v>0</v>
      </c>
      <c r="AB73" s="28"/>
    </row>
    <row r="74" spans="1:28" x14ac:dyDescent="0.4">
      <c r="A74" s="20"/>
      <c r="B74" s="55"/>
      <c r="C74" s="41"/>
      <c r="D74" s="47"/>
      <c r="E74" s="48"/>
      <c r="F74" s="24"/>
      <c r="G74" s="24"/>
      <c r="H74" s="48"/>
      <c r="I74" s="49">
        <f t="shared" si="7"/>
        <v>0</v>
      </c>
      <c r="J74" s="17"/>
      <c r="K74" s="17"/>
      <c r="L74" s="17"/>
      <c r="M74" s="17"/>
      <c r="N74" s="17"/>
      <c r="O74" s="17"/>
      <c r="P74" s="17"/>
      <c r="Q74" s="17"/>
      <c r="R74" s="17"/>
      <c r="S74" s="17"/>
      <c r="T74" s="17"/>
      <c r="U74" s="17"/>
      <c r="V74" s="17"/>
      <c r="W74" s="17"/>
      <c r="X74" s="22"/>
      <c r="Y74" s="9">
        <f t="shared" si="8"/>
        <v>0</v>
      </c>
      <c r="Z74" s="9">
        <f t="shared" si="6"/>
        <v>0</v>
      </c>
      <c r="AB74" s="28"/>
    </row>
    <row r="75" spans="1:28" x14ac:dyDescent="0.4">
      <c r="A75" s="20"/>
      <c r="B75" s="55"/>
      <c r="C75" s="41"/>
      <c r="D75" s="47"/>
      <c r="E75" s="48"/>
      <c r="F75" s="24"/>
      <c r="G75" s="24"/>
      <c r="H75" s="48"/>
      <c r="I75" s="49">
        <f t="shared" si="7"/>
        <v>0</v>
      </c>
      <c r="J75" s="17"/>
      <c r="K75" s="17"/>
      <c r="L75" s="17"/>
      <c r="M75" s="17"/>
      <c r="N75" s="17"/>
      <c r="O75" s="17"/>
      <c r="P75" s="17"/>
      <c r="Q75" s="17"/>
      <c r="R75" s="17"/>
      <c r="S75" s="17"/>
      <c r="T75" s="17"/>
      <c r="U75" s="17"/>
      <c r="V75" s="17"/>
      <c r="W75" s="17"/>
      <c r="X75" s="22"/>
      <c r="Y75" s="9">
        <f t="shared" si="8"/>
        <v>0</v>
      </c>
      <c r="Z75" s="9">
        <f t="shared" si="6"/>
        <v>0</v>
      </c>
      <c r="AB75" s="28"/>
    </row>
    <row r="76" spans="1:28" x14ac:dyDescent="0.4">
      <c r="A76" s="20"/>
      <c r="B76" s="55"/>
      <c r="C76" s="41"/>
      <c r="D76" s="26"/>
      <c r="E76" s="48"/>
      <c r="F76" s="24"/>
      <c r="G76" s="24"/>
      <c r="H76" s="48"/>
      <c r="I76" s="49">
        <f t="shared" si="7"/>
        <v>0</v>
      </c>
      <c r="J76" s="17"/>
      <c r="K76" s="17"/>
      <c r="L76" s="17"/>
      <c r="M76" s="17"/>
      <c r="N76" s="17"/>
      <c r="O76" s="17"/>
      <c r="P76" s="17"/>
      <c r="Q76" s="17"/>
      <c r="R76" s="17"/>
      <c r="S76" s="17"/>
      <c r="T76" s="17"/>
      <c r="U76" s="17"/>
      <c r="V76" s="17"/>
      <c r="W76" s="17"/>
      <c r="X76" s="22"/>
      <c r="Y76" s="9">
        <f t="shared" si="8"/>
        <v>0</v>
      </c>
      <c r="Z76" s="9">
        <f t="shared" si="6"/>
        <v>0</v>
      </c>
      <c r="AB76" s="28"/>
    </row>
    <row r="77" spans="1:28" x14ac:dyDescent="0.4">
      <c r="A77" s="20"/>
      <c r="B77" s="55"/>
      <c r="C77" s="41"/>
      <c r="D77" s="48"/>
      <c r="E77" s="48"/>
      <c r="F77" s="24"/>
      <c r="G77" s="24"/>
      <c r="H77" s="48"/>
      <c r="I77" s="49">
        <f t="shared" si="7"/>
        <v>0</v>
      </c>
      <c r="J77" s="17"/>
      <c r="K77" s="17"/>
      <c r="L77" s="17"/>
      <c r="M77" s="17"/>
      <c r="N77" s="17"/>
      <c r="O77" s="17"/>
      <c r="P77" s="17"/>
      <c r="Q77" s="17"/>
      <c r="R77" s="17"/>
      <c r="S77" s="17"/>
      <c r="T77" s="17"/>
      <c r="U77" s="17"/>
      <c r="V77" s="17"/>
      <c r="W77" s="17"/>
      <c r="X77" s="17"/>
      <c r="Y77" s="9">
        <f t="shared" si="8"/>
        <v>0</v>
      </c>
      <c r="Z77" s="9">
        <f t="shared" si="6"/>
        <v>0</v>
      </c>
      <c r="AB77" s="28"/>
    </row>
    <row r="78" spans="1:28" x14ac:dyDescent="0.4">
      <c r="A78" s="20"/>
      <c r="B78" s="55"/>
      <c r="C78" s="40"/>
      <c r="D78" s="47">
        <v>30757.759999999998</v>
      </c>
      <c r="E78" s="50">
        <v>7472</v>
      </c>
      <c r="F78" s="24"/>
      <c r="G78" s="24"/>
      <c r="H78" s="50"/>
      <c r="I78" s="49">
        <f>SUM(D78:H78)</f>
        <v>38229.759999999995</v>
      </c>
      <c r="J78" s="22">
        <v>3037.98</v>
      </c>
      <c r="K78" s="17">
        <v>337.59</v>
      </c>
      <c r="L78" s="22">
        <v>49.67</v>
      </c>
      <c r="M78" s="17">
        <v>92.4</v>
      </c>
      <c r="N78" s="17"/>
      <c r="O78" s="17">
        <v>41.47</v>
      </c>
      <c r="P78" s="17">
        <v>165.36</v>
      </c>
      <c r="Q78" s="17"/>
      <c r="R78" s="17">
        <v>115.75</v>
      </c>
      <c r="S78" s="17"/>
      <c r="T78" s="17">
        <v>2988.57</v>
      </c>
      <c r="U78" s="17">
        <v>1195.44</v>
      </c>
      <c r="V78" s="17"/>
      <c r="W78" s="17"/>
      <c r="X78" s="22">
        <v>56</v>
      </c>
      <c r="Y78" s="9">
        <f>+I78+J78+L78+N78+P78+R78+T78+V78+X78</f>
        <v>44643.09</v>
      </c>
      <c r="Z78" s="9">
        <f>+K78+M78+O78+Q78+S78+U78+W78+X78</f>
        <v>1722.9</v>
      </c>
      <c r="AB78" s="28"/>
    </row>
    <row r="79" spans="1:28" x14ac:dyDescent="0.4">
      <c r="A79" s="20"/>
      <c r="B79" s="8"/>
      <c r="C79" s="41"/>
      <c r="D79" s="50"/>
      <c r="E79" s="50"/>
      <c r="F79" s="24"/>
      <c r="G79" s="24"/>
      <c r="H79" s="48"/>
      <c r="I79" s="49"/>
      <c r="J79" s="17"/>
      <c r="K79" s="17"/>
      <c r="L79" s="17"/>
      <c r="M79" s="17"/>
      <c r="N79" s="17"/>
      <c r="O79" s="17"/>
      <c r="P79" s="17"/>
      <c r="Q79" s="17"/>
      <c r="R79" s="17"/>
      <c r="S79" s="17"/>
      <c r="T79" s="17"/>
      <c r="U79" s="17"/>
      <c r="V79" s="17"/>
      <c r="W79" s="17"/>
      <c r="X79" s="17"/>
      <c r="Y79" s="11"/>
      <c r="Z79" s="11"/>
      <c r="AB79" s="28"/>
    </row>
    <row r="80" spans="1:28" x14ac:dyDescent="0.4">
      <c r="A80" s="12"/>
      <c r="B80" s="13"/>
      <c r="C80" s="42"/>
      <c r="D80" s="10"/>
      <c r="E80" s="10"/>
      <c r="F80" s="10"/>
      <c r="G80" s="10"/>
      <c r="H80" s="10"/>
      <c r="I80" s="11"/>
      <c r="J80" s="10"/>
      <c r="K80" s="10"/>
      <c r="L80" s="10"/>
      <c r="M80" s="10"/>
      <c r="N80" s="10"/>
      <c r="O80" s="10"/>
      <c r="P80" s="10"/>
      <c r="Q80" s="10"/>
      <c r="R80" s="10"/>
      <c r="S80" s="10"/>
      <c r="T80" s="10"/>
      <c r="U80" s="10"/>
      <c r="V80" s="10"/>
      <c r="W80" s="10"/>
      <c r="X80" s="10"/>
      <c r="Y80" s="11"/>
      <c r="Z80" s="11"/>
      <c r="AB80" s="28"/>
    </row>
    <row r="81" spans="1:28" x14ac:dyDescent="0.4">
      <c r="A81" s="14" t="s">
        <v>17</v>
      </c>
      <c r="B81" s="15"/>
      <c r="C81" s="43"/>
      <c r="D81" s="59">
        <f t="shared" ref="D81:Z81" si="9">SUM(D7:D80)</f>
        <v>3319283.3099999991</v>
      </c>
      <c r="E81" s="59">
        <f t="shared" si="9"/>
        <v>569877.74</v>
      </c>
      <c r="F81" s="59">
        <f t="shared" si="9"/>
        <v>32395.97</v>
      </c>
      <c r="G81" s="59">
        <f t="shared" si="9"/>
        <v>0</v>
      </c>
      <c r="H81" s="59">
        <f t="shared" si="9"/>
        <v>0</v>
      </c>
      <c r="I81" s="59">
        <f t="shared" si="9"/>
        <v>3921557.0199999996</v>
      </c>
      <c r="J81" s="16">
        <f t="shared" si="9"/>
        <v>698381.50000000047</v>
      </c>
      <c r="K81" s="16">
        <f t="shared" si="9"/>
        <v>77714.199999999968</v>
      </c>
      <c r="L81" s="16">
        <f t="shared" si="9"/>
        <v>10567.219999999996</v>
      </c>
      <c r="M81" s="16">
        <f t="shared" si="9"/>
        <v>19636.760000000013</v>
      </c>
      <c r="N81" s="16">
        <f t="shared" si="9"/>
        <v>0</v>
      </c>
      <c r="O81" s="52">
        <f t="shared" si="9"/>
        <v>3138.45</v>
      </c>
      <c r="P81" s="16">
        <f t="shared" si="9"/>
        <v>16544.54</v>
      </c>
      <c r="Q81" s="16">
        <f t="shared" si="9"/>
        <v>0</v>
      </c>
      <c r="R81" s="16">
        <f t="shared" si="9"/>
        <v>13875.250000000002</v>
      </c>
      <c r="S81" s="16">
        <f t="shared" si="9"/>
        <v>0</v>
      </c>
      <c r="T81" s="16">
        <f t="shared" si="9"/>
        <v>138771.84</v>
      </c>
      <c r="U81" s="16">
        <f t="shared" si="9"/>
        <v>173922.34000000003</v>
      </c>
      <c r="V81" s="16">
        <f t="shared" si="9"/>
        <v>423297.96999999991</v>
      </c>
      <c r="W81" s="16">
        <f t="shared" si="9"/>
        <v>0</v>
      </c>
      <c r="X81" s="16">
        <f t="shared" si="9"/>
        <v>3136</v>
      </c>
      <c r="Y81" s="16">
        <f t="shared" si="9"/>
        <v>5226131.3400000017</v>
      </c>
      <c r="Z81" s="16">
        <f t="shared" si="9"/>
        <v>277547.75</v>
      </c>
      <c r="AB81" s="28"/>
    </row>
  </sheetData>
  <mergeCells count="25">
    <mergeCell ref="J4:K4"/>
    <mergeCell ref="Y5:Z5"/>
    <mergeCell ref="N5:O5"/>
    <mergeCell ref="P5:Q5"/>
    <mergeCell ref="R5:S5"/>
    <mergeCell ref="T5:U5"/>
    <mergeCell ref="V5:W5"/>
    <mergeCell ref="X5:X6"/>
    <mergeCell ref="R4:S4"/>
    <mergeCell ref="L4:M4"/>
    <mergeCell ref="T4:U4"/>
    <mergeCell ref="L5:M5"/>
    <mergeCell ref="J5:K5"/>
    <mergeCell ref="N4:O4"/>
    <mergeCell ref="P4:Q4"/>
    <mergeCell ref="V4:W4"/>
    <mergeCell ref="F5:F6"/>
    <mergeCell ref="G5:G6"/>
    <mergeCell ref="H5:H6"/>
    <mergeCell ref="I5:I6"/>
    <mergeCell ref="A5:A6"/>
    <mergeCell ref="B5:B6"/>
    <mergeCell ref="D5:D6"/>
    <mergeCell ref="C5:C6"/>
    <mergeCell ref="E5:E6"/>
  </mergeCells>
  <pageMargins left="0" right="0" top="0" bottom="0" header="0.3" footer="0.3"/>
  <pageSetup scale="3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E7EA5-11A6-4C43-9A74-92C208AD83F7}">
  <sheetPr>
    <pageSetUpPr fitToPage="1"/>
  </sheetPr>
  <dimension ref="A1:AH82"/>
  <sheetViews>
    <sheetView workbookViewId="0">
      <selection activeCell="A7" sqref="A7:B78"/>
    </sheetView>
  </sheetViews>
  <sheetFormatPr defaultColWidth="9.15234375" defaultRowHeight="15.45" x14ac:dyDescent="0.4"/>
  <cols>
    <col min="1" max="1" width="10.84375" style="3" customWidth="1"/>
    <col min="2" max="2" width="34.53515625" style="3" customWidth="1"/>
    <col min="3" max="3" width="11.69140625" style="3" customWidth="1"/>
    <col min="4" max="4" width="14.69140625" style="3" customWidth="1"/>
    <col min="5" max="5" width="11.3046875" style="3" customWidth="1"/>
    <col min="6" max="6" width="14.84375" style="3" customWidth="1"/>
    <col min="7" max="7" width="9.3828125" style="3" customWidth="1"/>
    <col min="8" max="8" width="10.3046875" style="3" customWidth="1"/>
    <col min="9" max="9" width="14" style="3" bestFit="1" customWidth="1"/>
    <col min="10" max="10" width="11.84375" style="3" customWidth="1"/>
    <col min="11" max="11" width="11.3046875" style="3" customWidth="1"/>
    <col min="12" max="12" width="12.69140625" style="3" customWidth="1"/>
    <col min="13" max="13" width="11.3046875" style="3" customWidth="1"/>
    <col min="14" max="14" width="10.3046875" style="3" customWidth="1"/>
    <col min="15" max="15" width="11.3046875" style="3" customWidth="1"/>
    <col min="16" max="16" width="9.3828125" style="3" customWidth="1"/>
    <col min="17" max="17" width="10.69140625" style="3" customWidth="1"/>
    <col min="18" max="18" width="9.3828125" style="3" customWidth="1"/>
    <col min="19" max="19" width="10" style="3" customWidth="1"/>
    <col min="20" max="20" width="21" style="3" bestFit="1" customWidth="1"/>
    <col min="21" max="21" width="12.3046875" style="3" bestFit="1" customWidth="1"/>
    <col min="22" max="22" width="9.69140625" style="3" customWidth="1"/>
    <col min="23" max="23" width="11.15234375" style="3" customWidth="1"/>
    <col min="24" max="24" width="9.3828125" style="3" customWidth="1"/>
    <col min="25" max="25" width="11.3046875" style="3" customWidth="1"/>
    <col min="26" max="26" width="9.69140625" style="3" customWidth="1"/>
    <col min="27" max="30" width="9.15234375" style="3" customWidth="1"/>
    <col min="31" max="16384" width="9.15234375" style="3"/>
  </cols>
  <sheetData>
    <row r="1" spans="1:28" ht="20.149999999999999" x14ac:dyDescent="0.4">
      <c r="A1" s="1" t="s">
        <v>18</v>
      </c>
      <c r="B1" s="2"/>
      <c r="C1" s="2"/>
      <c r="E1" s="2"/>
      <c r="F1" s="2"/>
      <c r="G1" s="2"/>
      <c r="H1" s="2"/>
      <c r="I1" s="21"/>
      <c r="J1" s="58"/>
      <c r="K1" s="53"/>
      <c r="L1" s="25"/>
      <c r="M1" s="25"/>
      <c r="N1" s="25"/>
      <c r="O1" s="25"/>
      <c r="P1" s="2"/>
      <c r="Q1" s="2"/>
      <c r="R1" s="2"/>
      <c r="S1" s="2"/>
      <c r="T1" s="2"/>
      <c r="U1" s="2"/>
      <c r="V1" s="2"/>
      <c r="W1" s="2"/>
      <c r="X1" s="2"/>
      <c r="Y1" s="2"/>
      <c r="Z1" s="2"/>
    </row>
    <row r="2" spans="1:28" x14ac:dyDescent="0.4">
      <c r="A2" s="1" t="s">
        <v>39</v>
      </c>
      <c r="B2" s="2"/>
      <c r="C2" s="2"/>
      <c r="E2" s="4">
        <v>2024</v>
      </c>
      <c r="F2" s="2"/>
      <c r="G2" s="2"/>
      <c r="H2" s="2"/>
      <c r="I2" s="2"/>
      <c r="J2" s="2"/>
      <c r="K2" s="2"/>
      <c r="L2" s="23"/>
      <c r="M2" s="25"/>
      <c r="N2" s="25"/>
      <c r="O2" s="25"/>
      <c r="P2" s="25"/>
      <c r="Q2" s="2"/>
      <c r="R2" s="2"/>
      <c r="S2" s="2"/>
      <c r="T2" s="2"/>
      <c r="U2" s="2"/>
      <c r="V2" s="2"/>
      <c r="W2" s="2"/>
      <c r="X2" s="2"/>
      <c r="Y2" s="2"/>
      <c r="Z2" s="2"/>
    </row>
    <row r="3" spans="1:28" x14ac:dyDescent="0.4">
      <c r="A3" s="1" t="s">
        <v>44</v>
      </c>
      <c r="B3" s="2"/>
      <c r="C3" s="2"/>
      <c r="D3"/>
      <c r="F3" s="2"/>
      <c r="G3" s="2"/>
      <c r="H3" s="2"/>
      <c r="I3" s="2"/>
      <c r="J3" s="2"/>
      <c r="K3" s="25"/>
      <c r="L3" s="23"/>
      <c r="M3" s="25"/>
      <c r="N3" s="25"/>
      <c r="O3" s="2"/>
      <c r="P3" s="25"/>
      <c r="Q3" s="2"/>
      <c r="R3" s="2"/>
      <c r="S3" s="2"/>
      <c r="T3" s="2"/>
      <c r="U3" s="2"/>
      <c r="V3" s="2"/>
      <c r="W3" s="2"/>
      <c r="X3" s="2"/>
      <c r="Y3" s="2"/>
      <c r="Z3" s="2"/>
    </row>
    <row r="4" spans="1:28" x14ac:dyDescent="0.4">
      <c r="A4" s="2"/>
      <c r="B4" s="5"/>
      <c r="C4" s="5"/>
      <c r="D4" s="44"/>
      <c r="E4" s="44"/>
      <c r="F4" s="44"/>
      <c r="G4" s="44"/>
      <c r="H4" s="44"/>
      <c r="I4" s="51"/>
      <c r="J4" s="63"/>
      <c r="K4" s="63"/>
      <c r="L4" s="63"/>
      <c r="M4" s="63"/>
      <c r="N4" s="63"/>
      <c r="O4" s="63"/>
      <c r="P4" s="63"/>
      <c r="Q4" s="63"/>
      <c r="R4" s="63"/>
      <c r="S4" s="63"/>
      <c r="T4" s="63"/>
      <c r="U4" s="63"/>
      <c r="V4" s="63"/>
      <c r="W4" s="63"/>
      <c r="X4" s="46"/>
      <c r="Y4" s="6"/>
      <c r="Z4" s="6"/>
      <c r="AB4" s="45"/>
    </row>
    <row r="5" spans="1:28" ht="30" customHeight="1" x14ac:dyDescent="0.4">
      <c r="A5" s="61" t="s">
        <v>20</v>
      </c>
      <c r="B5" s="61" t="s">
        <v>36</v>
      </c>
      <c r="C5" s="61" t="s">
        <v>37</v>
      </c>
      <c r="D5" s="61" t="s">
        <v>0</v>
      </c>
      <c r="E5" s="61" t="s">
        <v>1</v>
      </c>
      <c r="F5" s="61" t="s">
        <v>2</v>
      </c>
      <c r="G5" s="61" t="s">
        <v>4</v>
      </c>
      <c r="H5" s="61" t="s">
        <v>3</v>
      </c>
      <c r="I5" s="61" t="s">
        <v>5</v>
      </c>
      <c r="J5" s="64" t="s">
        <v>6</v>
      </c>
      <c r="K5" s="65"/>
      <c r="L5" s="64" t="s">
        <v>7</v>
      </c>
      <c r="M5" s="65"/>
      <c r="N5" s="64" t="s">
        <v>8</v>
      </c>
      <c r="O5" s="65"/>
      <c r="P5" s="64" t="s">
        <v>9</v>
      </c>
      <c r="Q5" s="65"/>
      <c r="R5" s="64" t="s">
        <v>10</v>
      </c>
      <c r="S5" s="65"/>
      <c r="T5" s="64" t="s">
        <v>11</v>
      </c>
      <c r="U5" s="65"/>
      <c r="V5" s="64" t="s">
        <v>12</v>
      </c>
      <c r="W5" s="65"/>
      <c r="X5" s="61" t="s">
        <v>13</v>
      </c>
      <c r="Y5" s="64" t="s">
        <v>14</v>
      </c>
      <c r="Z5" s="65"/>
      <c r="AB5" s="27" t="s">
        <v>21</v>
      </c>
    </row>
    <row r="6" spans="1:28" x14ac:dyDescent="0.4">
      <c r="A6" s="62"/>
      <c r="B6" s="62"/>
      <c r="C6" s="62"/>
      <c r="D6" s="62"/>
      <c r="E6" s="62"/>
      <c r="F6" s="62"/>
      <c r="G6" s="62"/>
      <c r="H6" s="62"/>
      <c r="I6" s="62"/>
      <c r="J6" s="7" t="s">
        <v>19</v>
      </c>
      <c r="K6" s="7" t="s">
        <v>15</v>
      </c>
      <c r="L6" s="7" t="str">
        <f>+$J$6</f>
        <v>Farmers</v>
      </c>
      <c r="M6" s="7" t="s">
        <v>15</v>
      </c>
      <c r="N6" s="7" t="str">
        <f>+$J$6</f>
        <v>Farmers</v>
      </c>
      <c r="O6" s="7" t="s">
        <v>15</v>
      </c>
      <c r="P6" s="7" t="str">
        <f>+$J$6</f>
        <v>Farmers</v>
      </c>
      <c r="Q6" s="7" t="s">
        <v>15</v>
      </c>
      <c r="R6" s="7" t="str">
        <f>+$J$6</f>
        <v>Farmers</v>
      </c>
      <c r="S6" s="7" t="s">
        <v>15</v>
      </c>
      <c r="T6" s="7" t="str">
        <f>+$J$6</f>
        <v>Farmers</v>
      </c>
      <c r="U6" s="7" t="s">
        <v>15</v>
      </c>
      <c r="V6" s="7" t="str">
        <f>+$J$6</f>
        <v>Farmers</v>
      </c>
      <c r="W6" s="7" t="s">
        <v>15</v>
      </c>
      <c r="X6" s="62" t="s">
        <v>16</v>
      </c>
      <c r="Y6" s="7" t="str">
        <f>+$J$6</f>
        <v>Farmers</v>
      </c>
      <c r="Z6" s="7" t="s">
        <v>15</v>
      </c>
      <c r="AB6" s="7" t="str">
        <f>+$J$6</f>
        <v>Farmers</v>
      </c>
    </row>
    <row r="7" spans="1:28" x14ac:dyDescent="0.4">
      <c r="A7" s="19"/>
      <c r="B7" s="8"/>
      <c r="C7" s="40">
        <v>37.090000000000003</v>
      </c>
      <c r="D7" s="47">
        <v>76502.880000000005</v>
      </c>
      <c r="E7" s="48">
        <v>376.74</v>
      </c>
      <c r="F7" s="24"/>
      <c r="G7" s="24"/>
      <c r="H7" s="48"/>
      <c r="I7" s="49">
        <f t="shared" ref="I7:I63" si="0">SUM(D7:H7)</f>
        <v>76879.62000000001</v>
      </c>
      <c r="J7" s="17">
        <v>15756.36</v>
      </c>
      <c r="K7" s="22">
        <v>1750.8</v>
      </c>
      <c r="L7" s="17">
        <v>246.24</v>
      </c>
      <c r="M7" s="22">
        <v>457.68</v>
      </c>
      <c r="N7" s="17"/>
      <c r="O7" s="17">
        <v>90.48</v>
      </c>
      <c r="P7" s="17">
        <v>367.2</v>
      </c>
      <c r="Q7" s="17"/>
      <c r="R7" s="17">
        <v>315.36</v>
      </c>
      <c r="S7" s="17"/>
      <c r="T7" s="17">
        <v>749.69</v>
      </c>
      <c r="U7" s="17">
        <v>11185.28</v>
      </c>
      <c r="V7" s="17">
        <v>18306.72</v>
      </c>
      <c r="W7" s="17"/>
      <c r="X7" s="22">
        <v>57</v>
      </c>
      <c r="Y7" s="9">
        <f t="shared" ref="Y7:Y11" si="1">+I7+J7+L7+N7+P7+R7+T7+V7+X7</f>
        <v>112678.19000000002</v>
      </c>
      <c r="Z7" s="9">
        <f t="shared" ref="Z7:Z59" si="2">+K7+M7+O7+Q7+S7+U7+W7+X7</f>
        <v>13541.240000000002</v>
      </c>
      <c r="AB7" s="28"/>
    </row>
    <row r="8" spans="1:28" x14ac:dyDescent="0.4">
      <c r="A8" s="19"/>
      <c r="B8" s="8"/>
      <c r="C8" s="40">
        <v>23.7</v>
      </c>
      <c r="D8" s="47">
        <f>51072.29-1380.29</f>
        <v>49692</v>
      </c>
      <c r="E8" s="48">
        <v>124.43</v>
      </c>
      <c r="F8" s="24"/>
      <c r="G8" s="24"/>
      <c r="H8" s="48">
        <v>1380.29</v>
      </c>
      <c r="I8" s="49">
        <f t="shared" si="0"/>
        <v>51196.72</v>
      </c>
      <c r="J8" s="17">
        <v>15756.36</v>
      </c>
      <c r="K8" s="22">
        <v>1750.8</v>
      </c>
      <c r="L8" s="17">
        <v>111.12</v>
      </c>
      <c r="M8" s="22">
        <v>206.64</v>
      </c>
      <c r="N8" s="17"/>
      <c r="O8" s="17"/>
      <c r="P8" s="17">
        <v>244.8</v>
      </c>
      <c r="Q8" s="17"/>
      <c r="R8" s="17">
        <v>209.28</v>
      </c>
      <c r="S8" s="17"/>
      <c r="T8" s="17">
        <v>492.96</v>
      </c>
      <c r="U8" s="17">
        <v>2600</v>
      </c>
      <c r="V8" s="17">
        <v>12092.28</v>
      </c>
      <c r="W8" s="17"/>
      <c r="X8" s="22">
        <v>57</v>
      </c>
      <c r="Y8" s="9">
        <f t="shared" si="1"/>
        <v>80160.52</v>
      </c>
      <c r="Z8" s="9">
        <f t="shared" si="2"/>
        <v>4614.4400000000005</v>
      </c>
      <c r="AB8" s="28"/>
    </row>
    <row r="9" spans="1:28" x14ac:dyDescent="0.4">
      <c r="A9" s="19"/>
      <c r="B9" s="8"/>
      <c r="C9" s="40">
        <v>33.700000000000003</v>
      </c>
      <c r="D9" s="47">
        <f>72533.42-1962.69</f>
        <v>70570.73</v>
      </c>
      <c r="E9" s="48"/>
      <c r="F9" s="24"/>
      <c r="G9" s="24"/>
      <c r="H9" s="48">
        <v>1962.69</v>
      </c>
      <c r="I9" s="49">
        <f t="shared" si="0"/>
        <v>72533.42</v>
      </c>
      <c r="J9" s="17">
        <v>6708.48</v>
      </c>
      <c r="K9" s="22">
        <v>745.44</v>
      </c>
      <c r="L9" s="17">
        <v>111.12</v>
      </c>
      <c r="M9" s="22">
        <v>206.64</v>
      </c>
      <c r="N9" s="17"/>
      <c r="O9" s="17"/>
      <c r="P9" s="17">
        <v>347.64</v>
      </c>
      <c r="Q9" s="17"/>
      <c r="R9" s="17">
        <v>302.27999999999997</v>
      </c>
      <c r="S9" s="17"/>
      <c r="T9" s="17">
        <v>700.96</v>
      </c>
      <c r="U9" s="17">
        <v>2600</v>
      </c>
      <c r="V9" s="17">
        <v>17194.560000000001</v>
      </c>
      <c r="W9" s="17"/>
      <c r="X9" s="22">
        <v>57</v>
      </c>
      <c r="Y9" s="9">
        <f t="shared" si="1"/>
        <v>97955.459999999992</v>
      </c>
      <c r="Z9" s="9">
        <f t="shared" si="2"/>
        <v>3609.08</v>
      </c>
      <c r="AB9" s="28"/>
    </row>
    <row r="10" spans="1:28" x14ac:dyDescent="0.4">
      <c r="A10" s="19"/>
      <c r="B10" s="8"/>
      <c r="C10" s="40">
        <v>47.54</v>
      </c>
      <c r="D10" s="47">
        <v>99469.77</v>
      </c>
      <c r="E10" s="48">
        <v>4388.5</v>
      </c>
      <c r="F10" s="24"/>
      <c r="G10" s="24"/>
      <c r="H10" s="50"/>
      <c r="I10" s="49">
        <f t="shared" si="0"/>
        <v>103858.27</v>
      </c>
      <c r="J10" s="17">
        <v>21216.240000000002</v>
      </c>
      <c r="K10" s="22">
        <v>2357.52</v>
      </c>
      <c r="L10" s="17">
        <v>428.76</v>
      </c>
      <c r="M10" s="22">
        <v>796.56</v>
      </c>
      <c r="N10" s="17"/>
      <c r="O10" s="17"/>
      <c r="P10" s="17">
        <v>470.04</v>
      </c>
      <c r="Q10" s="17"/>
      <c r="R10" s="17">
        <v>400.68</v>
      </c>
      <c r="S10" s="17"/>
      <c r="T10" s="17">
        <v>956.08</v>
      </c>
      <c r="U10" s="17">
        <v>2600</v>
      </c>
      <c r="V10" s="17">
        <v>23322.48</v>
      </c>
      <c r="W10" s="17"/>
      <c r="X10" s="22">
        <v>57</v>
      </c>
      <c r="Y10" s="9">
        <f t="shared" si="1"/>
        <v>150709.54999999999</v>
      </c>
      <c r="Z10" s="9">
        <f t="shared" si="2"/>
        <v>5811.08</v>
      </c>
      <c r="AB10" s="28"/>
    </row>
    <row r="11" spans="1:28" x14ac:dyDescent="0.4">
      <c r="A11" s="19"/>
      <c r="B11" s="8"/>
      <c r="C11" s="40">
        <v>44.63</v>
      </c>
      <c r="D11" s="47">
        <f>89750.64</f>
        <v>89750.64</v>
      </c>
      <c r="E11" s="48">
        <v>15417.35</v>
      </c>
      <c r="F11" s="24"/>
      <c r="G11" s="24"/>
      <c r="H11" s="48"/>
      <c r="I11" s="49">
        <f t="shared" si="0"/>
        <v>105167.99</v>
      </c>
      <c r="J11" s="17">
        <v>13794.84</v>
      </c>
      <c r="K11" s="22">
        <v>1532.88</v>
      </c>
      <c r="L11" s="17">
        <v>271.68</v>
      </c>
      <c r="M11" s="22">
        <v>505.2</v>
      </c>
      <c r="N11" s="17"/>
      <c r="O11" s="17"/>
      <c r="P11" s="17">
        <v>445.56</v>
      </c>
      <c r="Q11" s="17"/>
      <c r="R11" s="17">
        <v>368.4</v>
      </c>
      <c r="S11" s="17"/>
      <c r="T11" s="17">
        <v>893.88</v>
      </c>
      <c r="U11" s="17">
        <v>780</v>
      </c>
      <c r="V11" s="17">
        <v>22148.880000000001</v>
      </c>
      <c r="W11" s="17"/>
      <c r="X11" s="22">
        <v>57</v>
      </c>
      <c r="Y11" s="9">
        <f t="shared" si="1"/>
        <v>143148.22999999998</v>
      </c>
      <c r="Z11" s="9">
        <f t="shared" si="2"/>
        <v>2875.08</v>
      </c>
      <c r="AB11" s="28">
        <v>300</v>
      </c>
    </row>
    <row r="12" spans="1:28" x14ac:dyDescent="0.4">
      <c r="A12" s="19"/>
      <c r="B12" s="8"/>
      <c r="C12" s="40">
        <v>29.74</v>
      </c>
      <c r="D12" s="47">
        <v>60606.400000000001</v>
      </c>
      <c r="E12" s="48">
        <v>12055.68</v>
      </c>
      <c r="F12" s="24"/>
      <c r="G12" s="24"/>
      <c r="H12" s="50"/>
      <c r="I12" s="49">
        <f t="shared" si="0"/>
        <v>72662.080000000002</v>
      </c>
      <c r="J12" s="17">
        <f>((1313.03*2)+(1768.02*10))</f>
        <v>20306.260000000002</v>
      </c>
      <c r="K12" s="22">
        <v>2256.4</v>
      </c>
      <c r="L12" s="17">
        <f>((20.52*2)+(35.73*10))</f>
        <v>398.34</v>
      </c>
      <c r="M12" s="22">
        <v>740.08</v>
      </c>
      <c r="N12" s="17"/>
      <c r="O12" s="17">
        <v>172.08</v>
      </c>
      <c r="P12" s="17">
        <v>298.68</v>
      </c>
      <c r="Q12" s="17"/>
      <c r="R12" s="17">
        <v>258.36</v>
      </c>
      <c r="S12" s="17"/>
      <c r="T12" s="17">
        <v>603.98</v>
      </c>
      <c r="U12" s="17">
        <v>7800</v>
      </c>
      <c r="V12" s="17">
        <v>14760.6</v>
      </c>
      <c r="W12" s="17"/>
      <c r="X12" s="22">
        <v>57</v>
      </c>
      <c r="Y12" s="9">
        <f t="shared" ref="Y12:Y63" si="3">+I12+J12+L12+N12+P12+R12+T12+V12+X12</f>
        <v>109345.29999999999</v>
      </c>
      <c r="Z12" s="9">
        <f t="shared" si="2"/>
        <v>11025.56</v>
      </c>
      <c r="AB12" s="28"/>
    </row>
    <row r="13" spans="1:28" x14ac:dyDescent="0.4">
      <c r="A13" s="19"/>
      <c r="B13" s="8"/>
      <c r="C13" s="40">
        <v>25.87</v>
      </c>
      <c r="D13" s="47">
        <v>52709.86</v>
      </c>
      <c r="E13" s="48">
        <v>396.48</v>
      </c>
      <c r="F13" s="24"/>
      <c r="G13" s="24"/>
      <c r="H13" s="50"/>
      <c r="I13" s="49">
        <f t="shared" si="0"/>
        <v>53106.340000000004</v>
      </c>
      <c r="J13" s="17">
        <v>21216.240000000002</v>
      </c>
      <c r="K13" s="22">
        <v>2357.52</v>
      </c>
      <c r="L13" s="17">
        <v>428.76</v>
      </c>
      <c r="M13" s="22">
        <v>796.56</v>
      </c>
      <c r="N13" s="17"/>
      <c r="O13" s="17"/>
      <c r="P13" s="17">
        <v>259.44</v>
      </c>
      <c r="Q13" s="17"/>
      <c r="R13" s="17">
        <v>224.04</v>
      </c>
      <c r="S13" s="17"/>
      <c r="T13" s="17">
        <v>525.65</v>
      </c>
      <c r="U13" s="17">
        <v>1040</v>
      </c>
      <c r="V13" s="17">
        <v>12842.52</v>
      </c>
      <c r="W13" s="17"/>
      <c r="X13" s="22">
        <v>57</v>
      </c>
      <c r="Y13" s="9">
        <f t="shared" si="3"/>
        <v>88659.989999999991</v>
      </c>
      <c r="Z13" s="9">
        <f t="shared" si="2"/>
        <v>4251.08</v>
      </c>
      <c r="AB13" s="28"/>
    </row>
    <row r="14" spans="1:28" x14ac:dyDescent="0.4">
      <c r="A14" s="19"/>
      <c r="B14" s="8"/>
      <c r="C14" s="40">
        <v>32.119999999999997</v>
      </c>
      <c r="D14" s="47">
        <v>64739.12</v>
      </c>
      <c r="E14" s="48">
        <v>1244.97</v>
      </c>
      <c r="F14" s="24"/>
      <c r="G14" s="24"/>
      <c r="H14" s="48"/>
      <c r="I14" s="49">
        <f t="shared" si="0"/>
        <v>65984.09</v>
      </c>
      <c r="J14" s="17">
        <v>13794.84</v>
      </c>
      <c r="K14" s="22">
        <v>1532.88</v>
      </c>
      <c r="L14" s="17">
        <v>271.68</v>
      </c>
      <c r="M14" s="22">
        <v>505.2</v>
      </c>
      <c r="N14" s="17"/>
      <c r="O14" s="17"/>
      <c r="P14" s="17">
        <v>313.32</v>
      </c>
      <c r="Q14" s="17"/>
      <c r="R14" s="17">
        <v>270.12</v>
      </c>
      <c r="S14" s="17"/>
      <c r="T14" s="17">
        <v>643.33000000000004</v>
      </c>
      <c r="U14" s="17">
        <v>2600</v>
      </c>
      <c r="V14" s="17">
        <v>15684.24</v>
      </c>
      <c r="W14" s="17"/>
      <c r="X14" s="22">
        <v>57</v>
      </c>
      <c r="Y14" s="9">
        <f t="shared" si="3"/>
        <v>97018.62</v>
      </c>
      <c r="Z14" s="9">
        <f t="shared" si="2"/>
        <v>4695.08</v>
      </c>
      <c r="AB14" s="28"/>
    </row>
    <row r="15" spans="1:28" x14ac:dyDescent="0.4">
      <c r="A15" s="19"/>
      <c r="B15" s="8"/>
      <c r="C15" s="40">
        <v>42.01</v>
      </c>
      <c r="D15" s="47">
        <v>84490.42</v>
      </c>
      <c r="E15" s="48">
        <v>26148.15</v>
      </c>
      <c r="F15" s="24"/>
      <c r="G15" s="24"/>
      <c r="H15" s="48"/>
      <c r="I15" s="49">
        <f t="shared" si="0"/>
        <v>110638.57</v>
      </c>
      <c r="J15" s="17">
        <v>21216.240000000002</v>
      </c>
      <c r="K15" s="22">
        <v>2357.52</v>
      </c>
      <c r="L15" s="17">
        <v>111.12</v>
      </c>
      <c r="M15" s="22">
        <v>206.64</v>
      </c>
      <c r="N15" s="17"/>
      <c r="O15" s="17"/>
      <c r="P15" s="17">
        <v>421.08</v>
      </c>
      <c r="Q15" s="17"/>
      <c r="R15" s="17">
        <v>346.8</v>
      </c>
      <c r="S15" s="17"/>
      <c r="T15" s="17">
        <v>841.61</v>
      </c>
      <c r="U15" s="17">
        <v>2600</v>
      </c>
      <c r="V15" s="17">
        <v>20852.88</v>
      </c>
      <c r="W15" s="17"/>
      <c r="X15" s="22">
        <v>57</v>
      </c>
      <c r="Y15" s="9">
        <f t="shared" si="3"/>
        <v>154485.29999999996</v>
      </c>
      <c r="Z15" s="9">
        <f t="shared" si="2"/>
        <v>5221.16</v>
      </c>
      <c r="AB15" s="28"/>
    </row>
    <row r="16" spans="1:28" x14ac:dyDescent="0.4">
      <c r="A16" s="19"/>
      <c r="B16" s="8"/>
      <c r="C16" s="40">
        <v>32.119999999999997</v>
      </c>
      <c r="D16" s="47">
        <v>64954.400000000001</v>
      </c>
      <c r="E16" s="48">
        <v>4278.66</v>
      </c>
      <c r="F16" s="24"/>
      <c r="G16" s="24"/>
      <c r="H16" s="48"/>
      <c r="I16" s="49">
        <f t="shared" si="0"/>
        <v>69233.06</v>
      </c>
      <c r="J16" s="17">
        <v>6708.48</v>
      </c>
      <c r="K16" s="22">
        <v>745.44</v>
      </c>
      <c r="L16" s="17">
        <v>246.24</v>
      </c>
      <c r="M16" s="22">
        <v>457.68</v>
      </c>
      <c r="N16" s="17"/>
      <c r="O16" s="17"/>
      <c r="P16" s="17">
        <v>313.32</v>
      </c>
      <c r="Q16" s="17"/>
      <c r="R16" s="17">
        <v>270.12</v>
      </c>
      <c r="S16" s="17"/>
      <c r="T16" s="17">
        <v>643.33000000000004</v>
      </c>
      <c r="U16" s="17">
        <v>650</v>
      </c>
      <c r="V16" s="17">
        <v>15684.24</v>
      </c>
      <c r="W16" s="17"/>
      <c r="X16" s="22">
        <v>57</v>
      </c>
      <c r="Y16" s="9">
        <f t="shared" si="3"/>
        <v>93155.790000000008</v>
      </c>
      <c r="Z16" s="9">
        <f t="shared" si="2"/>
        <v>1910.1200000000001</v>
      </c>
      <c r="AB16" s="28">
        <v>250</v>
      </c>
    </row>
    <row r="17" spans="1:28" x14ac:dyDescent="0.4">
      <c r="A17" s="19"/>
      <c r="B17" s="8"/>
      <c r="C17" s="40">
        <v>44.63</v>
      </c>
      <c r="D17" s="47">
        <v>89493.38</v>
      </c>
      <c r="E17" s="48">
        <v>12088.91</v>
      </c>
      <c r="F17" s="24"/>
      <c r="G17" s="24"/>
      <c r="H17" s="48"/>
      <c r="I17" s="49">
        <f t="shared" si="0"/>
        <v>101582.29000000001</v>
      </c>
      <c r="J17" s="17">
        <v>21216.240000000002</v>
      </c>
      <c r="K17" s="22">
        <v>2357.52</v>
      </c>
      <c r="L17" s="17">
        <v>111.12</v>
      </c>
      <c r="M17" s="22">
        <v>206.64</v>
      </c>
      <c r="N17" s="17"/>
      <c r="O17" s="17">
        <v>90.48</v>
      </c>
      <c r="P17" s="17">
        <v>445.56</v>
      </c>
      <c r="Q17" s="17"/>
      <c r="R17" s="17">
        <v>368.4</v>
      </c>
      <c r="S17" s="17"/>
      <c r="T17" s="17">
        <v>892.58</v>
      </c>
      <c r="U17" s="17">
        <v>2080</v>
      </c>
      <c r="V17" s="17">
        <v>22148.880000000001</v>
      </c>
      <c r="W17" s="17"/>
      <c r="X17" s="22">
        <v>57</v>
      </c>
      <c r="Y17" s="9">
        <f t="shared" si="3"/>
        <v>146822.07</v>
      </c>
      <c r="Z17" s="9">
        <f t="shared" si="2"/>
        <v>4791.6399999999994</v>
      </c>
      <c r="AB17" s="28">
        <v>250</v>
      </c>
    </row>
    <row r="18" spans="1:28" x14ac:dyDescent="0.4">
      <c r="A18" s="19"/>
      <c r="B18" s="8"/>
      <c r="C18" s="40">
        <v>44.63</v>
      </c>
      <c r="D18" s="47">
        <v>90804.28</v>
      </c>
      <c r="E18" s="48">
        <v>11575.27</v>
      </c>
      <c r="F18" s="24"/>
      <c r="G18" s="24"/>
      <c r="H18" s="48"/>
      <c r="I18" s="49">
        <f t="shared" si="0"/>
        <v>102379.55</v>
      </c>
      <c r="J18" s="17">
        <v>21216.240000000002</v>
      </c>
      <c r="K18" s="22">
        <v>2357.52</v>
      </c>
      <c r="L18" s="17">
        <v>111.12</v>
      </c>
      <c r="M18" s="22">
        <v>206.64</v>
      </c>
      <c r="N18" s="17"/>
      <c r="O18" s="17"/>
      <c r="P18" s="17">
        <v>445.56</v>
      </c>
      <c r="Q18" s="17"/>
      <c r="R18" s="17">
        <v>368.4</v>
      </c>
      <c r="S18" s="17"/>
      <c r="T18" s="17">
        <v>906.47</v>
      </c>
      <c r="U18" s="17">
        <v>8265.27</v>
      </c>
      <c r="V18" s="17">
        <v>22148.880000000001</v>
      </c>
      <c r="W18" s="17"/>
      <c r="X18" s="22">
        <v>57</v>
      </c>
      <c r="Y18" s="9">
        <f t="shared" si="3"/>
        <v>147633.22</v>
      </c>
      <c r="Z18" s="9">
        <f t="shared" si="2"/>
        <v>10886.43</v>
      </c>
      <c r="AB18" s="28">
        <v>250</v>
      </c>
    </row>
    <row r="19" spans="1:28" x14ac:dyDescent="0.4">
      <c r="A19" s="19"/>
      <c r="B19" s="8"/>
      <c r="C19" s="40">
        <v>47.54</v>
      </c>
      <c r="D19" s="47">
        <v>97746.559999999998</v>
      </c>
      <c r="E19" s="48">
        <v>9679.39</v>
      </c>
      <c r="F19" s="24"/>
      <c r="G19" s="24"/>
      <c r="H19" s="48"/>
      <c r="I19" s="49">
        <f t="shared" si="0"/>
        <v>107425.95</v>
      </c>
      <c r="J19" s="17">
        <v>15756.36</v>
      </c>
      <c r="K19" s="22">
        <v>1750.8</v>
      </c>
      <c r="L19" s="17">
        <v>111.12</v>
      </c>
      <c r="M19" s="22">
        <v>206.64</v>
      </c>
      <c r="N19" s="17"/>
      <c r="O19" s="17"/>
      <c r="P19" s="17">
        <v>470.04</v>
      </c>
      <c r="Q19" s="17"/>
      <c r="R19" s="17">
        <v>400.68</v>
      </c>
      <c r="S19" s="17"/>
      <c r="T19" s="17">
        <v>956.08</v>
      </c>
      <c r="U19" s="17">
        <v>3900</v>
      </c>
      <c r="V19" s="17">
        <v>23322.48</v>
      </c>
      <c r="W19" s="17"/>
      <c r="X19" s="22">
        <v>57</v>
      </c>
      <c r="Y19" s="9">
        <f t="shared" si="3"/>
        <v>148499.71</v>
      </c>
      <c r="Z19" s="9">
        <f t="shared" si="2"/>
        <v>5914.4400000000005</v>
      </c>
      <c r="AB19" s="28"/>
    </row>
    <row r="20" spans="1:28" x14ac:dyDescent="0.4">
      <c r="A20" s="19"/>
      <c r="B20" s="8"/>
      <c r="C20" s="40">
        <v>25.29</v>
      </c>
      <c r="D20" s="47">
        <f>54365.06-1472.89</f>
        <v>52892.17</v>
      </c>
      <c r="E20" s="48">
        <v>208.67</v>
      </c>
      <c r="F20" s="24"/>
      <c r="G20" s="24"/>
      <c r="H20" s="48">
        <v>1472.89</v>
      </c>
      <c r="I20" s="49">
        <f t="shared" si="0"/>
        <v>54573.729999999996</v>
      </c>
      <c r="J20" s="17">
        <v>15756.36</v>
      </c>
      <c r="K20" s="22">
        <v>1750.8</v>
      </c>
      <c r="L20" s="17">
        <v>246.24</v>
      </c>
      <c r="M20" s="22">
        <v>457.68</v>
      </c>
      <c r="N20" s="17"/>
      <c r="O20" s="17">
        <v>172.08</v>
      </c>
      <c r="P20" s="17">
        <v>259.44</v>
      </c>
      <c r="Q20" s="17"/>
      <c r="R20" s="17">
        <v>231.72</v>
      </c>
      <c r="S20" s="17"/>
      <c r="T20" s="17">
        <v>525.98</v>
      </c>
      <c r="U20" s="17">
        <v>1950</v>
      </c>
      <c r="V20" s="17">
        <v>12903.48</v>
      </c>
      <c r="W20" s="17"/>
      <c r="X20" s="22">
        <v>57</v>
      </c>
      <c r="Y20" s="9">
        <f t="shared" si="3"/>
        <v>84553.95</v>
      </c>
      <c r="Z20" s="9">
        <f t="shared" si="2"/>
        <v>4387.5599999999995</v>
      </c>
      <c r="AB20" s="28"/>
    </row>
    <row r="21" spans="1:28" x14ac:dyDescent="0.4">
      <c r="A21" s="19"/>
      <c r="B21" s="8"/>
      <c r="C21" s="40">
        <v>42.01</v>
      </c>
      <c r="D21" s="47">
        <v>85675.86</v>
      </c>
      <c r="E21" s="48">
        <v>13352.96</v>
      </c>
      <c r="F21" s="24"/>
      <c r="G21" s="24"/>
      <c r="H21" s="48"/>
      <c r="I21" s="49">
        <f t="shared" si="0"/>
        <v>99028.82</v>
      </c>
      <c r="J21" s="17">
        <v>13794.84</v>
      </c>
      <c r="K21" s="22">
        <v>1532.88</v>
      </c>
      <c r="L21" s="17">
        <v>271.68</v>
      </c>
      <c r="M21" s="22">
        <v>505.2</v>
      </c>
      <c r="N21" s="17"/>
      <c r="O21" s="17"/>
      <c r="P21" s="17">
        <v>421.08</v>
      </c>
      <c r="Q21" s="17"/>
      <c r="R21" s="17">
        <v>346.8</v>
      </c>
      <c r="S21" s="17"/>
      <c r="T21" s="17">
        <v>853.47</v>
      </c>
      <c r="U21" s="17">
        <v>853.47</v>
      </c>
      <c r="V21" s="17">
        <v>20852.88</v>
      </c>
      <c r="W21" s="17"/>
      <c r="X21" s="22">
        <v>57</v>
      </c>
      <c r="Y21" s="9">
        <f t="shared" si="3"/>
        <v>135626.57</v>
      </c>
      <c r="Z21" s="9">
        <f t="shared" si="2"/>
        <v>2948.55</v>
      </c>
      <c r="AB21" s="28"/>
    </row>
    <row r="22" spans="1:28" x14ac:dyDescent="0.4">
      <c r="A22" s="19"/>
      <c r="B22" s="8"/>
      <c r="C22" s="40">
        <v>24.48</v>
      </c>
      <c r="D22" s="47">
        <v>49521.15</v>
      </c>
      <c r="E22" s="48">
        <v>319.32</v>
      </c>
      <c r="F22" s="24"/>
      <c r="G22" s="24"/>
      <c r="H22" s="48"/>
      <c r="I22" s="49">
        <f t="shared" si="0"/>
        <v>49840.47</v>
      </c>
      <c r="J22" s="17">
        <v>6708.48</v>
      </c>
      <c r="K22" s="22">
        <v>745.44</v>
      </c>
      <c r="L22" s="17">
        <v>111.12</v>
      </c>
      <c r="M22" s="22">
        <v>206.64</v>
      </c>
      <c r="N22" s="17"/>
      <c r="O22" s="17"/>
      <c r="P22" s="17">
        <v>244.8</v>
      </c>
      <c r="Q22" s="17"/>
      <c r="R22" s="17">
        <v>205.92</v>
      </c>
      <c r="S22" s="17"/>
      <c r="T22" s="17">
        <v>494.3</v>
      </c>
      <c r="U22" s="17">
        <v>2600</v>
      </c>
      <c r="V22" s="17">
        <v>12066.72</v>
      </c>
      <c r="W22" s="17"/>
      <c r="X22" s="22">
        <v>57</v>
      </c>
      <c r="Y22" s="9">
        <f t="shared" si="3"/>
        <v>69728.81</v>
      </c>
      <c r="Z22" s="9">
        <f t="shared" si="2"/>
        <v>3609.08</v>
      </c>
      <c r="AB22" s="28">
        <v>200</v>
      </c>
    </row>
    <row r="23" spans="1:28" x14ac:dyDescent="0.4">
      <c r="A23" s="19"/>
      <c r="B23" s="8"/>
      <c r="C23" s="40">
        <v>35.590000000000003</v>
      </c>
      <c r="D23" s="47">
        <v>69007.710000000006</v>
      </c>
      <c r="E23" s="48">
        <v>1272.93</v>
      </c>
      <c r="F23" s="24"/>
      <c r="G23" s="24"/>
      <c r="H23" s="48"/>
      <c r="I23" s="49">
        <f t="shared" si="0"/>
        <v>70280.639999999999</v>
      </c>
      <c r="J23" s="17">
        <v>21216.240000000002</v>
      </c>
      <c r="K23" s="22">
        <v>2357.52</v>
      </c>
      <c r="L23" s="17">
        <v>428.76</v>
      </c>
      <c r="M23" s="22">
        <v>796.56</v>
      </c>
      <c r="N23" s="17"/>
      <c r="O23" s="17">
        <v>180.96</v>
      </c>
      <c r="P23" s="17">
        <v>337.8</v>
      </c>
      <c r="Q23" s="17"/>
      <c r="R23" s="17">
        <v>230.16</v>
      </c>
      <c r="S23" s="17"/>
      <c r="T23" s="17">
        <v>688.93</v>
      </c>
      <c r="U23" s="17">
        <v>3320</v>
      </c>
      <c r="V23" s="17">
        <v>16699.560000000001</v>
      </c>
      <c r="W23" s="17"/>
      <c r="X23" s="22">
        <v>57</v>
      </c>
      <c r="Y23" s="9">
        <f t="shared" si="3"/>
        <v>109939.09</v>
      </c>
      <c r="Z23" s="9">
        <f t="shared" si="2"/>
        <v>6712.04</v>
      </c>
      <c r="AB23" s="28"/>
    </row>
    <row r="24" spans="1:28" x14ac:dyDescent="0.4">
      <c r="A24" s="19"/>
      <c r="B24" s="8"/>
      <c r="C24" s="40">
        <v>26.53</v>
      </c>
      <c r="D24" s="47">
        <v>53171</v>
      </c>
      <c r="E24" s="48">
        <v>218.86</v>
      </c>
      <c r="F24" s="24"/>
      <c r="G24" s="24"/>
      <c r="H24" s="48"/>
      <c r="I24" s="49">
        <f t="shared" si="0"/>
        <v>53389.86</v>
      </c>
      <c r="J24" s="17">
        <v>13794.84</v>
      </c>
      <c r="K24" s="22">
        <v>1532.88</v>
      </c>
      <c r="L24" s="17">
        <v>271.68</v>
      </c>
      <c r="M24" s="22">
        <v>505.2</v>
      </c>
      <c r="N24" s="17"/>
      <c r="O24" s="17">
        <v>180.96</v>
      </c>
      <c r="P24" s="17">
        <v>259.44</v>
      </c>
      <c r="Q24" s="17"/>
      <c r="R24" s="17">
        <v>223.08</v>
      </c>
      <c r="S24" s="17"/>
      <c r="T24" s="17">
        <v>531.11</v>
      </c>
      <c r="U24" s="17">
        <f>546+468</f>
        <v>1014</v>
      </c>
      <c r="V24" s="17">
        <v>12944.52</v>
      </c>
      <c r="W24" s="17"/>
      <c r="X24" s="22">
        <v>57</v>
      </c>
      <c r="Y24" s="9">
        <f t="shared" si="3"/>
        <v>81471.53</v>
      </c>
      <c r="Z24" s="9">
        <f t="shared" si="2"/>
        <v>3290.04</v>
      </c>
      <c r="AB24" s="28"/>
    </row>
    <row r="25" spans="1:28" x14ac:dyDescent="0.4">
      <c r="A25" s="19"/>
      <c r="B25" s="8"/>
      <c r="C25" s="40">
        <v>21.34</v>
      </c>
      <c r="D25" s="47">
        <v>43211.839999999997</v>
      </c>
      <c r="E25" s="48">
        <v>2406.5100000000002</v>
      </c>
      <c r="F25" s="24"/>
      <c r="G25" s="24"/>
      <c r="H25" s="48"/>
      <c r="I25" s="49">
        <f t="shared" si="0"/>
        <v>45618.35</v>
      </c>
      <c r="J25" s="17">
        <v>6708.48</v>
      </c>
      <c r="K25" s="22">
        <v>745.44</v>
      </c>
      <c r="L25" s="17">
        <v>111.12</v>
      </c>
      <c r="M25" s="22">
        <v>206.64</v>
      </c>
      <c r="N25" s="17"/>
      <c r="O25" s="17"/>
      <c r="P25" s="17">
        <v>210.48</v>
      </c>
      <c r="Q25" s="17"/>
      <c r="R25" s="17">
        <v>181.56</v>
      </c>
      <c r="S25" s="17"/>
      <c r="T25" s="17">
        <v>431.72</v>
      </c>
      <c r="U25" s="17">
        <v>1040</v>
      </c>
      <c r="V25" s="17">
        <v>10541.28</v>
      </c>
      <c r="W25" s="17"/>
      <c r="X25" s="22">
        <v>57</v>
      </c>
      <c r="Y25" s="9">
        <f t="shared" si="3"/>
        <v>63859.990000000005</v>
      </c>
      <c r="Z25" s="9">
        <f t="shared" si="2"/>
        <v>2049.08</v>
      </c>
      <c r="AB25" s="28"/>
    </row>
    <row r="26" spans="1:28" x14ac:dyDescent="0.4">
      <c r="A26" s="19"/>
      <c r="B26" s="8"/>
      <c r="C26" s="40">
        <v>33</v>
      </c>
      <c r="D26" s="47">
        <v>66363.12</v>
      </c>
      <c r="E26" s="48">
        <v>2399.7600000000002</v>
      </c>
      <c r="F26" s="24"/>
      <c r="G26" s="24"/>
      <c r="H26" s="48"/>
      <c r="I26" s="49">
        <f t="shared" si="0"/>
        <v>68762.87999999999</v>
      </c>
      <c r="J26" s="17">
        <v>21216.240000000002</v>
      </c>
      <c r="K26" s="22">
        <v>2357.52</v>
      </c>
      <c r="L26" s="17">
        <v>428.76</v>
      </c>
      <c r="M26" s="22">
        <v>796.56</v>
      </c>
      <c r="N26" s="17"/>
      <c r="O26" s="17">
        <v>266.16000000000003</v>
      </c>
      <c r="P26" s="17">
        <v>323.16000000000003</v>
      </c>
      <c r="Q26" s="17"/>
      <c r="R26" s="17">
        <v>259.81</v>
      </c>
      <c r="S26" s="17"/>
      <c r="T26" s="17">
        <v>662.66</v>
      </c>
      <c r="U26" s="17">
        <f>994.21+4387.13</f>
        <v>5381.34</v>
      </c>
      <c r="V26" s="17">
        <v>16163.76</v>
      </c>
      <c r="W26" s="17"/>
      <c r="X26" s="22">
        <v>57</v>
      </c>
      <c r="Y26" s="9">
        <f t="shared" si="3"/>
        <v>107874.26999999999</v>
      </c>
      <c r="Z26" s="9">
        <f t="shared" si="2"/>
        <v>8858.58</v>
      </c>
      <c r="AB26" s="28"/>
    </row>
    <row r="27" spans="1:28" x14ac:dyDescent="0.4">
      <c r="A27" s="19"/>
      <c r="B27" s="8"/>
      <c r="C27" s="40">
        <v>44.63</v>
      </c>
      <c r="D27" s="47">
        <v>89544.82</v>
      </c>
      <c r="E27" s="48">
        <v>28319.73</v>
      </c>
      <c r="F27" s="24"/>
      <c r="G27" s="24"/>
      <c r="H27" s="48"/>
      <c r="I27" s="49">
        <f t="shared" si="0"/>
        <v>117864.55</v>
      </c>
      <c r="J27" s="17">
        <v>21216.240000000002</v>
      </c>
      <c r="K27" s="22">
        <v>2357.52</v>
      </c>
      <c r="L27" s="17">
        <v>271.68</v>
      </c>
      <c r="M27" s="22">
        <v>505.2</v>
      </c>
      <c r="N27" s="17"/>
      <c r="O27" s="17">
        <v>180.96</v>
      </c>
      <c r="P27" s="17">
        <v>445.56</v>
      </c>
      <c r="Q27" s="17"/>
      <c r="R27" s="17">
        <v>368.4</v>
      </c>
      <c r="S27" s="17"/>
      <c r="T27" s="17">
        <v>893.88</v>
      </c>
      <c r="U27" s="17">
        <f>4611.72+1787.8</f>
        <v>6399.52</v>
      </c>
      <c r="V27" s="17">
        <v>22148.880000000001</v>
      </c>
      <c r="W27" s="17"/>
      <c r="X27" s="22">
        <v>57</v>
      </c>
      <c r="Y27" s="9">
        <f t="shared" si="3"/>
        <v>163266.19</v>
      </c>
      <c r="Z27" s="9">
        <f t="shared" si="2"/>
        <v>9500.2000000000007</v>
      </c>
      <c r="AB27" s="28"/>
    </row>
    <row r="28" spans="1:28" x14ac:dyDescent="0.4">
      <c r="A28" s="19"/>
      <c r="B28" s="8"/>
      <c r="C28" s="40">
        <v>21.5</v>
      </c>
      <c r="D28" s="47">
        <v>43524.59</v>
      </c>
      <c r="E28" s="50">
        <v>234.16</v>
      </c>
      <c r="F28" s="24"/>
      <c r="G28" s="24"/>
      <c r="H28" s="48"/>
      <c r="I28" s="49">
        <f t="shared" si="0"/>
        <v>43758.75</v>
      </c>
      <c r="J28" s="17">
        <v>13794.84</v>
      </c>
      <c r="K28" s="22">
        <v>1532.88</v>
      </c>
      <c r="L28" s="17">
        <v>271.68</v>
      </c>
      <c r="M28" s="22">
        <v>505.2</v>
      </c>
      <c r="N28" s="17"/>
      <c r="O28" s="17"/>
      <c r="P28" s="17">
        <v>215.4</v>
      </c>
      <c r="Q28" s="17"/>
      <c r="R28" s="17">
        <v>182.88</v>
      </c>
      <c r="S28" s="17"/>
      <c r="T28" s="17">
        <v>434.88</v>
      </c>
      <c r="U28" s="17">
        <v>1950</v>
      </c>
      <c r="V28" s="17">
        <v>10617.84</v>
      </c>
      <c r="W28" s="17"/>
      <c r="X28" s="22">
        <v>57</v>
      </c>
      <c r="Y28" s="9">
        <f t="shared" si="3"/>
        <v>69333.26999999999</v>
      </c>
      <c r="Z28" s="9">
        <f t="shared" si="2"/>
        <v>4045.08</v>
      </c>
      <c r="AB28" s="28"/>
    </row>
    <row r="29" spans="1:28" x14ac:dyDescent="0.4">
      <c r="A29" s="19"/>
      <c r="B29" s="8"/>
      <c r="C29" s="40">
        <v>42.01</v>
      </c>
      <c r="D29" s="47">
        <v>85485.51</v>
      </c>
      <c r="E29" s="50">
        <v>13159.66</v>
      </c>
      <c r="F29" s="24"/>
      <c r="G29" s="24"/>
      <c r="H29" s="48"/>
      <c r="I29" s="49">
        <f t="shared" si="0"/>
        <v>98645.17</v>
      </c>
      <c r="J29" s="17">
        <v>21216.240000000002</v>
      </c>
      <c r="K29" s="22">
        <v>2357.52</v>
      </c>
      <c r="L29" s="17">
        <v>428.76</v>
      </c>
      <c r="M29" s="22">
        <v>796.56</v>
      </c>
      <c r="N29" s="17"/>
      <c r="O29" s="17"/>
      <c r="P29" s="17">
        <v>421.08</v>
      </c>
      <c r="Q29" s="17"/>
      <c r="R29" s="17">
        <v>346.8</v>
      </c>
      <c r="S29" s="17"/>
      <c r="T29" s="17">
        <v>853.47</v>
      </c>
      <c r="U29" s="17">
        <v>4266.8999999999996</v>
      </c>
      <c r="V29" s="17">
        <v>20852.88</v>
      </c>
      <c r="W29" s="17"/>
      <c r="X29" s="22">
        <v>57</v>
      </c>
      <c r="Y29" s="9">
        <f t="shared" si="3"/>
        <v>142821.4</v>
      </c>
      <c r="Z29" s="9">
        <f t="shared" si="2"/>
        <v>7477.98</v>
      </c>
      <c r="AB29" s="28"/>
    </row>
    <row r="30" spans="1:28" x14ac:dyDescent="0.4">
      <c r="A30" s="19"/>
      <c r="B30" s="8"/>
      <c r="C30" s="40">
        <v>34.69</v>
      </c>
      <c r="D30" s="47">
        <v>67371.69</v>
      </c>
      <c r="E30" s="50">
        <v>7115.4</v>
      </c>
      <c r="F30" s="24"/>
      <c r="G30" s="24"/>
      <c r="H30" s="48"/>
      <c r="I30" s="49">
        <f t="shared" si="0"/>
        <v>74487.09</v>
      </c>
      <c r="J30" s="17">
        <v>21216.240000000002</v>
      </c>
      <c r="K30" s="22">
        <v>2357.52</v>
      </c>
      <c r="L30" s="17">
        <v>111.12</v>
      </c>
      <c r="M30" s="22">
        <v>206.64</v>
      </c>
      <c r="N30" s="17"/>
      <c r="O30" s="17">
        <v>90.48</v>
      </c>
      <c r="P30" s="17">
        <v>328.08</v>
      </c>
      <c r="Q30" s="17"/>
      <c r="R30" s="17">
        <v>267.72000000000003</v>
      </c>
      <c r="S30" s="17"/>
      <c r="T30" s="17">
        <v>672.89</v>
      </c>
      <c r="U30" s="17">
        <v>6838.23</v>
      </c>
      <c r="V30" s="17">
        <v>16311.96</v>
      </c>
      <c r="W30" s="17"/>
      <c r="X30" s="22">
        <v>57</v>
      </c>
      <c r="Y30" s="9">
        <f t="shared" si="3"/>
        <v>113452.1</v>
      </c>
      <c r="Z30" s="9">
        <f t="shared" si="2"/>
        <v>9549.869999999999</v>
      </c>
      <c r="AB30" s="28"/>
    </row>
    <row r="31" spans="1:28" x14ac:dyDescent="0.4">
      <c r="A31" s="19"/>
      <c r="B31" s="8"/>
      <c r="C31" s="40">
        <v>42.01</v>
      </c>
      <c r="D31" s="47">
        <v>85456.1</v>
      </c>
      <c r="E31" s="50">
        <v>28805.18</v>
      </c>
      <c r="F31" s="24"/>
      <c r="G31" s="24"/>
      <c r="H31" s="48"/>
      <c r="I31" s="49">
        <f t="shared" si="0"/>
        <v>114261.28</v>
      </c>
      <c r="J31" s="17">
        <v>21216.240000000002</v>
      </c>
      <c r="K31" s="22">
        <v>2357.52</v>
      </c>
      <c r="L31" s="17">
        <v>111.12</v>
      </c>
      <c r="M31" s="22">
        <v>206.64</v>
      </c>
      <c r="N31" s="17"/>
      <c r="O31" s="17"/>
      <c r="P31" s="17">
        <v>421.08</v>
      </c>
      <c r="Q31" s="17"/>
      <c r="R31" s="17">
        <v>346.8</v>
      </c>
      <c r="S31" s="17"/>
      <c r="T31" s="17">
        <f>5120.37+3413.61</f>
        <v>8533.98</v>
      </c>
      <c r="U31" s="17">
        <v>8533.89</v>
      </c>
      <c r="V31" s="17"/>
      <c r="W31" s="17"/>
      <c r="X31" s="22">
        <v>57</v>
      </c>
      <c r="Y31" s="9">
        <f t="shared" si="3"/>
        <v>144947.49999999997</v>
      </c>
      <c r="Z31" s="9">
        <f t="shared" si="2"/>
        <v>11155.05</v>
      </c>
      <c r="AB31" s="28"/>
    </row>
    <row r="32" spans="1:28" x14ac:dyDescent="0.4">
      <c r="A32" s="19"/>
      <c r="B32" s="8"/>
      <c r="C32" s="40">
        <v>42.01</v>
      </c>
      <c r="D32" s="47">
        <v>84147.97</v>
      </c>
      <c r="E32" s="50">
        <v>22031.81</v>
      </c>
      <c r="F32" s="24"/>
      <c r="G32" s="24"/>
      <c r="H32" s="48"/>
      <c r="I32" s="49">
        <f t="shared" si="0"/>
        <v>106179.78</v>
      </c>
      <c r="J32" s="17">
        <v>21216.240000000002</v>
      </c>
      <c r="K32" s="22">
        <v>2357.52</v>
      </c>
      <c r="L32" s="17">
        <v>428.76</v>
      </c>
      <c r="M32" s="22">
        <v>796.56</v>
      </c>
      <c r="N32" s="17"/>
      <c r="O32" s="17"/>
      <c r="P32" s="17">
        <v>421.08</v>
      </c>
      <c r="Q32" s="17"/>
      <c r="R32" s="17">
        <v>346.8</v>
      </c>
      <c r="S32" s="17"/>
      <c r="T32" s="17">
        <f>5041.9+3361.23</f>
        <v>8403.1299999999992</v>
      </c>
      <c r="U32" s="17">
        <v>4201.51</v>
      </c>
      <c r="V32" s="17"/>
      <c r="W32" s="17"/>
      <c r="X32" s="22">
        <v>57</v>
      </c>
      <c r="Y32" s="9">
        <f t="shared" si="3"/>
        <v>137052.79</v>
      </c>
      <c r="Z32" s="9">
        <f t="shared" si="2"/>
        <v>7412.59</v>
      </c>
      <c r="AB32" s="28"/>
    </row>
    <row r="33" spans="1:34" x14ac:dyDescent="0.4">
      <c r="A33" s="19"/>
      <c r="B33" s="8"/>
      <c r="C33" s="40">
        <v>22.35</v>
      </c>
      <c r="D33" s="47">
        <v>43547.57</v>
      </c>
      <c r="E33" s="50">
        <v>1902.62</v>
      </c>
      <c r="F33" s="24"/>
      <c r="G33" s="24"/>
      <c r="H33" s="48"/>
      <c r="I33" s="49">
        <f t="shared" si="0"/>
        <v>45450.19</v>
      </c>
      <c r="J33" s="17">
        <v>15756.36</v>
      </c>
      <c r="K33" s="22">
        <v>1750.8</v>
      </c>
      <c r="L33" s="17">
        <v>246.24</v>
      </c>
      <c r="M33" s="22">
        <v>457.68</v>
      </c>
      <c r="N33" s="17"/>
      <c r="O33" s="17">
        <v>90.48</v>
      </c>
      <c r="P33" s="17">
        <v>210.48</v>
      </c>
      <c r="Q33" s="17"/>
      <c r="R33" s="17">
        <v>179.76</v>
      </c>
      <c r="S33" s="17"/>
      <c r="T33" s="17">
        <f>2595.74+1730.5</f>
        <v>4326.24</v>
      </c>
      <c r="U33" s="17">
        <v>1730.5</v>
      </c>
      <c r="V33" s="17"/>
      <c r="W33" s="17"/>
      <c r="X33" s="22">
        <v>57</v>
      </c>
      <c r="Y33" s="9">
        <f t="shared" si="3"/>
        <v>66226.27</v>
      </c>
      <c r="Z33" s="9">
        <f t="shared" si="2"/>
        <v>4086.46</v>
      </c>
      <c r="AB33" s="28"/>
    </row>
    <row r="34" spans="1:34" x14ac:dyDescent="0.4">
      <c r="A34" s="19"/>
      <c r="B34" s="8"/>
      <c r="C34" s="40">
        <v>42.01</v>
      </c>
      <c r="D34" s="47">
        <v>85456.24</v>
      </c>
      <c r="E34" s="50">
        <v>14279.49</v>
      </c>
      <c r="F34" s="24"/>
      <c r="G34" s="24"/>
      <c r="H34" s="48"/>
      <c r="I34" s="49">
        <f t="shared" si="0"/>
        <v>99735.73000000001</v>
      </c>
      <c r="J34" s="17">
        <v>21216.240000000002</v>
      </c>
      <c r="K34" s="22">
        <v>2357.52</v>
      </c>
      <c r="L34" s="17">
        <v>111.12</v>
      </c>
      <c r="M34" s="22">
        <v>206.64</v>
      </c>
      <c r="N34" s="17"/>
      <c r="O34" s="17"/>
      <c r="P34" s="17">
        <v>421.08</v>
      </c>
      <c r="Q34" s="17"/>
      <c r="R34" s="17">
        <v>346.8</v>
      </c>
      <c r="S34" s="17"/>
      <c r="T34" s="17">
        <f>5120.37+3413.57</f>
        <v>8533.94</v>
      </c>
      <c r="U34" s="17">
        <v>4266.92</v>
      </c>
      <c r="V34" s="17"/>
      <c r="W34" s="17"/>
      <c r="X34" s="22">
        <v>57</v>
      </c>
      <c r="Y34" s="9">
        <f t="shared" si="3"/>
        <v>130421.91000000002</v>
      </c>
      <c r="Z34" s="9">
        <f t="shared" si="2"/>
        <v>6888.08</v>
      </c>
      <c r="AB34" s="28"/>
    </row>
    <row r="35" spans="1:34" x14ac:dyDescent="0.4">
      <c r="A35" s="19"/>
      <c r="B35" s="8"/>
      <c r="C35" s="40">
        <v>42.01</v>
      </c>
      <c r="D35" s="47">
        <v>85470.28</v>
      </c>
      <c r="E35" s="50">
        <v>17204.57</v>
      </c>
      <c r="F35" s="24"/>
      <c r="G35" s="24"/>
      <c r="H35" s="48"/>
      <c r="I35" s="49">
        <f t="shared" si="0"/>
        <v>102674.85</v>
      </c>
      <c r="J35" s="17">
        <v>6708.48</v>
      </c>
      <c r="K35" s="22">
        <v>745.44</v>
      </c>
      <c r="L35" s="17">
        <v>111.12</v>
      </c>
      <c r="M35" s="22">
        <v>206.64</v>
      </c>
      <c r="N35" s="17"/>
      <c r="O35" s="17"/>
      <c r="P35" s="17">
        <v>421.08</v>
      </c>
      <c r="Q35" s="17"/>
      <c r="R35" s="17">
        <v>346.8</v>
      </c>
      <c r="S35" s="17"/>
      <c r="T35" s="17">
        <f>5120.37+3413.54</f>
        <v>8533.91</v>
      </c>
      <c r="U35" s="17">
        <v>5322.02</v>
      </c>
      <c r="V35" s="17"/>
      <c r="W35" s="17"/>
      <c r="X35" s="22">
        <v>57</v>
      </c>
      <c r="Y35" s="9">
        <f t="shared" si="3"/>
        <v>118853.24</v>
      </c>
      <c r="Z35" s="9">
        <f t="shared" si="2"/>
        <v>6331.1</v>
      </c>
      <c r="AB35" s="28"/>
    </row>
    <row r="36" spans="1:34" x14ac:dyDescent="0.4">
      <c r="A36" s="19"/>
      <c r="B36" s="8"/>
      <c r="C36" s="40">
        <v>42.01</v>
      </c>
      <c r="D36" s="47">
        <v>85456.17</v>
      </c>
      <c r="E36" s="50">
        <v>21359.11</v>
      </c>
      <c r="F36" s="24"/>
      <c r="G36" s="24"/>
      <c r="H36" s="48"/>
      <c r="I36" s="49">
        <f t="shared" si="0"/>
        <v>106815.28</v>
      </c>
      <c r="J36" s="17">
        <v>21216.240000000002</v>
      </c>
      <c r="K36" s="22">
        <v>2357.52</v>
      </c>
      <c r="L36" s="17">
        <v>111.12</v>
      </c>
      <c r="M36" s="22">
        <v>206.64</v>
      </c>
      <c r="N36" s="17"/>
      <c r="O36" s="17"/>
      <c r="P36" s="17">
        <v>421.08</v>
      </c>
      <c r="Q36" s="17"/>
      <c r="R36" s="17">
        <v>346.8</v>
      </c>
      <c r="S36" s="17"/>
      <c r="T36" s="17">
        <f>5120.37+3413.6</f>
        <v>8533.9699999999993</v>
      </c>
      <c r="U36" s="17">
        <v>8533.93</v>
      </c>
      <c r="V36" s="17"/>
      <c r="W36" s="17"/>
      <c r="X36" s="22">
        <v>57</v>
      </c>
      <c r="Y36" s="9">
        <f t="shared" si="3"/>
        <v>137501.49</v>
      </c>
      <c r="Z36" s="9">
        <f t="shared" si="2"/>
        <v>11155.09</v>
      </c>
      <c r="AB36" s="28"/>
    </row>
    <row r="37" spans="1:34" x14ac:dyDescent="0.4">
      <c r="A37" s="19"/>
      <c r="B37" s="8"/>
      <c r="C37" s="40">
        <v>42.01</v>
      </c>
      <c r="D37" s="47">
        <v>85427.31</v>
      </c>
      <c r="E37" s="50">
        <v>12355.14</v>
      </c>
      <c r="F37" s="24"/>
      <c r="G37" s="24"/>
      <c r="H37" s="50"/>
      <c r="I37" s="49">
        <f t="shared" si="0"/>
        <v>97782.45</v>
      </c>
      <c r="J37" s="17">
        <v>6708.48</v>
      </c>
      <c r="K37" s="22">
        <v>745.44</v>
      </c>
      <c r="L37" s="17">
        <v>111.12</v>
      </c>
      <c r="M37" s="22">
        <v>206.64</v>
      </c>
      <c r="N37" s="17"/>
      <c r="O37" s="17">
        <v>173.42</v>
      </c>
      <c r="P37" s="17">
        <v>421.08</v>
      </c>
      <c r="Q37" s="17"/>
      <c r="R37" s="17">
        <v>346.8</v>
      </c>
      <c r="S37" s="17"/>
      <c r="T37" s="17">
        <f>5120.37+3413.66</f>
        <v>8534.0299999999988</v>
      </c>
      <c r="U37" s="17">
        <v>9387.33</v>
      </c>
      <c r="V37" s="17"/>
      <c r="W37" s="17"/>
      <c r="X37" s="22">
        <v>57</v>
      </c>
      <c r="Y37" s="9">
        <f t="shared" si="3"/>
        <v>113960.95999999999</v>
      </c>
      <c r="Z37" s="9">
        <f t="shared" si="2"/>
        <v>10569.83</v>
      </c>
      <c r="AB37" s="28"/>
      <c r="AE37" s="26"/>
      <c r="AF37" s="26"/>
      <c r="AG37" s="26"/>
      <c r="AH37" s="26"/>
    </row>
    <row r="38" spans="1:34" x14ac:dyDescent="0.4">
      <c r="A38" s="19"/>
      <c r="B38" s="8"/>
      <c r="C38" s="40">
        <v>42.01</v>
      </c>
      <c r="D38" s="47">
        <v>84241.02</v>
      </c>
      <c r="E38" s="50">
        <v>17248.71</v>
      </c>
      <c r="F38" s="24"/>
      <c r="G38" s="24"/>
      <c r="H38" s="50"/>
      <c r="I38" s="49">
        <f t="shared" si="0"/>
        <v>101489.73000000001</v>
      </c>
      <c r="J38" s="17">
        <v>6708.48</v>
      </c>
      <c r="K38" s="22">
        <v>745.44</v>
      </c>
      <c r="L38" s="17">
        <v>111.12</v>
      </c>
      <c r="M38" s="22">
        <v>206.64</v>
      </c>
      <c r="N38" s="17"/>
      <c r="O38" s="17"/>
      <c r="P38" s="17">
        <v>421.08</v>
      </c>
      <c r="Q38" s="17"/>
      <c r="R38" s="17">
        <v>289.8</v>
      </c>
      <c r="S38" s="17"/>
      <c r="T38" s="17">
        <f>5049.25+3366.1</f>
        <v>8415.35</v>
      </c>
      <c r="U38" s="17">
        <f>10271.55+1961.78</f>
        <v>12233.33</v>
      </c>
      <c r="V38" s="17"/>
      <c r="W38" s="17"/>
      <c r="X38" s="22">
        <v>57</v>
      </c>
      <c r="Y38" s="9">
        <f t="shared" si="3"/>
        <v>117492.56000000001</v>
      </c>
      <c r="Z38" s="9">
        <f t="shared" si="2"/>
        <v>13242.41</v>
      </c>
      <c r="AB38" s="28"/>
      <c r="AE38" s="26"/>
      <c r="AF38" s="26"/>
      <c r="AG38" s="26"/>
      <c r="AH38" s="26"/>
    </row>
    <row r="39" spans="1:34" x14ac:dyDescent="0.4">
      <c r="A39" s="19"/>
      <c r="B39" s="8"/>
      <c r="C39" s="40">
        <v>26.45</v>
      </c>
      <c r="D39" s="47">
        <v>53507.64</v>
      </c>
      <c r="E39" s="50">
        <v>804.95</v>
      </c>
      <c r="F39" s="24"/>
      <c r="G39" s="24"/>
      <c r="H39" s="50"/>
      <c r="I39" s="49">
        <f t="shared" si="0"/>
        <v>54312.59</v>
      </c>
      <c r="J39" s="17">
        <v>6708.48</v>
      </c>
      <c r="K39" s="22">
        <v>745.44</v>
      </c>
      <c r="L39" s="17">
        <v>0</v>
      </c>
      <c r="M39" s="22">
        <v>0</v>
      </c>
      <c r="N39" s="17"/>
      <c r="O39" s="17"/>
      <c r="P39" s="17">
        <v>264.36</v>
      </c>
      <c r="Q39" s="17"/>
      <c r="R39" s="17">
        <v>225.6</v>
      </c>
      <c r="S39" s="17"/>
      <c r="T39" s="17">
        <f>3204.19+1623.26</f>
        <v>4827.45</v>
      </c>
      <c r="U39" s="17">
        <v>1665.58</v>
      </c>
      <c r="V39" s="17"/>
      <c r="W39" s="17"/>
      <c r="X39" s="22">
        <v>57</v>
      </c>
      <c r="Y39" s="9">
        <f t="shared" si="3"/>
        <v>66395.48</v>
      </c>
      <c r="Z39" s="9">
        <f t="shared" si="2"/>
        <v>2468.02</v>
      </c>
      <c r="AB39" s="28">
        <v>50</v>
      </c>
      <c r="AE39" s="26"/>
      <c r="AF39" s="26"/>
      <c r="AG39" s="26"/>
      <c r="AH39" s="26"/>
    </row>
    <row r="40" spans="1:34" x14ac:dyDescent="0.4">
      <c r="A40" s="19"/>
      <c r="B40" s="8"/>
      <c r="C40" s="40">
        <v>29.81</v>
      </c>
      <c r="D40" s="47">
        <v>60011.199999999997</v>
      </c>
      <c r="E40" s="50">
        <v>3063.07</v>
      </c>
      <c r="F40" s="24"/>
      <c r="G40" s="24"/>
      <c r="H40" s="50"/>
      <c r="I40" s="49">
        <f t="shared" si="0"/>
        <v>63074.27</v>
      </c>
      <c r="J40" s="17">
        <f>((1768.02*5)+(1313.03*7))</f>
        <v>18031.309999999998</v>
      </c>
      <c r="K40" s="22">
        <v>2003.6</v>
      </c>
      <c r="L40" s="17">
        <v>246.24</v>
      </c>
      <c r="M40" s="22">
        <v>457.68</v>
      </c>
      <c r="N40" s="17"/>
      <c r="O40" s="17">
        <v>172.08</v>
      </c>
      <c r="P40" s="17">
        <v>293.76</v>
      </c>
      <c r="Q40" s="17"/>
      <c r="R40" s="17">
        <v>249.84</v>
      </c>
      <c r="S40" s="17"/>
      <c r="T40" s="17">
        <f>3596.69+2397.71</f>
        <v>5994.4</v>
      </c>
      <c r="U40" s="17">
        <v>4938.5200000000004</v>
      </c>
      <c r="V40" s="17"/>
      <c r="W40" s="17"/>
      <c r="X40" s="22">
        <v>57</v>
      </c>
      <c r="Y40" s="9">
        <f t="shared" si="3"/>
        <v>87946.819999999978</v>
      </c>
      <c r="Z40" s="9">
        <f t="shared" si="2"/>
        <v>7628.88</v>
      </c>
      <c r="AB40" s="28">
        <v>50</v>
      </c>
      <c r="AE40" s="26"/>
      <c r="AF40" s="26"/>
      <c r="AG40" s="26"/>
      <c r="AH40" s="26"/>
    </row>
    <row r="41" spans="1:34" x14ac:dyDescent="0.4">
      <c r="A41" s="19"/>
      <c r="B41" s="8"/>
      <c r="C41" s="40">
        <v>42.01</v>
      </c>
      <c r="D41" s="47">
        <v>84412.1</v>
      </c>
      <c r="E41" s="50">
        <v>19085.29</v>
      </c>
      <c r="F41" s="24"/>
      <c r="G41" s="24"/>
      <c r="H41" s="50"/>
      <c r="I41" s="49">
        <f t="shared" si="0"/>
        <v>103497.39000000001</v>
      </c>
      <c r="J41" s="17">
        <f>(1768.02)+(1313.03*11)</f>
        <v>16211.35</v>
      </c>
      <c r="K41" s="22">
        <v>1801.36</v>
      </c>
      <c r="L41" s="17">
        <v>246.24</v>
      </c>
      <c r="M41" s="22">
        <v>457.68</v>
      </c>
      <c r="N41" s="17"/>
      <c r="O41" s="17">
        <v>172.08</v>
      </c>
      <c r="P41" s="17">
        <v>386.76</v>
      </c>
      <c r="Q41" s="17"/>
      <c r="R41" s="17">
        <v>289.8</v>
      </c>
      <c r="S41" s="17"/>
      <c r="T41" s="17">
        <f>5060.09+3373.45</f>
        <v>8433.5400000000009</v>
      </c>
      <c r="U41" s="17">
        <v>8433.4599999999991</v>
      </c>
      <c r="V41" s="17"/>
      <c r="W41" s="17"/>
      <c r="X41" s="22">
        <v>57</v>
      </c>
      <c r="Y41" s="9">
        <f t="shared" si="3"/>
        <v>129122.08000000002</v>
      </c>
      <c r="Z41" s="9">
        <f t="shared" si="2"/>
        <v>10921.579999999998</v>
      </c>
      <c r="AB41" s="28"/>
      <c r="AE41" s="26"/>
      <c r="AF41" s="26"/>
      <c r="AG41" s="26"/>
      <c r="AH41" s="26"/>
    </row>
    <row r="42" spans="1:34" x14ac:dyDescent="0.4">
      <c r="A42" s="19"/>
      <c r="B42" s="8"/>
      <c r="C42" s="40">
        <v>25</v>
      </c>
      <c r="D42" s="47">
        <v>50727.93</v>
      </c>
      <c r="E42" s="50">
        <v>4618.54</v>
      </c>
      <c r="F42" s="24"/>
      <c r="G42" s="24"/>
      <c r="H42" s="50"/>
      <c r="I42" s="49">
        <f t="shared" si="0"/>
        <v>55346.47</v>
      </c>
      <c r="J42" s="17">
        <v>21216.240000000002</v>
      </c>
      <c r="K42" s="22">
        <v>2357.52</v>
      </c>
      <c r="L42" s="17">
        <v>428.76</v>
      </c>
      <c r="M42" s="22">
        <v>796.56</v>
      </c>
      <c r="N42" s="17"/>
      <c r="O42" s="17">
        <v>266.16000000000003</v>
      </c>
      <c r="P42" s="17">
        <v>249.72</v>
      </c>
      <c r="Q42" s="17"/>
      <c r="R42" s="17">
        <v>212.76</v>
      </c>
      <c r="S42" s="17"/>
      <c r="T42" s="17">
        <f>3035.1+2023.33</f>
        <v>5058.43</v>
      </c>
      <c r="U42" s="17">
        <v>2023.33</v>
      </c>
      <c r="V42" s="17"/>
      <c r="W42" s="17"/>
      <c r="X42" s="22">
        <v>57</v>
      </c>
      <c r="Y42" s="9">
        <f t="shared" si="3"/>
        <v>82569.38</v>
      </c>
      <c r="Z42" s="9">
        <f t="shared" si="2"/>
        <v>5500.57</v>
      </c>
      <c r="AB42" s="28"/>
    </row>
    <row r="43" spans="1:34" x14ac:dyDescent="0.4">
      <c r="A43" s="19"/>
      <c r="B43" s="8"/>
      <c r="C43" s="40">
        <v>22.74</v>
      </c>
      <c r="D43" s="47">
        <v>45555.43</v>
      </c>
      <c r="E43" s="50">
        <v>304.07</v>
      </c>
      <c r="F43" s="24"/>
      <c r="G43" s="24"/>
      <c r="H43" s="48"/>
      <c r="I43" s="49">
        <f t="shared" si="0"/>
        <v>45859.5</v>
      </c>
      <c r="J43" s="17">
        <v>0</v>
      </c>
      <c r="K43" s="22">
        <v>0</v>
      </c>
      <c r="L43" s="17">
        <v>111.12</v>
      </c>
      <c r="M43" s="22">
        <v>206.64</v>
      </c>
      <c r="N43" s="17"/>
      <c r="O43" s="17">
        <v>90.48</v>
      </c>
      <c r="P43" s="17">
        <v>225.24</v>
      </c>
      <c r="Q43" s="17"/>
      <c r="R43" s="17">
        <v>172.2</v>
      </c>
      <c r="S43" s="17"/>
      <c r="T43" s="17">
        <f>2731.5+1821.01</f>
        <v>4552.51</v>
      </c>
      <c r="U43" s="17">
        <f>1821.01+1821.01</f>
        <v>3642.02</v>
      </c>
      <c r="V43" s="17"/>
      <c r="W43" s="17"/>
      <c r="X43" s="22">
        <v>57</v>
      </c>
      <c r="Y43" s="9">
        <f t="shared" si="3"/>
        <v>50977.57</v>
      </c>
      <c r="Z43" s="9">
        <f t="shared" si="2"/>
        <v>3996.14</v>
      </c>
      <c r="AB43" s="28"/>
      <c r="AE43" s="57"/>
    </row>
    <row r="44" spans="1:34" x14ac:dyDescent="0.4">
      <c r="A44" s="19"/>
      <c r="B44" s="8"/>
      <c r="C44" s="40">
        <v>38.79</v>
      </c>
      <c r="D44" s="47">
        <v>78847.13</v>
      </c>
      <c r="E44" s="50">
        <v>24684.28</v>
      </c>
      <c r="F44" s="24"/>
      <c r="G44" s="24"/>
      <c r="H44" s="48"/>
      <c r="I44" s="49">
        <f t="shared" si="0"/>
        <v>103531.41</v>
      </c>
      <c r="J44" s="17">
        <f>1313.03*7</f>
        <v>9191.2099999999991</v>
      </c>
      <c r="K44" s="22">
        <v>1021.3</v>
      </c>
      <c r="L44" s="17">
        <v>246.24</v>
      </c>
      <c r="M44" s="22">
        <v>457.68</v>
      </c>
      <c r="N44" s="17"/>
      <c r="O44" s="17"/>
      <c r="P44" s="17">
        <v>332.88</v>
      </c>
      <c r="Q44" s="17"/>
      <c r="R44" s="17">
        <v>241.8</v>
      </c>
      <c r="S44" s="17"/>
      <c r="T44" s="17">
        <v>4727.16</v>
      </c>
      <c r="U44" s="17"/>
      <c r="V44" s="17"/>
      <c r="W44" s="17"/>
      <c r="X44" s="22">
        <v>57</v>
      </c>
      <c r="Y44" s="9">
        <f t="shared" si="3"/>
        <v>118327.70000000001</v>
      </c>
      <c r="Z44" s="9">
        <f t="shared" si="2"/>
        <v>1535.98</v>
      </c>
      <c r="AB44" s="28"/>
    </row>
    <row r="45" spans="1:34" x14ac:dyDescent="0.4">
      <c r="A45" s="19"/>
      <c r="B45" s="8"/>
      <c r="C45" s="40">
        <v>32.54</v>
      </c>
      <c r="D45" s="47">
        <v>64280.83</v>
      </c>
      <c r="E45" s="50">
        <v>14403.54</v>
      </c>
      <c r="F45" s="24"/>
      <c r="G45" s="24"/>
      <c r="H45" s="48"/>
      <c r="I45" s="49">
        <f t="shared" si="0"/>
        <v>78684.37</v>
      </c>
      <c r="J45" s="17">
        <v>6708.48</v>
      </c>
      <c r="K45" s="22">
        <v>745.44</v>
      </c>
      <c r="L45" s="17">
        <v>111.12</v>
      </c>
      <c r="M45" s="22">
        <v>206.64</v>
      </c>
      <c r="N45" s="17"/>
      <c r="O45" s="17"/>
      <c r="P45" s="17">
        <v>313.32</v>
      </c>
      <c r="Q45" s="17"/>
      <c r="R45" s="17">
        <v>248.76</v>
      </c>
      <c r="S45" s="17"/>
      <c r="T45" s="17">
        <f>3853.52+2568.95</f>
        <v>6422.4699999999993</v>
      </c>
      <c r="U45" s="17">
        <v>4573.92</v>
      </c>
      <c r="V45" s="17"/>
      <c r="W45" s="17"/>
      <c r="X45" s="22">
        <v>57</v>
      </c>
      <c r="Y45" s="9">
        <f t="shared" si="3"/>
        <v>92545.51999999999</v>
      </c>
      <c r="Z45" s="9">
        <f t="shared" si="2"/>
        <v>5583</v>
      </c>
      <c r="AB45" s="28"/>
    </row>
    <row r="46" spans="1:34" x14ac:dyDescent="0.4">
      <c r="A46" s="19"/>
      <c r="B46" s="8"/>
      <c r="C46" s="40">
        <v>30.16</v>
      </c>
      <c r="D46" s="47">
        <v>60368.88</v>
      </c>
      <c r="E46" s="50">
        <v>13241.11</v>
      </c>
      <c r="F46" s="24"/>
      <c r="G46" s="24"/>
      <c r="H46" s="48"/>
      <c r="I46" s="49">
        <f t="shared" si="0"/>
        <v>73609.989999999991</v>
      </c>
      <c r="J46" s="17">
        <v>6708.48</v>
      </c>
      <c r="K46" s="22">
        <v>745.44</v>
      </c>
      <c r="L46" s="17">
        <v>111.12</v>
      </c>
      <c r="M46" s="22">
        <v>206.64</v>
      </c>
      <c r="N46" s="17"/>
      <c r="O46" s="17"/>
      <c r="P46" s="17">
        <v>303.60000000000002</v>
      </c>
      <c r="Q46" s="17"/>
      <c r="R46" s="17">
        <v>222.48</v>
      </c>
      <c r="S46" s="17"/>
      <c r="T46" s="17">
        <f>3619.43+2413.01</f>
        <v>6032.4400000000005</v>
      </c>
      <c r="U46" s="17">
        <v>2413.0100000000002</v>
      </c>
      <c r="V46" s="17"/>
      <c r="W46" s="17"/>
      <c r="X46" s="22">
        <v>57</v>
      </c>
      <c r="Y46" s="9">
        <f t="shared" si="3"/>
        <v>87045.109999999986</v>
      </c>
      <c r="Z46" s="9">
        <f t="shared" si="2"/>
        <v>3422.09</v>
      </c>
      <c r="AB46" s="28"/>
    </row>
    <row r="47" spans="1:34" x14ac:dyDescent="0.4">
      <c r="A47" s="19"/>
      <c r="B47" s="8"/>
      <c r="C47" s="40">
        <v>33.89</v>
      </c>
      <c r="D47" s="47">
        <v>65385.17</v>
      </c>
      <c r="E47" s="50">
        <v>947.51</v>
      </c>
      <c r="F47" s="24"/>
      <c r="G47" s="24"/>
      <c r="H47" s="48"/>
      <c r="I47" s="49">
        <f t="shared" si="0"/>
        <v>66332.679999999993</v>
      </c>
      <c r="J47" s="17">
        <v>6708.48</v>
      </c>
      <c r="K47" s="22">
        <v>745.44</v>
      </c>
      <c r="L47" s="17">
        <v>111.12</v>
      </c>
      <c r="M47" s="22">
        <v>206.64</v>
      </c>
      <c r="N47" s="17"/>
      <c r="O47" s="17"/>
      <c r="P47" s="17">
        <v>318.24</v>
      </c>
      <c r="Q47" s="17"/>
      <c r="R47" s="17">
        <v>270.83999999999997</v>
      </c>
      <c r="S47" s="17"/>
      <c r="T47" s="17">
        <f>3898.35+2598.84</f>
        <v>6497.1900000000005</v>
      </c>
      <c r="U47" s="17">
        <v>6497.2</v>
      </c>
      <c r="V47" s="17"/>
      <c r="W47" s="17"/>
      <c r="X47" s="22">
        <v>57</v>
      </c>
      <c r="Y47" s="9">
        <f t="shared" si="3"/>
        <v>80295.549999999988</v>
      </c>
      <c r="Z47" s="9">
        <f t="shared" si="2"/>
        <v>7506.28</v>
      </c>
      <c r="AB47" s="28"/>
    </row>
    <row r="48" spans="1:34" x14ac:dyDescent="0.4">
      <c r="A48" s="19"/>
      <c r="B48" s="8"/>
      <c r="C48" s="40">
        <v>20.95</v>
      </c>
      <c r="D48" s="47">
        <v>40582.089999999997</v>
      </c>
      <c r="E48" s="50">
        <v>355.13</v>
      </c>
      <c r="F48" s="24"/>
      <c r="G48" s="24"/>
      <c r="H48" s="48"/>
      <c r="I48" s="49">
        <f t="shared" si="0"/>
        <v>40937.219999999994</v>
      </c>
      <c r="J48" s="17">
        <v>21216.240000000002</v>
      </c>
      <c r="K48" s="22">
        <v>2357.52</v>
      </c>
      <c r="L48" s="17">
        <v>428.76</v>
      </c>
      <c r="M48" s="22">
        <v>796.56</v>
      </c>
      <c r="N48" s="17"/>
      <c r="O48" s="17">
        <v>266.16000000000003</v>
      </c>
      <c r="P48" s="17">
        <v>200.76</v>
      </c>
      <c r="Q48" s="17"/>
      <c r="R48" s="17">
        <v>157.19999999999999</v>
      </c>
      <c r="S48" s="17"/>
      <c r="T48" s="17">
        <f>2432.9+1621.86</f>
        <v>4054.76</v>
      </c>
      <c r="U48" s="17">
        <v>1621.86</v>
      </c>
      <c r="V48" s="17"/>
      <c r="W48" s="17"/>
      <c r="X48" s="22">
        <v>57</v>
      </c>
      <c r="Y48" s="9">
        <f t="shared" si="3"/>
        <v>67051.939999999988</v>
      </c>
      <c r="Z48" s="9">
        <f t="shared" si="2"/>
        <v>5099.0999999999995</v>
      </c>
      <c r="AB48" s="28"/>
    </row>
    <row r="49" spans="1:28" x14ac:dyDescent="0.4">
      <c r="A49" s="19"/>
      <c r="B49" s="8"/>
      <c r="C49" s="40">
        <v>20.95</v>
      </c>
      <c r="D49" s="47">
        <v>40712.639999999999</v>
      </c>
      <c r="E49" s="50">
        <v>1157.6600000000001</v>
      </c>
      <c r="F49" s="24"/>
      <c r="G49" s="24"/>
      <c r="H49" s="48"/>
      <c r="I49" s="49">
        <f t="shared" si="0"/>
        <v>41870.300000000003</v>
      </c>
      <c r="J49" s="17">
        <v>13794.84</v>
      </c>
      <c r="K49" s="22">
        <v>1532.88</v>
      </c>
      <c r="L49" s="17">
        <v>0</v>
      </c>
      <c r="M49" s="22">
        <v>0</v>
      </c>
      <c r="N49" s="17"/>
      <c r="O49" s="17">
        <v>90.48</v>
      </c>
      <c r="P49" s="17">
        <v>200.76</v>
      </c>
      <c r="Q49" s="17"/>
      <c r="R49" s="17">
        <v>157.19999999999999</v>
      </c>
      <c r="S49" s="17"/>
      <c r="T49" s="17">
        <f>2432.9+1621.86</f>
        <v>4054.76</v>
      </c>
      <c r="U49" s="17">
        <v>1621.86</v>
      </c>
      <c r="V49" s="17"/>
      <c r="W49" s="17"/>
      <c r="X49" s="22">
        <v>57</v>
      </c>
      <c r="Y49" s="9">
        <f t="shared" si="3"/>
        <v>60134.86</v>
      </c>
      <c r="Z49" s="9">
        <f t="shared" si="2"/>
        <v>3302.2200000000003</v>
      </c>
      <c r="AB49" s="28"/>
    </row>
    <row r="50" spans="1:28" x14ac:dyDescent="0.4">
      <c r="A50" s="19"/>
      <c r="B50" s="8"/>
      <c r="C50" s="40">
        <v>20.95</v>
      </c>
      <c r="D50" s="47">
        <v>40800.959999999999</v>
      </c>
      <c r="E50" s="50">
        <v>841.2</v>
      </c>
      <c r="F50" s="24"/>
      <c r="G50" s="24"/>
      <c r="H50" s="48"/>
      <c r="I50" s="49">
        <f t="shared" si="0"/>
        <v>41642.159999999996</v>
      </c>
      <c r="J50" s="17">
        <v>6708.48</v>
      </c>
      <c r="K50" s="22">
        <v>745.44</v>
      </c>
      <c r="L50" s="17">
        <v>111.12</v>
      </c>
      <c r="M50" s="22">
        <v>206.64</v>
      </c>
      <c r="N50" s="17"/>
      <c r="O50" s="17">
        <v>90.48</v>
      </c>
      <c r="P50" s="17">
        <v>200.76</v>
      </c>
      <c r="Q50" s="17"/>
      <c r="R50" s="17">
        <v>157.19999999999999</v>
      </c>
      <c r="S50" s="17"/>
      <c r="T50" s="17">
        <f>2432.9+1621.86</f>
        <v>4054.76</v>
      </c>
      <c r="U50" s="17">
        <v>1621.86</v>
      </c>
      <c r="V50" s="17"/>
      <c r="W50" s="17"/>
      <c r="X50" s="22">
        <v>57</v>
      </c>
      <c r="Y50" s="9">
        <f t="shared" si="3"/>
        <v>52931.48</v>
      </c>
      <c r="Z50" s="9">
        <f t="shared" si="2"/>
        <v>2721.42</v>
      </c>
      <c r="AB50" s="28"/>
    </row>
    <row r="51" spans="1:28" x14ac:dyDescent="0.4">
      <c r="A51" s="19"/>
      <c r="B51" s="8"/>
      <c r="C51" s="40">
        <v>30.16</v>
      </c>
      <c r="D51" s="47">
        <v>60456.9</v>
      </c>
      <c r="E51" s="50">
        <v>18703.46</v>
      </c>
      <c r="F51" s="24"/>
      <c r="G51" s="24"/>
      <c r="H51" s="48"/>
      <c r="I51" s="49">
        <f t="shared" si="0"/>
        <v>79160.36</v>
      </c>
      <c r="J51" s="17">
        <v>0</v>
      </c>
      <c r="K51" s="22">
        <v>0</v>
      </c>
      <c r="L51" s="17">
        <v>0</v>
      </c>
      <c r="M51" s="22">
        <v>0</v>
      </c>
      <c r="N51" s="17"/>
      <c r="O51" s="17"/>
      <c r="P51" s="17">
        <v>303.60000000000002</v>
      </c>
      <c r="Q51" s="17"/>
      <c r="R51" s="17">
        <v>270.83999999999997</v>
      </c>
      <c r="S51" s="17"/>
      <c r="T51" s="17">
        <f>3624.71+2416.53</f>
        <v>6041.24</v>
      </c>
      <c r="U51" s="17">
        <f>3624.71+2416.53</f>
        <v>6041.24</v>
      </c>
      <c r="V51" s="17"/>
      <c r="W51" s="17"/>
      <c r="X51" s="22">
        <v>57</v>
      </c>
      <c r="Y51" s="9">
        <f t="shared" si="3"/>
        <v>85833.040000000008</v>
      </c>
      <c r="Z51" s="9">
        <f t="shared" si="2"/>
        <v>6098.24</v>
      </c>
      <c r="AB51" s="28"/>
    </row>
    <row r="52" spans="1:28" x14ac:dyDescent="0.4">
      <c r="A52" s="19"/>
      <c r="B52" s="8"/>
      <c r="C52" s="40">
        <v>28.01</v>
      </c>
      <c r="D52" s="47">
        <v>56074.19</v>
      </c>
      <c r="E52" s="50">
        <v>17480.759999999998</v>
      </c>
      <c r="F52" s="24"/>
      <c r="G52" s="24"/>
      <c r="H52" s="48"/>
      <c r="I52" s="49">
        <f t="shared" si="0"/>
        <v>73554.95</v>
      </c>
      <c r="J52" s="17">
        <v>0</v>
      </c>
      <c r="K52" s="22">
        <v>0</v>
      </c>
      <c r="L52" s="17">
        <v>0</v>
      </c>
      <c r="M52" s="22">
        <v>0</v>
      </c>
      <c r="N52" s="17"/>
      <c r="O52" s="17"/>
      <c r="P52" s="17">
        <v>279.12</v>
      </c>
      <c r="Q52" s="17"/>
      <c r="R52" s="17">
        <v>241.8</v>
      </c>
      <c r="S52" s="17"/>
      <c r="T52" s="17">
        <f>3361.65+2241.07</f>
        <v>5602.72</v>
      </c>
      <c r="U52" s="17">
        <f>2241.07+2241.07</f>
        <v>4482.1400000000003</v>
      </c>
      <c r="V52" s="17"/>
      <c r="W52" s="17"/>
      <c r="X52" s="22">
        <v>57</v>
      </c>
      <c r="Y52" s="9">
        <f t="shared" si="3"/>
        <v>79735.59</v>
      </c>
      <c r="Z52" s="9">
        <f t="shared" si="2"/>
        <v>4539.1400000000003</v>
      </c>
      <c r="AB52" s="28"/>
    </row>
    <row r="53" spans="1:28" x14ac:dyDescent="0.4">
      <c r="A53" s="19"/>
      <c r="B53" s="8"/>
      <c r="C53" s="40">
        <v>28.01</v>
      </c>
      <c r="D53" s="47">
        <v>56938.02</v>
      </c>
      <c r="E53" s="50">
        <v>13034.61</v>
      </c>
      <c r="F53" s="24"/>
      <c r="G53" s="24"/>
      <c r="H53" s="48"/>
      <c r="I53" s="49">
        <f t="shared" si="0"/>
        <v>69972.63</v>
      </c>
      <c r="J53" s="17">
        <v>0</v>
      </c>
      <c r="K53" s="22">
        <v>0</v>
      </c>
      <c r="L53" s="17">
        <v>0</v>
      </c>
      <c r="M53" s="22">
        <v>0</v>
      </c>
      <c r="N53" s="17"/>
      <c r="O53" s="17"/>
      <c r="P53" s="17">
        <v>279.12</v>
      </c>
      <c r="Q53" s="17"/>
      <c r="R53" s="17">
        <v>251.52</v>
      </c>
      <c r="S53" s="17"/>
      <c r="T53" s="17">
        <f>3413.95+2275.95</f>
        <v>5689.9</v>
      </c>
      <c r="U53" s="17">
        <f>3413.95+2275.95</f>
        <v>5689.9</v>
      </c>
      <c r="V53" s="17"/>
      <c r="W53" s="17"/>
      <c r="X53" s="22">
        <v>57</v>
      </c>
      <c r="Y53" s="9">
        <f t="shared" si="3"/>
        <v>76250.17</v>
      </c>
      <c r="Z53" s="9">
        <f t="shared" si="2"/>
        <v>5746.9</v>
      </c>
      <c r="AB53" s="28"/>
    </row>
    <row r="54" spans="1:28" x14ac:dyDescent="0.4">
      <c r="A54" s="19"/>
      <c r="B54" s="8"/>
      <c r="C54" s="40">
        <v>20.95</v>
      </c>
      <c r="D54" s="47">
        <v>33590.11</v>
      </c>
      <c r="E54" s="50">
        <v>110.22</v>
      </c>
      <c r="F54" s="24"/>
      <c r="G54" s="24"/>
      <c r="H54" s="48"/>
      <c r="I54" s="49">
        <f t="shared" si="0"/>
        <v>33700.33</v>
      </c>
      <c r="J54" s="17">
        <v>21216.240000000002</v>
      </c>
      <c r="K54" s="22">
        <v>2062.83</v>
      </c>
      <c r="L54" s="17">
        <f>35.73*12</f>
        <v>428.76</v>
      </c>
      <c r="M54" s="22">
        <v>696.99</v>
      </c>
      <c r="N54" s="17"/>
      <c r="O54" s="17"/>
      <c r="P54" s="17">
        <v>200.76</v>
      </c>
      <c r="Q54" s="17"/>
      <c r="R54" s="17">
        <v>157.19999999999999</v>
      </c>
      <c r="S54" s="17"/>
      <c r="T54" s="17">
        <f>1794.99+1165.81</f>
        <v>2960.8</v>
      </c>
      <c r="U54" s="17">
        <v>1227.45</v>
      </c>
      <c r="V54" s="17"/>
      <c r="W54" s="17"/>
      <c r="X54" s="22">
        <v>57</v>
      </c>
      <c r="Y54" s="9">
        <f t="shared" si="3"/>
        <v>58721.090000000011</v>
      </c>
      <c r="Z54" s="9">
        <f t="shared" si="2"/>
        <v>4044.2699999999995</v>
      </c>
      <c r="AB54" s="28"/>
    </row>
    <row r="55" spans="1:28" x14ac:dyDescent="0.4">
      <c r="A55" s="19"/>
      <c r="B55" s="8"/>
      <c r="C55" s="40">
        <v>27.28</v>
      </c>
      <c r="D55" s="47">
        <v>54232.57</v>
      </c>
      <c r="E55" s="50">
        <v>7937.33</v>
      </c>
      <c r="F55" s="24"/>
      <c r="G55" s="24"/>
      <c r="H55" s="48"/>
      <c r="I55" s="49">
        <f t="shared" si="0"/>
        <v>62169.9</v>
      </c>
      <c r="J55" s="17">
        <v>6708.48</v>
      </c>
      <c r="K55" s="22">
        <v>745.44</v>
      </c>
      <c r="L55" s="17">
        <v>111.12</v>
      </c>
      <c r="M55" s="22">
        <v>206.64</v>
      </c>
      <c r="N55" s="17"/>
      <c r="O55" s="17">
        <v>90.48</v>
      </c>
      <c r="P55" s="17">
        <v>264.36</v>
      </c>
      <c r="Q55" s="17"/>
      <c r="R55" s="17">
        <v>236.4</v>
      </c>
      <c r="S55" s="17"/>
      <c r="T55" s="17">
        <f>2134.73+1423.13</f>
        <v>3557.86</v>
      </c>
      <c r="U55" s="17">
        <v>3251.9</v>
      </c>
      <c r="V55" s="17"/>
      <c r="W55" s="17"/>
      <c r="X55" s="22">
        <v>57</v>
      </c>
      <c r="Y55" s="9">
        <f t="shared" si="3"/>
        <v>73105.119999999995</v>
      </c>
      <c r="Z55" s="9">
        <f t="shared" si="2"/>
        <v>4351.46</v>
      </c>
      <c r="AB55" s="28"/>
    </row>
    <row r="56" spans="1:28" x14ac:dyDescent="0.4">
      <c r="A56" s="19"/>
      <c r="B56" s="8"/>
      <c r="C56" s="40">
        <v>38.79</v>
      </c>
      <c r="D56" s="47">
        <v>77794.05</v>
      </c>
      <c r="E56" s="50">
        <v>14461.62</v>
      </c>
      <c r="F56" s="24"/>
      <c r="G56" s="24"/>
      <c r="H56" s="48"/>
      <c r="I56" s="49">
        <f t="shared" si="0"/>
        <v>92255.67</v>
      </c>
      <c r="J56" s="17">
        <v>21216.240000000002</v>
      </c>
      <c r="K56" s="22">
        <v>2357.52</v>
      </c>
      <c r="L56" s="17">
        <v>428.76</v>
      </c>
      <c r="M56" s="22">
        <v>796.56</v>
      </c>
      <c r="N56" s="17"/>
      <c r="O56" s="17">
        <v>266.16000000000003</v>
      </c>
      <c r="P56" s="17">
        <v>386.76</v>
      </c>
      <c r="Q56" s="17"/>
      <c r="R56" s="17">
        <v>348.24</v>
      </c>
      <c r="S56" s="17"/>
      <c r="T56" s="17">
        <f>1944.85+1296.57</f>
        <v>3241.42</v>
      </c>
      <c r="U56" s="17">
        <v>3107.67</v>
      </c>
      <c r="V56" s="17"/>
      <c r="W56" s="17"/>
      <c r="X56" s="22">
        <v>57</v>
      </c>
      <c r="Y56" s="9">
        <f t="shared" si="3"/>
        <v>117934.09</v>
      </c>
      <c r="Z56" s="9">
        <f t="shared" si="2"/>
        <v>6584.91</v>
      </c>
      <c r="AB56" s="28"/>
    </row>
    <row r="57" spans="1:28" x14ac:dyDescent="0.4">
      <c r="A57" s="19"/>
      <c r="B57" s="8"/>
      <c r="C57" s="40">
        <v>20.95</v>
      </c>
      <c r="D57" s="47">
        <v>40605.120000000003</v>
      </c>
      <c r="E57" s="50">
        <v>376.78</v>
      </c>
      <c r="F57" s="24"/>
      <c r="G57" s="24"/>
      <c r="H57" s="48"/>
      <c r="I57" s="49">
        <f t="shared" si="0"/>
        <v>40981.9</v>
      </c>
      <c r="J57" s="17">
        <v>13794.84</v>
      </c>
      <c r="K57" s="22">
        <v>1532.88</v>
      </c>
      <c r="L57" s="17">
        <v>111.12</v>
      </c>
      <c r="M57" s="22">
        <v>206.64</v>
      </c>
      <c r="N57" s="17"/>
      <c r="O57" s="17"/>
      <c r="P57" s="17">
        <v>200.76</v>
      </c>
      <c r="Q57" s="17"/>
      <c r="R57" s="17">
        <v>157.19999999999999</v>
      </c>
      <c r="S57" s="17"/>
      <c r="T57" s="17">
        <f>583.9+389.26</f>
        <v>973.16</v>
      </c>
      <c r="U57" s="17">
        <v>1621.86</v>
      </c>
      <c r="V57" s="17"/>
      <c r="W57" s="17"/>
      <c r="X57" s="22">
        <v>57</v>
      </c>
      <c r="Y57" s="9">
        <f t="shared" si="3"/>
        <v>56275.98000000001</v>
      </c>
      <c r="Z57" s="9">
        <f t="shared" si="2"/>
        <v>3418.38</v>
      </c>
      <c r="AB57" s="28"/>
    </row>
    <row r="58" spans="1:28" x14ac:dyDescent="0.4">
      <c r="A58" s="19"/>
      <c r="B58" s="8"/>
      <c r="C58" s="40">
        <v>23.29</v>
      </c>
      <c r="D58" s="47">
        <v>47053.96</v>
      </c>
      <c r="E58" s="50">
        <v>2565.04</v>
      </c>
      <c r="F58" s="24"/>
      <c r="G58" s="24"/>
      <c r="H58" s="48"/>
      <c r="I58" s="49">
        <f t="shared" si="0"/>
        <v>49619</v>
      </c>
      <c r="J58" s="17">
        <v>21216.240000000002</v>
      </c>
      <c r="K58" s="22">
        <v>2357.52</v>
      </c>
      <c r="L58" s="17">
        <v>428.76</v>
      </c>
      <c r="M58" s="22">
        <v>796.56</v>
      </c>
      <c r="N58" s="17"/>
      <c r="O58" s="17">
        <v>266.16000000000003</v>
      </c>
      <c r="P58" s="17">
        <v>230.16</v>
      </c>
      <c r="Q58" s="17"/>
      <c r="R58" s="17">
        <v>199.54</v>
      </c>
      <c r="S58" s="17"/>
      <c r="T58" s="17">
        <f>445.65+148.54</f>
        <v>594.18999999999994</v>
      </c>
      <c r="U58" s="17">
        <v>544.54</v>
      </c>
      <c r="V58" s="17"/>
      <c r="W58" s="17"/>
      <c r="X58" s="22">
        <v>57</v>
      </c>
      <c r="Y58" s="9">
        <f t="shared" si="3"/>
        <v>72344.89</v>
      </c>
      <c r="Z58" s="9">
        <f t="shared" si="2"/>
        <v>4021.7799999999997</v>
      </c>
      <c r="AB58" s="28"/>
    </row>
    <row r="59" spans="1:28" x14ac:dyDescent="0.4">
      <c r="A59" s="19"/>
      <c r="B59" s="8"/>
      <c r="C59" s="40">
        <v>20.95</v>
      </c>
      <c r="D59" s="47">
        <v>35114.639999999999</v>
      </c>
      <c r="E59" s="50">
        <v>1428.32</v>
      </c>
      <c r="F59" s="24"/>
      <c r="G59" s="24"/>
      <c r="H59" s="48"/>
      <c r="I59" s="49">
        <f t="shared" si="0"/>
        <v>36542.959999999999</v>
      </c>
      <c r="J59" s="17">
        <v>0</v>
      </c>
      <c r="K59" s="22">
        <v>0</v>
      </c>
      <c r="L59" s="17"/>
      <c r="M59" s="22"/>
      <c r="N59" s="17"/>
      <c r="O59" s="17"/>
      <c r="P59" s="17">
        <v>167.3</v>
      </c>
      <c r="Q59" s="17"/>
      <c r="R59" s="17">
        <v>108.64</v>
      </c>
      <c r="S59" s="17"/>
      <c r="T59" s="17"/>
      <c r="U59" s="17">
        <v>1785.75</v>
      </c>
      <c r="V59" s="17"/>
      <c r="W59" s="17"/>
      <c r="X59" s="22">
        <v>57</v>
      </c>
      <c r="Y59" s="9">
        <f t="shared" si="3"/>
        <v>36875.9</v>
      </c>
      <c r="Z59" s="9">
        <f t="shared" si="2"/>
        <v>1842.75</v>
      </c>
      <c r="AB59" s="28"/>
    </row>
    <row r="60" spans="1:28" x14ac:dyDescent="0.4">
      <c r="A60" s="19"/>
      <c r="B60" s="55"/>
      <c r="C60" s="40">
        <v>39</v>
      </c>
      <c r="D60" s="47">
        <v>58733.82</v>
      </c>
      <c r="E60" s="50">
        <v>3468.46</v>
      </c>
      <c r="F60" s="24"/>
      <c r="G60" s="24"/>
      <c r="H60" s="48"/>
      <c r="I60" s="49">
        <f t="shared" si="0"/>
        <v>62202.28</v>
      </c>
      <c r="J60" s="17">
        <v>0</v>
      </c>
      <c r="K60" s="22">
        <v>0</v>
      </c>
      <c r="L60" s="17"/>
      <c r="M60" s="22"/>
      <c r="N60" s="17"/>
      <c r="O60" s="17"/>
      <c r="P60" s="17">
        <v>195.84</v>
      </c>
      <c r="Q60" s="17"/>
      <c r="R60" s="17">
        <v>93</v>
      </c>
      <c r="S60" s="17"/>
      <c r="T60" s="17"/>
      <c r="U60" s="17">
        <v>1734.4</v>
      </c>
      <c r="V60" s="17"/>
      <c r="W60" s="17"/>
      <c r="X60" s="22">
        <v>57</v>
      </c>
      <c r="Y60" s="9">
        <f t="shared" si="3"/>
        <v>62548.119999999995</v>
      </c>
      <c r="Z60" s="9">
        <f t="shared" ref="Z60:Z67" si="4">+K60+M60+O60+Q60+S60+U60+W60+X60</f>
        <v>1791.4</v>
      </c>
      <c r="AB60" s="28"/>
    </row>
    <row r="61" spans="1:28" x14ac:dyDescent="0.4">
      <c r="A61" s="19"/>
      <c r="B61" s="55"/>
      <c r="C61" s="40">
        <v>20.95</v>
      </c>
      <c r="D61" s="47">
        <v>21876.69</v>
      </c>
      <c r="E61" s="50">
        <v>833.14</v>
      </c>
      <c r="F61" s="24"/>
      <c r="G61" s="24"/>
      <c r="H61" s="48"/>
      <c r="I61" s="49">
        <f t="shared" si="0"/>
        <v>22709.829999999998</v>
      </c>
      <c r="J61" s="17">
        <f>6*1149.57</f>
        <v>6897.42</v>
      </c>
      <c r="K61" s="22">
        <v>766.44</v>
      </c>
      <c r="L61" s="17">
        <f>22.64*6</f>
        <v>135.84</v>
      </c>
      <c r="M61" s="22">
        <v>252.6</v>
      </c>
      <c r="N61" s="17"/>
      <c r="O61" s="17"/>
      <c r="P61" s="17">
        <v>100.38</v>
      </c>
      <c r="Q61" s="17"/>
      <c r="R61" s="17">
        <v>46.56</v>
      </c>
      <c r="S61" s="17"/>
      <c r="T61" s="17"/>
      <c r="U61" s="17"/>
      <c r="V61" s="17"/>
      <c r="W61" s="17"/>
      <c r="X61" s="22">
        <v>57</v>
      </c>
      <c r="Y61" s="9">
        <f t="shared" si="3"/>
        <v>29947.030000000002</v>
      </c>
      <c r="Z61" s="9">
        <f t="shared" si="4"/>
        <v>1076.04</v>
      </c>
      <c r="AB61" s="28"/>
    </row>
    <row r="62" spans="1:28" x14ac:dyDescent="0.4">
      <c r="A62" s="54"/>
      <c r="B62" s="55"/>
      <c r="C62" s="40">
        <v>16.559999999999999</v>
      </c>
      <c r="D62" s="47">
        <v>15900</v>
      </c>
      <c r="E62" s="24"/>
      <c r="F62" s="24"/>
      <c r="G62" s="24"/>
      <c r="H62" s="48"/>
      <c r="I62" s="49">
        <f t="shared" si="0"/>
        <v>15900</v>
      </c>
      <c r="J62" s="24"/>
      <c r="K62" s="17"/>
      <c r="L62" s="24"/>
      <c r="M62" s="24"/>
      <c r="N62" s="17"/>
      <c r="O62" s="17"/>
      <c r="P62" s="17"/>
      <c r="Q62" s="17"/>
      <c r="R62" s="17"/>
      <c r="S62" s="17"/>
      <c r="T62" s="17"/>
      <c r="U62" s="17"/>
      <c r="V62" s="17">
        <v>3139.8</v>
      </c>
      <c r="W62" s="17"/>
      <c r="X62" s="22"/>
      <c r="Y62" s="9">
        <f t="shared" si="3"/>
        <v>19039.8</v>
      </c>
      <c r="Z62" s="9">
        <f t="shared" si="4"/>
        <v>0</v>
      </c>
      <c r="AB62" s="28"/>
    </row>
    <row r="63" spans="1:28" x14ac:dyDescent="0.4">
      <c r="A63" s="18"/>
      <c r="B63" s="8"/>
      <c r="C63" s="40">
        <v>15.44</v>
      </c>
      <c r="D63" s="47">
        <v>1517.02</v>
      </c>
      <c r="E63" s="24"/>
      <c r="F63" s="24"/>
      <c r="G63" s="24"/>
      <c r="H63" s="48"/>
      <c r="I63" s="49">
        <f t="shared" si="0"/>
        <v>1517.02</v>
      </c>
      <c r="J63" s="24"/>
      <c r="K63" s="17"/>
      <c r="L63" s="24"/>
      <c r="M63" s="24"/>
      <c r="N63" s="17"/>
      <c r="O63" s="17"/>
      <c r="P63" s="17"/>
      <c r="Q63" s="17"/>
      <c r="R63" s="17"/>
      <c r="S63" s="17"/>
      <c r="T63" s="17"/>
      <c r="U63" s="17"/>
      <c r="V63" s="17">
        <v>1105.32</v>
      </c>
      <c r="W63" s="17"/>
      <c r="X63" s="22"/>
      <c r="Y63" s="9">
        <f t="shared" si="3"/>
        <v>2622.34</v>
      </c>
      <c r="Z63" s="9">
        <f t="shared" si="4"/>
        <v>0</v>
      </c>
      <c r="AB63" s="28"/>
    </row>
    <row r="64" spans="1:28" x14ac:dyDescent="0.4">
      <c r="A64" s="54"/>
      <c r="B64" s="55"/>
      <c r="C64" s="40"/>
      <c r="D64" s="47"/>
      <c r="E64" s="48"/>
      <c r="F64" s="24">
        <v>20227.599999999999</v>
      </c>
      <c r="G64" s="24"/>
      <c r="H64" s="48"/>
      <c r="I64" s="49">
        <f>SUM(D64:H64)</f>
        <v>20227.599999999999</v>
      </c>
      <c r="J64" s="17"/>
      <c r="K64" s="22"/>
      <c r="L64" s="17"/>
      <c r="M64" s="22"/>
      <c r="N64" s="17"/>
      <c r="O64" s="17"/>
      <c r="P64" s="17"/>
      <c r="Q64" s="17"/>
      <c r="R64" s="17"/>
      <c r="S64" s="17"/>
      <c r="T64" s="17"/>
      <c r="U64" s="17"/>
      <c r="V64" s="17"/>
      <c r="W64" s="17"/>
      <c r="X64" s="22"/>
      <c r="Y64" s="9">
        <f>+I64+J64+L64+N64+P64+R64+T64+V64+X64</f>
        <v>20227.599999999999</v>
      </c>
      <c r="Z64" s="9">
        <f>+K64+M64+O64+Q64+S64+U64+W64+X64</f>
        <v>0</v>
      </c>
      <c r="AB64" s="28"/>
    </row>
    <row r="65" spans="1:31" x14ac:dyDescent="0.4">
      <c r="A65" s="54"/>
      <c r="B65" s="55"/>
      <c r="C65" s="40"/>
      <c r="D65" s="47"/>
      <c r="E65" s="48"/>
      <c r="F65" s="24">
        <v>20091.259999999998</v>
      </c>
      <c r="G65" s="24"/>
      <c r="H65" s="48"/>
      <c r="I65" s="49">
        <f>SUM(D65:H65)</f>
        <v>20091.259999999998</v>
      </c>
      <c r="J65" s="17"/>
      <c r="K65" s="22"/>
      <c r="L65" s="17"/>
      <c r="M65" s="22"/>
      <c r="N65" s="17"/>
      <c r="O65" s="17"/>
      <c r="P65" s="17">
        <v>23.26</v>
      </c>
      <c r="Q65" s="17"/>
      <c r="R65" s="17">
        <v>19.97</v>
      </c>
      <c r="S65" s="17"/>
      <c r="T65" s="17">
        <v>15.14</v>
      </c>
      <c r="U65" s="17">
        <v>34</v>
      </c>
      <c r="V65" s="17">
        <v>1149.7</v>
      </c>
      <c r="W65" s="17"/>
      <c r="X65" s="22">
        <v>57</v>
      </c>
      <c r="Y65" s="9">
        <f>+I65+J65+L65+N65+P65+R65+T65+V65+X65</f>
        <v>21356.329999999998</v>
      </c>
      <c r="Z65" s="9">
        <f>+K65+M65+O65+Q65+S65+U65+W65+X65</f>
        <v>91</v>
      </c>
      <c r="AB65" s="28"/>
    </row>
    <row r="66" spans="1:31" x14ac:dyDescent="0.4">
      <c r="A66" s="54"/>
      <c r="B66" s="55"/>
      <c r="C66" s="40"/>
      <c r="D66" s="47">
        <v>15047.28</v>
      </c>
      <c r="E66" s="48">
        <v>1030.8800000000001</v>
      </c>
      <c r="F66" s="24"/>
      <c r="G66" s="24"/>
      <c r="H66" s="48"/>
      <c r="I66" s="49">
        <f>SUM(D66:H66)</f>
        <v>16078.16</v>
      </c>
      <c r="J66" s="17">
        <v>5252.12</v>
      </c>
      <c r="K66" s="22">
        <v>583.6</v>
      </c>
      <c r="L66" s="17">
        <f>4*20.52</f>
        <v>82.08</v>
      </c>
      <c r="M66" s="22">
        <v>152.56</v>
      </c>
      <c r="N66" s="17"/>
      <c r="O66" s="17">
        <v>57.36</v>
      </c>
      <c r="P66" s="17">
        <v>70.16</v>
      </c>
      <c r="Q66" s="17"/>
      <c r="R66" s="17">
        <v>59.48</v>
      </c>
      <c r="S66" s="17"/>
      <c r="T66" s="17">
        <v>148.76</v>
      </c>
      <c r="U66" s="17">
        <v>200</v>
      </c>
      <c r="V66" s="17">
        <v>3437.24</v>
      </c>
      <c r="W66" s="17"/>
      <c r="X66" s="22">
        <v>57</v>
      </c>
      <c r="Y66" s="9">
        <f>+I66+J66+L66+N66+P66+R66+T66+V66+X66</f>
        <v>25185</v>
      </c>
      <c r="Z66" s="9">
        <f>+K66+M66+O66+Q66+S66+U66+W66+X66</f>
        <v>1050.52</v>
      </c>
      <c r="AB66" s="28"/>
      <c r="AD66" s="56"/>
      <c r="AE66" s="23"/>
    </row>
    <row r="67" spans="1:31" x14ac:dyDescent="0.4">
      <c r="A67" s="54"/>
      <c r="B67" s="55"/>
      <c r="C67" s="41"/>
      <c r="D67" s="47"/>
      <c r="E67" s="48"/>
      <c r="F67" s="24"/>
      <c r="G67" s="24"/>
      <c r="H67" s="48"/>
      <c r="I67" s="49">
        <f t="shared" ref="I67:I71" si="5">SUM(D67:H67)</f>
        <v>0</v>
      </c>
      <c r="J67" s="24"/>
      <c r="K67" s="17"/>
      <c r="L67" s="24"/>
      <c r="M67" s="24"/>
      <c r="N67" s="17"/>
      <c r="O67" s="17"/>
      <c r="P67" s="17"/>
      <c r="Q67" s="17"/>
      <c r="R67" s="17"/>
      <c r="S67" s="17"/>
      <c r="T67" s="17"/>
      <c r="U67" s="17"/>
      <c r="V67" s="17"/>
      <c r="W67" s="17"/>
      <c r="X67" s="22"/>
      <c r="Y67" s="9">
        <f t="shared" ref="Y67:Y79" si="6">+I67+J67+L67+N67+P67+R67+T67+V67+X67</f>
        <v>0</v>
      </c>
      <c r="Z67" s="9">
        <f t="shared" si="4"/>
        <v>0</v>
      </c>
      <c r="AB67" s="28"/>
    </row>
    <row r="68" spans="1:31" x14ac:dyDescent="0.4">
      <c r="A68" s="54"/>
      <c r="B68" s="55"/>
      <c r="C68" s="41"/>
      <c r="D68" s="47"/>
      <c r="E68" s="48"/>
      <c r="F68" s="24"/>
      <c r="G68" s="24"/>
      <c r="H68" s="48"/>
      <c r="I68" s="49">
        <f t="shared" si="5"/>
        <v>0</v>
      </c>
      <c r="J68" s="24"/>
      <c r="K68" s="17"/>
      <c r="L68" s="24"/>
      <c r="M68" s="24"/>
      <c r="N68" s="17"/>
      <c r="O68" s="17"/>
      <c r="P68" s="17"/>
      <c r="Q68" s="17"/>
      <c r="R68" s="17"/>
      <c r="S68" s="17"/>
      <c r="T68" s="17"/>
      <c r="U68" s="17"/>
      <c r="V68" s="17"/>
      <c r="W68" s="17"/>
      <c r="X68" s="22"/>
      <c r="Y68" s="9">
        <f t="shared" si="6"/>
        <v>0</v>
      </c>
      <c r="Z68" s="9">
        <f t="shared" ref="Z68:Z77" si="7">+K68+M68+O68+Q68+S68+U68+W68+X68</f>
        <v>0</v>
      </c>
      <c r="AB68" s="28"/>
    </row>
    <row r="69" spans="1:31" x14ac:dyDescent="0.4">
      <c r="A69" s="54"/>
      <c r="B69" s="55"/>
      <c r="C69" s="41"/>
      <c r="D69" s="47"/>
      <c r="E69" s="48"/>
      <c r="F69" s="24"/>
      <c r="G69" s="24"/>
      <c r="H69" s="48"/>
      <c r="I69" s="49">
        <f t="shared" si="5"/>
        <v>0</v>
      </c>
      <c r="J69" s="24"/>
      <c r="K69" s="17"/>
      <c r="L69" s="24"/>
      <c r="M69" s="24"/>
      <c r="N69" s="17"/>
      <c r="O69" s="17"/>
      <c r="P69" s="17"/>
      <c r="Q69" s="17"/>
      <c r="R69" s="17"/>
      <c r="S69" s="17"/>
      <c r="T69" s="17"/>
      <c r="U69" s="17"/>
      <c r="V69" s="17"/>
      <c r="W69" s="17"/>
      <c r="X69" s="22"/>
      <c r="Y69" s="9">
        <f t="shared" si="6"/>
        <v>0</v>
      </c>
      <c r="Z69" s="9">
        <f t="shared" si="7"/>
        <v>0</v>
      </c>
      <c r="AB69" s="28"/>
    </row>
    <row r="70" spans="1:31" x14ac:dyDescent="0.4">
      <c r="A70" s="54"/>
      <c r="B70" s="55"/>
      <c r="C70" s="41"/>
      <c r="D70" s="47"/>
      <c r="E70" s="48"/>
      <c r="F70" s="24"/>
      <c r="G70" s="24"/>
      <c r="H70" s="48"/>
      <c r="I70" s="49">
        <f t="shared" si="5"/>
        <v>0</v>
      </c>
      <c r="J70" s="24"/>
      <c r="K70" s="17"/>
      <c r="L70" s="17"/>
      <c r="N70" s="17"/>
      <c r="O70" s="17"/>
      <c r="P70" s="17"/>
      <c r="Q70" s="17"/>
      <c r="R70" s="17"/>
      <c r="S70" s="17"/>
      <c r="T70" s="17"/>
      <c r="U70" s="17"/>
      <c r="V70" s="17"/>
      <c r="W70" s="17"/>
      <c r="X70" s="22"/>
      <c r="Y70" s="9">
        <f t="shared" si="6"/>
        <v>0</v>
      </c>
      <c r="Z70" s="9">
        <f t="shared" si="7"/>
        <v>0</v>
      </c>
      <c r="AB70" s="28"/>
    </row>
    <row r="71" spans="1:31" x14ac:dyDescent="0.4">
      <c r="A71" s="54"/>
      <c r="B71" s="55"/>
      <c r="C71" s="41"/>
      <c r="D71" s="47"/>
      <c r="E71" s="48"/>
      <c r="F71" s="24"/>
      <c r="G71" s="24"/>
      <c r="H71" s="48"/>
      <c r="I71" s="49">
        <f t="shared" si="5"/>
        <v>0</v>
      </c>
      <c r="J71" s="24"/>
      <c r="K71" s="17"/>
      <c r="L71" s="17"/>
      <c r="M71" s="17"/>
      <c r="N71" s="17"/>
      <c r="O71" s="17"/>
      <c r="P71" s="17"/>
      <c r="Q71" s="17"/>
      <c r="R71" s="17"/>
      <c r="S71" s="17"/>
      <c r="T71" s="17"/>
      <c r="U71" s="17"/>
      <c r="V71" s="17"/>
      <c r="W71" s="17"/>
      <c r="X71" s="22"/>
      <c r="Y71" s="9">
        <f t="shared" si="6"/>
        <v>0</v>
      </c>
      <c r="Z71" s="9">
        <f t="shared" si="7"/>
        <v>0</v>
      </c>
      <c r="AB71" s="28"/>
    </row>
    <row r="72" spans="1:31" x14ac:dyDescent="0.4">
      <c r="A72" s="54"/>
      <c r="B72" s="55"/>
      <c r="C72" s="41"/>
      <c r="D72" s="47"/>
      <c r="E72" s="50"/>
      <c r="F72" s="24"/>
      <c r="G72" s="24"/>
      <c r="H72" s="48"/>
      <c r="I72" s="49">
        <f t="shared" ref="I72:I79" si="8">SUM(D72:H72)</f>
        <v>0</v>
      </c>
      <c r="J72" s="17"/>
      <c r="K72" s="17"/>
      <c r="L72" s="17"/>
      <c r="M72" s="17"/>
      <c r="N72" s="17"/>
      <c r="O72" s="17"/>
      <c r="P72" s="17"/>
      <c r="Q72" s="17"/>
      <c r="R72" s="17"/>
      <c r="S72" s="17"/>
      <c r="T72" s="17"/>
      <c r="U72" s="17"/>
      <c r="V72" s="17"/>
      <c r="W72" s="17"/>
      <c r="X72" s="22"/>
      <c r="Y72" s="9">
        <f t="shared" si="6"/>
        <v>0</v>
      </c>
      <c r="Z72" s="9">
        <f t="shared" si="7"/>
        <v>0</v>
      </c>
      <c r="AB72" s="28"/>
    </row>
    <row r="73" spans="1:31" x14ac:dyDescent="0.4">
      <c r="A73" s="54"/>
      <c r="B73" s="55"/>
      <c r="C73" s="41"/>
      <c r="D73" s="47"/>
      <c r="E73" s="48"/>
      <c r="F73" s="24"/>
      <c r="G73" s="24"/>
      <c r="H73" s="48"/>
      <c r="I73" s="49">
        <f t="shared" si="8"/>
        <v>0</v>
      </c>
      <c r="J73" s="17"/>
      <c r="K73" s="17"/>
      <c r="L73" s="17"/>
      <c r="M73" s="17"/>
      <c r="N73" s="17"/>
      <c r="O73" s="17"/>
      <c r="P73" s="17"/>
      <c r="Q73" s="17"/>
      <c r="R73" s="17"/>
      <c r="S73" s="17"/>
      <c r="T73" s="17"/>
      <c r="U73" s="17"/>
      <c r="V73" s="17"/>
      <c r="W73" s="17"/>
      <c r="X73" s="22"/>
      <c r="Y73" s="9">
        <f t="shared" si="6"/>
        <v>0</v>
      </c>
      <c r="Z73" s="9">
        <f t="shared" si="7"/>
        <v>0</v>
      </c>
      <c r="AB73" s="28"/>
    </row>
    <row r="74" spans="1:31" x14ac:dyDescent="0.4">
      <c r="A74" s="19"/>
      <c r="B74" s="8"/>
      <c r="C74" s="41"/>
      <c r="D74" s="47"/>
      <c r="E74" s="48"/>
      <c r="F74" s="24"/>
      <c r="G74" s="24"/>
      <c r="H74" s="48"/>
      <c r="I74" s="49">
        <f t="shared" si="8"/>
        <v>0</v>
      </c>
      <c r="J74" s="17"/>
      <c r="K74" s="17"/>
      <c r="L74" s="17"/>
      <c r="M74" s="17"/>
      <c r="N74" s="17"/>
      <c r="O74" s="17"/>
      <c r="P74" s="17"/>
      <c r="Q74" s="17"/>
      <c r="R74" s="17"/>
      <c r="S74" s="17"/>
      <c r="T74" s="17"/>
      <c r="U74" s="17"/>
      <c r="V74" s="17"/>
      <c r="W74" s="17"/>
      <c r="X74" s="22"/>
      <c r="Y74" s="9">
        <f t="shared" si="6"/>
        <v>0</v>
      </c>
      <c r="Z74" s="9">
        <f t="shared" si="7"/>
        <v>0</v>
      </c>
      <c r="AB74" s="28"/>
    </row>
    <row r="75" spans="1:31" x14ac:dyDescent="0.4">
      <c r="A75" s="19"/>
      <c r="B75" s="8"/>
      <c r="C75" s="41"/>
      <c r="D75" s="47"/>
      <c r="E75" s="48"/>
      <c r="F75" s="24"/>
      <c r="G75" s="24"/>
      <c r="H75" s="48"/>
      <c r="I75" s="49">
        <f t="shared" si="8"/>
        <v>0</v>
      </c>
      <c r="J75" s="17"/>
      <c r="K75" s="17"/>
      <c r="L75" s="17"/>
      <c r="M75" s="17"/>
      <c r="N75" s="17"/>
      <c r="O75" s="17"/>
      <c r="P75" s="17"/>
      <c r="Q75" s="17"/>
      <c r="R75" s="17"/>
      <c r="S75" s="17"/>
      <c r="T75" s="17"/>
      <c r="U75" s="17"/>
      <c r="V75" s="17"/>
      <c r="W75" s="17"/>
      <c r="X75" s="22"/>
      <c r="Y75" s="9">
        <f t="shared" si="6"/>
        <v>0</v>
      </c>
      <c r="Z75" s="9">
        <f t="shared" si="7"/>
        <v>0</v>
      </c>
      <c r="AB75" s="28"/>
    </row>
    <row r="76" spans="1:31" x14ac:dyDescent="0.4">
      <c r="A76" s="19"/>
      <c r="B76" s="8"/>
      <c r="C76" s="41"/>
      <c r="D76" s="26"/>
      <c r="E76" s="48"/>
      <c r="F76" s="24"/>
      <c r="G76" s="24"/>
      <c r="H76" s="48"/>
      <c r="I76" s="49">
        <f t="shared" si="8"/>
        <v>0</v>
      </c>
      <c r="J76" s="17"/>
      <c r="K76" s="17"/>
      <c r="L76" s="17"/>
      <c r="M76" s="17"/>
      <c r="N76" s="17"/>
      <c r="O76" s="17"/>
      <c r="P76" s="17"/>
      <c r="Q76" s="17"/>
      <c r="R76" s="17"/>
      <c r="S76" s="17"/>
      <c r="T76" s="17"/>
      <c r="U76" s="17"/>
      <c r="V76" s="17"/>
      <c r="W76" s="17"/>
      <c r="X76" s="22"/>
      <c r="Y76" s="9">
        <f t="shared" si="6"/>
        <v>0</v>
      </c>
      <c r="Z76" s="9">
        <f t="shared" si="7"/>
        <v>0</v>
      </c>
      <c r="AB76" s="28"/>
    </row>
    <row r="77" spans="1:31" x14ac:dyDescent="0.4">
      <c r="A77" s="19"/>
      <c r="B77" s="8"/>
      <c r="C77" s="41"/>
      <c r="D77" s="48"/>
      <c r="E77" s="48"/>
      <c r="F77" s="24"/>
      <c r="G77" s="24"/>
      <c r="H77" s="48"/>
      <c r="I77" s="49">
        <f t="shared" si="8"/>
        <v>0</v>
      </c>
      <c r="J77" s="17"/>
      <c r="K77" s="17"/>
      <c r="L77" s="17"/>
      <c r="M77" s="17"/>
      <c r="N77" s="17"/>
      <c r="O77" s="17"/>
      <c r="P77" s="17"/>
      <c r="Q77" s="17"/>
      <c r="R77" s="17"/>
      <c r="S77" s="17"/>
      <c r="T77" s="17"/>
      <c r="U77" s="17"/>
      <c r="V77" s="17"/>
      <c r="W77" s="17"/>
      <c r="X77" s="17"/>
      <c r="Y77" s="9">
        <f t="shared" si="6"/>
        <v>0</v>
      </c>
      <c r="Z77" s="9">
        <f t="shared" si="7"/>
        <v>0</v>
      </c>
      <c r="AB77" s="28"/>
    </row>
    <row r="78" spans="1:31" x14ac:dyDescent="0.4">
      <c r="A78" s="20"/>
      <c r="B78" s="55"/>
      <c r="C78" s="40"/>
      <c r="D78" s="47"/>
      <c r="E78" s="50"/>
      <c r="F78" s="24"/>
      <c r="G78" s="24"/>
      <c r="H78" s="50"/>
      <c r="I78" s="49">
        <f>SUM(D78:H78)</f>
        <v>0</v>
      </c>
      <c r="J78" s="17"/>
      <c r="K78" s="22"/>
      <c r="L78" s="17"/>
      <c r="M78" s="22"/>
      <c r="N78" s="17"/>
      <c r="O78" s="17"/>
      <c r="P78" s="17"/>
      <c r="Q78" s="17"/>
      <c r="R78" s="17"/>
      <c r="S78" s="17"/>
      <c r="T78" s="17"/>
      <c r="U78" s="17"/>
      <c r="V78" s="17"/>
      <c r="W78" s="17"/>
      <c r="X78" s="22"/>
      <c r="Y78" s="9">
        <f>+I78+J78+L78+N78+P78+R78+T78+V78+X78</f>
        <v>0</v>
      </c>
      <c r="Z78" s="9">
        <f>+K78+M78+O78+Q78+S78+U78+W78+X78</f>
        <v>0</v>
      </c>
      <c r="AB78" s="28"/>
    </row>
    <row r="79" spans="1:31" x14ac:dyDescent="0.4">
      <c r="A79" s="20"/>
      <c r="B79" s="8"/>
      <c r="C79" s="41"/>
      <c r="D79" s="50"/>
      <c r="E79" s="50"/>
      <c r="F79" s="24"/>
      <c r="G79" s="24"/>
      <c r="H79" s="48"/>
      <c r="I79" s="49">
        <f t="shared" si="8"/>
        <v>0</v>
      </c>
      <c r="J79" s="17"/>
      <c r="K79" s="17"/>
      <c r="L79" s="17"/>
      <c r="M79" s="17"/>
      <c r="N79" s="17"/>
      <c r="O79" s="17"/>
      <c r="P79" s="17"/>
      <c r="Q79" s="17"/>
      <c r="R79" s="17"/>
      <c r="S79" s="17"/>
      <c r="T79" s="17"/>
      <c r="U79" s="17"/>
      <c r="V79" s="17"/>
      <c r="W79" s="17"/>
      <c r="X79" s="17"/>
      <c r="Y79" s="9">
        <f t="shared" si="6"/>
        <v>0</v>
      </c>
      <c r="Z79" s="9">
        <f t="shared" ref="Z79" si="9">+K79+M79+O79+Q79+S79+U79+W79</f>
        <v>0</v>
      </c>
      <c r="AB79" s="28"/>
    </row>
    <row r="80" spans="1:31" x14ac:dyDescent="0.4">
      <c r="A80" s="20"/>
      <c r="B80" s="8"/>
      <c r="C80" s="41"/>
      <c r="D80" s="50"/>
      <c r="E80" s="50"/>
      <c r="F80" s="24"/>
      <c r="G80" s="24"/>
      <c r="H80" s="48"/>
      <c r="I80" s="49"/>
      <c r="J80" s="17"/>
      <c r="K80" s="17"/>
      <c r="L80" s="17"/>
      <c r="M80" s="17"/>
      <c r="N80" s="17"/>
      <c r="O80" s="17"/>
      <c r="P80" s="17"/>
      <c r="Q80" s="17"/>
      <c r="R80" s="17"/>
      <c r="S80" s="17"/>
      <c r="T80" s="17"/>
      <c r="U80" s="17"/>
      <c r="V80" s="17"/>
      <c r="W80" s="17"/>
      <c r="X80" s="17"/>
      <c r="Y80" s="11"/>
      <c r="Z80" s="11"/>
      <c r="AB80" s="28"/>
    </row>
    <row r="81" spans="1:28" x14ac:dyDescent="0.4">
      <c r="A81" s="12"/>
      <c r="B81" s="13"/>
      <c r="C81" s="42"/>
      <c r="D81" s="10"/>
      <c r="E81" s="10"/>
      <c r="F81" s="10"/>
      <c r="G81" s="10"/>
      <c r="H81" s="10"/>
      <c r="I81" s="11"/>
      <c r="J81" s="10"/>
      <c r="K81" s="10"/>
      <c r="L81" s="10"/>
      <c r="M81" s="10"/>
      <c r="N81" s="10"/>
      <c r="O81" s="10"/>
      <c r="P81" s="10"/>
      <c r="Q81" s="10"/>
      <c r="R81" s="10"/>
      <c r="S81" s="10"/>
      <c r="T81" s="10"/>
      <c r="U81" s="10"/>
      <c r="V81" s="10"/>
      <c r="W81" s="10"/>
      <c r="X81" s="10"/>
      <c r="Y81" s="11"/>
      <c r="Z81" s="11"/>
      <c r="AB81" s="28"/>
    </row>
    <row r="82" spans="1:28" x14ac:dyDescent="0.4">
      <c r="A82" s="14" t="s">
        <v>17</v>
      </c>
      <c r="B82" s="15"/>
      <c r="C82" s="43"/>
      <c r="D82" s="59">
        <f t="shared" ref="D82:Z82" si="10">SUM(D7:D81)</f>
        <v>3596628.93</v>
      </c>
      <c r="E82" s="59">
        <f t="shared" si="10"/>
        <v>466906.08999999997</v>
      </c>
      <c r="F82" s="59">
        <f t="shared" si="10"/>
        <v>40318.86</v>
      </c>
      <c r="G82" s="59">
        <f t="shared" si="10"/>
        <v>0</v>
      </c>
      <c r="H82" s="59">
        <f t="shared" si="10"/>
        <v>4815.87</v>
      </c>
      <c r="I82" s="59">
        <f t="shared" si="10"/>
        <v>4108669.7500000009</v>
      </c>
      <c r="J82" s="16">
        <f t="shared" si="10"/>
        <v>741554.14999999956</v>
      </c>
      <c r="K82" s="16">
        <f t="shared" si="10"/>
        <v>82105.770000000019</v>
      </c>
      <c r="L82" s="16">
        <f t="shared" si="10"/>
        <v>11131.020000000004</v>
      </c>
      <c r="M82" s="16">
        <f t="shared" si="10"/>
        <v>20588.87</v>
      </c>
      <c r="N82" s="16">
        <f t="shared" si="10"/>
        <v>0</v>
      </c>
      <c r="O82" s="52">
        <f t="shared" si="10"/>
        <v>3516.62</v>
      </c>
      <c r="P82" s="16">
        <f t="shared" si="10"/>
        <v>17458.339999999997</v>
      </c>
      <c r="Q82" s="16">
        <f t="shared" si="10"/>
        <v>0</v>
      </c>
      <c r="R82" s="16">
        <f t="shared" si="10"/>
        <v>14294.2</v>
      </c>
      <c r="S82" s="16">
        <f t="shared" si="10"/>
        <v>0</v>
      </c>
      <c r="T82" s="16">
        <f t="shared" si="10"/>
        <v>174199.5</v>
      </c>
      <c r="U82" s="16">
        <f t="shared" si="10"/>
        <v>207296.90999999995</v>
      </c>
      <c r="V82" s="16">
        <f t="shared" si="10"/>
        <v>421445.46000000008</v>
      </c>
      <c r="W82" s="16">
        <f t="shared" si="10"/>
        <v>0</v>
      </c>
      <c r="X82" s="16">
        <f t="shared" si="10"/>
        <v>3249</v>
      </c>
      <c r="Y82" s="16">
        <f t="shared" si="10"/>
        <v>5492001.4200000009</v>
      </c>
      <c r="Z82" s="16">
        <f t="shared" si="10"/>
        <v>316757.17</v>
      </c>
      <c r="AB82" s="28"/>
    </row>
  </sheetData>
  <mergeCells count="25">
    <mergeCell ref="R4:S4"/>
    <mergeCell ref="R5:S5"/>
    <mergeCell ref="T4:U4"/>
    <mergeCell ref="V4:W4"/>
    <mergeCell ref="T5:U5"/>
    <mergeCell ref="V5:W5"/>
    <mergeCell ref="X5:X6"/>
    <mergeCell ref="Y5:Z5"/>
    <mergeCell ref="A5:A6"/>
    <mergeCell ref="B5:B6"/>
    <mergeCell ref="C5:C6"/>
    <mergeCell ref="L4:M4"/>
    <mergeCell ref="N4:O4"/>
    <mergeCell ref="P4:Q4"/>
    <mergeCell ref="H5:H6"/>
    <mergeCell ref="D5:D6"/>
    <mergeCell ref="E5:E6"/>
    <mergeCell ref="F5:F6"/>
    <mergeCell ref="G5:G6"/>
    <mergeCell ref="J4:K4"/>
    <mergeCell ref="I5:I6"/>
    <mergeCell ref="J5:K5"/>
    <mergeCell ref="L5:M5"/>
    <mergeCell ref="N5:O5"/>
    <mergeCell ref="P5:Q5"/>
  </mergeCells>
  <pageMargins left="0" right="0" top="0.75" bottom="0.75" header="0.3" footer="0.3"/>
  <pageSetup scale="3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84D08-7452-43F7-BCF3-29D5CDC85DCA}">
  <sheetPr>
    <pageSetUpPr fitToPage="1"/>
  </sheetPr>
  <dimension ref="A1:AH84"/>
  <sheetViews>
    <sheetView tabSelected="1" workbookViewId="0">
      <selection activeCell="B14" sqref="B14"/>
    </sheetView>
  </sheetViews>
  <sheetFormatPr defaultColWidth="9.15234375" defaultRowHeight="15.45" x14ac:dyDescent="0.4"/>
  <cols>
    <col min="1" max="1" width="10.84375" style="3" customWidth="1"/>
    <col min="2" max="2" width="34.53515625" style="3" customWidth="1"/>
    <col min="3" max="3" width="11.69140625" style="3" customWidth="1"/>
    <col min="4" max="4" width="16.3046875" style="3" customWidth="1"/>
    <col min="5" max="5" width="11.3046875" style="3" customWidth="1"/>
    <col min="6" max="6" width="14.84375" style="3" customWidth="1"/>
    <col min="7" max="7" width="9.3828125" style="3" customWidth="1"/>
    <col min="8" max="8" width="10.3046875" style="3" customWidth="1"/>
    <col min="9" max="9" width="14" style="3" bestFit="1" customWidth="1"/>
    <col min="10" max="10" width="11.84375" style="3" customWidth="1"/>
    <col min="11" max="11" width="11.3046875" style="3" customWidth="1"/>
    <col min="12" max="12" width="12.69140625" style="3" customWidth="1"/>
    <col min="13" max="13" width="11.3046875" style="3" customWidth="1"/>
    <col min="14" max="14" width="10.3046875" style="3" customWidth="1"/>
    <col min="15" max="15" width="11.3046875" style="3" customWidth="1"/>
    <col min="16" max="16" width="9.3828125" style="3" customWidth="1"/>
    <col min="17" max="17" width="10.69140625" style="3" customWidth="1"/>
    <col min="18" max="18" width="9.3828125" style="3" customWidth="1"/>
    <col min="19" max="19" width="10" style="3" customWidth="1"/>
    <col min="20" max="20" width="21" style="3" bestFit="1" customWidth="1"/>
    <col min="21" max="21" width="12.3046875" style="3" bestFit="1" customWidth="1"/>
    <col min="22" max="22" width="9.69140625" style="3" customWidth="1"/>
    <col min="23" max="23" width="11.15234375" style="3" customWidth="1"/>
    <col min="24" max="24" width="9.3828125" style="3" customWidth="1"/>
    <col min="25" max="25" width="11.3046875" style="3" customWidth="1"/>
    <col min="26" max="26" width="9.69140625" style="3" customWidth="1"/>
    <col min="27" max="16384" width="9.15234375" style="3"/>
  </cols>
  <sheetData>
    <row r="1" spans="1:28" ht="20.149999999999999" x14ac:dyDescent="0.4">
      <c r="A1" s="1" t="s">
        <v>18</v>
      </c>
      <c r="B1" s="2"/>
      <c r="C1" s="2"/>
      <c r="E1" s="2"/>
      <c r="F1" s="2"/>
      <c r="G1" s="2"/>
      <c r="H1" s="2"/>
      <c r="I1" s="21"/>
      <c r="J1" s="58"/>
      <c r="K1" s="53"/>
      <c r="L1" s="25"/>
      <c r="M1" s="25"/>
      <c r="N1" s="25"/>
      <c r="O1" s="25"/>
      <c r="P1" s="2"/>
      <c r="Q1" s="2"/>
      <c r="R1" s="2"/>
      <c r="S1" s="2"/>
      <c r="T1" s="2"/>
      <c r="U1" s="2"/>
      <c r="V1" s="2"/>
      <c r="W1" s="2"/>
      <c r="X1" s="2"/>
      <c r="Y1" s="2"/>
      <c r="Z1" s="2"/>
    </row>
    <row r="2" spans="1:28" x14ac:dyDescent="0.4">
      <c r="A2" s="1" t="s">
        <v>39</v>
      </c>
      <c r="B2" s="2"/>
      <c r="C2" s="2"/>
      <c r="E2" s="4" t="s">
        <v>40</v>
      </c>
      <c r="F2" s="2"/>
      <c r="G2" s="2"/>
      <c r="H2" s="2"/>
      <c r="I2" s="2"/>
      <c r="J2" s="2"/>
      <c r="K2" s="2"/>
      <c r="L2" s="23"/>
      <c r="M2" s="25"/>
      <c r="N2" s="25"/>
      <c r="O2" s="25"/>
      <c r="P2" s="25"/>
      <c r="Q2" s="2"/>
      <c r="R2" s="2"/>
      <c r="S2" s="2"/>
      <c r="T2" s="2"/>
      <c r="U2" s="2"/>
      <c r="V2" s="2"/>
      <c r="W2" s="2"/>
      <c r="X2" s="2"/>
      <c r="Y2" s="2"/>
      <c r="Z2" s="2"/>
    </row>
    <row r="3" spans="1:28" x14ac:dyDescent="0.4">
      <c r="A3" s="1" t="s">
        <v>44</v>
      </c>
      <c r="B3" s="2"/>
      <c r="C3" s="2"/>
      <c r="D3"/>
      <c r="F3" s="2"/>
      <c r="G3" s="2"/>
      <c r="H3" s="2"/>
      <c r="I3" s="2"/>
      <c r="J3" s="2"/>
      <c r="K3" s="25"/>
      <c r="L3" s="23"/>
      <c r="M3" s="25"/>
      <c r="N3" s="25"/>
      <c r="O3" s="2"/>
      <c r="P3" s="25"/>
      <c r="Q3" s="2"/>
      <c r="R3" s="2"/>
      <c r="S3" s="2"/>
      <c r="T3" s="2"/>
      <c r="U3" s="2"/>
      <c r="V3" s="2"/>
      <c r="W3" s="2"/>
      <c r="X3" s="2"/>
      <c r="Y3" s="2"/>
      <c r="Z3" s="2"/>
    </row>
    <row r="4" spans="1:28" x14ac:dyDescent="0.4">
      <c r="A4" s="2"/>
      <c r="B4" s="5"/>
      <c r="C4" s="5"/>
      <c r="D4" s="44"/>
      <c r="E4" s="44"/>
      <c r="F4" s="44"/>
      <c r="G4" s="44"/>
      <c r="H4" s="44"/>
      <c r="I4" s="51"/>
      <c r="J4" s="63"/>
      <c r="K4" s="63"/>
      <c r="L4" s="63"/>
      <c r="M4" s="63"/>
      <c r="N4" s="63"/>
      <c r="O4" s="63"/>
      <c r="P4" s="63"/>
      <c r="Q4" s="63"/>
      <c r="R4" s="63"/>
      <c r="S4" s="63"/>
      <c r="T4" s="63"/>
      <c r="U4" s="63"/>
      <c r="V4" s="63"/>
      <c r="W4" s="63"/>
      <c r="X4" s="46"/>
      <c r="Y4" s="6"/>
      <c r="Z4" s="6"/>
      <c r="AB4" s="45"/>
    </row>
    <row r="5" spans="1:28" ht="30" customHeight="1" x14ac:dyDescent="0.4">
      <c r="A5" s="61" t="s">
        <v>20</v>
      </c>
      <c r="B5" s="61" t="s">
        <v>36</v>
      </c>
      <c r="C5" s="66" t="s">
        <v>45</v>
      </c>
      <c r="D5" s="61" t="s">
        <v>0</v>
      </c>
      <c r="E5" s="61" t="s">
        <v>1</v>
      </c>
      <c r="F5" s="61" t="s">
        <v>2</v>
      </c>
      <c r="G5" s="61" t="s">
        <v>4</v>
      </c>
      <c r="H5" s="61" t="s">
        <v>3</v>
      </c>
      <c r="I5" s="61" t="s">
        <v>5</v>
      </c>
      <c r="J5" s="64" t="s">
        <v>6</v>
      </c>
      <c r="K5" s="65"/>
      <c r="L5" s="64" t="s">
        <v>7</v>
      </c>
      <c r="M5" s="65"/>
      <c r="N5" s="64" t="s">
        <v>8</v>
      </c>
      <c r="O5" s="65"/>
      <c r="P5" s="64" t="s">
        <v>9</v>
      </c>
      <c r="Q5" s="65"/>
      <c r="R5" s="64" t="s">
        <v>10</v>
      </c>
      <c r="S5" s="65"/>
      <c r="T5" s="64" t="s">
        <v>11</v>
      </c>
      <c r="U5" s="65"/>
      <c r="V5" s="64" t="s">
        <v>12</v>
      </c>
      <c r="W5" s="65"/>
      <c r="X5" s="61" t="s">
        <v>13</v>
      </c>
      <c r="Y5" s="64" t="s">
        <v>14</v>
      </c>
      <c r="Z5" s="65"/>
      <c r="AB5" s="27" t="s">
        <v>21</v>
      </c>
    </row>
    <row r="6" spans="1:28" x14ac:dyDescent="0.4">
      <c r="A6" s="62"/>
      <c r="B6" s="62"/>
      <c r="C6" s="62"/>
      <c r="D6" s="62"/>
      <c r="E6" s="62"/>
      <c r="F6" s="62"/>
      <c r="G6" s="62"/>
      <c r="H6" s="62"/>
      <c r="I6" s="62"/>
      <c r="J6" s="7" t="s">
        <v>19</v>
      </c>
      <c r="K6" s="7" t="s">
        <v>15</v>
      </c>
      <c r="L6" s="7" t="str">
        <f>+$J$6</f>
        <v>Farmers</v>
      </c>
      <c r="M6" s="7" t="s">
        <v>15</v>
      </c>
      <c r="N6" s="7" t="str">
        <f>+$J$6</f>
        <v>Farmers</v>
      </c>
      <c r="O6" s="7" t="s">
        <v>15</v>
      </c>
      <c r="P6" s="7" t="str">
        <f>+$J$6</f>
        <v>Farmers</v>
      </c>
      <c r="Q6" s="7" t="s">
        <v>15</v>
      </c>
      <c r="R6" s="7" t="str">
        <f>+$J$6</f>
        <v>Farmers</v>
      </c>
      <c r="S6" s="7" t="s">
        <v>15</v>
      </c>
      <c r="T6" s="7" t="str">
        <f>+$J$6</f>
        <v>Farmers</v>
      </c>
      <c r="U6" s="7" t="s">
        <v>15</v>
      </c>
      <c r="V6" s="7" t="str">
        <f>+$J$6</f>
        <v>Farmers</v>
      </c>
      <c r="W6" s="7" t="s">
        <v>15</v>
      </c>
      <c r="X6" s="62" t="s">
        <v>16</v>
      </c>
      <c r="Y6" s="7" t="str">
        <f>+$J$6</f>
        <v>Farmers</v>
      </c>
      <c r="Z6" s="7" t="s">
        <v>15</v>
      </c>
      <c r="AB6" s="7"/>
    </row>
    <row r="7" spans="1:28" x14ac:dyDescent="0.4">
      <c r="A7" s="19"/>
      <c r="B7" s="8"/>
      <c r="C7" s="40">
        <v>37.090000000000003</v>
      </c>
      <c r="D7" s="47">
        <v>17803.2</v>
      </c>
      <c r="E7" s="48"/>
      <c r="F7" s="24"/>
      <c r="G7" s="24"/>
      <c r="H7" s="48"/>
      <c r="I7" s="49">
        <f t="shared" ref="I7:I65" si="0">SUM(D7:H7)</f>
        <v>17803.2</v>
      </c>
      <c r="J7" s="17">
        <v>3946</v>
      </c>
      <c r="K7" s="22">
        <v>538.14</v>
      </c>
      <c r="L7" s="17">
        <v>65</v>
      </c>
      <c r="M7" s="22">
        <v>120.12</v>
      </c>
      <c r="N7" s="17"/>
      <c r="O7" s="17">
        <v>22.62</v>
      </c>
      <c r="P7" s="17">
        <v>91.26</v>
      </c>
      <c r="Q7" s="17"/>
      <c r="R7" s="17">
        <v>86.49</v>
      </c>
      <c r="S7" s="17"/>
      <c r="T7" s="17">
        <v>178</v>
      </c>
      <c r="U7" s="17">
        <v>3600</v>
      </c>
      <c r="V7" s="17">
        <v>4731</v>
      </c>
      <c r="W7" s="17"/>
      <c r="X7" s="22">
        <v>18</v>
      </c>
      <c r="Y7" s="9">
        <f t="shared" ref="Y7:Y65" si="1">+I7+J7+L7+N7+P7+R7+T7+V7+X7</f>
        <v>26918.95</v>
      </c>
      <c r="Z7" s="9">
        <f t="shared" ref="Z7:Z65" si="2">+K7+M7+O7+Q7+S7+U7+W7+X7</f>
        <v>4298.88</v>
      </c>
      <c r="AB7" s="28"/>
    </row>
    <row r="8" spans="1:28" x14ac:dyDescent="0.4">
      <c r="A8" s="19"/>
      <c r="B8" s="8"/>
      <c r="C8" s="40">
        <v>23.7</v>
      </c>
      <c r="D8" s="47">
        <v>11376</v>
      </c>
      <c r="E8" s="48"/>
      <c r="F8" s="24"/>
      <c r="G8" s="24"/>
      <c r="H8" s="48"/>
      <c r="I8" s="49">
        <f t="shared" si="0"/>
        <v>11376</v>
      </c>
      <c r="J8" s="17">
        <v>3946</v>
      </c>
      <c r="K8" s="22">
        <v>538</v>
      </c>
      <c r="L8" s="17">
        <v>29</v>
      </c>
      <c r="M8" s="22">
        <v>54.24</v>
      </c>
      <c r="N8" s="17"/>
      <c r="O8" s="17"/>
      <c r="P8" s="17">
        <v>58.5</v>
      </c>
      <c r="Q8" s="17"/>
      <c r="R8" s="17">
        <v>57.39</v>
      </c>
      <c r="S8" s="17"/>
      <c r="T8" s="17">
        <v>114</v>
      </c>
      <c r="U8" s="17">
        <v>600</v>
      </c>
      <c r="V8" s="17">
        <v>3023</v>
      </c>
      <c r="W8" s="17"/>
      <c r="X8" s="22">
        <v>18</v>
      </c>
      <c r="Y8" s="9">
        <f t="shared" si="1"/>
        <v>18621.89</v>
      </c>
      <c r="Z8" s="9">
        <f t="shared" si="2"/>
        <v>1210.24</v>
      </c>
      <c r="AB8" s="28"/>
    </row>
    <row r="9" spans="1:28" x14ac:dyDescent="0.4">
      <c r="A9" s="19"/>
      <c r="B9" s="8"/>
      <c r="C9" s="40">
        <v>33.700000000000003</v>
      </c>
      <c r="D9" s="47">
        <v>16176</v>
      </c>
      <c r="E9" s="48"/>
      <c r="F9" s="24"/>
      <c r="G9" s="24"/>
      <c r="H9" s="48"/>
      <c r="I9" s="49">
        <f t="shared" si="0"/>
        <v>16176</v>
      </c>
      <c r="J9" s="17">
        <v>1641</v>
      </c>
      <c r="K9" s="22">
        <v>223.8</v>
      </c>
      <c r="L9" s="17">
        <v>29</v>
      </c>
      <c r="M9" s="22">
        <v>54.24</v>
      </c>
      <c r="N9" s="17"/>
      <c r="O9" s="17"/>
      <c r="P9" s="17">
        <v>83.07</v>
      </c>
      <c r="Q9" s="17"/>
      <c r="R9" s="17">
        <v>82.89</v>
      </c>
      <c r="S9" s="17"/>
      <c r="T9" s="17">
        <v>162</v>
      </c>
      <c r="U9" s="17">
        <v>600</v>
      </c>
      <c r="V9" s="17">
        <v>4299</v>
      </c>
      <c r="W9" s="17"/>
      <c r="X9" s="22">
        <v>18</v>
      </c>
      <c r="Y9" s="9">
        <f t="shared" si="1"/>
        <v>22490.959999999999</v>
      </c>
      <c r="Z9" s="9">
        <f t="shared" si="2"/>
        <v>896.04</v>
      </c>
      <c r="AB9" s="28"/>
    </row>
    <row r="10" spans="1:28" x14ac:dyDescent="0.4">
      <c r="A10" s="19"/>
      <c r="B10" s="8"/>
      <c r="C10" s="40">
        <v>47.54</v>
      </c>
      <c r="D10" s="47">
        <v>22819.200000000001</v>
      </c>
      <c r="E10" s="50">
        <v>1140.96</v>
      </c>
      <c r="F10" s="24"/>
      <c r="G10" s="24"/>
      <c r="H10" s="50"/>
      <c r="I10" s="49">
        <f t="shared" si="0"/>
        <v>23960.16</v>
      </c>
      <c r="J10" s="17">
        <v>5341</v>
      </c>
      <c r="K10" s="22">
        <v>728.34</v>
      </c>
      <c r="L10" s="17">
        <v>113</v>
      </c>
      <c r="M10" s="22">
        <v>209.1</v>
      </c>
      <c r="N10" s="17"/>
      <c r="O10" s="17"/>
      <c r="P10" s="17">
        <v>115.83</v>
      </c>
      <c r="Q10" s="17"/>
      <c r="R10" s="17">
        <v>109.86</v>
      </c>
      <c r="S10" s="17"/>
      <c r="T10" s="17">
        <v>228</v>
      </c>
      <c r="U10" s="17">
        <v>600</v>
      </c>
      <c r="V10" s="17">
        <v>6064</v>
      </c>
      <c r="W10" s="17"/>
      <c r="X10" s="22">
        <v>18</v>
      </c>
      <c r="Y10" s="9">
        <f t="shared" si="1"/>
        <v>35949.850000000006</v>
      </c>
      <c r="Z10" s="9">
        <f t="shared" si="2"/>
        <v>1555.44</v>
      </c>
      <c r="AB10" s="28"/>
    </row>
    <row r="11" spans="1:28" x14ac:dyDescent="0.4">
      <c r="A11" s="19"/>
      <c r="B11" s="8"/>
      <c r="C11" s="40">
        <v>44.63</v>
      </c>
      <c r="D11" s="47">
        <v>21065.5</v>
      </c>
      <c r="E11" s="50">
        <v>3749.23</v>
      </c>
      <c r="F11" s="24"/>
      <c r="G11" s="24"/>
      <c r="H11" s="48"/>
      <c r="I11" s="49">
        <f t="shared" si="0"/>
        <v>24814.73</v>
      </c>
      <c r="J11" s="17">
        <v>3451</v>
      </c>
      <c r="K11" s="22">
        <v>470.64</v>
      </c>
      <c r="L11" s="17">
        <v>71</v>
      </c>
      <c r="M11" s="22">
        <v>132.6</v>
      </c>
      <c r="N11" s="17"/>
      <c r="O11" s="17"/>
      <c r="P11" s="17">
        <v>108.81</v>
      </c>
      <c r="Q11" s="17"/>
      <c r="R11" s="17">
        <v>101.01</v>
      </c>
      <c r="S11" s="17"/>
      <c r="T11" s="17">
        <v>211</v>
      </c>
      <c r="U11" s="17">
        <v>180</v>
      </c>
      <c r="V11" s="17">
        <v>5693</v>
      </c>
      <c r="W11" s="17"/>
      <c r="X11" s="22">
        <v>18</v>
      </c>
      <c r="Y11" s="9">
        <f t="shared" si="1"/>
        <v>34468.550000000003</v>
      </c>
      <c r="Z11" s="9">
        <f t="shared" si="2"/>
        <v>801.24</v>
      </c>
      <c r="AB11" s="28"/>
    </row>
    <row r="12" spans="1:28" x14ac:dyDescent="0.4">
      <c r="A12" s="19"/>
      <c r="B12" s="8"/>
      <c r="C12" s="40">
        <v>29.74</v>
      </c>
      <c r="D12" s="47">
        <v>14275.2</v>
      </c>
      <c r="E12" s="50">
        <v>2475.86</v>
      </c>
      <c r="F12" s="24"/>
      <c r="G12" s="24"/>
      <c r="H12" s="50"/>
      <c r="I12" s="49">
        <f t="shared" si="0"/>
        <v>16751.060000000001</v>
      </c>
      <c r="J12" s="17">
        <v>3946</v>
      </c>
      <c r="K12" s="22">
        <v>538.14</v>
      </c>
      <c r="L12" s="17">
        <v>65</v>
      </c>
      <c r="M12" s="22">
        <v>120.12</v>
      </c>
      <c r="N12" s="17"/>
      <c r="O12" s="17">
        <v>43.02</v>
      </c>
      <c r="P12" s="17">
        <v>72.540000000000006</v>
      </c>
      <c r="Q12" s="17"/>
      <c r="R12" s="17">
        <v>70.83</v>
      </c>
      <c r="S12" s="17"/>
      <c r="T12" s="17">
        <v>143</v>
      </c>
      <c r="U12" s="17">
        <v>1800</v>
      </c>
      <c r="V12" s="17">
        <v>3794</v>
      </c>
      <c r="W12" s="17"/>
      <c r="X12" s="22">
        <v>18</v>
      </c>
      <c r="Y12" s="9">
        <f t="shared" si="1"/>
        <v>24860.430000000004</v>
      </c>
      <c r="Z12" s="9">
        <f t="shared" si="2"/>
        <v>2519.2799999999997</v>
      </c>
      <c r="AB12" s="28"/>
    </row>
    <row r="13" spans="1:28" x14ac:dyDescent="0.4">
      <c r="A13" s="19"/>
      <c r="B13" s="8"/>
      <c r="C13" s="40">
        <v>25.87</v>
      </c>
      <c r="D13" s="47">
        <v>12417.61</v>
      </c>
      <c r="E13" s="50"/>
      <c r="F13" s="24"/>
      <c r="G13" s="24"/>
      <c r="H13" s="50"/>
      <c r="I13" s="49">
        <f t="shared" si="0"/>
        <v>12417.61</v>
      </c>
      <c r="J13" s="17">
        <v>5341</v>
      </c>
      <c r="K13" s="22">
        <v>728.34</v>
      </c>
      <c r="L13" s="17">
        <v>113</v>
      </c>
      <c r="M13" s="22">
        <v>209.1</v>
      </c>
      <c r="N13" s="17"/>
      <c r="O13" s="17"/>
      <c r="P13" s="17">
        <v>63.18</v>
      </c>
      <c r="Q13" s="17"/>
      <c r="R13" s="17">
        <v>61.41</v>
      </c>
      <c r="S13" s="17"/>
      <c r="T13" s="17">
        <v>124</v>
      </c>
      <c r="U13" s="17">
        <v>240</v>
      </c>
      <c r="V13" s="17">
        <v>3300</v>
      </c>
      <c r="W13" s="17"/>
      <c r="X13" s="22">
        <v>18</v>
      </c>
      <c r="Y13" s="9">
        <f t="shared" si="1"/>
        <v>21438.2</v>
      </c>
      <c r="Z13" s="9">
        <f t="shared" si="2"/>
        <v>1195.44</v>
      </c>
      <c r="AB13" s="28"/>
    </row>
    <row r="14" spans="1:28" x14ac:dyDescent="0.4">
      <c r="A14" s="19"/>
      <c r="B14" s="8"/>
      <c r="C14" s="40">
        <v>32.119999999999997</v>
      </c>
      <c r="D14" s="47">
        <v>15417.6</v>
      </c>
      <c r="E14" s="50">
        <v>96.36</v>
      </c>
      <c r="F14" s="24"/>
      <c r="G14" s="24"/>
      <c r="H14" s="48"/>
      <c r="I14" s="49">
        <f t="shared" si="0"/>
        <v>15513.960000000001</v>
      </c>
      <c r="J14" s="17">
        <v>3451</v>
      </c>
      <c r="K14" s="22">
        <v>470.64</v>
      </c>
      <c r="L14" s="17">
        <v>71</v>
      </c>
      <c r="M14" s="22">
        <v>132.6</v>
      </c>
      <c r="N14" s="17"/>
      <c r="O14" s="17"/>
      <c r="P14" s="17">
        <v>78.39</v>
      </c>
      <c r="Q14" s="17"/>
      <c r="R14" s="17">
        <v>74.069999999999993</v>
      </c>
      <c r="S14" s="17"/>
      <c r="T14" s="17">
        <v>154</v>
      </c>
      <c r="U14" s="17">
        <v>600</v>
      </c>
      <c r="V14" s="17">
        <v>4097</v>
      </c>
      <c r="W14" s="17"/>
      <c r="X14" s="22">
        <v>18</v>
      </c>
      <c r="Y14" s="9">
        <f t="shared" si="1"/>
        <v>23457.42</v>
      </c>
      <c r="Z14" s="9">
        <f t="shared" si="2"/>
        <v>1221.24</v>
      </c>
      <c r="AB14" s="28"/>
    </row>
    <row r="15" spans="1:28" x14ac:dyDescent="0.4">
      <c r="A15" s="19"/>
      <c r="B15" s="8"/>
      <c r="C15" s="40">
        <v>42.01</v>
      </c>
      <c r="D15" s="47">
        <v>20164.96</v>
      </c>
      <c r="E15" s="50">
        <v>2678.35</v>
      </c>
      <c r="F15" s="24"/>
      <c r="G15" s="24"/>
      <c r="H15" s="48"/>
      <c r="I15" s="49">
        <f t="shared" si="0"/>
        <v>22843.309999999998</v>
      </c>
      <c r="J15" s="17"/>
      <c r="K15" s="22">
        <v>664.94</v>
      </c>
      <c r="L15" s="17">
        <v>29</v>
      </c>
      <c r="M15" s="22">
        <v>54.24</v>
      </c>
      <c r="N15" s="17"/>
      <c r="O15" s="17"/>
      <c r="P15" s="17">
        <v>102.96</v>
      </c>
      <c r="Q15" s="17"/>
      <c r="R15" s="17">
        <v>95.1</v>
      </c>
      <c r="S15" s="17"/>
      <c r="T15" s="17">
        <v>202</v>
      </c>
      <c r="U15" s="17">
        <v>600</v>
      </c>
      <c r="V15" s="17">
        <v>5359</v>
      </c>
      <c r="W15" s="17"/>
      <c r="X15" s="22">
        <v>18</v>
      </c>
      <c r="Y15" s="9">
        <f t="shared" si="1"/>
        <v>28649.369999999995</v>
      </c>
      <c r="Z15" s="9">
        <f t="shared" si="2"/>
        <v>1337.18</v>
      </c>
      <c r="AB15" s="28"/>
    </row>
    <row r="16" spans="1:28" x14ac:dyDescent="0.4">
      <c r="A16" s="19"/>
      <c r="B16" s="8"/>
      <c r="C16" s="40">
        <v>32.119999999999997</v>
      </c>
      <c r="D16" s="47">
        <v>15417.6</v>
      </c>
      <c r="E16" s="50">
        <v>578.16</v>
      </c>
      <c r="F16" s="24"/>
      <c r="G16" s="24"/>
      <c r="H16" s="48"/>
      <c r="I16" s="49">
        <f t="shared" si="0"/>
        <v>15995.76</v>
      </c>
      <c r="J16" s="17">
        <v>1641</v>
      </c>
      <c r="K16" s="22">
        <v>223.8</v>
      </c>
      <c r="L16" s="17">
        <v>65</v>
      </c>
      <c r="M16" s="22">
        <v>120.12</v>
      </c>
      <c r="N16" s="17"/>
      <c r="O16" s="17"/>
      <c r="P16" s="17">
        <v>78.39</v>
      </c>
      <c r="Q16" s="17"/>
      <c r="R16" s="17">
        <v>74.069999999999993</v>
      </c>
      <c r="S16" s="17"/>
      <c r="T16" s="17">
        <v>154</v>
      </c>
      <c r="U16" s="17">
        <v>150</v>
      </c>
      <c r="V16" s="17">
        <v>4097</v>
      </c>
      <c r="W16" s="17"/>
      <c r="X16" s="22">
        <v>18</v>
      </c>
      <c r="Y16" s="9">
        <f t="shared" si="1"/>
        <v>22123.22</v>
      </c>
      <c r="Z16" s="9">
        <f t="shared" si="2"/>
        <v>511.92</v>
      </c>
      <c r="AB16" s="28"/>
    </row>
    <row r="17" spans="1:28" x14ac:dyDescent="0.4">
      <c r="A17" s="19"/>
      <c r="B17" s="8"/>
      <c r="C17" s="40">
        <v>44.63</v>
      </c>
      <c r="D17" s="47">
        <v>21422.52</v>
      </c>
      <c r="E17" s="50">
        <v>2510.63</v>
      </c>
      <c r="F17" s="24"/>
      <c r="G17" s="24"/>
      <c r="H17" s="48"/>
      <c r="I17" s="49">
        <f t="shared" si="0"/>
        <v>23933.15</v>
      </c>
      <c r="J17" s="17">
        <v>5341</v>
      </c>
      <c r="K17" s="22">
        <v>728.34</v>
      </c>
      <c r="L17" s="17">
        <v>29</v>
      </c>
      <c r="M17" s="22">
        <v>54.24</v>
      </c>
      <c r="N17" s="17"/>
      <c r="O17" s="17">
        <v>22.62</v>
      </c>
      <c r="P17" s="17">
        <v>108.81</v>
      </c>
      <c r="Q17" s="17"/>
      <c r="R17" s="17">
        <v>101.01</v>
      </c>
      <c r="S17" s="17"/>
      <c r="T17" s="17">
        <v>214</v>
      </c>
      <c r="U17" s="17">
        <v>480</v>
      </c>
      <c r="V17" s="17">
        <v>5693</v>
      </c>
      <c r="W17" s="17"/>
      <c r="X17" s="22">
        <v>18</v>
      </c>
      <c r="Y17" s="9">
        <f t="shared" si="1"/>
        <v>35437.97</v>
      </c>
      <c r="Z17" s="9">
        <f t="shared" si="2"/>
        <v>1303.2</v>
      </c>
      <c r="AB17" s="28"/>
    </row>
    <row r="18" spans="1:28" x14ac:dyDescent="0.4">
      <c r="A18" s="19"/>
      <c r="B18" s="8"/>
      <c r="C18" s="40">
        <v>44.63</v>
      </c>
      <c r="D18" s="47">
        <v>21422.79</v>
      </c>
      <c r="E18" s="50">
        <v>4017.01</v>
      </c>
      <c r="F18" s="24"/>
      <c r="G18" s="24"/>
      <c r="H18" s="48"/>
      <c r="I18" s="49">
        <f t="shared" si="0"/>
        <v>25439.800000000003</v>
      </c>
      <c r="J18" s="17">
        <v>5341</v>
      </c>
      <c r="K18" s="22">
        <v>728.34</v>
      </c>
      <c r="L18" s="17">
        <v>29</v>
      </c>
      <c r="M18" s="22">
        <v>54.24</v>
      </c>
      <c r="N18" s="17"/>
      <c r="O18" s="17">
        <v>22.62</v>
      </c>
      <c r="P18" s="17">
        <v>109</v>
      </c>
      <c r="Q18" s="17"/>
      <c r="R18" s="17">
        <v>101.01</v>
      </c>
      <c r="S18" s="17"/>
      <c r="T18" s="17">
        <v>214</v>
      </c>
      <c r="U18" s="17">
        <v>2142</v>
      </c>
      <c r="V18" s="17">
        <v>5693</v>
      </c>
      <c r="W18" s="17"/>
      <c r="X18" s="22">
        <v>18</v>
      </c>
      <c r="Y18" s="9">
        <f t="shared" si="1"/>
        <v>36944.81</v>
      </c>
      <c r="Z18" s="9">
        <f t="shared" si="2"/>
        <v>2965.2</v>
      </c>
      <c r="AB18" s="28"/>
    </row>
    <row r="19" spans="1:28" x14ac:dyDescent="0.4">
      <c r="A19" s="19"/>
      <c r="B19" s="8"/>
      <c r="C19" s="40">
        <v>47.54</v>
      </c>
      <c r="D19" s="47">
        <v>22819.200000000001</v>
      </c>
      <c r="E19" s="50">
        <v>3636.82</v>
      </c>
      <c r="F19" s="24"/>
      <c r="G19" s="24"/>
      <c r="H19" s="48"/>
      <c r="I19" s="49">
        <f t="shared" si="0"/>
        <v>26456.02</v>
      </c>
      <c r="J19" s="17">
        <v>3946</v>
      </c>
      <c r="K19" s="22">
        <v>538.1</v>
      </c>
      <c r="L19" s="17">
        <v>29</v>
      </c>
      <c r="M19" s="22">
        <v>54.24</v>
      </c>
      <c r="N19" s="17"/>
      <c r="O19" s="17"/>
      <c r="P19" s="17">
        <v>116</v>
      </c>
      <c r="Q19" s="17"/>
      <c r="R19" s="17">
        <v>109.86</v>
      </c>
      <c r="S19" s="17"/>
      <c r="T19" s="17">
        <v>228</v>
      </c>
      <c r="U19" s="17">
        <v>900</v>
      </c>
      <c r="V19" s="17">
        <v>6064</v>
      </c>
      <c r="W19" s="17"/>
      <c r="X19" s="22">
        <v>18</v>
      </c>
      <c r="Y19" s="9">
        <f t="shared" si="1"/>
        <v>36966.880000000005</v>
      </c>
      <c r="Z19" s="9">
        <f t="shared" si="2"/>
        <v>1510.3400000000001</v>
      </c>
      <c r="AB19" s="28"/>
    </row>
    <row r="20" spans="1:28" x14ac:dyDescent="0.4">
      <c r="A20" s="19"/>
      <c r="B20" s="8"/>
      <c r="C20" s="40">
        <v>25.29</v>
      </c>
      <c r="D20" s="47">
        <v>12139.2</v>
      </c>
      <c r="E20" s="50"/>
      <c r="F20" s="24"/>
      <c r="G20" s="24"/>
      <c r="H20" s="48"/>
      <c r="I20" s="49">
        <f t="shared" si="0"/>
        <v>12139.2</v>
      </c>
      <c r="J20" s="17">
        <v>3946</v>
      </c>
      <c r="K20" s="22">
        <v>538.14</v>
      </c>
      <c r="L20" s="17">
        <v>65</v>
      </c>
      <c r="M20" s="22">
        <v>120.12</v>
      </c>
      <c r="N20" s="17"/>
      <c r="O20" s="17">
        <v>43</v>
      </c>
      <c r="P20" s="17">
        <v>62</v>
      </c>
      <c r="Q20" s="17"/>
      <c r="R20" s="17">
        <v>63.54</v>
      </c>
      <c r="S20" s="17"/>
      <c r="T20" s="17">
        <v>121</v>
      </c>
      <c r="U20" s="17">
        <v>450</v>
      </c>
      <c r="V20" s="17">
        <v>3226</v>
      </c>
      <c r="W20" s="17"/>
      <c r="X20" s="22">
        <v>18</v>
      </c>
      <c r="Y20" s="9">
        <f t="shared" si="1"/>
        <v>19640.740000000002</v>
      </c>
      <c r="Z20" s="9">
        <f t="shared" si="2"/>
        <v>1169.26</v>
      </c>
      <c r="AB20" s="28"/>
    </row>
    <row r="21" spans="1:28" x14ac:dyDescent="0.4">
      <c r="A21" s="19"/>
      <c r="B21" s="8"/>
      <c r="C21" s="40">
        <v>42.01</v>
      </c>
      <c r="D21" s="47">
        <v>19492.91</v>
      </c>
      <c r="E21" s="50">
        <v>2898.92</v>
      </c>
      <c r="F21" s="24"/>
      <c r="G21" s="24"/>
      <c r="H21" s="48"/>
      <c r="I21" s="49">
        <f t="shared" si="0"/>
        <v>22391.83</v>
      </c>
      <c r="J21" s="17">
        <v>3451</v>
      </c>
      <c r="K21" s="22">
        <v>470.64</v>
      </c>
      <c r="L21" s="17">
        <v>71</v>
      </c>
      <c r="M21" s="22">
        <v>132.6</v>
      </c>
      <c r="N21" s="17"/>
      <c r="O21" s="17"/>
      <c r="P21" s="17">
        <v>103</v>
      </c>
      <c r="Q21" s="17"/>
      <c r="R21" s="17">
        <v>95.1</v>
      </c>
      <c r="S21" s="17"/>
      <c r="T21" s="17">
        <v>195</v>
      </c>
      <c r="U21" s="17">
        <v>195</v>
      </c>
      <c r="V21" s="17">
        <v>5359</v>
      </c>
      <c r="W21" s="17"/>
      <c r="X21" s="22">
        <v>18</v>
      </c>
      <c r="Y21" s="9">
        <f t="shared" si="1"/>
        <v>31683.93</v>
      </c>
      <c r="Z21" s="9">
        <f t="shared" si="2"/>
        <v>816.24</v>
      </c>
      <c r="AB21" s="28"/>
    </row>
    <row r="22" spans="1:28" x14ac:dyDescent="0.4">
      <c r="A22" s="19"/>
      <c r="B22" s="8"/>
      <c r="C22" s="40">
        <v>24.48</v>
      </c>
      <c r="D22" s="47">
        <v>11750.4</v>
      </c>
      <c r="E22" s="50">
        <v>128.52000000000001</v>
      </c>
      <c r="F22" s="24"/>
      <c r="G22" s="24"/>
      <c r="H22" s="48"/>
      <c r="I22" s="49">
        <f t="shared" si="0"/>
        <v>11878.92</v>
      </c>
      <c r="J22" s="17">
        <v>1641</v>
      </c>
      <c r="K22" s="22">
        <v>223.8</v>
      </c>
      <c r="L22" s="17">
        <v>29</v>
      </c>
      <c r="M22" s="22">
        <v>54.24</v>
      </c>
      <c r="N22" s="17"/>
      <c r="O22" s="17"/>
      <c r="P22" s="17">
        <v>60</v>
      </c>
      <c r="Q22" s="17"/>
      <c r="R22" s="17">
        <v>56.46</v>
      </c>
      <c r="S22" s="17"/>
      <c r="T22" s="17">
        <v>117</v>
      </c>
      <c r="U22" s="17">
        <v>725</v>
      </c>
      <c r="V22" s="17">
        <v>3123</v>
      </c>
      <c r="W22" s="17"/>
      <c r="X22" s="22">
        <v>18</v>
      </c>
      <c r="Y22" s="9">
        <f t="shared" si="1"/>
        <v>16923.379999999997</v>
      </c>
      <c r="Z22" s="9">
        <f t="shared" si="2"/>
        <v>1021.04</v>
      </c>
      <c r="AB22" s="28"/>
    </row>
    <row r="23" spans="1:28" x14ac:dyDescent="0.4">
      <c r="A23" s="19"/>
      <c r="B23" s="8"/>
      <c r="C23" s="40">
        <v>35.590000000000003</v>
      </c>
      <c r="D23" s="47">
        <v>17083.22</v>
      </c>
      <c r="E23" s="50">
        <v>253.61</v>
      </c>
      <c r="F23" s="24"/>
      <c r="G23" s="24"/>
      <c r="H23" s="48"/>
      <c r="I23" s="49">
        <f t="shared" si="0"/>
        <v>17336.830000000002</v>
      </c>
      <c r="J23" s="17">
        <v>5341</v>
      </c>
      <c r="K23" s="22">
        <v>728.34</v>
      </c>
      <c r="L23" s="17">
        <v>113</v>
      </c>
      <c r="M23" s="22">
        <v>209.1</v>
      </c>
      <c r="N23" s="17"/>
      <c r="O23" s="17">
        <v>45.24</v>
      </c>
      <c r="P23" s="17">
        <v>88</v>
      </c>
      <c r="Q23" s="17"/>
      <c r="R23" s="17">
        <v>63.12</v>
      </c>
      <c r="S23" s="17"/>
      <c r="T23" s="17">
        <v>171</v>
      </c>
      <c r="U23" s="17">
        <v>930</v>
      </c>
      <c r="V23" s="17">
        <v>4540</v>
      </c>
      <c r="W23" s="17"/>
      <c r="X23" s="22">
        <v>18</v>
      </c>
      <c r="Y23" s="9">
        <f t="shared" si="1"/>
        <v>27670.95</v>
      </c>
      <c r="Z23" s="9">
        <f t="shared" si="2"/>
        <v>1930.68</v>
      </c>
      <c r="AB23" s="28"/>
    </row>
    <row r="24" spans="1:28" x14ac:dyDescent="0.4">
      <c r="A24" s="19"/>
      <c r="B24" s="8"/>
      <c r="C24" s="40">
        <v>26.53</v>
      </c>
      <c r="D24" s="47">
        <v>12734.41</v>
      </c>
      <c r="E24" s="50"/>
      <c r="F24" s="24"/>
      <c r="G24" s="24"/>
      <c r="H24" s="48"/>
      <c r="I24" s="49">
        <f t="shared" si="0"/>
        <v>12734.41</v>
      </c>
      <c r="J24" s="17">
        <v>3451</v>
      </c>
      <c r="K24" s="22">
        <v>470.64</v>
      </c>
      <c r="L24" s="17">
        <v>71</v>
      </c>
      <c r="M24" s="22">
        <v>132.6</v>
      </c>
      <c r="N24" s="17"/>
      <c r="O24" s="17">
        <v>45.24</v>
      </c>
      <c r="P24" s="17">
        <v>66</v>
      </c>
      <c r="Q24" s="17"/>
      <c r="R24" s="17">
        <v>61.17</v>
      </c>
      <c r="S24" s="17"/>
      <c r="T24" s="17">
        <v>127</v>
      </c>
      <c r="U24" s="17">
        <f>126+108</f>
        <v>234</v>
      </c>
      <c r="V24" s="17">
        <v>3384</v>
      </c>
      <c r="W24" s="17"/>
      <c r="X24" s="22">
        <v>18</v>
      </c>
      <c r="Y24" s="9">
        <f t="shared" si="1"/>
        <v>19912.580000000002</v>
      </c>
      <c r="Z24" s="9">
        <f t="shared" si="2"/>
        <v>900.48</v>
      </c>
      <c r="AB24" s="28"/>
    </row>
    <row r="25" spans="1:28" x14ac:dyDescent="0.4">
      <c r="A25" s="19"/>
      <c r="B25" s="8"/>
      <c r="C25" s="40">
        <v>21.34</v>
      </c>
      <c r="D25" s="47">
        <v>10243.200000000001</v>
      </c>
      <c r="E25" s="50">
        <v>544.22</v>
      </c>
      <c r="F25" s="24"/>
      <c r="G25" s="24"/>
      <c r="H25" s="48"/>
      <c r="I25" s="49">
        <f t="shared" si="0"/>
        <v>10787.42</v>
      </c>
      <c r="J25" s="17">
        <v>1641</v>
      </c>
      <c r="K25" s="22">
        <v>223.8</v>
      </c>
      <c r="L25" s="17">
        <v>29</v>
      </c>
      <c r="M25" s="22">
        <v>54.24</v>
      </c>
      <c r="N25" s="17"/>
      <c r="O25" s="17"/>
      <c r="P25" s="17">
        <v>53</v>
      </c>
      <c r="Q25" s="17"/>
      <c r="R25" s="17">
        <v>49.77</v>
      </c>
      <c r="S25" s="17"/>
      <c r="T25" s="17">
        <v>102</v>
      </c>
      <c r="U25" s="17">
        <v>240</v>
      </c>
      <c r="V25" s="17">
        <v>2722</v>
      </c>
      <c r="W25" s="17"/>
      <c r="X25" s="22">
        <v>18</v>
      </c>
      <c r="Y25" s="9">
        <f t="shared" si="1"/>
        <v>15402.19</v>
      </c>
      <c r="Z25" s="9">
        <f t="shared" si="2"/>
        <v>536.04</v>
      </c>
      <c r="AB25" s="28"/>
    </row>
    <row r="26" spans="1:28" x14ac:dyDescent="0.4">
      <c r="A26" s="19"/>
      <c r="B26" s="8"/>
      <c r="C26" s="40">
        <v>33</v>
      </c>
      <c r="D26" s="47">
        <v>15840</v>
      </c>
      <c r="E26" s="50">
        <v>1014.75</v>
      </c>
      <c r="F26" s="24"/>
      <c r="G26" s="24"/>
      <c r="H26" s="48"/>
      <c r="I26" s="49">
        <f t="shared" si="0"/>
        <v>16854.75</v>
      </c>
      <c r="J26" s="17">
        <v>5341</v>
      </c>
      <c r="K26" s="22">
        <v>728.34</v>
      </c>
      <c r="L26" s="17">
        <v>113</v>
      </c>
      <c r="M26" s="22">
        <v>209.1</v>
      </c>
      <c r="N26" s="17"/>
      <c r="O26" s="17">
        <v>66.540000000000006</v>
      </c>
      <c r="P26" s="17">
        <v>81</v>
      </c>
      <c r="Q26" s="17"/>
      <c r="R26" s="17">
        <v>71.22</v>
      </c>
      <c r="S26" s="17"/>
      <c r="T26" s="17">
        <v>158</v>
      </c>
      <c r="U26" s="17">
        <f>1188+238</f>
        <v>1426</v>
      </c>
      <c r="V26" s="17">
        <v>4209</v>
      </c>
      <c r="W26" s="17"/>
      <c r="X26" s="22">
        <v>18</v>
      </c>
      <c r="Y26" s="9">
        <f t="shared" si="1"/>
        <v>26845.97</v>
      </c>
      <c r="Z26" s="9">
        <f t="shared" si="2"/>
        <v>2447.98</v>
      </c>
      <c r="AB26" s="28"/>
    </row>
    <row r="27" spans="1:28" x14ac:dyDescent="0.4">
      <c r="A27" s="19"/>
      <c r="B27" s="8"/>
      <c r="C27" s="40">
        <v>44.63</v>
      </c>
      <c r="D27" s="47">
        <v>20708.55</v>
      </c>
      <c r="E27" s="50">
        <v>8234.89</v>
      </c>
      <c r="F27" s="24"/>
      <c r="G27" s="24"/>
      <c r="H27" s="48"/>
      <c r="I27" s="49">
        <f t="shared" si="0"/>
        <v>28943.439999999999</v>
      </c>
      <c r="J27" s="17">
        <v>5341</v>
      </c>
      <c r="K27" s="22">
        <v>728.34</v>
      </c>
      <c r="L27" s="17">
        <v>113</v>
      </c>
      <c r="M27" s="22">
        <v>209.1</v>
      </c>
      <c r="N27" s="17"/>
      <c r="O27" s="17">
        <v>66.540000000000006</v>
      </c>
      <c r="P27" s="17">
        <v>109</v>
      </c>
      <c r="Q27" s="17"/>
      <c r="R27" s="17">
        <v>101.01</v>
      </c>
      <c r="S27" s="17"/>
      <c r="T27" s="17">
        <v>207</v>
      </c>
      <c r="U27" s="17">
        <f>414+1243</f>
        <v>1657</v>
      </c>
      <c r="V27" s="17">
        <v>5693</v>
      </c>
      <c r="W27" s="17"/>
      <c r="X27" s="22">
        <v>18</v>
      </c>
      <c r="Y27" s="9">
        <f t="shared" si="1"/>
        <v>40525.450000000004</v>
      </c>
      <c r="Z27" s="9">
        <f t="shared" si="2"/>
        <v>2678.98</v>
      </c>
      <c r="AB27" s="28"/>
    </row>
    <row r="28" spans="1:28" x14ac:dyDescent="0.4">
      <c r="A28" s="19"/>
      <c r="B28" s="8"/>
      <c r="C28" s="40">
        <v>21.5</v>
      </c>
      <c r="D28" s="47">
        <v>10320</v>
      </c>
      <c r="E28" s="50"/>
      <c r="F28" s="24"/>
      <c r="G28" s="24"/>
      <c r="H28" s="48"/>
      <c r="I28" s="49">
        <f t="shared" si="0"/>
        <v>10320</v>
      </c>
      <c r="J28" s="17">
        <v>3451</v>
      </c>
      <c r="K28" s="22">
        <v>470.64</v>
      </c>
      <c r="L28" s="17">
        <v>71</v>
      </c>
      <c r="M28" s="22">
        <v>132.6</v>
      </c>
      <c r="N28" s="17"/>
      <c r="O28" s="17"/>
      <c r="P28" s="17">
        <v>53</v>
      </c>
      <c r="Q28" s="17"/>
      <c r="R28" s="17">
        <v>50.16</v>
      </c>
      <c r="S28" s="17"/>
      <c r="T28" s="17">
        <v>103</v>
      </c>
      <c r="U28" s="17">
        <v>450</v>
      </c>
      <c r="V28" s="17">
        <v>2742</v>
      </c>
      <c r="W28" s="17"/>
      <c r="X28" s="22">
        <v>18</v>
      </c>
      <c r="Y28" s="9">
        <f t="shared" si="1"/>
        <v>16808.16</v>
      </c>
      <c r="Z28" s="9">
        <f t="shared" si="2"/>
        <v>1071.24</v>
      </c>
      <c r="AB28" s="28"/>
    </row>
    <row r="29" spans="1:28" x14ac:dyDescent="0.4">
      <c r="A29" s="19"/>
      <c r="B29" s="8"/>
      <c r="C29" s="40">
        <v>42.01</v>
      </c>
      <c r="D29" s="47">
        <v>20165.259999999998</v>
      </c>
      <c r="E29" s="50">
        <v>3592.14</v>
      </c>
      <c r="F29" s="24"/>
      <c r="G29" s="24"/>
      <c r="H29" s="48"/>
      <c r="I29" s="49">
        <f t="shared" si="0"/>
        <v>23757.399999999998</v>
      </c>
      <c r="J29" s="17">
        <v>5341</v>
      </c>
      <c r="K29" s="22">
        <v>728.34</v>
      </c>
      <c r="L29" s="17">
        <v>113</v>
      </c>
      <c r="M29" s="22">
        <v>209.1</v>
      </c>
      <c r="N29" s="17"/>
      <c r="O29" s="17"/>
      <c r="P29" s="17">
        <v>103</v>
      </c>
      <c r="Q29" s="17"/>
      <c r="R29" s="17">
        <v>95.1</v>
      </c>
      <c r="S29" s="17"/>
      <c r="T29" s="17">
        <v>202</v>
      </c>
      <c r="U29" s="17">
        <v>1008</v>
      </c>
      <c r="V29" s="17">
        <v>5359</v>
      </c>
      <c r="W29" s="17"/>
      <c r="X29" s="22">
        <v>18</v>
      </c>
      <c r="Y29" s="9">
        <f t="shared" si="1"/>
        <v>34988.5</v>
      </c>
      <c r="Z29" s="9">
        <f t="shared" si="2"/>
        <v>1963.44</v>
      </c>
      <c r="AB29" s="28"/>
    </row>
    <row r="30" spans="1:28" x14ac:dyDescent="0.4">
      <c r="A30" s="19"/>
      <c r="B30" s="8"/>
      <c r="C30" s="40">
        <v>34.69</v>
      </c>
      <c r="D30" s="47">
        <v>16651.21</v>
      </c>
      <c r="E30" s="50">
        <v>1014.78</v>
      </c>
      <c r="F30" s="24"/>
      <c r="G30" s="24"/>
      <c r="H30" s="48"/>
      <c r="I30" s="49">
        <f t="shared" si="0"/>
        <v>17665.989999999998</v>
      </c>
      <c r="J30" s="17">
        <v>5341</v>
      </c>
      <c r="K30" s="22">
        <v>728.34</v>
      </c>
      <c r="L30" s="17">
        <v>29</v>
      </c>
      <c r="M30" s="22">
        <v>54.24</v>
      </c>
      <c r="N30" s="17"/>
      <c r="O30" s="17">
        <v>22.62</v>
      </c>
      <c r="P30" s="17">
        <v>85</v>
      </c>
      <c r="Q30" s="17"/>
      <c r="R30" s="17">
        <v>73.41</v>
      </c>
      <c r="S30" s="17"/>
      <c r="T30" s="17">
        <v>167</v>
      </c>
      <c r="U30" s="17">
        <v>1832</v>
      </c>
      <c r="V30" s="17">
        <v>4425</v>
      </c>
      <c r="W30" s="17"/>
      <c r="X30" s="22">
        <v>18</v>
      </c>
      <c r="Y30" s="9">
        <f t="shared" si="1"/>
        <v>27804.399999999998</v>
      </c>
      <c r="Z30" s="9">
        <f t="shared" si="2"/>
        <v>2655.2</v>
      </c>
      <c r="AB30" s="28"/>
    </row>
    <row r="31" spans="1:28" x14ac:dyDescent="0.4">
      <c r="A31" s="19"/>
      <c r="B31" s="8"/>
      <c r="C31" s="40">
        <v>42.01</v>
      </c>
      <c r="D31" s="47">
        <v>20164.990000000002</v>
      </c>
      <c r="E31" s="50">
        <v>9263.94</v>
      </c>
      <c r="F31" s="24"/>
      <c r="G31" s="24"/>
      <c r="H31" s="48"/>
      <c r="I31" s="49">
        <f t="shared" si="0"/>
        <v>29428.93</v>
      </c>
      <c r="J31" s="17">
        <v>5341</v>
      </c>
      <c r="K31" s="22">
        <v>728.34</v>
      </c>
      <c r="L31" s="17">
        <v>29</v>
      </c>
      <c r="M31" s="22">
        <v>54.24</v>
      </c>
      <c r="N31" s="17"/>
      <c r="O31" s="17"/>
      <c r="P31" s="17">
        <v>103</v>
      </c>
      <c r="Q31" s="17"/>
      <c r="R31" s="17">
        <v>95.1</v>
      </c>
      <c r="S31" s="17"/>
      <c r="T31" s="17">
        <f>1210+807</f>
        <v>2017</v>
      </c>
      <c r="U31" s="17">
        <f>2016</f>
        <v>2016</v>
      </c>
      <c r="V31" s="17"/>
      <c r="W31" s="17"/>
      <c r="X31" s="22">
        <v>18</v>
      </c>
      <c r="Y31" s="9">
        <f t="shared" si="1"/>
        <v>37032.03</v>
      </c>
      <c r="Z31" s="9">
        <f t="shared" si="2"/>
        <v>2816.58</v>
      </c>
      <c r="AB31" s="28"/>
    </row>
    <row r="32" spans="1:28" x14ac:dyDescent="0.4">
      <c r="A32" s="19"/>
      <c r="B32" s="8"/>
      <c r="C32" s="40">
        <v>42.01</v>
      </c>
      <c r="D32" s="47">
        <v>20165.04</v>
      </c>
      <c r="E32" s="50">
        <v>4789.5200000000004</v>
      </c>
      <c r="F32" s="24"/>
      <c r="G32" s="24"/>
      <c r="H32" s="48"/>
      <c r="I32" s="49">
        <f t="shared" si="0"/>
        <v>24954.560000000001</v>
      </c>
      <c r="J32" s="17">
        <v>5341</v>
      </c>
      <c r="K32" s="22">
        <v>728.34</v>
      </c>
      <c r="L32" s="17">
        <v>113</v>
      </c>
      <c r="M32" s="22">
        <v>209.1</v>
      </c>
      <c r="N32" s="17"/>
      <c r="O32" s="17"/>
      <c r="P32" s="17">
        <v>103</v>
      </c>
      <c r="Q32" s="17"/>
      <c r="R32" s="17">
        <v>95.1</v>
      </c>
      <c r="S32" s="17"/>
      <c r="T32" s="17">
        <f>1210+807</f>
        <v>2017</v>
      </c>
      <c r="U32" s="17">
        <v>1008</v>
      </c>
      <c r="V32" s="17"/>
      <c r="W32" s="17"/>
      <c r="X32" s="22">
        <v>18</v>
      </c>
      <c r="Y32" s="9">
        <f t="shared" si="1"/>
        <v>32641.66</v>
      </c>
      <c r="Z32" s="9">
        <f t="shared" si="2"/>
        <v>1963.44</v>
      </c>
      <c r="AB32" s="28"/>
    </row>
    <row r="33" spans="1:34" x14ac:dyDescent="0.4">
      <c r="A33" s="19"/>
      <c r="B33" s="8"/>
      <c r="C33" s="40">
        <v>22.35</v>
      </c>
      <c r="D33" s="47">
        <v>10728.01</v>
      </c>
      <c r="E33" s="50">
        <v>452.52</v>
      </c>
      <c r="F33" s="24"/>
      <c r="G33" s="24"/>
      <c r="H33" s="48"/>
      <c r="I33" s="49">
        <f t="shared" si="0"/>
        <v>11180.53</v>
      </c>
      <c r="J33" s="17">
        <v>3946</v>
      </c>
      <c r="K33" s="22">
        <v>538.14</v>
      </c>
      <c r="L33" s="17">
        <v>65</v>
      </c>
      <c r="M33" s="22">
        <v>120.12</v>
      </c>
      <c r="N33" s="17"/>
      <c r="O33" s="17">
        <v>22.62</v>
      </c>
      <c r="P33" s="17">
        <v>55</v>
      </c>
      <c r="Q33" s="17"/>
      <c r="R33" s="17">
        <v>49.29</v>
      </c>
      <c r="S33" s="17"/>
      <c r="T33" s="17">
        <f>644+429</f>
        <v>1073</v>
      </c>
      <c r="U33" s="17">
        <v>429</v>
      </c>
      <c r="V33" s="17"/>
      <c r="W33" s="17"/>
      <c r="X33" s="22">
        <v>18</v>
      </c>
      <c r="Y33" s="9">
        <f t="shared" si="1"/>
        <v>16386.82</v>
      </c>
      <c r="Z33" s="9">
        <f t="shared" si="2"/>
        <v>1127.8800000000001</v>
      </c>
      <c r="AB33" s="28"/>
    </row>
    <row r="34" spans="1:34" x14ac:dyDescent="0.4">
      <c r="A34" s="19"/>
      <c r="B34" s="8"/>
      <c r="C34" s="40">
        <v>42.01</v>
      </c>
      <c r="D34" s="47">
        <v>20165.060000000001</v>
      </c>
      <c r="E34" s="50">
        <v>2079.66</v>
      </c>
      <c r="F34" s="24"/>
      <c r="G34" s="24"/>
      <c r="H34" s="48"/>
      <c r="I34" s="49">
        <f t="shared" si="0"/>
        <v>22244.720000000001</v>
      </c>
      <c r="J34" s="17">
        <v>5341</v>
      </c>
      <c r="K34" s="22">
        <v>728.34</v>
      </c>
      <c r="L34" s="17">
        <v>29</v>
      </c>
      <c r="M34" s="22">
        <v>54.24</v>
      </c>
      <c r="N34" s="17"/>
      <c r="O34" s="17"/>
      <c r="P34" s="17">
        <v>103</v>
      </c>
      <c r="Q34" s="17"/>
      <c r="R34" s="17">
        <v>95.1</v>
      </c>
      <c r="S34" s="17"/>
      <c r="T34" s="17">
        <f>1210+807</f>
        <v>2017</v>
      </c>
      <c r="U34" s="17">
        <v>1008</v>
      </c>
      <c r="V34" s="17"/>
      <c r="W34" s="17"/>
      <c r="X34" s="22">
        <v>18</v>
      </c>
      <c r="Y34" s="9">
        <f t="shared" si="1"/>
        <v>29847.82</v>
      </c>
      <c r="Z34" s="9">
        <f t="shared" si="2"/>
        <v>1808.58</v>
      </c>
      <c r="AB34" s="28"/>
    </row>
    <row r="35" spans="1:34" x14ac:dyDescent="0.4">
      <c r="A35" s="19"/>
      <c r="B35" s="8"/>
      <c r="C35" s="40">
        <v>42.01</v>
      </c>
      <c r="D35" s="47">
        <v>20164.919999999998</v>
      </c>
      <c r="E35" s="50">
        <v>3875.73</v>
      </c>
      <c r="F35" s="24"/>
      <c r="G35" s="24"/>
      <c r="H35" s="48"/>
      <c r="I35" s="49">
        <f t="shared" si="0"/>
        <v>24040.649999999998</v>
      </c>
      <c r="J35" s="17">
        <v>1641</v>
      </c>
      <c r="K35" s="22">
        <v>223.8</v>
      </c>
      <c r="L35" s="17">
        <v>29</v>
      </c>
      <c r="M35" s="22">
        <v>54.24</v>
      </c>
      <c r="N35" s="17"/>
      <c r="O35" s="17"/>
      <c r="P35" s="17">
        <v>103</v>
      </c>
      <c r="Q35" s="17"/>
      <c r="R35" s="17">
        <v>95.1</v>
      </c>
      <c r="S35" s="17"/>
      <c r="T35" s="17">
        <f>1210+807</f>
        <v>2017</v>
      </c>
      <c r="U35" s="17">
        <v>1613</v>
      </c>
      <c r="V35" s="17"/>
      <c r="W35" s="17"/>
      <c r="X35" s="22">
        <v>18</v>
      </c>
      <c r="Y35" s="9">
        <f t="shared" si="1"/>
        <v>27943.749999999996</v>
      </c>
      <c r="Z35" s="9">
        <f t="shared" si="2"/>
        <v>1909.04</v>
      </c>
      <c r="AB35" s="28"/>
    </row>
    <row r="36" spans="1:34" x14ac:dyDescent="0.4">
      <c r="A36" s="19"/>
      <c r="B36" s="8"/>
      <c r="C36" s="40">
        <v>42.01</v>
      </c>
      <c r="D36" s="47">
        <v>19493.02</v>
      </c>
      <c r="E36" s="50">
        <v>9106.39</v>
      </c>
      <c r="F36" s="24"/>
      <c r="G36" s="24"/>
      <c r="H36" s="48"/>
      <c r="I36" s="49">
        <f t="shared" si="0"/>
        <v>28599.41</v>
      </c>
      <c r="J36" s="17">
        <v>5341</v>
      </c>
      <c r="K36" s="22">
        <v>728.34</v>
      </c>
      <c r="L36" s="17">
        <v>29</v>
      </c>
      <c r="M36" s="22">
        <v>54.24</v>
      </c>
      <c r="N36" s="17"/>
      <c r="O36" s="17"/>
      <c r="P36" s="17">
        <v>103</v>
      </c>
      <c r="Q36" s="17"/>
      <c r="R36" s="17">
        <v>95.1</v>
      </c>
      <c r="S36" s="17"/>
      <c r="T36" s="17">
        <f>1170+780</f>
        <v>1950</v>
      </c>
      <c r="U36" s="17">
        <v>1949</v>
      </c>
      <c r="V36" s="17"/>
      <c r="W36" s="17"/>
      <c r="X36" s="22">
        <v>18</v>
      </c>
      <c r="Y36" s="9">
        <f t="shared" si="1"/>
        <v>36135.51</v>
      </c>
      <c r="Z36" s="9">
        <f t="shared" si="2"/>
        <v>2749.58</v>
      </c>
      <c r="AB36" s="28"/>
    </row>
    <row r="37" spans="1:34" x14ac:dyDescent="0.4">
      <c r="A37" s="19"/>
      <c r="B37" s="8"/>
      <c r="C37" s="40">
        <v>42.01</v>
      </c>
      <c r="D37" s="47">
        <v>20165.11</v>
      </c>
      <c r="E37" s="50">
        <v>5073.1099999999997</v>
      </c>
      <c r="F37" s="24"/>
      <c r="G37" s="24"/>
      <c r="H37" s="50"/>
      <c r="I37" s="49">
        <f t="shared" si="0"/>
        <v>25238.22</v>
      </c>
      <c r="J37" s="17">
        <v>1641</v>
      </c>
      <c r="K37" s="22">
        <v>223.8</v>
      </c>
      <c r="L37" s="17">
        <v>29</v>
      </c>
      <c r="M37" s="22">
        <v>54.24</v>
      </c>
      <c r="N37" s="17"/>
      <c r="O37" s="17">
        <v>45.24</v>
      </c>
      <c r="P37" s="17">
        <v>103</v>
      </c>
      <c r="Q37" s="17"/>
      <c r="R37" s="17">
        <v>95.1</v>
      </c>
      <c r="S37" s="17"/>
      <c r="T37" s="17">
        <f>1210+807</f>
        <v>2017</v>
      </c>
      <c r="U37" s="17">
        <v>2218</v>
      </c>
      <c r="V37" s="17"/>
      <c r="W37" s="17"/>
      <c r="X37" s="22">
        <v>18</v>
      </c>
      <c r="Y37" s="9">
        <f t="shared" si="1"/>
        <v>29141.32</v>
      </c>
      <c r="Z37" s="9">
        <f t="shared" si="2"/>
        <v>2559.2800000000002</v>
      </c>
      <c r="AB37" s="28"/>
      <c r="AE37" s="26"/>
      <c r="AF37" s="26"/>
      <c r="AG37" s="26"/>
      <c r="AH37" s="26"/>
    </row>
    <row r="38" spans="1:34" x14ac:dyDescent="0.4">
      <c r="A38" s="19"/>
      <c r="B38" s="8"/>
      <c r="C38" s="40">
        <v>42.01</v>
      </c>
      <c r="D38" s="47">
        <v>20164.91</v>
      </c>
      <c r="E38" s="50">
        <v>5640.29</v>
      </c>
      <c r="F38" s="24"/>
      <c r="G38" s="24"/>
      <c r="H38" s="50"/>
      <c r="I38" s="49">
        <f t="shared" si="0"/>
        <v>25805.200000000001</v>
      </c>
      <c r="J38" s="17">
        <v>1641</v>
      </c>
      <c r="K38" s="22">
        <v>223.8</v>
      </c>
      <c r="L38" s="17">
        <v>29</v>
      </c>
      <c r="M38" s="22">
        <v>54.24</v>
      </c>
      <c r="N38" s="17"/>
      <c r="O38" s="17"/>
      <c r="P38" s="17">
        <v>103</v>
      </c>
      <c r="Q38" s="17"/>
      <c r="R38" s="17">
        <v>79.44</v>
      </c>
      <c r="S38" s="17"/>
      <c r="T38" s="17">
        <f>1210+807</f>
        <v>2017</v>
      </c>
      <c r="U38" s="17">
        <v>3226</v>
      </c>
      <c r="V38" s="17"/>
      <c r="W38" s="17"/>
      <c r="X38" s="22">
        <v>18</v>
      </c>
      <c r="Y38" s="9">
        <f t="shared" si="1"/>
        <v>29692.639999999999</v>
      </c>
      <c r="Z38" s="9">
        <f t="shared" si="2"/>
        <v>3522.04</v>
      </c>
      <c r="AB38" s="28"/>
      <c r="AE38" s="26"/>
      <c r="AF38" s="26"/>
      <c r="AG38" s="26"/>
      <c r="AH38" s="26"/>
    </row>
    <row r="39" spans="1:34" x14ac:dyDescent="0.4">
      <c r="A39" s="19"/>
      <c r="B39" s="8"/>
      <c r="C39" s="40">
        <v>26.45</v>
      </c>
      <c r="D39" s="47">
        <v>12696.01</v>
      </c>
      <c r="E39" s="50"/>
      <c r="F39" s="24"/>
      <c r="G39" s="24"/>
      <c r="H39" s="50"/>
      <c r="I39" s="49">
        <f t="shared" si="0"/>
        <v>12696.01</v>
      </c>
      <c r="J39" s="17">
        <v>1641</v>
      </c>
      <c r="K39" s="22">
        <v>223.8</v>
      </c>
      <c r="L39" s="17"/>
      <c r="M39" s="22"/>
      <c r="N39" s="17"/>
      <c r="O39" s="17"/>
      <c r="P39" s="17">
        <v>65.52</v>
      </c>
      <c r="Q39" s="17"/>
      <c r="R39" s="17">
        <v>61.83</v>
      </c>
      <c r="S39" s="17"/>
      <c r="T39" s="17">
        <f>762+508</f>
        <v>1270</v>
      </c>
      <c r="U39" s="17">
        <v>508</v>
      </c>
      <c r="V39" s="17"/>
      <c r="W39" s="17"/>
      <c r="X39" s="22">
        <v>18</v>
      </c>
      <c r="Y39" s="9">
        <f t="shared" si="1"/>
        <v>15752.36</v>
      </c>
      <c r="Z39" s="9">
        <f t="shared" si="2"/>
        <v>749.8</v>
      </c>
      <c r="AB39" s="28"/>
      <c r="AE39" s="26"/>
      <c r="AF39" s="26"/>
      <c r="AG39" s="26"/>
      <c r="AH39" s="26"/>
    </row>
    <row r="40" spans="1:34" x14ac:dyDescent="0.4">
      <c r="A40" s="19"/>
      <c r="B40" s="8"/>
      <c r="C40" s="40">
        <v>29.81</v>
      </c>
      <c r="D40" s="47">
        <v>14308.8</v>
      </c>
      <c r="E40" s="50">
        <v>335.4</v>
      </c>
      <c r="F40" s="24"/>
      <c r="G40" s="24"/>
      <c r="H40" s="50"/>
      <c r="I40" s="49">
        <f t="shared" si="0"/>
        <v>14644.199999999999</v>
      </c>
      <c r="J40" s="17">
        <v>5341</v>
      </c>
      <c r="K40" s="22">
        <v>728.34</v>
      </c>
      <c r="L40" s="17">
        <v>65</v>
      </c>
      <c r="M40" s="22">
        <v>120</v>
      </c>
      <c r="N40" s="17"/>
      <c r="O40" s="17">
        <v>43.02</v>
      </c>
      <c r="P40" s="17">
        <v>73.709999999999994</v>
      </c>
      <c r="Q40" s="17"/>
      <c r="R40" s="17">
        <v>69</v>
      </c>
      <c r="S40" s="17"/>
      <c r="T40" s="17">
        <f>859+572</f>
        <v>1431</v>
      </c>
      <c r="U40" s="17">
        <v>1431</v>
      </c>
      <c r="V40" s="17"/>
      <c r="W40" s="17"/>
      <c r="X40" s="22">
        <v>18</v>
      </c>
      <c r="Y40" s="9">
        <f t="shared" si="1"/>
        <v>21641.909999999996</v>
      </c>
      <c r="Z40" s="9">
        <f t="shared" si="2"/>
        <v>2340.36</v>
      </c>
      <c r="AB40" s="28"/>
      <c r="AE40" s="26"/>
      <c r="AF40" s="26"/>
      <c r="AG40" s="26"/>
      <c r="AH40" s="26"/>
    </row>
    <row r="41" spans="1:34" x14ac:dyDescent="0.4">
      <c r="A41" s="19"/>
      <c r="B41" s="8"/>
      <c r="C41" s="40">
        <v>42.01</v>
      </c>
      <c r="D41" s="47">
        <v>20165.02</v>
      </c>
      <c r="E41" s="50">
        <v>2867.41</v>
      </c>
      <c r="F41" s="24"/>
      <c r="G41" s="24"/>
      <c r="H41" s="50"/>
      <c r="I41" s="49">
        <f t="shared" si="0"/>
        <v>23032.43</v>
      </c>
      <c r="J41" s="17">
        <v>5341</v>
      </c>
      <c r="K41" s="22">
        <v>728.34</v>
      </c>
      <c r="L41" s="17">
        <v>65</v>
      </c>
      <c r="M41" s="22">
        <v>120</v>
      </c>
      <c r="N41" s="17"/>
      <c r="O41" s="17">
        <v>43.02</v>
      </c>
      <c r="P41" s="17">
        <v>103</v>
      </c>
      <c r="Q41" s="17"/>
      <c r="R41" s="17">
        <v>79.44</v>
      </c>
      <c r="S41" s="17"/>
      <c r="T41" s="17">
        <f>1210+807</f>
        <v>2017</v>
      </c>
      <c r="U41" s="17">
        <v>2016</v>
      </c>
      <c r="V41" s="17"/>
      <c r="W41" s="17"/>
      <c r="X41" s="22">
        <v>18</v>
      </c>
      <c r="Y41" s="9">
        <f t="shared" si="1"/>
        <v>30655.87</v>
      </c>
      <c r="Z41" s="9">
        <f t="shared" si="2"/>
        <v>2925.36</v>
      </c>
      <c r="AB41" s="28"/>
      <c r="AE41" s="26"/>
      <c r="AF41" s="26"/>
      <c r="AG41" s="26"/>
      <c r="AH41" s="26"/>
    </row>
    <row r="42" spans="1:34" x14ac:dyDescent="0.4">
      <c r="A42" s="19"/>
      <c r="B42" s="8"/>
      <c r="C42" s="40">
        <v>25</v>
      </c>
      <c r="D42" s="47">
        <v>12000</v>
      </c>
      <c r="E42" s="50">
        <v>112.5</v>
      </c>
      <c r="F42" s="24"/>
      <c r="G42" s="24"/>
      <c r="H42" s="50"/>
      <c r="I42" s="49">
        <f t="shared" si="0"/>
        <v>12112.5</v>
      </c>
      <c r="J42" s="17">
        <v>5341</v>
      </c>
      <c r="K42" s="22">
        <v>728</v>
      </c>
      <c r="L42" s="17">
        <v>113</v>
      </c>
      <c r="M42" s="22">
        <v>209.1</v>
      </c>
      <c r="N42" s="17"/>
      <c r="O42" s="17">
        <v>66.540000000000006</v>
      </c>
      <c r="P42" s="17">
        <v>61</v>
      </c>
      <c r="Q42" s="17"/>
      <c r="R42" s="17">
        <v>58.35</v>
      </c>
      <c r="S42" s="17"/>
      <c r="T42" s="17">
        <f>720+480</f>
        <v>1200</v>
      </c>
      <c r="U42" s="17">
        <v>480</v>
      </c>
      <c r="V42" s="17"/>
      <c r="W42" s="17"/>
      <c r="X42" s="22">
        <v>18</v>
      </c>
      <c r="Y42" s="9">
        <f t="shared" si="1"/>
        <v>18903.849999999999</v>
      </c>
      <c r="Z42" s="9">
        <f t="shared" si="2"/>
        <v>1501.6399999999999</v>
      </c>
      <c r="AB42" s="28"/>
    </row>
    <row r="43" spans="1:34" x14ac:dyDescent="0.4">
      <c r="A43" s="19"/>
      <c r="B43" s="8"/>
      <c r="C43" s="40">
        <v>22.74</v>
      </c>
      <c r="D43" s="47">
        <v>10915.2</v>
      </c>
      <c r="E43" s="50"/>
      <c r="F43" s="24"/>
      <c r="G43" s="24"/>
      <c r="H43" s="48"/>
      <c r="I43" s="49">
        <f t="shared" si="0"/>
        <v>10915.2</v>
      </c>
      <c r="J43" s="17"/>
      <c r="K43" s="22"/>
      <c r="L43" s="17">
        <v>29</v>
      </c>
      <c r="M43" s="22">
        <v>54.24</v>
      </c>
      <c r="N43" s="17"/>
      <c r="O43" s="17">
        <v>22.62</v>
      </c>
      <c r="P43" s="17">
        <v>56</v>
      </c>
      <c r="Q43" s="17"/>
      <c r="R43" s="17">
        <v>47.22</v>
      </c>
      <c r="S43" s="17"/>
      <c r="T43" s="17">
        <f>655+437</f>
        <v>1092</v>
      </c>
      <c r="U43" s="17">
        <f>437+437</f>
        <v>874</v>
      </c>
      <c r="V43" s="17"/>
      <c r="W43" s="17"/>
      <c r="X43" s="22">
        <v>18</v>
      </c>
      <c r="Y43" s="9">
        <f t="shared" si="1"/>
        <v>12157.42</v>
      </c>
      <c r="Z43" s="9">
        <f t="shared" si="2"/>
        <v>968.86</v>
      </c>
      <c r="AB43" s="28"/>
      <c r="AE43" s="57"/>
    </row>
    <row r="44" spans="1:34" x14ac:dyDescent="0.4">
      <c r="A44" s="19"/>
      <c r="B44" s="8"/>
      <c r="C44" s="40">
        <v>38.79</v>
      </c>
      <c r="D44" s="47">
        <v>18619.64</v>
      </c>
      <c r="E44" s="50">
        <v>7652.02</v>
      </c>
      <c r="F44" s="24"/>
      <c r="G44" s="24"/>
      <c r="H44" s="48"/>
      <c r="I44" s="49">
        <f t="shared" si="0"/>
        <v>26271.66</v>
      </c>
      <c r="J44" s="17">
        <v>3946</v>
      </c>
      <c r="K44" s="22">
        <v>538</v>
      </c>
      <c r="L44" s="17">
        <v>65</v>
      </c>
      <c r="M44" s="22">
        <v>120.12</v>
      </c>
      <c r="N44" s="17"/>
      <c r="O44" s="17"/>
      <c r="P44" s="17">
        <v>95</v>
      </c>
      <c r="Q44" s="17"/>
      <c r="R44" s="17">
        <v>66.3</v>
      </c>
      <c r="S44" s="17"/>
      <c r="T44" s="17">
        <v>1117</v>
      </c>
      <c r="U44" s="17"/>
      <c r="V44" s="17"/>
      <c r="W44" s="17"/>
      <c r="X44" s="22">
        <v>18</v>
      </c>
      <c r="Y44" s="9">
        <f t="shared" si="1"/>
        <v>31578.959999999999</v>
      </c>
      <c r="Z44" s="9">
        <f t="shared" si="2"/>
        <v>676.12</v>
      </c>
      <c r="AB44" s="28"/>
    </row>
    <row r="45" spans="1:34" x14ac:dyDescent="0.4">
      <c r="A45" s="19"/>
      <c r="B45" s="8"/>
      <c r="C45" s="40">
        <v>32.54</v>
      </c>
      <c r="D45" s="47">
        <v>15619.22</v>
      </c>
      <c r="E45" s="50">
        <v>3306.89</v>
      </c>
      <c r="F45" s="24"/>
      <c r="G45" s="24"/>
      <c r="H45" s="48"/>
      <c r="I45" s="49">
        <f t="shared" si="0"/>
        <v>18926.11</v>
      </c>
      <c r="J45" s="17">
        <v>1641</v>
      </c>
      <c r="K45" s="22">
        <v>224</v>
      </c>
      <c r="L45" s="17">
        <v>29</v>
      </c>
      <c r="M45" s="22">
        <v>54.24</v>
      </c>
      <c r="N45" s="17"/>
      <c r="O45" s="17"/>
      <c r="P45" s="17">
        <v>80</v>
      </c>
      <c r="Q45" s="17"/>
      <c r="R45" s="17">
        <v>68.22</v>
      </c>
      <c r="S45" s="17"/>
      <c r="T45" s="17">
        <f>937+625</f>
        <v>1562</v>
      </c>
      <c r="U45" s="17">
        <v>1250</v>
      </c>
      <c r="V45" s="17"/>
      <c r="W45" s="17"/>
      <c r="X45" s="22">
        <v>18</v>
      </c>
      <c r="Y45" s="9">
        <f t="shared" si="1"/>
        <v>22324.33</v>
      </c>
      <c r="Z45" s="9">
        <f t="shared" si="2"/>
        <v>1546.24</v>
      </c>
      <c r="AB45" s="28"/>
    </row>
    <row r="46" spans="1:34" x14ac:dyDescent="0.4">
      <c r="A46" s="19"/>
      <c r="B46" s="8"/>
      <c r="C46" s="40">
        <v>30.16</v>
      </c>
      <c r="D46" s="47">
        <v>14956.8</v>
      </c>
      <c r="E46" s="50">
        <v>2659.68</v>
      </c>
      <c r="F46" s="24"/>
      <c r="G46" s="24"/>
      <c r="H46" s="48"/>
      <c r="I46" s="49">
        <f t="shared" si="0"/>
        <v>17616.48</v>
      </c>
      <c r="J46" s="17">
        <v>3946</v>
      </c>
      <c r="K46" s="22">
        <v>538</v>
      </c>
      <c r="L46" s="17">
        <v>65</v>
      </c>
      <c r="M46" s="22">
        <v>120.12</v>
      </c>
      <c r="N46" s="17"/>
      <c r="O46" s="17">
        <v>43.02</v>
      </c>
      <c r="P46" s="17">
        <v>74</v>
      </c>
      <c r="Q46" s="17"/>
      <c r="R46" s="17">
        <v>60.99</v>
      </c>
      <c r="S46" s="17"/>
      <c r="T46" s="17">
        <f>897+598</f>
        <v>1495</v>
      </c>
      <c r="U46" s="17">
        <v>598</v>
      </c>
      <c r="V46" s="17"/>
      <c r="W46" s="17"/>
      <c r="X46" s="22">
        <v>18</v>
      </c>
      <c r="Y46" s="9">
        <f t="shared" si="1"/>
        <v>23275.47</v>
      </c>
      <c r="Z46" s="9">
        <f t="shared" si="2"/>
        <v>1317.1399999999999</v>
      </c>
      <c r="AB46" s="28"/>
    </row>
    <row r="47" spans="1:34" x14ac:dyDescent="0.4">
      <c r="A47" s="19"/>
      <c r="B47" s="8"/>
      <c r="C47" s="40">
        <v>33.89</v>
      </c>
      <c r="D47" s="47">
        <v>16267.33</v>
      </c>
      <c r="E47" s="50"/>
      <c r="F47" s="24"/>
      <c r="G47" s="24"/>
      <c r="H47" s="48"/>
      <c r="I47" s="49">
        <f t="shared" si="0"/>
        <v>16267.33</v>
      </c>
      <c r="J47" s="17">
        <v>1641</v>
      </c>
      <c r="K47" s="22">
        <v>224</v>
      </c>
      <c r="L47" s="17">
        <v>29</v>
      </c>
      <c r="M47" s="22">
        <v>54.24</v>
      </c>
      <c r="N47" s="17"/>
      <c r="O47" s="17"/>
      <c r="P47" s="17">
        <v>83</v>
      </c>
      <c r="Q47" s="17"/>
      <c r="R47" s="17">
        <v>74.25</v>
      </c>
      <c r="S47" s="17"/>
      <c r="T47" s="17">
        <f>976+651</f>
        <v>1627</v>
      </c>
      <c r="U47" s="17">
        <v>1627</v>
      </c>
      <c r="V47" s="17"/>
      <c r="W47" s="17"/>
      <c r="X47" s="22">
        <v>18</v>
      </c>
      <c r="Y47" s="9">
        <f t="shared" si="1"/>
        <v>19739.580000000002</v>
      </c>
      <c r="Z47" s="9">
        <f t="shared" si="2"/>
        <v>1923.24</v>
      </c>
      <c r="AB47" s="28"/>
    </row>
    <row r="48" spans="1:34" x14ac:dyDescent="0.4">
      <c r="A48" s="19"/>
      <c r="B48" s="8"/>
      <c r="C48" s="40">
        <v>20.95</v>
      </c>
      <c r="D48" s="47">
        <v>10056.049999999999</v>
      </c>
      <c r="E48" s="50"/>
      <c r="F48" s="24"/>
      <c r="G48" s="24"/>
      <c r="H48" s="48"/>
      <c r="I48" s="49">
        <f t="shared" si="0"/>
        <v>10056.049999999999</v>
      </c>
      <c r="J48" s="17">
        <v>5341</v>
      </c>
      <c r="K48" s="22">
        <v>728</v>
      </c>
      <c r="L48" s="17">
        <v>113</v>
      </c>
      <c r="M48" s="22">
        <v>209.1</v>
      </c>
      <c r="N48" s="17"/>
      <c r="O48" s="17">
        <v>66.540000000000006</v>
      </c>
      <c r="P48" s="17">
        <v>51.48</v>
      </c>
      <c r="Q48" s="17"/>
      <c r="R48" s="17">
        <v>43.11</v>
      </c>
      <c r="S48" s="17"/>
      <c r="T48" s="17">
        <f>603+402</f>
        <v>1005</v>
      </c>
      <c r="U48" s="17">
        <v>503</v>
      </c>
      <c r="V48" s="17"/>
      <c r="W48" s="17"/>
      <c r="X48" s="22">
        <v>18</v>
      </c>
      <c r="Y48" s="9">
        <f t="shared" si="1"/>
        <v>16627.64</v>
      </c>
      <c r="Z48" s="9">
        <f t="shared" si="2"/>
        <v>1524.6399999999999</v>
      </c>
      <c r="AB48" s="28"/>
    </row>
    <row r="49" spans="1:28" x14ac:dyDescent="0.4">
      <c r="A49" s="19"/>
      <c r="B49" s="8"/>
      <c r="C49" s="40">
        <v>20.95</v>
      </c>
      <c r="D49" s="47">
        <v>10056</v>
      </c>
      <c r="E49" s="50">
        <v>235.8</v>
      </c>
      <c r="F49" s="24"/>
      <c r="G49" s="24"/>
      <c r="H49" s="48"/>
      <c r="I49" s="49">
        <f t="shared" si="0"/>
        <v>10291.799999999999</v>
      </c>
      <c r="J49" s="17">
        <v>5341</v>
      </c>
      <c r="K49" s="22">
        <v>728</v>
      </c>
      <c r="L49" s="17"/>
      <c r="M49" s="22"/>
      <c r="N49" s="17"/>
      <c r="O49" s="17">
        <v>22.62</v>
      </c>
      <c r="P49" s="17">
        <v>51.48</v>
      </c>
      <c r="Q49" s="17"/>
      <c r="R49" s="17">
        <v>43.11</v>
      </c>
      <c r="S49" s="17"/>
      <c r="T49" s="17">
        <f>603+402</f>
        <v>1005</v>
      </c>
      <c r="U49" s="17">
        <v>402</v>
      </c>
      <c r="V49" s="17"/>
      <c r="W49" s="17"/>
      <c r="X49" s="22">
        <v>18</v>
      </c>
      <c r="Y49" s="9">
        <f t="shared" si="1"/>
        <v>16750.39</v>
      </c>
      <c r="Z49" s="9">
        <f t="shared" si="2"/>
        <v>1170.6199999999999</v>
      </c>
      <c r="AB49" s="28"/>
    </row>
    <row r="50" spans="1:28" x14ac:dyDescent="0.4">
      <c r="A50" s="19"/>
      <c r="B50" s="8"/>
      <c r="C50" s="40">
        <v>20.95</v>
      </c>
      <c r="D50" s="47">
        <v>10056.02</v>
      </c>
      <c r="E50" s="50">
        <v>196.5</v>
      </c>
      <c r="F50" s="24"/>
      <c r="G50" s="24"/>
      <c r="H50" s="48"/>
      <c r="I50" s="49">
        <f t="shared" si="0"/>
        <v>10252.52</v>
      </c>
      <c r="J50" s="17">
        <v>1641</v>
      </c>
      <c r="K50" s="22">
        <v>224</v>
      </c>
      <c r="L50" s="17">
        <v>29</v>
      </c>
      <c r="M50" s="22">
        <v>54.24</v>
      </c>
      <c r="N50" s="17"/>
      <c r="O50" s="17">
        <v>22.62</v>
      </c>
      <c r="P50" s="17">
        <v>51.48</v>
      </c>
      <c r="Q50" s="17"/>
      <c r="R50" s="17">
        <v>43.11</v>
      </c>
      <c r="S50" s="17"/>
      <c r="T50" s="17">
        <f>603+402</f>
        <v>1005</v>
      </c>
      <c r="U50" s="17">
        <v>402</v>
      </c>
      <c r="V50" s="17"/>
      <c r="W50" s="17"/>
      <c r="X50" s="22">
        <v>18</v>
      </c>
      <c r="Y50" s="9">
        <f t="shared" si="1"/>
        <v>13040.11</v>
      </c>
      <c r="Z50" s="9">
        <f t="shared" si="2"/>
        <v>720.86</v>
      </c>
      <c r="AB50" s="28"/>
    </row>
    <row r="51" spans="1:28" x14ac:dyDescent="0.4">
      <c r="A51" s="19"/>
      <c r="B51" s="8"/>
      <c r="C51" s="40">
        <v>30.16</v>
      </c>
      <c r="D51" s="47">
        <v>14474.24</v>
      </c>
      <c r="E51" s="50">
        <v>6318.9</v>
      </c>
      <c r="F51" s="24"/>
      <c r="G51" s="24"/>
      <c r="H51" s="48"/>
      <c r="I51" s="49">
        <f t="shared" si="0"/>
        <v>20793.14</v>
      </c>
      <c r="J51" s="17"/>
      <c r="K51" s="22"/>
      <c r="L51" s="17"/>
      <c r="M51" s="22"/>
      <c r="N51" s="17"/>
      <c r="O51" s="17"/>
      <c r="P51" s="17">
        <v>74</v>
      </c>
      <c r="Q51" s="17"/>
      <c r="R51" s="17">
        <v>74.25</v>
      </c>
      <c r="S51" s="17"/>
      <c r="T51" s="17">
        <f>868+579</f>
        <v>1447</v>
      </c>
      <c r="U51" s="17">
        <f>579+868</f>
        <v>1447</v>
      </c>
      <c r="V51" s="17"/>
      <c r="W51" s="17"/>
      <c r="X51" s="22">
        <v>18</v>
      </c>
      <c r="Y51" s="9">
        <f t="shared" si="1"/>
        <v>22406.39</v>
      </c>
      <c r="Z51" s="9">
        <f t="shared" si="2"/>
        <v>1465</v>
      </c>
      <c r="AB51" s="28"/>
    </row>
    <row r="52" spans="1:28" x14ac:dyDescent="0.4">
      <c r="A52" s="19"/>
      <c r="B52" s="8"/>
      <c r="C52" s="40">
        <v>28.01</v>
      </c>
      <c r="D52" s="47">
        <v>11293.7</v>
      </c>
      <c r="E52" s="50">
        <v>1413.82</v>
      </c>
      <c r="F52" s="24">
        <v>2461.64</v>
      </c>
      <c r="G52" s="24"/>
      <c r="H52" s="48"/>
      <c r="I52" s="49">
        <f t="shared" si="0"/>
        <v>15169.16</v>
      </c>
      <c r="J52" s="17"/>
      <c r="K52" s="22"/>
      <c r="L52" s="17"/>
      <c r="M52" s="22"/>
      <c r="N52" s="17"/>
      <c r="O52" s="17"/>
      <c r="P52" s="17">
        <v>69</v>
      </c>
      <c r="Q52" s="17"/>
      <c r="R52" s="17">
        <v>44.2</v>
      </c>
      <c r="S52" s="17"/>
      <c r="T52" s="17">
        <f>677+451</f>
        <v>1128</v>
      </c>
      <c r="U52" s="17">
        <f>451+451</f>
        <v>902</v>
      </c>
      <c r="V52" s="17"/>
      <c r="W52" s="17"/>
      <c r="X52" s="22">
        <v>18</v>
      </c>
      <c r="Y52" s="9">
        <f t="shared" si="1"/>
        <v>16428.36</v>
      </c>
      <c r="Z52" s="9">
        <f t="shared" si="2"/>
        <v>920</v>
      </c>
      <c r="AB52" s="28"/>
    </row>
    <row r="53" spans="1:28" x14ac:dyDescent="0.4">
      <c r="A53" s="19"/>
      <c r="B53" s="8"/>
      <c r="C53" s="40">
        <v>28.01</v>
      </c>
      <c r="D53" s="47">
        <v>13479.11</v>
      </c>
      <c r="E53" s="50">
        <v>3001.72</v>
      </c>
      <c r="F53" s="24"/>
      <c r="G53" s="24"/>
      <c r="H53" s="48"/>
      <c r="I53" s="49">
        <f t="shared" si="0"/>
        <v>16480.830000000002</v>
      </c>
      <c r="J53" s="17"/>
      <c r="K53" s="22"/>
      <c r="L53" s="17"/>
      <c r="M53" s="22"/>
      <c r="N53" s="17"/>
      <c r="O53" s="17"/>
      <c r="P53" s="17">
        <v>69</v>
      </c>
      <c r="Q53" s="17"/>
      <c r="R53" s="17">
        <v>68.94</v>
      </c>
      <c r="S53" s="17"/>
      <c r="T53" s="17">
        <f>809+539</f>
        <v>1348</v>
      </c>
      <c r="U53" s="17">
        <f>539+809</f>
        <v>1348</v>
      </c>
      <c r="V53" s="17"/>
      <c r="W53" s="17"/>
      <c r="X53" s="22">
        <v>18</v>
      </c>
      <c r="Y53" s="9">
        <f t="shared" si="1"/>
        <v>17984.77</v>
      </c>
      <c r="Z53" s="9">
        <f t="shared" si="2"/>
        <v>1366</v>
      </c>
      <c r="AB53" s="28"/>
    </row>
    <row r="54" spans="1:28" x14ac:dyDescent="0.4">
      <c r="A54" s="19"/>
      <c r="B54" s="8"/>
      <c r="C54" s="40">
        <v>20.95</v>
      </c>
      <c r="D54" s="47">
        <v>10056.01</v>
      </c>
      <c r="E54" s="50">
        <v>23.58</v>
      </c>
      <c r="F54" s="24"/>
      <c r="G54" s="24"/>
      <c r="H54" s="48"/>
      <c r="I54" s="49">
        <f t="shared" si="0"/>
        <v>10079.59</v>
      </c>
      <c r="J54" s="17">
        <v>5341</v>
      </c>
      <c r="K54" s="22">
        <v>728</v>
      </c>
      <c r="L54" s="17">
        <v>113</v>
      </c>
      <c r="M54" s="22">
        <v>209.1</v>
      </c>
      <c r="N54" s="17"/>
      <c r="O54" s="17">
        <v>22.62</v>
      </c>
      <c r="P54" s="17">
        <v>51.48</v>
      </c>
      <c r="Q54" s="17"/>
      <c r="R54" s="17">
        <v>43.11</v>
      </c>
      <c r="S54" s="17"/>
      <c r="T54" s="17">
        <f>603+402</f>
        <v>1005</v>
      </c>
      <c r="U54" s="17">
        <v>402</v>
      </c>
      <c r="V54" s="17"/>
      <c r="W54" s="17"/>
      <c r="X54" s="22">
        <v>18</v>
      </c>
      <c r="Y54" s="9">
        <f t="shared" si="1"/>
        <v>16651.18</v>
      </c>
      <c r="Z54" s="9">
        <f t="shared" si="2"/>
        <v>1379.72</v>
      </c>
      <c r="AB54" s="28"/>
    </row>
    <row r="55" spans="1:28" x14ac:dyDescent="0.4">
      <c r="A55" s="19"/>
      <c r="B55" s="8"/>
      <c r="C55" s="40">
        <v>27.28</v>
      </c>
      <c r="D55" s="47">
        <v>13094.4</v>
      </c>
      <c r="E55" s="50">
        <v>2516.58</v>
      </c>
      <c r="F55" s="24"/>
      <c r="G55" s="24"/>
      <c r="H55" s="48"/>
      <c r="I55" s="49">
        <f t="shared" si="0"/>
        <v>15610.98</v>
      </c>
      <c r="J55" s="17">
        <v>1641</v>
      </c>
      <c r="K55" s="22">
        <v>224</v>
      </c>
      <c r="L55" s="17">
        <v>29</v>
      </c>
      <c r="M55" s="22">
        <v>54.24</v>
      </c>
      <c r="N55" s="17"/>
      <c r="O55" s="17">
        <v>22.62</v>
      </c>
      <c r="P55" s="17">
        <v>66.69</v>
      </c>
      <c r="Q55" s="17"/>
      <c r="R55" s="17">
        <v>64.8</v>
      </c>
      <c r="S55" s="17"/>
      <c r="T55" s="17">
        <f>786+524</f>
        <v>1310</v>
      </c>
      <c r="U55" s="17">
        <v>786</v>
      </c>
      <c r="V55" s="17"/>
      <c r="W55" s="17"/>
      <c r="X55" s="22">
        <v>18</v>
      </c>
      <c r="Y55" s="9">
        <f t="shared" si="1"/>
        <v>18740.469999999998</v>
      </c>
      <c r="Z55" s="9">
        <f t="shared" si="2"/>
        <v>1104.8600000000001</v>
      </c>
      <c r="AB55" s="28"/>
    </row>
    <row r="56" spans="1:28" x14ac:dyDescent="0.4">
      <c r="A56" s="19"/>
      <c r="B56" s="8"/>
      <c r="C56" s="40">
        <v>38.79</v>
      </c>
      <c r="D56" s="47">
        <v>7805.79</v>
      </c>
      <c r="E56" s="50">
        <v>698.28</v>
      </c>
      <c r="F56" s="24"/>
      <c r="G56" s="24"/>
      <c r="H56" s="48"/>
      <c r="I56" s="49">
        <f t="shared" si="0"/>
        <v>8504.07</v>
      </c>
      <c r="J56" s="17">
        <v>1780</v>
      </c>
      <c r="K56" s="22">
        <v>242.78</v>
      </c>
      <c r="L56" s="17">
        <v>38</v>
      </c>
      <c r="M56" s="22">
        <v>69.7</v>
      </c>
      <c r="N56" s="17"/>
      <c r="O56" s="17">
        <v>22.18</v>
      </c>
      <c r="P56" s="17">
        <v>31.59</v>
      </c>
      <c r="Q56" s="17"/>
      <c r="R56" s="17">
        <v>32</v>
      </c>
      <c r="S56" s="17"/>
      <c r="T56" s="17">
        <f>468+312</f>
        <v>780</v>
      </c>
      <c r="U56" s="17">
        <v>312</v>
      </c>
      <c r="V56" s="17"/>
      <c r="W56" s="17"/>
      <c r="X56" s="22">
        <v>18</v>
      </c>
      <c r="Y56" s="9">
        <f t="shared" si="1"/>
        <v>11183.66</v>
      </c>
      <c r="Z56" s="9">
        <f t="shared" si="2"/>
        <v>664.66000000000008</v>
      </c>
      <c r="AB56" s="28"/>
    </row>
    <row r="57" spans="1:28" x14ac:dyDescent="0.4">
      <c r="A57" s="19"/>
      <c r="B57" s="8"/>
      <c r="C57" s="40">
        <v>20.95</v>
      </c>
      <c r="D57" s="47">
        <v>10056.01</v>
      </c>
      <c r="E57" s="50">
        <v>62.88</v>
      </c>
      <c r="F57" s="24"/>
      <c r="G57" s="24"/>
      <c r="H57" s="48"/>
      <c r="I57" s="49">
        <f t="shared" si="0"/>
        <v>10118.89</v>
      </c>
      <c r="J57" s="17">
        <v>3451</v>
      </c>
      <c r="K57" s="22">
        <v>471</v>
      </c>
      <c r="L57" s="17">
        <v>29</v>
      </c>
      <c r="M57" s="22">
        <v>54.24</v>
      </c>
      <c r="N57" s="17"/>
      <c r="O57" s="17"/>
      <c r="P57" s="17">
        <v>51.48</v>
      </c>
      <c r="Q57" s="17"/>
      <c r="R57" s="17">
        <v>43</v>
      </c>
      <c r="S57" s="17"/>
      <c r="T57" s="17">
        <f>603+402</f>
        <v>1005</v>
      </c>
      <c r="U57" s="17">
        <v>402</v>
      </c>
      <c r="V57" s="17"/>
      <c r="W57" s="17"/>
      <c r="X57" s="22">
        <v>18</v>
      </c>
      <c r="Y57" s="9">
        <f t="shared" si="1"/>
        <v>14716.369999999999</v>
      </c>
      <c r="Z57" s="9">
        <f t="shared" si="2"/>
        <v>945.24</v>
      </c>
      <c r="AB57" s="28"/>
    </row>
    <row r="58" spans="1:28" x14ac:dyDescent="0.4">
      <c r="A58" s="19"/>
      <c r="B58" s="8"/>
      <c r="C58" s="40">
        <v>23.29</v>
      </c>
      <c r="D58" s="47">
        <v>11179.22</v>
      </c>
      <c r="E58" s="50">
        <v>279.52</v>
      </c>
      <c r="F58" s="24"/>
      <c r="G58" s="24"/>
      <c r="H58" s="48"/>
      <c r="I58" s="49">
        <f t="shared" si="0"/>
        <v>11458.74</v>
      </c>
      <c r="J58" s="17">
        <v>5341</v>
      </c>
      <c r="K58" s="22">
        <v>728.34</v>
      </c>
      <c r="L58" s="17">
        <v>113</v>
      </c>
      <c r="M58" s="22">
        <v>209.1</v>
      </c>
      <c r="N58" s="17"/>
      <c r="O58" s="17">
        <v>66.540000000000006</v>
      </c>
      <c r="P58" s="17">
        <v>57.33</v>
      </c>
      <c r="Q58" s="17"/>
      <c r="R58" s="17">
        <v>60</v>
      </c>
      <c r="S58" s="17"/>
      <c r="T58" s="17">
        <f>671+224</f>
        <v>895</v>
      </c>
      <c r="U58" s="17">
        <v>224</v>
      </c>
      <c r="V58" s="17"/>
      <c r="W58" s="17"/>
      <c r="X58" s="22">
        <v>18</v>
      </c>
      <c r="Y58" s="9">
        <f t="shared" si="1"/>
        <v>17943.07</v>
      </c>
      <c r="Z58" s="9">
        <f t="shared" si="2"/>
        <v>1245.98</v>
      </c>
      <c r="AB58" s="28"/>
    </row>
    <row r="59" spans="1:28" x14ac:dyDescent="0.4">
      <c r="A59" s="19"/>
      <c r="B59" s="8"/>
      <c r="C59" s="40">
        <v>20.95</v>
      </c>
      <c r="D59" s="47">
        <v>10056</v>
      </c>
      <c r="E59" s="50">
        <v>282.88</v>
      </c>
      <c r="F59" s="24"/>
      <c r="G59" s="24"/>
      <c r="H59" s="48"/>
      <c r="I59" s="49">
        <f t="shared" si="0"/>
        <v>10338.879999999999</v>
      </c>
      <c r="J59" s="17"/>
      <c r="K59" s="22"/>
      <c r="L59" s="17"/>
      <c r="M59" s="22"/>
      <c r="N59" s="17"/>
      <c r="O59" s="17"/>
      <c r="P59" s="17">
        <v>51.48</v>
      </c>
      <c r="Q59" s="17"/>
      <c r="R59" s="17">
        <v>51</v>
      </c>
      <c r="S59" s="17"/>
      <c r="T59" s="17">
        <f>201+134</f>
        <v>335</v>
      </c>
      <c r="U59" s="17">
        <v>603</v>
      </c>
      <c r="V59" s="17"/>
      <c r="W59" s="17"/>
      <c r="X59" s="22">
        <v>18</v>
      </c>
      <c r="Y59" s="9">
        <f t="shared" si="1"/>
        <v>10794.359999999999</v>
      </c>
      <c r="Z59" s="9">
        <f t="shared" si="2"/>
        <v>621</v>
      </c>
      <c r="AB59" s="28"/>
    </row>
    <row r="60" spans="1:28" x14ac:dyDescent="0.4">
      <c r="A60" s="19"/>
      <c r="B60" s="55"/>
      <c r="C60" s="40">
        <v>39</v>
      </c>
      <c r="D60" s="47">
        <v>18720</v>
      </c>
      <c r="E60" s="50">
        <v>1784.25</v>
      </c>
      <c r="F60" s="24"/>
      <c r="G60" s="24"/>
      <c r="H60" s="48"/>
      <c r="I60" s="49">
        <f t="shared" si="0"/>
        <v>20504.25</v>
      </c>
      <c r="J60" s="17"/>
      <c r="K60" s="22"/>
      <c r="L60" s="17"/>
      <c r="M60" s="22"/>
      <c r="N60" s="17"/>
      <c r="O60" s="17"/>
      <c r="P60" s="17">
        <v>95.94</v>
      </c>
      <c r="Q60" s="17"/>
      <c r="R60" s="17">
        <v>102</v>
      </c>
      <c r="S60" s="17"/>
      <c r="T60" s="17"/>
      <c r="U60" s="17">
        <v>1810</v>
      </c>
      <c r="V60" s="17"/>
      <c r="W60" s="17"/>
      <c r="X60" s="22">
        <v>18</v>
      </c>
      <c r="Y60" s="9">
        <f t="shared" si="1"/>
        <v>20720.189999999999</v>
      </c>
      <c r="Z60" s="9">
        <f t="shared" si="2"/>
        <v>1828</v>
      </c>
      <c r="AB60" s="28"/>
    </row>
    <row r="61" spans="1:28" x14ac:dyDescent="0.4">
      <c r="A61" s="19"/>
      <c r="B61" s="55"/>
      <c r="C61" s="40">
        <v>20.95</v>
      </c>
      <c r="D61" s="47">
        <v>10056.02</v>
      </c>
      <c r="E61" s="50">
        <v>385.14</v>
      </c>
      <c r="F61" s="24"/>
      <c r="G61" s="24"/>
      <c r="H61" s="48"/>
      <c r="I61" s="49">
        <f t="shared" si="0"/>
        <v>10441.16</v>
      </c>
      <c r="J61" s="17">
        <v>3451</v>
      </c>
      <c r="K61" s="22">
        <v>470.64</v>
      </c>
      <c r="L61" s="17">
        <v>71</v>
      </c>
      <c r="M61" s="22">
        <v>132.6</v>
      </c>
      <c r="N61" s="17"/>
      <c r="O61" s="17"/>
      <c r="P61" s="17">
        <v>51.48</v>
      </c>
      <c r="Q61" s="17"/>
      <c r="R61" s="17">
        <v>51</v>
      </c>
      <c r="S61" s="17"/>
      <c r="T61" s="17"/>
      <c r="U61" s="17"/>
      <c r="V61" s="17"/>
      <c r="W61" s="17"/>
      <c r="X61" s="22">
        <v>18</v>
      </c>
      <c r="Y61" s="9">
        <f t="shared" si="1"/>
        <v>14083.64</v>
      </c>
      <c r="Z61" s="9">
        <f t="shared" si="2"/>
        <v>621.24</v>
      </c>
      <c r="AB61" s="28"/>
    </row>
    <row r="62" spans="1:28" x14ac:dyDescent="0.4">
      <c r="A62" s="19"/>
      <c r="B62" s="8"/>
      <c r="C62" s="40">
        <v>29.5</v>
      </c>
      <c r="D62" s="47">
        <v>2596</v>
      </c>
      <c r="E62" s="50">
        <v>88.5</v>
      </c>
      <c r="F62" s="24"/>
      <c r="G62" s="24"/>
      <c r="H62" s="48"/>
      <c r="I62" s="49">
        <f t="shared" si="0"/>
        <v>2684.5</v>
      </c>
      <c r="J62" s="17">
        <v>547</v>
      </c>
      <c r="K62" s="22">
        <v>74.599999999999994</v>
      </c>
      <c r="L62" s="17">
        <v>10</v>
      </c>
      <c r="M62" s="22">
        <v>18.079999999999998</v>
      </c>
      <c r="N62" s="17"/>
      <c r="O62" s="17">
        <v>7.54</v>
      </c>
      <c r="P62" s="17"/>
      <c r="Q62" s="17"/>
      <c r="R62" s="17"/>
      <c r="S62" s="17"/>
      <c r="T62" s="17"/>
      <c r="U62" s="17"/>
      <c r="V62" s="17"/>
      <c r="W62" s="17"/>
      <c r="X62" s="22">
        <v>18</v>
      </c>
      <c r="Y62" s="9">
        <f t="shared" si="1"/>
        <v>3259.5</v>
      </c>
      <c r="Z62" s="9">
        <f t="shared" si="2"/>
        <v>118.22</v>
      </c>
      <c r="AB62" s="28"/>
    </row>
    <row r="63" spans="1:28" x14ac:dyDescent="0.4">
      <c r="A63" s="19"/>
      <c r="B63" s="8"/>
      <c r="C63" s="40">
        <v>29.5</v>
      </c>
      <c r="D63" s="47">
        <v>2596</v>
      </c>
      <c r="E63" s="50">
        <v>420.38</v>
      </c>
      <c r="F63" s="24"/>
      <c r="G63" s="24"/>
      <c r="H63" s="48"/>
      <c r="I63" s="49">
        <f t="shared" si="0"/>
        <v>3016.38</v>
      </c>
      <c r="J63" s="17">
        <v>547</v>
      </c>
      <c r="K63" s="22">
        <v>74.599999999999994</v>
      </c>
      <c r="L63" s="17">
        <v>10</v>
      </c>
      <c r="M63" s="22">
        <v>18.079999999999998</v>
      </c>
      <c r="N63" s="17"/>
      <c r="O63" s="17"/>
      <c r="P63" s="17"/>
      <c r="Q63" s="17"/>
      <c r="R63" s="17"/>
      <c r="S63" s="17"/>
      <c r="T63" s="17"/>
      <c r="U63" s="17"/>
      <c r="V63" s="17"/>
      <c r="W63" s="17"/>
      <c r="X63" s="22">
        <v>18</v>
      </c>
      <c r="Y63" s="9">
        <f t="shared" si="1"/>
        <v>3591.38</v>
      </c>
      <c r="Z63" s="9">
        <f t="shared" si="2"/>
        <v>110.67999999999999</v>
      </c>
      <c r="AB63" s="28"/>
    </row>
    <row r="64" spans="1:28" x14ac:dyDescent="0.4">
      <c r="A64" s="54"/>
      <c r="B64" s="55"/>
      <c r="C64" s="40">
        <v>16.559999999999999</v>
      </c>
      <c r="D64" s="47">
        <v>3775.68</v>
      </c>
      <c r="E64" s="24"/>
      <c r="F64" s="24"/>
      <c r="G64" s="24"/>
      <c r="H64" s="48"/>
      <c r="I64" s="49">
        <f t="shared" si="0"/>
        <v>3775.68</v>
      </c>
      <c r="J64" s="24"/>
      <c r="K64" s="17"/>
      <c r="L64" s="24"/>
      <c r="M64" s="24"/>
      <c r="N64" s="17"/>
      <c r="O64" s="17"/>
      <c r="P64" s="17"/>
      <c r="Q64" s="17"/>
      <c r="R64" s="17"/>
      <c r="S64" s="17"/>
      <c r="T64" s="17"/>
      <c r="U64" s="17"/>
      <c r="V64" s="17">
        <v>812.43</v>
      </c>
      <c r="W64" s="17"/>
      <c r="X64" s="22"/>
      <c r="Y64" s="9">
        <f t="shared" si="1"/>
        <v>4588.1099999999997</v>
      </c>
      <c r="Z64" s="9">
        <f>+K64+M64+O64+Q64+S64+U64+W64+X64</f>
        <v>0</v>
      </c>
      <c r="AB64" s="28"/>
    </row>
    <row r="65" spans="1:31" x14ac:dyDescent="0.4">
      <c r="A65" s="18"/>
      <c r="B65" s="8"/>
      <c r="C65" s="40">
        <v>15.44</v>
      </c>
      <c r="D65" s="47">
        <v>756.56</v>
      </c>
      <c r="E65" s="24"/>
      <c r="F65" s="24"/>
      <c r="G65" s="24"/>
      <c r="H65" s="48"/>
      <c r="I65" s="49">
        <f t="shared" si="0"/>
        <v>756.56</v>
      </c>
      <c r="J65" s="24"/>
      <c r="K65" s="17"/>
      <c r="L65" s="24"/>
      <c r="M65" s="24"/>
      <c r="N65" s="17"/>
      <c r="O65" s="17"/>
      <c r="P65" s="17"/>
      <c r="Q65" s="17"/>
      <c r="R65" s="17"/>
      <c r="S65" s="17"/>
      <c r="T65" s="17"/>
      <c r="U65" s="17"/>
      <c r="V65" s="17">
        <v>284</v>
      </c>
      <c r="W65" s="17"/>
      <c r="X65" s="22"/>
      <c r="Y65" s="9">
        <f t="shared" si="1"/>
        <v>1040.56</v>
      </c>
      <c r="Z65" s="9">
        <f t="shared" si="2"/>
        <v>0</v>
      </c>
      <c r="AB65" s="28"/>
    </row>
    <row r="66" spans="1:31" x14ac:dyDescent="0.4">
      <c r="A66" s="54"/>
      <c r="B66" s="55"/>
      <c r="C66" s="40"/>
      <c r="D66" s="47"/>
      <c r="E66" s="50"/>
      <c r="F66" s="24"/>
      <c r="G66" s="24"/>
      <c r="H66" s="48"/>
      <c r="I66" s="49">
        <f>SUM(D66:H66)</f>
        <v>0</v>
      </c>
      <c r="J66" s="17"/>
      <c r="K66" s="22"/>
      <c r="L66" s="17"/>
      <c r="M66" s="22"/>
      <c r="N66" s="17"/>
      <c r="O66" s="17"/>
      <c r="P66" s="17"/>
      <c r="Q66" s="17"/>
      <c r="R66" s="17"/>
      <c r="S66" s="17"/>
      <c r="T66" s="17"/>
      <c r="U66" s="17"/>
      <c r="V66" s="17"/>
      <c r="W66" s="17"/>
      <c r="X66" s="22"/>
      <c r="Y66" s="9">
        <f>+I66+J66+L66+N66+P66+R66+T66+V66+X66</f>
        <v>0</v>
      </c>
      <c r="Z66" s="9">
        <f>+K66+M66+O66+Q66+S66+U66+W66+X66</f>
        <v>0</v>
      </c>
      <c r="AB66" s="28"/>
    </row>
    <row r="67" spans="1:31" x14ac:dyDescent="0.4">
      <c r="A67" s="54"/>
      <c r="B67" s="55"/>
      <c r="C67" s="40"/>
      <c r="D67" s="47"/>
      <c r="E67" s="50"/>
      <c r="F67" s="24"/>
      <c r="G67" s="24"/>
      <c r="H67" s="48"/>
      <c r="I67" s="49">
        <f>SUM(D67:H67)</f>
        <v>0</v>
      </c>
      <c r="J67" s="17"/>
      <c r="K67" s="22"/>
      <c r="L67" s="17"/>
      <c r="M67" s="22"/>
      <c r="N67" s="17"/>
      <c r="O67" s="17"/>
      <c r="P67" s="17"/>
      <c r="Q67" s="17"/>
      <c r="R67" s="17"/>
      <c r="S67" s="17"/>
      <c r="T67" s="17"/>
      <c r="U67" s="17"/>
      <c r="V67" s="17"/>
      <c r="W67" s="17"/>
      <c r="X67" s="22"/>
      <c r="Y67" s="9">
        <f>+I67+J67+L67+N67+P67+R67+T67+V67+X67</f>
        <v>0</v>
      </c>
      <c r="Z67" s="9">
        <f>+K67+M67+O67+Q67+S67+U67+W67+X67</f>
        <v>0</v>
      </c>
      <c r="AB67" s="28"/>
    </row>
    <row r="68" spans="1:31" x14ac:dyDescent="0.4">
      <c r="A68" s="54"/>
      <c r="B68" s="55"/>
      <c r="C68" s="40"/>
      <c r="D68" s="47"/>
      <c r="E68" s="50"/>
      <c r="F68" s="24"/>
      <c r="G68" s="24"/>
      <c r="H68" s="48"/>
      <c r="I68" s="49">
        <f>SUM(D68:H68)</f>
        <v>0</v>
      </c>
      <c r="J68" s="17"/>
      <c r="K68" s="22"/>
      <c r="L68" s="17"/>
      <c r="M68" s="22"/>
      <c r="N68" s="17"/>
      <c r="O68" s="17"/>
      <c r="P68" s="17"/>
      <c r="Q68" s="17"/>
      <c r="R68" s="17"/>
      <c r="S68" s="17"/>
      <c r="T68" s="17"/>
      <c r="U68" s="17"/>
      <c r="V68" s="17"/>
      <c r="W68" s="17"/>
      <c r="X68" s="22"/>
      <c r="Y68" s="9">
        <f>+I68+J68+L68+N68+P68+R68+T68+V68+X68</f>
        <v>0</v>
      </c>
      <c r="Z68" s="9">
        <f>+K68+M68+O68+Q68+S68+U68+W68+X68</f>
        <v>0</v>
      </c>
      <c r="AB68" s="28"/>
      <c r="AD68" s="56"/>
      <c r="AE68" s="23"/>
    </row>
    <row r="69" spans="1:31" x14ac:dyDescent="0.4">
      <c r="A69" s="54"/>
      <c r="B69" s="55"/>
      <c r="C69" s="41"/>
      <c r="D69" s="47"/>
      <c r="E69" s="50"/>
      <c r="F69" s="24"/>
      <c r="G69" s="24"/>
      <c r="H69" s="48"/>
      <c r="I69" s="49">
        <f t="shared" ref="I69:I73" si="3">SUM(D69:H69)</f>
        <v>0</v>
      </c>
      <c r="J69" s="24"/>
      <c r="K69" s="17"/>
      <c r="L69" s="24"/>
      <c r="M69" s="24"/>
      <c r="N69" s="17"/>
      <c r="O69" s="17"/>
      <c r="P69" s="17"/>
      <c r="Q69" s="17"/>
      <c r="R69" s="17"/>
      <c r="S69" s="17"/>
      <c r="T69" s="17"/>
      <c r="U69" s="17"/>
      <c r="V69" s="17"/>
      <c r="W69" s="17"/>
      <c r="X69" s="22"/>
      <c r="Y69" s="9">
        <f t="shared" ref="Y69:Y81" si="4">+I69+J69+L69+N69+P69+R69+T69+V69+X69</f>
        <v>0</v>
      </c>
      <c r="Z69" s="9">
        <f t="shared" ref="Z69:Z79" si="5">+K69+M69+O69+Q69+S69+U69+W69+X69</f>
        <v>0</v>
      </c>
      <c r="AB69" s="28"/>
    </row>
    <row r="70" spans="1:31" x14ac:dyDescent="0.4">
      <c r="A70" s="54"/>
      <c r="B70" s="55"/>
      <c r="C70" s="41"/>
      <c r="D70" s="47"/>
      <c r="E70" s="50"/>
      <c r="F70" s="24"/>
      <c r="G70" s="24"/>
      <c r="H70" s="48"/>
      <c r="I70" s="49">
        <f t="shared" si="3"/>
        <v>0</v>
      </c>
      <c r="J70" s="24"/>
      <c r="K70" s="17"/>
      <c r="L70" s="24"/>
      <c r="M70" s="24"/>
      <c r="N70" s="17"/>
      <c r="O70" s="17"/>
      <c r="P70" s="17"/>
      <c r="Q70" s="17"/>
      <c r="R70" s="17"/>
      <c r="S70" s="17"/>
      <c r="T70" s="17"/>
      <c r="U70" s="17"/>
      <c r="V70" s="17"/>
      <c r="W70" s="17"/>
      <c r="X70" s="22"/>
      <c r="Y70" s="9">
        <f t="shared" si="4"/>
        <v>0</v>
      </c>
      <c r="Z70" s="9">
        <f t="shared" si="5"/>
        <v>0</v>
      </c>
      <c r="AB70" s="28"/>
    </row>
    <row r="71" spans="1:31" x14ac:dyDescent="0.4">
      <c r="A71" s="54"/>
      <c r="B71" s="55"/>
      <c r="C71" s="41"/>
      <c r="D71" s="47"/>
      <c r="E71" s="50"/>
      <c r="F71" s="24"/>
      <c r="G71" s="24"/>
      <c r="H71" s="48"/>
      <c r="I71" s="49">
        <f t="shared" si="3"/>
        <v>0</v>
      </c>
      <c r="J71" s="24"/>
      <c r="K71" s="17"/>
      <c r="L71" s="24"/>
      <c r="M71" s="24"/>
      <c r="N71" s="17"/>
      <c r="O71" s="17"/>
      <c r="P71" s="17"/>
      <c r="Q71" s="17"/>
      <c r="R71" s="17"/>
      <c r="S71" s="17"/>
      <c r="T71" s="17"/>
      <c r="U71" s="17"/>
      <c r="V71" s="17"/>
      <c r="W71" s="17"/>
      <c r="X71" s="22"/>
      <c r="Y71" s="9">
        <f t="shared" si="4"/>
        <v>0</v>
      </c>
      <c r="Z71" s="9">
        <f t="shared" si="5"/>
        <v>0</v>
      </c>
      <c r="AB71" s="28"/>
    </row>
    <row r="72" spans="1:31" x14ac:dyDescent="0.4">
      <c r="A72" s="54"/>
      <c r="B72" s="55"/>
      <c r="C72" s="41"/>
      <c r="D72" s="47"/>
      <c r="E72" s="50"/>
      <c r="F72" s="24"/>
      <c r="G72" s="24"/>
      <c r="H72" s="48"/>
      <c r="I72" s="49">
        <f t="shared" si="3"/>
        <v>0</v>
      </c>
      <c r="J72" s="24"/>
      <c r="K72" s="17"/>
      <c r="L72" s="17"/>
      <c r="N72" s="17"/>
      <c r="O72" s="17"/>
      <c r="P72" s="17"/>
      <c r="Q72" s="17"/>
      <c r="R72" s="17"/>
      <c r="S72" s="17"/>
      <c r="T72" s="17"/>
      <c r="U72" s="17"/>
      <c r="V72" s="17"/>
      <c r="W72" s="17"/>
      <c r="X72" s="22"/>
      <c r="Y72" s="9">
        <f t="shared" si="4"/>
        <v>0</v>
      </c>
      <c r="Z72" s="9">
        <f t="shared" si="5"/>
        <v>0</v>
      </c>
      <c r="AB72" s="28"/>
    </row>
    <row r="73" spans="1:31" x14ac:dyDescent="0.4">
      <c r="A73" s="54"/>
      <c r="B73" s="55"/>
      <c r="C73" s="41"/>
      <c r="D73" s="47"/>
      <c r="E73" s="50"/>
      <c r="F73" s="24"/>
      <c r="G73" s="24"/>
      <c r="H73" s="48"/>
      <c r="I73" s="49">
        <f t="shared" si="3"/>
        <v>0</v>
      </c>
      <c r="J73" s="24"/>
      <c r="K73" s="17"/>
      <c r="L73" s="17"/>
      <c r="M73" s="17"/>
      <c r="N73" s="17"/>
      <c r="O73" s="17"/>
      <c r="P73" s="17"/>
      <c r="Q73" s="17"/>
      <c r="R73" s="17"/>
      <c r="S73" s="17"/>
      <c r="T73" s="17"/>
      <c r="U73" s="17"/>
      <c r="V73" s="17"/>
      <c r="W73" s="17"/>
      <c r="X73" s="22"/>
      <c r="Y73" s="9">
        <f t="shared" si="4"/>
        <v>0</v>
      </c>
      <c r="Z73" s="9">
        <f t="shared" si="5"/>
        <v>0</v>
      </c>
      <c r="AB73" s="28"/>
    </row>
    <row r="74" spans="1:31" x14ac:dyDescent="0.4">
      <c r="A74" s="54"/>
      <c r="B74" s="55"/>
      <c r="C74" s="41"/>
      <c r="D74" s="47"/>
      <c r="E74" s="50"/>
      <c r="F74" s="24"/>
      <c r="G74" s="24"/>
      <c r="H74" s="48"/>
      <c r="I74" s="49">
        <f t="shared" ref="I74:I81" si="6">SUM(D74:H74)</f>
        <v>0</v>
      </c>
      <c r="J74" s="17"/>
      <c r="K74" s="17"/>
      <c r="L74" s="17"/>
      <c r="M74" s="17"/>
      <c r="N74" s="17"/>
      <c r="O74" s="17"/>
      <c r="P74" s="17"/>
      <c r="Q74" s="17"/>
      <c r="R74" s="17"/>
      <c r="S74" s="17"/>
      <c r="T74" s="17"/>
      <c r="U74" s="17"/>
      <c r="V74" s="17"/>
      <c r="W74" s="17"/>
      <c r="X74" s="22"/>
      <c r="Y74" s="9">
        <f t="shared" si="4"/>
        <v>0</v>
      </c>
      <c r="Z74" s="9">
        <f t="shared" si="5"/>
        <v>0</v>
      </c>
      <c r="AB74" s="28"/>
    </row>
    <row r="75" spans="1:31" x14ac:dyDescent="0.4">
      <c r="A75" s="54"/>
      <c r="B75" s="55"/>
      <c r="C75" s="41"/>
      <c r="D75" s="47"/>
      <c r="E75" s="48"/>
      <c r="F75" s="24"/>
      <c r="G75" s="24"/>
      <c r="H75" s="48"/>
      <c r="I75" s="49">
        <f t="shared" si="6"/>
        <v>0</v>
      </c>
      <c r="J75" s="17"/>
      <c r="K75" s="17"/>
      <c r="L75" s="17"/>
      <c r="M75" s="17"/>
      <c r="N75" s="17"/>
      <c r="O75" s="17"/>
      <c r="P75" s="17"/>
      <c r="Q75" s="17"/>
      <c r="R75" s="17"/>
      <c r="S75" s="17"/>
      <c r="T75" s="17"/>
      <c r="U75" s="17"/>
      <c r="V75" s="17"/>
      <c r="W75" s="17"/>
      <c r="X75" s="22"/>
      <c r="Y75" s="9">
        <f t="shared" si="4"/>
        <v>0</v>
      </c>
      <c r="Z75" s="9">
        <f t="shared" si="5"/>
        <v>0</v>
      </c>
      <c r="AB75" s="28"/>
    </row>
    <row r="76" spans="1:31" x14ac:dyDescent="0.4">
      <c r="A76" s="19"/>
      <c r="B76" s="8"/>
      <c r="C76" s="41"/>
      <c r="D76" s="47"/>
      <c r="E76" s="48"/>
      <c r="F76" s="24"/>
      <c r="G76" s="24"/>
      <c r="H76" s="48"/>
      <c r="I76" s="49">
        <f t="shared" si="6"/>
        <v>0</v>
      </c>
      <c r="J76" s="17"/>
      <c r="K76" s="17"/>
      <c r="L76" s="17"/>
      <c r="M76" s="17"/>
      <c r="N76" s="17"/>
      <c r="O76" s="17"/>
      <c r="P76" s="17"/>
      <c r="Q76" s="17"/>
      <c r="R76" s="17"/>
      <c r="S76" s="17"/>
      <c r="T76" s="17"/>
      <c r="U76" s="17"/>
      <c r="V76" s="17"/>
      <c r="W76" s="17"/>
      <c r="X76" s="22"/>
      <c r="Y76" s="9">
        <f t="shared" si="4"/>
        <v>0</v>
      </c>
      <c r="Z76" s="9">
        <f t="shared" si="5"/>
        <v>0</v>
      </c>
      <c r="AB76" s="28"/>
    </row>
    <row r="77" spans="1:31" x14ac:dyDescent="0.4">
      <c r="A77" s="19"/>
      <c r="B77" s="8"/>
      <c r="C77" s="41"/>
      <c r="D77" s="47"/>
      <c r="E77" s="48"/>
      <c r="F77" s="24"/>
      <c r="G77" s="24"/>
      <c r="H77" s="48"/>
      <c r="I77" s="49">
        <f t="shared" si="6"/>
        <v>0</v>
      </c>
      <c r="J77" s="17"/>
      <c r="K77" s="17"/>
      <c r="L77" s="17"/>
      <c r="M77" s="17"/>
      <c r="N77" s="17"/>
      <c r="O77" s="17"/>
      <c r="P77" s="17"/>
      <c r="Q77" s="17"/>
      <c r="R77" s="17"/>
      <c r="S77" s="17"/>
      <c r="T77" s="17"/>
      <c r="U77" s="17"/>
      <c r="V77" s="17"/>
      <c r="W77" s="17"/>
      <c r="X77" s="22"/>
      <c r="Y77" s="9">
        <f t="shared" si="4"/>
        <v>0</v>
      </c>
      <c r="Z77" s="9">
        <f t="shared" si="5"/>
        <v>0</v>
      </c>
      <c r="AB77" s="28"/>
    </row>
    <row r="78" spans="1:31" x14ac:dyDescent="0.4">
      <c r="A78" s="19"/>
      <c r="B78" s="8"/>
      <c r="C78" s="41"/>
      <c r="D78" s="26"/>
      <c r="E78" s="48"/>
      <c r="F78" s="24"/>
      <c r="G78" s="24"/>
      <c r="H78" s="48"/>
      <c r="I78" s="49">
        <f t="shared" si="6"/>
        <v>0</v>
      </c>
      <c r="J78" s="17"/>
      <c r="K78" s="17"/>
      <c r="L78" s="17"/>
      <c r="M78" s="17"/>
      <c r="N78" s="17"/>
      <c r="O78" s="17"/>
      <c r="P78" s="17"/>
      <c r="Q78" s="17"/>
      <c r="R78" s="17"/>
      <c r="S78" s="17"/>
      <c r="T78" s="17"/>
      <c r="U78" s="17"/>
      <c r="V78" s="17"/>
      <c r="W78" s="17"/>
      <c r="X78" s="22"/>
      <c r="Y78" s="9">
        <f t="shared" si="4"/>
        <v>0</v>
      </c>
      <c r="Z78" s="9">
        <f t="shared" si="5"/>
        <v>0</v>
      </c>
      <c r="AB78" s="28"/>
    </row>
    <row r="79" spans="1:31" x14ac:dyDescent="0.4">
      <c r="A79" s="19"/>
      <c r="B79" s="8"/>
      <c r="C79" s="41"/>
      <c r="D79" s="48"/>
      <c r="E79" s="48"/>
      <c r="F79" s="24"/>
      <c r="G79" s="24"/>
      <c r="H79" s="48"/>
      <c r="I79" s="49">
        <f t="shared" si="6"/>
        <v>0</v>
      </c>
      <c r="J79" s="17"/>
      <c r="K79" s="17"/>
      <c r="L79" s="17"/>
      <c r="M79" s="17"/>
      <c r="N79" s="17"/>
      <c r="O79" s="17"/>
      <c r="P79" s="17"/>
      <c r="Q79" s="17"/>
      <c r="R79" s="17"/>
      <c r="S79" s="17"/>
      <c r="T79" s="17"/>
      <c r="U79" s="17"/>
      <c r="V79" s="17"/>
      <c r="W79" s="17"/>
      <c r="X79" s="17"/>
      <c r="Y79" s="9">
        <f t="shared" si="4"/>
        <v>0</v>
      </c>
      <c r="Z79" s="9">
        <f t="shared" si="5"/>
        <v>0</v>
      </c>
      <c r="AB79" s="28"/>
    </row>
    <row r="80" spans="1:31" x14ac:dyDescent="0.4">
      <c r="A80" s="20"/>
      <c r="B80" s="55"/>
      <c r="C80" s="40"/>
      <c r="D80" s="47"/>
      <c r="E80" s="50"/>
      <c r="F80" s="24"/>
      <c r="G80" s="24"/>
      <c r="H80" s="50"/>
      <c r="I80" s="49">
        <f>SUM(D80:H80)</f>
        <v>0</v>
      </c>
      <c r="J80" s="17"/>
      <c r="K80" s="22"/>
      <c r="L80" s="17"/>
      <c r="M80" s="22"/>
      <c r="N80" s="17"/>
      <c r="O80" s="17"/>
      <c r="P80" s="17"/>
      <c r="Q80" s="17"/>
      <c r="R80" s="17"/>
      <c r="S80" s="17"/>
      <c r="T80" s="17"/>
      <c r="U80" s="17"/>
      <c r="V80" s="17"/>
      <c r="W80" s="17"/>
      <c r="X80" s="22"/>
      <c r="Y80" s="9">
        <f>+I80+J80+L80+N80+P80+R80+T80+V80+X80</f>
        <v>0</v>
      </c>
      <c r="Z80" s="9">
        <f>+K80+M80+O80+Q80+S80+U80+W80+X80</f>
        <v>0</v>
      </c>
      <c r="AB80" s="28"/>
    </row>
    <row r="81" spans="1:28" x14ac:dyDescent="0.4">
      <c r="A81" s="20"/>
      <c r="B81" s="8"/>
      <c r="C81" s="41"/>
      <c r="D81" s="50"/>
      <c r="E81" s="50"/>
      <c r="F81" s="24"/>
      <c r="G81" s="24"/>
      <c r="H81" s="48"/>
      <c r="I81" s="49">
        <f t="shared" si="6"/>
        <v>0</v>
      </c>
      <c r="J81" s="17"/>
      <c r="K81" s="17"/>
      <c r="L81" s="17"/>
      <c r="M81" s="17"/>
      <c r="N81" s="17"/>
      <c r="O81" s="17"/>
      <c r="P81" s="17"/>
      <c r="Q81" s="17"/>
      <c r="R81" s="17"/>
      <c r="S81" s="17"/>
      <c r="T81" s="17"/>
      <c r="U81" s="17"/>
      <c r="V81" s="17"/>
      <c r="W81" s="17"/>
      <c r="X81" s="17"/>
      <c r="Y81" s="9">
        <f t="shared" si="4"/>
        <v>0</v>
      </c>
      <c r="Z81" s="9">
        <f t="shared" ref="Z81" si="7">+K81+M81+O81+Q81+S81+U81+W81</f>
        <v>0</v>
      </c>
      <c r="AB81" s="28"/>
    </row>
    <row r="82" spans="1:28" x14ac:dyDescent="0.4">
      <c r="A82" s="20"/>
      <c r="B82" s="8"/>
      <c r="C82" s="41"/>
      <c r="D82" s="50"/>
      <c r="E82" s="50"/>
      <c r="F82" s="24"/>
      <c r="G82" s="24"/>
      <c r="H82" s="48"/>
      <c r="I82" s="49"/>
      <c r="J82" s="17"/>
      <c r="K82" s="17"/>
      <c r="L82" s="17"/>
      <c r="M82" s="17"/>
      <c r="N82" s="17"/>
      <c r="O82" s="17"/>
      <c r="P82" s="17"/>
      <c r="Q82" s="17"/>
      <c r="R82" s="17"/>
      <c r="S82" s="17"/>
      <c r="T82" s="17"/>
      <c r="U82" s="17"/>
      <c r="V82" s="17"/>
      <c r="W82" s="17"/>
      <c r="X82" s="17"/>
      <c r="Y82" s="11"/>
      <c r="Z82" s="11"/>
      <c r="AB82" s="28"/>
    </row>
    <row r="83" spans="1:28" x14ac:dyDescent="0.4">
      <c r="A83" s="12"/>
      <c r="B83" s="13"/>
      <c r="C83" s="42"/>
      <c r="D83" s="10"/>
      <c r="E83" s="10"/>
      <c r="F83" s="10"/>
      <c r="G83" s="10"/>
      <c r="H83" s="10"/>
      <c r="I83" s="11"/>
      <c r="J83" s="10"/>
      <c r="K83" s="10"/>
      <c r="L83" s="10"/>
      <c r="M83" s="10"/>
      <c r="N83" s="10"/>
      <c r="O83" s="10"/>
      <c r="P83" s="10"/>
      <c r="Q83" s="10"/>
      <c r="R83" s="10"/>
      <c r="S83" s="10"/>
      <c r="T83" s="10"/>
      <c r="U83" s="10"/>
      <c r="V83" s="10"/>
      <c r="W83" s="10"/>
      <c r="X83" s="10"/>
      <c r="Y83" s="11"/>
      <c r="Z83" s="11"/>
      <c r="AB83" s="28"/>
    </row>
    <row r="84" spans="1:28" x14ac:dyDescent="0.4">
      <c r="A84" s="14" t="s">
        <v>17</v>
      </c>
      <c r="B84" s="15"/>
      <c r="C84" s="43"/>
      <c r="D84" s="59">
        <f t="shared" ref="D84:Z84" si="8">SUM(D7:D83)</f>
        <v>856647.63000000024</v>
      </c>
      <c r="E84" s="59">
        <f t="shared" si="8"/>
        <v>113489.00000000001</v>
      </c>
      <c r="F84" s="59">
        <f t="shared" si="8"/>
        <v>2461.64</v>
      </c>
      <c r="G84" s="59">
        <f t="shared" si="8"/>
        <v>0</v>
      </c>
      <c r="H84" s="59">
        <f t="shared" si="8"/>
        <v>0</v>
      </c>
      <c r="I84" s="59">
        <f t="shared" si="8"/>
        <v>972598.27</v>
      </c>
      <c r="J84" s="16">
        <f t="shared" si="8"/>
        <v>185111</v>
      </c>
      <c r="K84" s="16">
        <f t="shared" si="8"/>
        <v>25908.259999999991</v>
      </c>
      <c r="L84" s="16">
        <f t="shared" si="8"/>
        <v>2921</v>
      </c>
      <c r="M84" s="16">
        <f t="shared" si="8"/>
        <v>5421.4399999999978</v>
      </c>
      <c r="N84" s="16">
        <f t="shared" si="8"/>
        <v>0</v>
      </c>
      <c r="O84" s="52">
        <f t="shared" si="8"/>
        <v>939.41999999999985</v>
      </c>
      <c r="P84" s="16">
        <f t="shared" si="8"/>
        <v>4340.8799999999992</v>
      </c>
      <c r="Q84" s="16">
        <f t="shared" si="8"/>
        <v>0</v>
      </c>
      <c r="R84" s="16">
        <f t="shared" si="8"/>
        <v>3953.6199999999994</v>
      </c>
      <c r="S84" s="16">
        <f t="shared" si="8"/>
        <v>0</v>
      </c>
      <c r="T84" s="16">
        <f t="shared" si="8"/>
        <v>44200</v>
      </c>
      <c r="U84" s="16">
        <f t="shared" si="8"/>
        <v>53433</v>
      </c>
      <c r="V84" s="16">
        <f t="shared" si="8"/>
        <v>107785.43</v>
      </c>
      <c r="W84" s="16">
        <f t="shared" si="8"/>
        <v>0</v>
      </c>
      <c r="X84" s="16">
        <f t="shared" si="8"/>
        <v>1026</v>
      </c>
      <c r="Y84" s="16">
        <f t="shared" si="8"/>
        <v>1321936.2</v>
      </c>
      <c r="Z84" s="16">
        <f t="shared" si="8"/>
        <v>86728.120000000024</v>
      </c>
      <c r="AB84" s="28"/>
    </row>
  </sheetData>
  <mergeCells count="25">
    <mergeCell ref="Y5:Z5"/>
    <mergeCell ref="R4:S4"/>
    <mergeCell ref="R5:S5"/>
    <mergeCell ref="T4:U4"/>
    <mergeCell ref="L5:M5"/>
    <mergeCell ref="N5:O5"/>
    <mergeCell ref="T5:U5"/>
    <mergeCell ref="V5:W5"/>
    <mergeCell ref="X5:X6"/>
    <mergeCell ref="P5:Q5"/>
    <mergeCell ref="V4:W4"/>
    <mergeCell ref="P4:Q4"/>
    <mergeCell ref="A5:A6"/>
    <mergeCell ref="B5:B6"/>
    <mergeCell ref="C5:C6"/>
    <mergeCell ref="D5:D6"/>
    <mergeCell ref="E5:E6"/>
    <mergeCell ref="F5:F6"/>
    <mergeCell ref="G5:G6"/>
    <mergeCell ref="J4:K4"/>
    <mergeCell ref="L4:M4"/>
    <mergeCell ref="N4:O4"/>
    <mergeCell ref="H5:H6"/>
    <mergeCell ref="I5:I6"/>
    <mergeCell ref="J5:K5"/>
  </mergeCells>
  <pageMargins left="0" right="0" top="0.75" bottom="0.75" header="0.3" footer="0.3"/>
  <pageSetup scale="3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Benefit Summary</vt:lpstr>
      <vt:lpstr>2023</vt:lpstr>
      <vt:lpstr>2024</vt:lpstr>
      <vt:lpstr>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Jennie Phelps</dc:creator>
  <cp:lastModifiedBy>Heather Temple</cp:lastModifiedBy>
  <cp:lastPrinted>2025-05-16T18:52:09Z</cp:lastPrinted>
  <dcterms:created xsi:type="dcterms:W3CDTF">2023-08-27T19:57:21Z</dcterms:created>
  <dcterms:modified xsi:type="dcterms:W3CDTF">2025-06-11T18:09:19Z</dcterms:modified>
</cp:coreProperties>
</file>