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Farmers/2025 COS and Rates 2025-00xxx/COS and Rates/"/>
    </mc:Choice>
  </mc:AlternateContent>
  <xr:revisionPtr revIDLastSave="164" documentId="8_{0470179A-C807-44AC-BBCA-1574A5CD9741}" xr6:coauthVersionLast="47" xr6:coauthVersionMax="47" xr10:uidLastSave="{36C831DF-46FE-4491-8C82-09B9C00A30BF}"/>
  <bookViews>
    <workbookView xWindow="-135" yWindow="-135" windowWidth="29070" windowHeight="15750" activeTab="20" xr2:uid="{00000000-000D-0000-FFFF-FFFF00000000}"/>
  </bookViews>
  <sheets>
    <sheet name="RevReq" sheetId="1" r:id="rId1"/>
    <sheet name="Adj List" sheetId="15" r:id="rId2"/>
    <sheet name="Adj BS" sheetId="17" r:id="rId3"/>
    <sheet name="Adj IS" sheetId="18" r:id="rId4"/>
    <sheet name="1.01 FAC" sheetId="8" r:id="rId5"/>
    <sheet name="1.02 ES" sheetId="9" r:id="rId6"/>
    <sheet name="1.03 Int Exp" sheetId="10" r:id="rId7"/>
    <sheet name="1.04 Depr" sheetId="11" r:id="rId8"/>
    <sheet name="1.05 ROW" sheetId="12" r:id="rId9"/>
    <sheet name="1.06 YearEndCust" sheetId="13" r:id="rId10"/>
    <sheet name="1.07 Health Insur" sheetId="14" r:id="rId11"/>
    <sheet name="1.08 DonAdsDues" sheetId="7" r:id="rId12"/>
    <sheet name="1.09 Directors" sheetId="6" r:id="rId13"/>
    <sheet name="1.10 Wages &amp; Salaries" sheetId="2" r:id="rId14"/>
    <sheet name="1.11 401K" sheetId="4" r:id="rId15"/>
    <sheet name="1.12 Life Insur" sheetId="3" r:id="rId16"/>
    <sheet name="1.13 RateCase" sheetId="16" r:id="rId17"/>
    <sheet name="1.14 Outside" sheetId="19" r:id="rId18"/>
    <sheet name="1.15 GTCC" sheetId="20" r:id="rId19"/>
    <sheet name="1.16 Payroll Tx" sheetId="21" r:id="rId20"/>
    <sheet name="1.17 NonRecur" sheetId="22" r:id="rId21"/>
  </sheets>
  <definedNames>
    <definedName name="_xlnm.Print_Area" localSheetId="4">'1.01 FAC'!$A$1:$H$35</definedName>
    <definedName name="_xlnm.Print_Area" localSheetId="5">'1.02 ES'!$A$1:$H$35</definedName>
    <definedName name="_xlnm.Print_Area" localSheetId="6">'1.03 Int Exp'!$A$1:$E$84</definedName>
    <definedName name="_xlnm.Print_Area" localSheetId="7">'1.04 Depr'!$A$1:$J$82</definedName>
    <definedName name="_xlnm.Print_Area" localSheetId="11">'1.08 DonAdsDues'!$A$1:$E$29</definedName>
    <definedName name="_xlnm.Print_Area" localSheetId="12">'1.09 Directors'!$A$1:$H$37</definedName>
    <definedName name="_xlnm.Print_Area" localSheetId="17">'1.14 Outside'!$A$1:$F$26</definedName>
    <definedName name="_xlnm.Print_Area" localSheetId="18">'1.15 GTCC'!$A$1:$D$19</definedName>
    <definedName name="_xlnm.Print_Area" localSheetId="19">'1.16 Payroll Tx'!$A$1:$M$102</definedName>
    <definedName name="_xlnm.Print_Area" localSheetId="20">'1.17 NonRecur'!$A$1:$D$19</definedName>
    <definedName name="_xlnm.Print_Area" localSheetId="2">'Adj BS'!$A$1:$F$64</definedName>
    <definedName name="_xlnm.Print_Area" localSheetId="3">'Adj IS'!$A$1:$V$42</definedName>
    <definedName name="_xlnm.Print_Area" localSheetId="1">'Adj List'!$A$1:$G$30</definedName>
    <definedName name="_xlnm.Print_Area" localSheetId="0">RevReq!$A$1:$G$62</definedName>
    <definedName name="_xlnm.Print_Titles" localSheetId="6">'1.03 Int Exp'!$1:$10</definedName>
    <definedName name="_xlnm.Print_Titles" localSheetId="7">'1.04 Depr'!$1:$7</definedName>
    <definedName name="_xlnm.Print_Titles" localSheetId="9">'1.06 YearEndCust'!$1:$7</definedName>
    <definedName name="_xlnm.Print_Titles" localSheetId="13">'1.10 Wages &amp; Salaries'!$1:$11</definedName>
    <definedName name="_xlnm.Print_Titles" localSheetId="14">'1.11 401K'!$1:$11</definedName>
    <definedName name="_xlnm.Print_Titles" localSheetId="15">'1.12 Life Insur'!$1:$10</definedName>
    <definedName name="_xlnm.Print_Titles" localSheetId="19">'1.16 Payroll Tx'!$1:$11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11" i="4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9" i="17"/>
  <c r="A54" i="1" l="1"/>
  <c r="H13" i="6" l="1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12" i="6"/>
  <c r="I47" i="13" l="1"/>
  <c r="I45" i="13"/>
  <c r="I49" i="13"/>
  <c r="J40" i="13"/>
  <c r="J36" i="13"/>
  <c r="J31" i="13"/>
  <c r="G47" i="13"/>
  <c r="F47" i="13"/>
  <c r="I35" i="13"/>
  <c r="I25" i="13"/>
  <c r="I30" i="13" s="1"/>
  <c r="H35" i="13"/>
  <c r="H25" i="13"/>
  <c r="H30" i="13" s="1"/>
  <c r="G76" i="11"/>
  <c r="G75" i="11"/>
  <c r="G69" i="11"/>
  <c r="G70" i="11"/>
  <c r="G71" i="11"/>
  <c r="G72" i="11"/>
  <c r="G68" i="11"/>
  <c r="F76" i="11"/>
  <c r="F75" i="11"/>
  <c r="F69" i="11"/>
  <c r="F70" i="11"/>
  <c r="F71" i="11"/>
  <c r="F72" i="11"/>
  <c r="F68" i="11"/>
  <c r="F77" i="11"/>
  <c r="E77" i="11"/>
  <c r="E73" i="11"/>
  <c r="E79" i="11" s="1"/>
  <c r="H60" i="11"/>
  <c r="J60" i="11" s="1"/>
  <c r="G57" i="11"/>
  <c r="I56" i="11"/>
  <c r="F56" i="11"/>
  <c r="E56" i="11"/>
  <c r="J55" i="11"/>
  <c r="H55" i="11"/>
  <c r="H54" i="11"/>
  <c r="J54" i="11" s="1"/>
  <c r="H53" i="11"/>
  <c r="J53" i="11" s="1"/>
  <c r="H52" i="11"/>
  <c r="J52" i="11" s="1"/>
  <c r="J51" i="11"/>
  <c r="H51" i="11"/>
  <c r="H50" i="11"/>
  <c r="J50" i="11" s="1"/>
  <c r="H49" i="11"/>
  <c r="J49" i="11" s="1"/>
  <c r="J48" i="11"/>
  <c r="J56" i="11" s="1"/>
  <c r="H48" i="11"/>
  <c r="I44" i="11"/>
  <c r="I57" i="11" s="1"/>
  <c r="I63" i="11" s="1"/>
  <c r="F44" i="11"/>
  <c r="E44" i="11"/>
  <c r="E57" i="11" s="1"/>
  <c r="E63" i="11" s="1"/>
  <c r="H43" i="11"/>
  <c r="J43" i="11" s="1"/>
  <c r="J42" i="11"/>
  <c r="H42" i="11"/>
  <c r="H41" i="11"/>
  <c r="J41" i="11" s="1"/>
  <c r="H40" i="11"/>
  <c r="J40" i="11" s="1"/>
  <c r="J39" i="11"/>
  <c r="H39" i="11"/>
  <c r="J38" i="11"/>
  <c r="H38" i="11"/>
  <c r="H37" i="11"/>
  <c r="J37" i="11" s="1"/>
  <c r="H36" i="11"/>
  <c r="J36" i="11" s="1"/>
  <c r="H35" i="11"/>
  <c r="J35" i="11" s="1"/>
  <c r="J34" i="11"/>
  <c r="H34" i="11"/>
  <c r="H33" i="11"/>
  <c r="J33" i="11" s="1"/>
  <c r="H32" i="11"/>
  <c r="J32" i="11" s="1"/>
  <c r="J31" i="11"/>
  <c r="H31" i="11"/>
  <c r="J30" i="11"/>
  <c r="H30" i="11"/>
  <c r="H29" i="11"/>
  <c r="J29" i="11" s="1"/>
  <c r="H28" i="11"/>
  <c r="J28" i="11" s="1"/>
  <c r="J27" i="11"/>
  <c r="H27" i="11"/>
  <c r="J26" i="11"/>
  <c r="H26" i="11"/>
  <c r="J25" i="11"/>
  <c r="H25" i="11"/>
  <c r="H24" i="11"/>
  <c r="J24" i="11" s="1"/>
  <c r="J23" i="11"/>
  <c r="H23" i="11"/>
  <c r="J22" i="11"/>
  <c r="H22" i="11"/>
  <c r="I19" i="11"/>
  <c r="F19" i="11"/>
  <c r="F57" i="11" s="1"/>
  <c r="F63" i="11" s="1"/>
  <c r="E19" i="11"/>
  <c r="H18" i="11"/>
  <c r="J18" i="11" s="1"/>
  <c r="H17" i="11"/>
  <c r="J17" i="11" s="1"/>
  <c r="J19" i="11" s="1"/>
  <c r="J16" i="11"/>
  <c r="H16" i="11"/>
  <c r="I13" i="11"/>
  <c r="H13" i="11"/>
  <c r="F13" i="11"/>
  <c r="E13" i="1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J12" i="11"/>
  <c r="J13" i="11" s="1"/>
  <c r="H12" i="11"/>
  <c r="A12" i="11"/>
  <c r="I27" i="13" l="1"/>
  <c r="I31" i="13" s="1"/>
  <c r="I36" i="13" s="1"/>
  <c r="H27" i="13"/>
  <c r="H31" i="13" s="1"/>
  <c r="H36" i="13" s="1"/>
  <c r="G77" i="11"/>
  <c r="G73" i="11"/>
  <c r="J44" i="11"/>
  <c r="J57" i="11" s="1"/>
  <c r="H44" i="11"/>
  <c r="H56" i="11"/>
  <c r="H19" i="11"/>
  <c r="F73" i="11"/>
  <c r="F79" i="11" s="1"/>
  <c r="G79" i="11" l="1"/>
  <c r="J61" i="11"/>
  <c r="J63" i="11" s="1"/>
  <c r="H57" i="11"/>
  <c r="H63" i="11" s="1"/>
  <c r="E9" i="15" l="1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E11" i="10"/>
  <c r="E76" i="10" s="1"/>
  <c r="E80" i="10" s="1"/>
  <c r="D44" i="18" l="1"/>
  <c r="E44" i="18"/>
  <c r="F44" i="18"/>
  <c r="G44" i="18"/>
  <c r="G47" i="18" s="1"/>
  <c r="G48" i="18" s="1"/>
  <c r="I44" i="18"/>
  <c r="I47" i="18" s="1"/>
  <c r="I48" i="18" s="1"/>
  <c r="J44" i="18"/>
  <c r="J47" i="18" s="1"/>
  <c r="J48" i="18" s="1"/>
  <c r="K44" i="18"/>
  <c r="L44" i="18"/>
  <c r="M44" i="18"/>
  <c r="N44" i="18"/>
  <c r="O44" i="18"/>
  <c r="O47" i="18" s="1"/>
  <c r="O48" i="18" s="1"/>
  <c r="P44" i="18"/>
  <c r="P47" i="18" s="1"/>
  <c r="P48" i="18" s="1"/>
  <c r="Q44" i="18"/>
  <c r="R44" i="18"/>
  <c r="R47" i="18" s="1"/>
  <c r="R48" i="18" s="1"/>
  <c r="S44" i="18"/>
  <c r="S47" i="18" s="1"/>
  <c r="S48" i="18" s="1"/>
  <c r="T44" i="18"/>
  <c r="U44" i="18"/>
  <c r="D45" i="18"/>
  <c r="G45" i="18"/>
  <c r="I45" i="18"/>
  <c r="J45" i="18"/>
  <c r="L45" i="18"/>
  <c r="M45" i="18"/>
  <c r="N45" i="18"/>
  <c r="N47" i="18" s="1"/>
  <c r="N48" i="18" s="1"/>
  <c r="O45" i="18"/>
  <c r="P45" i="18"/>
  <c r="Q45" i="18"/>
  <c r="R45" i="18"/>
  <c r="S45" i="18"/>
  <c r="T45" i="18"/>
  <c r="U45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R46" i="18"/>
  <c r="S46" i="18"/>
  <c r="T46" i="18"/>
  <c r="U46" i="18"/>
  <c r="D47" i="18"/>
  <c r="D48" i="18" s="1"/>
  <c r="L47" i="18"/>
  <c r="L48" i="18" s="1"/>
  <c r="M47" i="18"/>
  <c r="M48" i="18" s="1"/>
  <c r="T47" i="18"/>
  <c r="T48" i="18" s="1"/>
  <c r="U47" i="18"/>
  <c r="U48" i="18" s="1"/>
  <c r="S37" i="18"/>
  <c r="S6" i="18"/>
  <c r="S4" i="18"/>
  <c r="D37" i="1"/>
  <c r="F23" i="15"/>
  <c r="A12" i="22"/>
  <c r="A13" i="22" s="1"/>
  <c r="A14" i="22" s="1"/>
  <c r="A15" i="22" s="1"/>
  <c r="D15" i="22"/>
  <c r="A5" i="22"/>
  <c r="A4" i="22"/>
  <c r="A20" i="7" l="1"/>
  <c r="A21" i="7"/>
  <c r="A22" i="7"/>
  <c r="A23" i="7"/>
  <c r="A24" i="7"/>
  <c r="E15" i="7"/>
  <c r="E16" i="7"/>
  <c r="E17" i="7"/>
  <c r="E18" i="7"/>
  <c r="E19" i="7"/>
  <c r="E20" i="7"/>
  <c r="E21" i="7"/>
  <c r="E22" i="7"/>
  <c r="A14" i="9" l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13" i="9"/>
  <c r="F26" i="9"/>
  <c r="F26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13" i="8"/>
  <c r="E13" i="15" l="1"/>
  <c r="D40" i="14"/>
  <c r="D39" i="14"/>
  <c r="D33" i="14"/>
  <c r="D34" i="14"/>
  <c r="D35" i="14"/>
  <c r="D36" i="14"/>
  <c r="D32" i="14"/>
  <c r="D41" i="14"/>
  <c r="D37" i="14"/>
  <c r="C25" i="14"/>
  <c r="G24" i="14"/>
  <c r="F24" i="14"/>
  <c r="E24" i="14"/>
  <c r="F23" i="14"/>
  <c r="E23" i="14"/>
  <c r="G23" i="14" s="1"/>
  <c r="F22" i="14"/>
  <c r="E22" i="14"/>
  <c r="G22" i="14" s="1"/>
  <c r="G21" i="14"/>
  <c r="G25" i="14" s="1"/>
  <c r="G27" i="14" s="1"/>
  <c r="F21" i="14"/>
  <c r="E21" i="14"/>
  <c r="E25" i="14" s="1"/>
  <c r="E17" i="14"/>
  <c r="C17" i="14"/>
  <c r="G16" i="14"/>
  <c r="F16" i="14"/>
  <c r="G15" i="14"/>
  <c r="F15" i="14"/>
  <c r="G14" i="14"/>
  <c r="F14" i="14"/>
  <c r="G13" i="14"/>
  <c r="G17" i="14" s="1"/>
  <c r="F13" i="14"/>
  <c r="D15" i="19"/>
  <c r="D23" i="19"/>
  <c r="D20" i="19"/>
  <c r="D19" i="19"/>
  <c r="D18" i="19"/>
  <c r="D14" i="19"/>
  <c r="D12" i="19"/>
  <c r="E22" i="19"/>
  <c r="A13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D43" i="14" l="1"/>
  <c r="G25" i="13" l="1"/>
  <c r="F25" i="13"/>
  <c r="E22" i="15" l="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3" i="21"/>
  <c r="M81" i="21"/>
  <c r="L78" i="21"/>
  <c r="J78" i="21"/>
  <c r="H78" i="21"/>
  <c r="F78" i="21"/>
  <c r="M78" i="21" s="1"/>
  <c r="M77" i="21"/>
  <c r="L77" i="21"/>
  <c r="J77" i="21"/>
  <c r="H77" i="21"/>
  <c r="F77" i="21"/>
  <c r="L76" i="21"/>
  <c r="J76" i="21"/>
  <c r="H76" i="21"/>
  <c r="M76" i="21" s="1"/>
  <c r="F76" i="21"/>
  <c r="L75" i="21"/>
  <c r="J75" i="21"/>
  <c r="H75" i="21"/>
  <c r="F75" i="21"/>
  <c r="M75" i="21" s="1"/>
  <c r="L74" i="21"/>
  <c r="M74" i="21" s="1"/>
  <c r="J74" i="21"/>
  <c r="H74" i="21"/>
  <c r="F74" i="21"/>
  <c r="L73" i="21"/>
  <c r="J73" i="21"/>
  <c r="H73" i="21"/>
  <c r="F73" i="21"/>
  <c r="M73" i="21" s="1"/>
  <c r="L72" i="21"/>
  <c r="J72" i="21"/>
  <c r="H72" i="21"/>
  <c r="F72" i="21"/>
  <c r="M72" i="21" s="1"/>
  <c r="L71" i="21"/>
  <c r="J71" i="21"/>
  <c r="M71" i="21" s="1"/>
  <c r="H71" i="21"/>
  <c r="F71" i="21"/>
  <c r="L70" i="21"/>
  <c r="J70" i="21"/>
  <c r="H70" i="21"/>
  <c r="F70" i="21"/>
  <c r="M70" i="21" s="1"/>
  <c r="M69" i="21"/>
  <c r="L69" i="21"/>
  <c r="J69" i="21"/>
  <c r="H69" i="21"/>
  <c r="F69" i="21"/>
  <c r="L68" i="21"/>
  <c r="J68" i="21"/>
  <c r="H68" i="21"/>
  <c r="M68" i="21" s="1"/>
  <c r="F68" i="21"/>
  <c r="L67" i="21"/>
  <c r="J67" i="21"/>
  <c r="H67" i="21"/>
  <c r="F67" i="21"/>
  <c r="M67" i="21" s="1"/>
  <c r="L66" i="21"/>
  <c r="M66" i="21" s="1"/>
  <c r="J66" i="21"/>
  <c r="H66" i="21"/>
  <c r="F66" i="21"/>
  <c r="L65" i="21"/>
  <c r="J65" i="21"/>
  <c r="H65" i="21"/>
  <c r="F65" i="21"/>
  <c r="M65" i="21" s="1"/>
  <c r="L64" i="21"/>
  <c r="J64" i="21"/>
  <c r="H64" i="21"/>
  <c r="F64" i="21"/>
  <c r="M64" i="21" s="1"/>
  <c r="L63" i="21"/>
  <c r="J63" i="21"/>
  <c r="M63" i="21" s="1"/>
  <c r="H63" i="21"/>
  <c r="F63" i="21"/>
  <c r="L62" i="21"/>
  <c r="J62" i="21"/>
  <c r="H62" i="21"/>
  <c r="F62" i="21"/>
  <c r="M62" i="21" s="1"/>
  <c r="M61" i="21"/>
  <c r="L61" i="21"/>
  <c r="J61" i="21"/>
  <c r="H61" i="21"/>
  <c r="F61" i="21"/>
  <c r="L60" i="21"/>
  <c r="J60" i="21"/>
  <c r="H60" i="21"/>
  <c r="M60" i="21" s="1"/>
  <c r="F60" i="21"/>
  <c r="L59" i="21"/>
  <c r="J59" i="21"/>
  <c r="H59" i="21"/>
  <c r="F59" i="21"/>
  <c r="M59" i="21" s="1"/>
  <c r="L58" i="21"/>
  <c r="M58" i="21" s="1"/>
  <c r="J58" i="21"/>
  <c r="H58" i="21"/>
  <c r="F58" i="21"/>
  <c r="L57" i="21"/>
  <c r="J57" i="21"/>
  <c r="H57" i="21"/>
  <c r="F57" i="21"/>
  <c r="M57" i="21" s="1"/>
  <c r="L56" i="21"/>
  <c r="J56" i="21"/>
  <c r="H56" i="21"/>
  <c r="F56" i="21"/>
  <c r="M56" i="21" s="1"/>
  <c r="L55" i="21"/>
  <c r="J55" i="21"/>
  <c r="H55" i="21"/>
  <c r="F55" i="21"/>
  <c r="M55" i="21" s="1"/>
  <c r="L54" i="21"/>
  <c r="J54" i="21"/>
  <c r="H54" i="21"/>
  <c r="F54" i="21"/>
  <c r="M54" i="21" s="1"/>
  <c r="M53" i="21"/>
  <c r="L53" i="21"/>
  <c r="J53" i="21"/>
  <c r="H53" i="21"/>
  <c r="F53" i="21"/>
  <c r="L52" i="21"/>
  <c r="J52" i="21"/>
  <c r="H52" i="21"/>
  <c r="M52" i="21" s="1"/>
  <c r="F52" i="21"/>
  <c r="L51" i="21"/>
  <c r="J51" i="21"/>
  <c r="H51" i="21"/>
  <c r="F51" i="21"/>
  <c r="M51" i="21" s="1"/>
  <c r="L50" i="21"/>
  <c r="M50" i="21" s="1"/>
  <c r="J50" i="21"/>
  <c r="H50" i="21"/>
  <c r="F50" i="21"/>
  <c r="L49" i="21"/>
  <c r="J49" i="21"/>
  <c r="H49" i="21"/>
  <c r="F49" i="21"/>
  <c r="M49" i="21" s="1"/>
  <c r="L48" i="21"/>
  <c r="J48" i="21"/>
  <c r="H48" i="21"/>
  <c r="F48" i="21"/>
  <c r="M48" i="21" s="1"/>
  <c r="L47" i="21"/>
  <c r="J47" i="21"/>
  <c r="H47" i="21"/>
  <c r="F47" i="21"/>
  <c r="M47" i="21" s="1"/>
  <c r="L46" i="21"/>
  <c r="J46" i="21"/>
  <c r="H46" i="21"/>
  <c r="F46" i="21"/>
  <c r="M46" i="21" s="1"/>
  <c r="M45" i="21"/>
  <c r="L45" i="21"/>
  <c r="J45" i="21"/>
  <c r="H45" i="21"/>
  <c r="F45" i="21"/>
  <c r="L44" i="21"/>
  <c r="J44" i="21"/>
  <c r="H44" i="21"/>
  <c r="M44" i="21" s="1"/>
  <c r="F44" i="21"/>
  <c r="L43" i="21"/>
  <c r="J43" i="21"/>
  <c r="H43" i="21"/>
  <c r="F43" i="21"/>
  <c r="M43" i="21" s="1"/>
  <c r="L42" i="21"/>
  <c r="M42" i="21" s="1"/>
  <c r="J42" i="21"/>
  <c r="H42" i="21"/>
  <c r="F42" i="21"/>
  <c r="L41" i="21"/>
  <c r="J41" i="21"/>
  <c r="H41" i="21"/>
  <c r="F41" i="21"/>
  <c r="M41" i="21" s="1"/>
  <c r="L40" i="21"/>
  <c r="J40" i="21"/>
  <c r="H40" i="21"/>
  <c r="F40" i="21"/>
  <c r="M40" i="21" s="1"/>
  <c r="L39" i="21"/>
  <c r="J39" i="21"/>
  <c r="H39" i="21"/>
  <c r="F39" i="21"/>
  <c r="M39" i="21" s="1"/>
  <c r="L38" i="21"/>
  <c r="J38" i="21"/>
  <c r="H38" i="21"/>
  <c r="F38" i="21"/>
  <c r="M38" i="21" s="1"/>
  <c r="M37" i="21"/>
  <c r="L37" i="21"/>
  <c r="J37" i="21"/>
  <c r="H37" i="21"/>
  <c r="F37" i="21"/>
  <c r="L36" i="21"/>
  <c r="J36" i="21"/>
  <c r="H36" i="21"/>
  <c r="M36" i="21" s="1"/>
  <c r="F36" i="21"/>
  <c r="L35" i="21"/>
  <c r="J35" i="21"/>
  <c r="H35" i="21"/>
  <c r="F35" i="21"/>
  <c r="M35" i="21" s="1"/>
  <c r="L34" i="21"/>
  <c r="M34" i="21" s="1"/>
  <c r="J34" i="21"/>
  <c r="H34" i="21"/>
  <c r="F34" i="21"/>
  <c r="L33" i="21"/>
  <c r="J33" i="21"/>
  <c r="H33" i="21"/>
  <c r="F33" i="21"/>
  <c r="M33" i="21" s="1"/>
  <c r="L32" i="21"/>
  <c r="J32" i="21"/>
  <c r="H32" i="21"/>
  <c r="F32" i="21"/>
  <c r="M32" i="21" s="1"/>
  <c r="L31" i="21"/>
  <c r="J31" i="21"/>
  <c r="H31" i="21"/>
  <c r="F31" i="21"/>
  <c r="M31" i="21" s="1"/>
  <c r="L30" i="21"/>
  <c r="J30" i="21"/>
  <c r="H30" i="21"/>
  <c r="F30" i="21"/>
  <c r="M30" i="21" s="1"/>
  <c r="M29" i="21"/>
  <c r="L29" i="21"/>
  <c r="J29" i="21"/>
  <c r="H29" i="21"/>
  <c r="F29" i="21"/>
  <c r="L28" i="21"/>
  <c r="J28" i="21"/>
  <c r="H28" i="21"/>
  <c r="M28" i="21" s="1"/>
  <c r="F28" i="21"/>
  <c r="L27" i="21"/>
  <c r="J27" i="21"/>
  <c r="H27" i="21"/>
  <c r="F27" i="21"/>
  <c r="M27" i="21" s="1"/>
  <c r="L26" i="21"/>
  <c r="M26" i="21" s="1"/>
  <c r="J26" i="21"/>
  <c r="H26" i="21"/>
  <c r="F26" i="21"/>
  <c r="L25" i="21"/>
  <c r="J25" i="21"/>
  <c r="H25" i="21"/>
  <c r="F25" i="21"/>
  <c r="M25" i="21" s="1"/>
  <c r="L24" i="21"/>
  <c r="J24" i="21"/>
  <c r="H24" i="21"/>
  <c r="F24" i="21"/>
  <c r="M24" i="21" s="1"/>
  <c r="L23" i="21"/>
  <c r="J23" i="21"/>
  <c r="H23" i="21"/>
  <c r="F23" i="21"/>
  <c r="M23" i="21" s="1"/>
  <c r="L22" i="21"/>
  <c r="J22" i="21"/>
  <c r="H22" i="21"/>
  <c r="F22" i="21"/>
  <c r="M22" i="21" s="1"/>
  <c r="M21" i="21"/>
  <c r="L21" i="21"/>
  <c r="J21" i="21"/>
  <c r="H21" i="21"/>
  <c r="F21" i="21"/>
  <c r="L20" i="21"/>
  <c r="J20" i="21"/>
  <c r="H20" i="21"/>
  <c r="M20" i="21" s="1"/>
  <c r="F20" i="21"/>
  <c r="L19" i="21"/>
  <c r="J19" i="21"/>
  <c r="H19" i="21"/>
  <c r="F19" i="21"/>
  <c r="M19" i="21" s="1"/>
  <c r="L18" i="21"/>
  <c r="M18" i="21" s="1"/>
  <c r="J18" i="21"/>
  <c r="H18" i="21"/>
  <c r="F18" i="21"/>
  <c r="L17" i="21"/>
  <c r="J17" i="21"/>
  <c r="H17" i="21"/>
  <c r="F17" i="21"/>
  <c r="M17" i="21" s="1"/>
  <c r="L16" i="21"/>
  <c r="J16" i="21"/>
  <c r="H16" i="21"/>
  <c r="F16" i="21"/>
  <c r="M16" i="21" s="1"/>
  <c r="L15" i="21"/>
  <c r="L79" i="21" s="1"/>
  <c r="L83" i="21" s="1"/>
  <c r="L85" i="21" s="1"/>
  <c r="J15" i="21"/>
  <c r="J79" i="21" s="1"/>
  <c r="J83" i="21" s="1"/>
  <c r="J85" i="21" s="1"/>
  <c r="H15" i="21"/>
  <c r="F15" i="21"/>
  <c r="M15" i="21" s="1"/>
  <c r="L14" i="21"/>
  <c r="J14" i="21"/>
  <c r="H14" i="21"/>
  <c r="F14" i="21"/>
  <c r="M14" i="21" s="1"/>
  <c r="M13" i="21"/>
  <c r="L13" i="21"/>
  <c r="J13" i="21"/>
  <c r="H13" i="21"/>
  <c r="F13" i="21"/>
  <c r="L12" i="21"/>
  <c r="J12" i="21"/>
  <c r="H12" i="21"/>
  <c r="H79" i="21" s="1"/>
  <c r="H83" i="21" s="1"/>
  <c r="H85" i="21" s="1"/>
  <c r="F12" i="21"/>
  <c r="F79" i="21" s="1"/>
  <c r="F83" i="21" s="1"/>
  <c r="F85" i="21" s="1"/>
  <c r="E11" i="21"/>
  <c r="F11" i="21" s="1"/>
  <c r="G11" i="21" s="1"/>
  <c r="H11" i="21" s="1"/>
  <c r="I11" i="21" s="1"/>
  <c r="J11" i="21" s="1"/>
  <c r="K11" i="21" s="1"/>
  <c r="L11" i="21" s="1"/>
  <c r="M11" i="21" s="1"/>
  <c r="B11" i="21"/>
  <c r="C11" i="21" s="1"/>
  <c r="E18" i="15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12" i="3"/>
  <c r="C78" i="3"/>
  <c r="H82" i="3" s="1"/>
  <c r="H72" i="3"/>
  <c r="G72" i="3"/>
  <c r="G71" i="3"/>
  <c r="H71" i="3" s="1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H64" i="3"/>
  <c r="G64" i="3"/>
  <c r="G63" i="3"/>
  <c r="H63" i="3" s="1"/>
  <c r="G62" i="3"/>
  <c r="H62" i="3" s="1"/>
  <c r="G61" i="3"/>
  <c r="H61" i="3" s="1"/>
  <c r="H60" i="3"/>
  <c r="G60" i="3"/>
  <c r="G59" i="3"/>
  <c r="H59" i="3" s="1"/>
  <c r="G58" i="3"/>
  <c r="H58" i="3" s="1"/>
  <c r="G57" i="3"/>
  <c r="H57" i="3" s="1"/>
  <c r="H56" i="3"/>
  <c r="G56" i="3"/>
  <c r="G55" i="3"/>
  <c r="H55" i="3" s="1"/>
  <c r="G54" i="3"/>
  <c r="H54" i="3" s="1"/>
  <c r="G53" i="3"/>
  <c r="H53" i="3" s="1"/>
  <c r="H52" i="3"/>
  <c r="G52" i="3"/>
  <c r="G51" i="3"/>
  <c r="H51" i="3" s="1"/>
  <c r="G50" i="3"/>
  <c r="H50" i="3" s="1"/>
  <c r="G49" i="3"/>
  <c r="H49" i="3" s="1"/>
  <c r="H48" i="3"/>
  <c r="G48" i="3"/>
  <c r="G47" i="3"/>
  <c r="H47" i="3" s="1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H40" i="3"/>
  <c r="G40" i="3"/>
  <c r="G39" i="3"/>
  <c r="H39" i="3" s="1"/>
  <c r="G38" i="3"/>
  <c r="H38" i="3" s="1"/>
  <c r="G37" i="3"/>
  <c r="H37" i="3" s="1"/>
  <c r="H36" i="3"/>
  <c r="G36" i="3"/>
  <c r="G35" i="3"/>
  <c r="H35" i="3" s="1"/>
  <c r="G34" i="3"/>
  <c r="H34" i="3" s="1"/>
  <c r="G33" i="3"/>
  <c r="H33" i="3" s="1"/>
  <c r="H32" i="3"/>
  <c r="G32" i="3"/>
  <c r="G31" i="3"/>
  <c r="H31" i="3" s="1"/>
  <c r="G30" i="3"/>
  <c r="H30" i="3" s="1"/>
  <c r="G29" i="3"/>
  <c r="H29" i="3" s="1"/>
  <c r="H28" i="3"/>
  <c r="G28" i="3"/>
  <c r="G27" i="3"/>
  <c r="H27" i="3" s="1"/>
  <c r="G26" i="3"/>
  <c r="H26" i="3" s="1"/>
  <c r="G25" i="3"/>
  <c r="H25" i="3" s="1"/>
  <c r="H24" i="3"/>
  <c r="G24" i="3"/>
  <c r="G23" i="3"/>
  <c r="H23" i="3" s="1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H16" i="3"/>
  <c r="G16" i="3"/>
  <c r="G15" i="3"/>
  <c r="H15" i="3" s="1"/>
  <c r="G14" i="3"/>
  <c r="H14" i="3" s="1"/>
  <c r="G13" i="3"/>
  <c r="H13" i="3" s="1"/>
  <c r="H12" i="3"/>
  <c r="G12" i="3"/>
  <c r="G11" i="3"/>
  <c r="H11" i="3" s="1"/>
  <c r="E17" i="15"/>
  <c r="D90" i="4"/>
  <c r="D86" i="4"/>
  <c r="D92" i="4" s="1"/>
  <c r="F77" i="4"/>
  <c r="D77" i="4"/>
  <c r="C77" i="4"/>
  <c r="G96" i="2"/>
  <c r="H88" i="2" s="1"/>
  <c r="G94" i="2"/>
  <c r="G90" i="2"/>
  <c r="P79" i="2"/>
  <c r="O79" i="2"/>
  <c r="L79" i="2"/>
  <c r="J79" i="2"/>
  <c r="I79" i="2"/>
  <c r="H79" i="2"/>
  <c r="G79" i="2"/>
  <c r="F79" i="2"/>
  <c r="E79" i="2"/>
  <c r="D79" i="2"/>
  <c r="M78" i="2"/>
  <c r="Q78" i="2" s="1"/>
  <c r="R78" i="2" s="1"/>
  <c r="K78" i="2"/>
  <c r="M77" i="2"/>
  <c r="Q77" i="2" s="1"/>
  <c r="K77" i="2"/>
  <c r="M76" i="2"/>
  <c r="Q76" i="2" s="1"/>
  <c r="R76" i="2" s="1"/>
  <c r="K76" i="2"/>
  <c r="M75" i="2"/>
  <c r="Q75" i="2" s="1"/>
  <c r="R75" i="2" s="1"/>
  <c r="K75" i="2"/>
  <c r="M74" i="2"/>
  <c r="Q74" i="2" s="1"/>
  <c r="R74" i="2" s="1"/>
  <c r="K74" i="2"/>
  <c r="N73" i="2"/>
  <c r="M73" i="2"/>
  <c r="K73" i="2"/>
  <c r="N72" i="2"/>
  <c r="M72" i="2"/>
  <c r="Q72" i="2" s="1"/>
  <c r="K72" i="2"/>
  <c r="N71" i="2"/>
  <c r="M71" i="2"/>
  <c r="Q71" i="2" s="1"/>
  <c r="R71" i="2" s="1"/>
  <c r="K71" i="2"/>
  <c r="N70" i="2"/>
  <c r="Q70" i="2" s="1"/>
  <c r="R70" i="2" s="1"/>
  <c r="M70" i="2"/>
  <c r="K70" i="2"/>
  <c r="N69" i="2"/>
  <c r="M69" i="2"/>
  <c r="Q69" i="2" s="1"/>
  <c r="R69" i="2" s="1"/>
  <c r="K69" i="2"/>
  <c r="N68" i="2"/>
  <c r="M68" i="2"/>
  <c r="Q68" i="2" s="1"/>
  <c r="R68" i="2" s="1"/>
  <c r="K68" i="2"/>
  <c r="N67" i="2"/>
  <c r="M67" i="2"/>
  <c r="Q67" i="2" s="1"/>
  <c r="R67" i="2" s="1"/>
  <c r="K67" i="2"/>
  <c r="N66" i="2"/>
  <c r="Q66" i="2" s="1"/>
  <c r="R66" i="2" s="1"/>
  <c r="M66" i="2"/>
  <c r="K66" i="2"/>
  <c r="N65" i="2"/>
  <c r="Q65" i="2" s="1"/>
  <c r="R65" i="2" s="1"/>
  <c r="M65" i="2"/>
  <c r="K65" i="2"/>
  <c r="N64" i="2"/>
  <c r="M64" i="2"/>
  <c r="K64" i="2"/>
  <c r="N63" i="2"/>
  <c r="M63" i="2"/>
  <c r="Q63" i="2" s="1"/>
  <c r="K63" i="2"/>
  <c r="N62" i="2"/>
  <c r="M62" i="2"/>
  <c r="Q62" i="2" s="1"/>
  <c r="R62" i="2" s="1"/>
  <c r="K62" i="2"/>
  <c r="Q61" i="2"/>
  <c r="N61" i="2"/>
  <c r="M61" i="2"/>
  <c r="K61" i="2"/>
  <c r="N60" i="2"/>
  <c r="M60" i="2"/>
  <c r="Q60" i="2" s="1"/>
  <c r="K60" i="2"/>
  <c r="N59" i="2"/>
  <c r="M59" i="2"/>
  <c r="Q59" i="2" s="1"/>
  <c r="R59" i="2" s="1"/>
  <c r="K59" i="2"/>
  <c r="N58" i="2"/>
  <c r="M58" i="2"/>
  <c r="K58" i="2"/>
  <c r="N57" i="2"/>
  <c r="M57" i="2"/>
  <c r="K57" i="2"/>
  <c r="N56" i="2"/>
  <c r="M56" i="2"/>
  <c r="K56" i="2"/>
  <c r="N55" i="2"/>
  <c r="M55" i="2"/>
  <c r="K55" i="2"/>
  <c r="N54" i="2"/>
  <c r="M54" i="2"/>
  <c r="Q54" i="2" s="1"/>
  <c r="R54" i="2" s="1"/>
  <c r="K54" i="2"/>
  <c r="N53" i="2"/>
  <c r="Q53" i="2" s="1"/>
  <c r="R53" i="2" s="1"/>
  <c r="M53" i="2"/>
  <c r="K53" i="2"/>
  <c r="N52" i="2"/>
  <c r="M52" i="2"/>
  <c r="Q52" i="2" s="1"/>
  <c r="K52" i="2"/>
  <c r="N51" i="2"/>
  <c r="M51" i="2"/>
  <c r="Q51" i="2" s="1"/>
  <c r="K51" i="2"/>
  <c r="N50" i="2"/>
  <c r="M50" i="2"/>
  <c r="K50" i="2"/>
  <c r="N49" i="2"/>
  <c r="M49" i="2"/>
  <c r="K49" i="2"/>
  <c r="N48" i="2"/>
  <c r="M48" i="2"/>
  <c r="Q48" i="2" s="1"/>
  <c r="R48" i="2" s="1"/>
  <c r="K48" i="2"/>
  <c r="N47" i="2"/>
  <c r="M47" i="2"/>
  <c r="Q47" i="2" s="1"/>
  <c r="K47" i="2"/>
  <c r="Q46" i="2"/>
  <c r="N46" i="2"/>
  <c r="M46" i="2"/>
  <c r="K46" i="2"/>
  <c r="N45" i="2"/>
  <c r="M45" i="2"/>
  <c r="Q45" i="2" s="1"/>
  <c r="R45" i="2" s="1"/>
  <c r="K45" i="2"/>
  <c r="N44" i="2"/>
  <c r="M44" i="2"/>
  <c r="K44" i="2"/>
  <c r="N43" i="2"/>
  <c r="M43" i="2"/>
  <c r="K43" i="2"/>
  <c r="N42" i="2"/>
  <c r="Q42" i="2" s="1"/>
  <c r="M42" i="2"/>
  <c r="K42" i="2"/>
  <c r="N41" i="2"/>
  <c r="M41" i="2"/>
  <c r="K41" i="2"/>
  <c r="N40" i="2"/>
  <c r="M40" i="2"/>
  <c r="Q40" i="2" s="1"/>
  <c r="K40" i="2"/>
  <c r="N39" i="2"/>
  <c r="M39" i="2"/>
  <c r="Q39" i="2" s="1"/>
  <c r="R39" i="2" s="1"/>
  <c r="K39" i="2"/>
  <c r="N38" i="2"/>
  <c r="M38" i="2"/>
  <c r="Q38" i="2" s="1"/>
  <c r="R38" i="2" s="1"/>
  <c r="K38" i="2"/>
  <c r="N37" i="2"/>
  <c r="M37" i="2"/>
  <c r="Q37" i="2" s="1"/>
  <c r="R37" i="2" s="1"/>
  <c r="K37" i="2"/>
  <c r="N36" i="2"/>
  <c r="M36" i="2"/>
  <c r="Q36" i="2" s="1"/>
  <c r="K36" i="2"/>
  <c r="N35" i="2"/>
  <c r="M35" i="2"/>
  <c r="Q35" i="2" s="1"/>
  <c r="K35" i="2"/>
  <c r="N34" i="2"/>
  <c r="M34" i="2"/>
  <c r="K34" i="2"/>
  <c r="N33" i="2"/>
  <c r="M33" i="2"/>
  <c r="K33" i="2"/>
  <c r="N32" i="2"/>
  <c r="M32" i="2"/>
  <c r="Q32" i="2" s="1"/>
  <c r="R32" i="2" s="1"/>
  <c r="K32" i="2"/>
  <c r="N31" i="2"/>
  <c r="M31" i="2"/>
  <c r="K31" i="2"/>
  <c r="N30" i="2"/>
  <c r="M30" i="2"/>
  <c r="K30" i="2"/>
  <c r="N29" i="2"/>
  <c r="M29" i="2"/>
  <c r="Q29" i="2" s="1"/>
  <c r="R29" i="2" s="1"/>
  <c r="K29" i="2"/>
  <c r="N28" i="2"/>
  <c r="M28" i="2"/>
  <c r="Q28" i="2" s="1"/>
  <c r="R28" i="2" s="1"/>
  <c r="K28" i="2"/>
  <c r="N27" i="2"/>
  <c r="M27" i="2"/>
  <c r="Q27" i="2" s="1"/>
  <c r="R27" i="2" s="1"/>
  <c r="K27" i="2"/>
  <c r="N26" i="2"/>
  <c r="Q26" i="2" s="1"/>
  <c r="R26" i="2" s="1"/>
  <c r="M26" i="2"/>
  <c r="K26" i="2"/>
  <c r="Q25" i="2"/>
  <c r="R25" i="2" s="1"/>
  <c r="N25" i="2"/>
  <c r="M25" i="2"/>
  <c r="K25" i="2"/>
  <c r="N24" i="2"/>
  <c r="M24" i="2"/>
  <c r="Q24" i="2" s="1"/>
  <c r="R24" i="2" s="1"/>
  <c r="K24" i="2"/>
  <c r="N23" i="2"/>
  <c r="M23" i="2"/>
  <c r="Q23" i="2" s="1"/>
  <c r="R23" i="2" s="1"/>
  <c r="K23" i="2"/>
  <c r="N22" i="2"/>
  <c r="M22" i="2"/>
  <c r="Q22" i="2" s="1"/>
  <c r="R22" i="2" s="1"/>
  <c r="K22" i="2"/>
  <c r="Q21" i="2"/>
  <c r="N21" i="2"/>
  <c r="M21" i="2"/>
  <c r="K21" i="2"/>
  <c r="N20" i="2"/>
  <c r="M20" i="2"/>
  <c r="Q20" i="2" s="1"/>
  <c r="K20" i="2"/>
  <c r="N19" i="2"/>
  <c r="M19" i="2"/>
  <c r="Q19" i="2" s="1"/>
  <c r="R19" i="2" s="1"/>
  <c r="K19" i="2"/>
  <c r="M18" i="2"/>
  <c r="Q18" i="2" s="1"/>
  <c r="K18" i="2"/>
  <c r="M17" i="2"/>
  <c r="Q17" i="2" s="1"/>
  <c r="K17" i="2"/>
  <c r="M16" i="2"/>
  <c r="Q16" i="2" s="1"/>
  <c r="R16" i="2" s="1"/>
  <c r="K16" i="2"/>
  <c r="M15" i="2"/>
  <c r="Q15" i="2" s="1"/>
  <c r="R15" i="2" s="1"/>
  <c r="K15" i="2"/>
  <c r="M14" i="2"/>
  <c r="Q14" i="2" s="1"/>
  <c r="K14" i="2"/>
  <c r="M13" i="2"/>
  <c r="Q13" i="2" s="1"/>
  <c r="K13" i="2"/>
  <c r="M12" i="2"/>
  <c r="K12" i="2"/>
  <c r="B11" i="2"/>
  <c r="C11" i="2" s="1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E10" i="15"/>
  <c r="D27" i="1"/>
  <c r="M12" i="21" l="1"/>
  <c r="M79" i="21" s="1"/>
  <c r="M83" i="21" s="1"/>
  <c r="M85" i="21" s="1"/>
  <c r="H78" i="3"/>
  <c r="H80" i="3" s="1"/>
  <c r="H84" i="3" s="1"/>
  <c r="H86" i="3" s="1"/>
  <c r="E84" i="4"/>
  <c r="F84" i="4" s="1"/>
  <c r="E88" i="4"/>
  <c r="E83" i="4"/>
  <c r="F83" i="4" s="1"/>
  <c r="E85" i="4"/>
  <c r="F85" i="4" s="1"/>
  <c r="E82" i="4"/>
  <c r="F82" i="4" s="1"/>
  <c r="E89" i="4"/>
  <c r="F89" i="4" s="1"/>
  <c r="E81" i="4"/>
  <c r="E86" i="4" s="1"/>
  <c r="R14" i="2"/>
  <c r="R18" i="2"/>
  <c r="Q33" i="2"/>
  <c r="R33" i="2" s="1"/>
  <c r="R36" i="2"/>
  <c r="R51" i="2"/>
  <c r="Q58" i="2"/>
  <c r="R58" i="2" s="1"/>
  <c r="R63" i="2"/>
  <c r="Q31" i="2"/>
  <c r="R31" i="2" s="1"/>
  <c r="Q41" i="2"/>
  <c r="R41" i="2" s="1"/>
  <c r="Q44" i="2"/>
  <c r="R44" i="2" s="1"/>
  <c r="Q56" i="2"/>
  <c r="R56" i="2" s="1"/>
  <c r="Q73" i="2"/>
  <c r="R73" i="2" s="1"/>
  <c r="H85" i="2"/>
  <c r="N79" i="2"/>
  <c r="Q34" i="2"/>
  <c r="R34" i="2" s="1"/>
  <c r="Q49" i="2"/>
  <c r="R49" i="2" s="1"/>
  <c r="R52" i="2"/>
  <c r="Q64" i="2"/>
  <c r="R64" i="2" s="1"/>
  <c r="R77" i="2"/>
  <c r="H89" i="2"/>
  <c r="M79" i="2"/>
  <c r="R42" i="2"/>
  <c r="R47" i="2"/>
  <c r="R46" i="2"/>
  <c r="R61" i="2"/>
  <c r="H87" i="2"/>
  <c r="K79" i="2"/>
  <c r="R20" i="2"/>
  <c r="R35" i="2"/>
  <c r="R40" i="2"/>
  <c r="Q57" i="2"/>
  <c r="R57" i="2" s="1"/>
  <c r="R60" i="2"/>
  <c r="R72" i="2"/>
  <c r="H93" i="2"/>
  <c r="R21" i="2"/>
  <c r="R13" i="2"/>
  <c r="R17" i="2"/>
  <c r="Q30" i="2"/>
  <c r="R30" i="2" s="1"/>
  <c r="Q43" i="2"/>
  <c r="R43" i="2" s="1"/>
  <c r="Q50" i="2"/>
  <c r="R50" i="2" s="1"/>
  <c r="Q55" i="2"/>
  <c r="R55" i="2" s="1"/>
  <c r="Q12" i="2"/>
  <c r="H86" i="2"/>
  <c r="H92" i="2"/>
  <c r="H94" i="2" s="1"/>
  <c r="M91" i="21" l="1"/>
  <c r="M90" i="21"/>
  <c r="M98" i="21"/>
  <c r="M97" i="21"/>
  <c r="M99" i="21" s="1"/>
  <c r="M92" i="21"/>
  <c r="M94" i="21"/>
  <c r="M93" i="21"/>
  <c r="E84" i="3"/>
  <c r="E90" i="3"/>
  <c r="E83" i="3"/>
  <c r="E89" i="3"/>
  <c r="E91" i="3" s="1"/>
  <c r="E82" i="3"/>
  <c r="E86" i="3"/>
  <c r="E85" i="3"/>
  <c r="E90" i="4"/>
  <c r="E92" i="4" s="1"/>
  <c r="F81" i="4"/>
  <c r="F86" i="4" s="1"/>
  <c r="F88" i="4"/>
  <c r="F90" i="4" s="1"/>
  <c r="H90" i="2"/>
  <c r="H96" i="2" s="1"/>
  <c r="Q79" i="2"/>
  <c r="R12" i="2"/>
  <c r="R79" i="2" s="1"/>
  <c r="M95" i="21" l="1"/>
  <c r="M101" i="21" s="1"/>
  <c r="E87" i="3"/>
  <c r="E93" i="3" s="1"/>
  <c r="F92" i="4"/>
  <c r="I92" i="2"/>
  <c r="I87" i="2"/>
  <c r="I86" i="2"/>
  <c r="I89" i="2"/>
  <c r="I85" i="2"/>
  <c r="I93" i="2"/>
  <c r="I88" i="2"/>
  <c r="I90" i="2" l="1"/>
  <c r="E16" i="15" s="1"/>
  <c r="I94" i="2"/>
  <c r="I96" i="2" l="1"/>
  <c r="C14" i="9" l="1"/>
  <c r="C12" i="1" l="1"/>
  <c r="A5" i="13"/>
  <c r="A4" i="13" l="1"/>
  <c r="E12" i="19" l="1"/>
  <c r="E14" i="19"/>
  <c r="E15" i="19"/>
  <c r="E17" i="19"/>
  <c r="E18" i="19"/>
  <c r="E19" i="19"/>
  <c r="E21" i="19"/>
  <c r="E11" i="19"/>
  <c r="G31" i="6"/>
  <c r="F31" i="6"/>
  <c r="E20" i="19"/>
  <c r="E13" i="19"/>
  <c r="H31" i="6" l="1"/>
  <c r="H35" i="6" s="1"/>
  <c r="E15" i="15" s="1"/>
  <c r="E14" i="7" l="1"/>
  <c r="B4" i="21" l="1"/>
  <c r="B3" i="21"/>
  <c r="R23" i="18" l="1"/>
  <c r="A12" i="19" l="1"/>
  <c r="E23" i="19"/>
  <c r="E16" i="19"/>
  <c r="D24" i="19" l="1"/>
  <c r="C24" i="19"/>
  <c r="E24" i="19" l="1"/>
  <c r="E20" i="15" s="1"/>
  <c r="P23" i="18" s="1"/>
  <c r="D24" i="1" l="1"/>
  <c r="E25" i="1" l="1"/>
  <c r="F25" i="1" l="1"/>
  <c r="G25" i="1"/>
  <c r="A1" i="18" l="1"/>
  <c r="E54" i="1"/>
  <c r="F54" i="1" s="1"/>
  <c r="G54" i="1" s="1"/>
  <c r="R6" i="18" l="1"/>
  <c r="R4" i="18"/>
  <c r="R9" i="18" l="1"/>
  <c r="Q6" i="18"/>
  <c r="Q4" i="18"/>
  <c r="Q24" i="18"/>
  <c r="Q31" i="18" s="1"/>
  <c r="Q12" i="18"/>
  <c r="D11" i="20"/>
  <c r="D15" i="20" s="1"/>
  <c r="F21" i="15" s="1"/>
  <c r="A12" i="20"/>
  <c r="A13" i="20" s="1"/>
  <c r="A14" i="20" s="1"/>
  <c r="A15" i="20" s="1"/>
  <c r="A5" i="20"/>
  <c r="A4" i="20"/>
  <c r="G35" i="13"/>
  <c r="F35" i="13"/>
  <c r="G30" i="13"/>
  <c r="F30" i="13"/>
  <c r="Q37" i="18" l="1"/>
  <c r="Q40" i="18" s="1"/>
  <c r="Q46" i="18" s="1"/>
  <c r="Q47" i="18" s="1"/>
  <c r="D38" i="1"/>
  <c r="Q33" i="18"/>
  <c r="F27" i="13"/>
  <c r="F31" i="13" s="1"/>
  <c r="F36" i="13" s="1"/>
  <c r="G27" i="13"/>
  <c r="G31" i="13" s="1"/>
  <c r="G36" i="13" s="1"/>
  <c r="Q42" i="18" l="1"/>
  <c r="Q48" i="18" s="1"/>
  <c r="F49" i="13" l="1"/>
  <c r="D12" i="15" s="1"/>
  <c r="H10" i="18" s="1"/>
  <c r="P6" i="18" l="1"/>
  <c r="P4" i="18"/>
  <c r="V9" i="18"/>
  <c r="P12" i="18"/>
  <c r="P24" i="18"/>
  <c r="P31" i="18" s="1"/>
  <c r="A5" i="19"/>
  <c r="A4" i="19"/>
  <c r="P37" i="18" l="1"/>
  <c r="P40" i="18" s="1"/>
  <c r="E8" i="17"/>
  <c r="P33" i="18"/>
  <c r="E10" i="17" l="1"/>
  <c r="E12" i="17" s="1"/>
  <c r="E41" i="17"/>
  <c r="E44" i="17" s="1"/>
  <c r="V37" i="18"/>
  <c r="P42" i="18"/>
  <c r="M23" i="18"/>
  <c r="M24" i="18" s="1"/>
  <c r="M31" i="18" s="1"/>
  <c r="O6" i="18"/>
  <c r="N6" i="18"/>
  <c r="M6" i="18"/>
  <c r="L6" i="18"/>
  <c r="K6" i="18"/>
  <c r="J6" i="18"/>
  <c r="I6" i="18"/>
  <c r="H6" i="18"/>
  <c r="G6" i="18"/>
  <c r="F6" i="18"/>
  <c r="E6" i="18"/>
  <c r="O4" i="18"/>
  <c r="N4" i="18"/>
  <c r="M4" i="18"/>
  <c r="L4" i="18"/>
  <c r="K4" i="18"/>
  <c r="J4" i="18"/>
  <c r="I4" i="18"/>
  <c r="H4" i="18"/>
  <c r="G4" i="18"/>
  <c r="F4" i="18"/>
  <c r="D6" i="18"/>
  <c r="C6" i="18"/>
  <c r="C4" i="18"/>
  <c r="D4" i="18"/>
  <c r="E4" i="18"/>
  <c r="T40" i="18"/>
  <c r="S40" i="18"/>
  <c r="R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C46" i="18" s="1"/>
  <c r="V39" i="18"/>
  <c r="V38" i="18"/>
  <c r="V35" i="18"/>
  <c r="V30" i="18"/>
  <c r="V29" i="18"/>
  <c r="V27" i="18"/>
  <c r="T24" i="18"/>
  <c r="T31" i="18" s="1"/>
  <c r="S24" i="18"/>
  <c r="S31" i="18" s="1"/>
  <c r="R24" i="18"/>
  <c r="R31" i="18" s="1"/>
  <c r="V22" i="18"/>
  <c r="V21" i="18"/>
  <c r="V20" i="18"/>
  <c r="V18" i="18"/>
  <c r="F24" i="18"/>
  <c r="E24" i="18"/>
  <c r="V15" i="18"/>
  <c r="T12" i="18"/>
  <c r="S12" i="18"/>
  <c r="R12" i="18"/>
  <c r="O12" i="18"/>
  <c r="N12" i="18"/>
  <c r="M12" i="18"/>
  <c r="L12" i="18"/>
  <c r="K12" i="18"/>
  <c r="J12" i="18"/>
  <c r="I12" i="18"/>
  <c r="G12" i="18"/>
  <c r="V11" i="18"/>
  <c r="F12" i="18"/>
  <c r="E12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E54" i="17"/>
  <c r="D54" i="17"/>
  <c r="F52" i="17"/>
  <c r="D10" i="17"/>
  <c r="A1" i="17"/>
  <c r="F63" i="17"/>
  <c r="F62" i="17"/>
  <c r="E61" i="17"/>
  <c r="D61" i="17"/>
  <c r="F60" i="17"/>
  <c r="F59" i="17"/>
  <c r="F58" i="17"/>
  <c r="F57" i="17"/>
  <c r="F56" i="17"/>
  <c r="F55" i="17"/>
  <c r="F53" i="17"/>
  <c r="E51" i="17"/>
  <c r="D51" i="17"/>
  <c r="F50" i="17"/>
  <c r="F48" i="17"/>
  <c r="F47" i="17"/>
  <c r="F46" i="17"/>
  <c r="F45" i="17"/>
  <c r="D44" i="17"/>
  <c r="F43" i="17"/>
  <c r="F42" i="17"/>
  <c r="F39" i="17"/>
  <c r="F38" i="17"/>
  <c r="F34" i="17"/>
  <c r="F33" i="17"/>
  <c r="E32" i="17"/>
  <c r="D32" i="17"/>
  <c r="F31" i="17"/>
  <c r="F30" i="17"/>
  <c r="F29" i="17"/>
  <c r="F28" i="17"/>
  <c r="F27" i="17"/>
  <c r="F26" i="17"/>
  <c r="F24" i="17"/>
  <c r="F23" i="17"/>
  <c r="F22" i="17"/>
  <c r="F21" i="17"/>
  <c r="E20" i="17"/>
  <c r="D20" i="17"/>
  <c r="F19" i="17"/>
  <c r="F18" i="17"/>
  <c r="F17" i="17"/>
  <c r="F16" i="17"/>
  <c r="F15" i="17"/>
  <c r="F14" i="17"/>
  <c r="F13" i="17"/>
  <c r="F11" i="17"/>
  <c r="F9" i="17"/>
  <c r="F8" i="17"/>
  <c r="A8" i="17"/>
  <c r="D6" i="17"/>
  <c r="E6" i="17" s="1"/>
  <c r="F41" i="17" l="1"/>
  <c r="F10" i="17"/>
  <c r="F12" i="17" s="1"/>
  <c r="E64" i="17"/>
  <c r="D64" i="17"/>
  <c r="L63" i="17" s="1"/>
  <c r="F54" i="17"/>
  <c r="E35" i="17"/>
  <c r="R33" i="18"/>
  <c r="R42" i="18" s="1"/>
  <c r="T33" i="18"/>
  <c r="T42" i="18"/>
  <c r="V46" i="18"/>
  <c r="M33" i="18"/>
  <c r="M42" i="18" s="1"/>
  <c r="H12" i="18"/>
  <c r="H44" i="18" s="1"/>
  <c r="S33" i="18"/>
  <c r="S42" i="18" s="1"/>
  <c r="V40" i="18"/>
  <c r="F38" i="15" s="1"/>
  <c r="F51" i="17"/>
  <c r="F61" i="17"/>
  <c r="F44" i="17"/>
  <c r="F32" i="17"/>
  <c r="F20" i="17"/>
  <c r="D12" i="17"/>
  <c r="D35" i="17" s="1"/>
  <c r="L62" i="17" s="1"/>
  <c r="F64" i="17" l="1"/>
  <c r="F35" i="17"/>
  <c r="L64" i="17" l="1"/>
  <c r="A5" i="16" l="1"/>
  <c r="A4" i="16"/>
  <c r="D15" i="16"/>
  <c r="D17" i="16" s="1"/>
  <c r="D19" i="16" s="1"/>
  <c r="D23" i="16" s="1"/>
  <c r="D25" i="16" s="1"/>
  <c r="E19" i="15" s="1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O23" i="18" l="1"/>
  <c r="O24" i="18" s="1"/>
  <c r="O31" i="18" s="1"/>
  <c r="O33" i="18" l="1"/>
  <c r="O42" i="18" s="1"/>
  <c r="A1" i="15" l="1"/>
  <c r="G29" i="15"/>
  <c r="G28" i="15"/>
  <c r="G27" i="15"/>
  <c r="G26" i="15"/>
  <c r="G25" i="15"/>
  <c r="G24" i="15"/>
  <c r="G23" i="15"/>
  <c r="G22" i="15"/>
  <c r="G21" i="15"/>
  <c r="G20" i="15"/>
  <c r="G19" i="15"/>
  <c r="G17" i="15"/>
  <c r="F30" i="15"/>
  <c r="X40" i="18" s="1"/>
  <c r="D5" i="15"/>
  <c r="E5" i="15" s="1"/>
  <c r="F5" i="15" s="1"/>
  <c r="G5" i="15" s="1"/>
  <c r="I19" i="18" l="1"/>
  <c r="I24" i="18" s="1"/>
  <c r="I31" i="18" s="1"/>
  <c r="G13" i="15"/>
  <c r="X46" i="18"/>
  <c r="F39" i="15"/>
  <c r="I33" i="18" l="1"/>
  <c r="I42" i="18" s="1"/>
  <c r="A5" i="12"/>
  <c r="A4" i="12"/>
  <c r="C14" i="12"/>
  <c r="E11" i="15" s="1"/>
  <c r="D17" i="1" s="1"/>
  <c r="A13" i="12"/>
  <c r="A14" i="12" s="1"/>
  <c r="G19" i="18" l="1"/>
  <c r="G11" i="15"/>
  <c r="G24" i="18" l="1"/>
  <c r="V19" i="18"/>
  <c r="G31" i="18" l="1"/>
  <c r="A4" i="11"/>
  <c r="A3" i="11"/>
  <c r="G33" i="18" l="1"/>
  <c r="G42" i="18" l="1"/>
  <c r="A5" i="9"/>
  <c r="A4" i="9"/>
  <c r="H26" i="9"/>
  <c r="H28" i="9" s="1"/>
  <c r="H32" i="9" s="1"/>
  <c r="E8" i="15" s="1"/>
  <c r="D17" i="18" s="1"/>
  <c r="D24" i="18" s="1"/>
  <c r="D31" i="18" s="1"/>
  <c r="C15" i="9"/>
  <c r="C16" i="9" s="1"/>
  <c r="C17" i="9" s="1"/>
  <c r="C18" i="9" s="1"/>
  <c r="C19" i="9" s="1"/>
  <c r="C20" i="9" s="1"/>
  <c r="C21" i="9" s="1"/>
  <c r="C22" i="9" s="1"/>
  <c r="C23" i="9" s="1"/>
  <c r="C24" i="9" s="1"/>
  <c r="F28" i="9" l="1"/>
  <c r="F32" i="9" s="1"/>
  <c r="F26" i="18"/>
  <c r="G10" i="15"/>
  <c r="D8" i="15" l="1"/>
  <c r="D10" i="18" s="1"/>
  <c r="D12" i="18" s="1"/>
  <c r="D33" i="18" s="1"/>
  <c r="D42" i="18" s="1"/>
  <c r="I32" i="9"/>
  <c r="G8" i="15"/>
  <c r="E28" i="18"/>
  <c r="G9" i="15"/>
  <c r="V26" i="18"/>
  <c r="F31" i="18"/>
  <c r="F45" i="18" s="1"/>
  <c r="F47" i="18" s="1"/>
  <c r="A4" i="8"/>
  <c r="A5" i="8"/>
  <c r="H26" i="8"/>
  <c r="H28" i="8" s="1"/>
  <c r="C14" i="8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E24" i="7"/>
  <c r="E14" i="15" s="1"/>
  <c r="A15" i="7"/>
  <c r="A16" i="7" s="1"/>
  <c r="A17" i="7" s="1"/>
  <c r="A18" i="7" s="1"/>
  <c r="A19" i="7" s="1"/>
  <c r="H32" i="8" l="1"/>
  <c r="F33" i="18"/>
  <c r="F42" i="18" s="1"/>
  <c r="F48" i="18" s="1"/>
  <c r="J23" i="18"/>
  <c r="G14" i="15"/>
  <c r="V28" i="18"/>
  <c r="E31" i="18"/>
  <c r="E45" i="18" s="1"/>
  <c r="E47" i="18" s="1"/>
  <c r="E7" i="15" l="1"/>
  <c r="C17" i="18" s="1"/>
  <c r="J24" i="18"/>
  <c r="J31" i="18" s="1"/>
  <c r="E33" i="18"/>
  <c r="E42" i="18" s="1"/>
  <c r="E48" i="18" s="1"/>
  <c r="C24" i="18"/>
  <c r="V17" i="18"/>
  <c r="C31" i="18" l="1"/>
  <c r="J33" i="18"/>
  <c r="J42" i="18" s="1"/>
  <c r="C45" i="18" l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5" i="7"/>
  <c r="A4" i="7"/>
  <c r="A4" i="6" l="1"/>
  <c r="A5" i="6"/>
  <c r="D21" i="1" l="1"/>
  <c r="K23" i="18" l="1"/>
  <c r="G15" i="15"/>
  <c r="K24" i="18" l="1"/>
  <c r="K31" i="18" l="1"/>
  <c r="K45" i="18" s="1"/>
  <c r="K47" i="18" s="1"/>
  <c r="K33" i="18" l="1"/>
  <c r="K42" i="18" l="1"/>
  <c r="K48" i="18" s="1"/>
  <c r="B4" i="3" l="1"/>
  <c r="B3" i="3"/>
  <c r="E38" i="1" l="1"/>
  <c r="C49" i="1"/>
  <c r="E48" i="1"/>
  <c r="E39" i="1"/>
  <c r="E37" i="1"/>
  <c r="E36" i="1"/>
  <c r="E35" i="1"/>
  <c r="E29" i="1"/>
  <c r="E28" i="1"/>
  <c r="E27" i="1"/>
  <c r="E26" i="1"/>
  <c r="E24" i="1"/>
  <c r="C22" i="1"/>
  <c r="C31" i="1" s="1"/>
  <c r="E20" i="1"/>
  <c r="E19" i="1"/>
  <c r="E18" i="1"/>
  <c r="E17" i="1"/>
  <c r="E16" i="1"/>
  <c r="E11" i="1"/>
  <c r="F11" i="1" s="1"/>
  <c r="G1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C8" i="1"/>
  <c r="D8" i="1" s="1"/>
  <c r="F18" i="1" l="1"/>
  <c r="G18" i="1"/>
  <c r="F19" i="1"/>
  <c r="G19" i="1"/>
  <c r="F36" i="1"/>
  <c r="G36" i="1"/>
  <c r="F39" i="1"/>
  <c r="G39" i="1"/>
  <c r="F29" i="1"/>
  <c r="G29" i="1"/>
  <c r="F26" i="1"/>
  <c r="G26" i="1"/>
  <c r="F16" i="1"/>
  <c r="G16" i="1"/>
  <c r="F35" i="1"/>
  <c r="G35" i="1"/>
  <c r="F20" i="1"/>
  <c r="G20" i="1"/>
  <c r="F37" i="1"/>
  <c r="G37" i="1"/>
  <c r="F24" i="1"/>
  <c r="G24" i="1"/>
  <c r="F28" i="1"/>
  <c r="G28" i="1"/>
  <c r="G38" i="1"/>
  <c r="G17" i="1"/>
  <c r="G27" i="1"/>
  <c r="A24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0" i="1" s="1"/>
  <c r="A61" i="1" s="1"/>
  <c r="A62" i="1" s="1"/>
  <c r="A25" i="1"/>
  <c r="E43" i="1"/>
  <c r="E55" i="1" s="1"/>
  <c r="C55" i="1"/>
  <c r="C56" i="1" s="1"/>
  <c r="N23" i="18"/>
  <c r="N24" i="18" s="1"/>
  <c r="N31" i="18" s="1"/>
  <c r="G18" i="15"/>
  <c r="F27" i="1"/>
  <c r="F49" i="1" s="1"/>
  <c r="F35" i="15"/>
  <c r="F36" i="15" s="1"/>
  <c r="F38" i="1"/>
  <c r="E49" i="1"/>
  <c r="C50" i="1"/>
  <c r="C33" i="1"/>
  <c r="F17" i="1"/>
  <c r="F43" i="1" l="1"/>
  <c r="F55" i="1" s="1"/>
  <c r="G43" i="1"/>
  <c r="N33" i="18"/>
  <c r="N42" i="18" s="1"/>
  <c r="L23" i="18"/>
  <c r="G16" i="15"/>
  <c r="C44" i="1"/>
  <c r="C41" i="1"/>
  <c r="C57" i="1" s="1"/>
  <c r="G49" i="1" l="1"/>
  <c r="G55" i="1"/>
  <c r="E21" i="1"/>
  <c r="L24" i="18"/>
  <c r="V23" i="18"/>
  <c r="C45" i="1"/>
  <c r="C46" i="1"/>
  <c r="C51" i="1"/>
  <c r="G21" i="1" l="1"/>
  <c r="L31" i="18"/>
  <c r="F21" i="1"/>
  <c r="L33" i="18" l="1"/>
  <c r="L42" i="18" l="1"/>
  <c r="G56" i="13" l="1"/>
  <c r="F39" i="13" s="1"/>
  <c r="F28" i="8"/>
  <c r="F40" i="13" l="1"/>
  <c r="G39" i="13"/>
  <c r="F32" i="8"/>
  <c r="G40" i="13" l="1"/>
  <c r="G49" i="13" s="1"/>
  <c r="E12" i="15" s="1"/>
  <c r="H39" i="13"/>
  <c r="D7" i="15"/>
  <c r="C10" i="18" s="1"/>
  <c r="I32" i="8"/>
  <c r="H40" i="13" l="1"/>
  <c r="I39" i="13"/>
  <c r="I40" i="13" s="1"/>
  <c r="G7" i="15"/>
  <c r="D30" i="15"/>
  <c r="D10" i="1" s="1"/>
  <c r="D15" i="1"/>
  <c r="H16" i="18"/>
  <c r="G12" i="15"/>
  <c r="E30" i="15"/>
  <c r="V10" i="18"/>
  <c r="C12" i="18"/>
  <c r="G30" i="15" l="1"/>
  <c r="E10" i="1"/>
  <c r="D12" i="1"/>
  <c r="C44" i="18"/>
  <c r="C33" i="18"/>
  <c r="V12" i="18"/>
  <c r="H24" i="18"/>
  <c r="V16" i="18"/>
  <c r="E15" i="1"/>
  <c r="D22" i="1"/>
  <c r="D31" i="1" s="1"/>
  <c r="E35" i="15" s="1"/>
  <c r="E36" i="15" s="1"/>
  <c r="D38" i="15" l="1"/>
  <c r="D39" i="15" s="1"/>
  <c r="X12" i="18"/>
  <c r="C42" i="18"/>
  <c r="D33" i="1"/>
  <c r="D41" i="1" s="1"/>
  <c r="D35" i="15"/>
  <c r="D36" i="15" s="1"/>
  <c r="F15" i="1"/>
  <c r="F22" i="1" s="1"/>
  <c r="F31" i="1" s="1"/>
  <c r="G15" i="1"/>
  <c r="G22" i="1" s="1"/>
  <c r="G31" i="1" s="1"/>
  <c r="E22" i="1"/>
  <c r="E31" i="1" s="1"/>
  <c r="V44" i="18"/>
  <c r="X44" i="18" s="1"/>
  <c r="C47" i="18"/>
  <c r="E12" i="1"/>
  <c r="H31" i="18"/>
  <c r="H45" i="18" s="1"/>
  <c r="H47" i="18" s="1"/>
  <c r="V24" i="18"/>
  <c r="G35" i="15" l="1"/>
  <c r="G36" i="15" s="1"/>
  <c r="E33" i="1"/>
  <c r="E41" i="1" s="1"/>
  <c r="V31" i="18"/>
  <c r="H33" i="18"/>
  <c r="F50" i="1"/>
  <c r="F56" i="1"/>
  <c r="G50" i="1"/>
  <c r="G56" i="1"/>
  <c r="C48" i="18"/>
  <c r="E56" i="1"/>
  <c r="E50" i="1"/>
  <c r="E44" i="1" l="1"/>
  <c r="E58" i="1" s="1"/>
  <c r="E57" i="1"/>
  <c r="E46" i="1"/>
  <c r="E52" i="1" s="1"/>
  <c r="E45" i="1"/>
  <c r="E51" i="1"/>
  <c r="F61" i="1" s="1"/>
  <c r="V45" i="18"/>
  <c r="X45" i="18" s="1"/>
  <c r="H42" i="18"/>
  <c r="V33" i="18"/>
  <c r="E38" i="15"/>
  <c r="E39" i="15" s="1"/>
  <c r="X31" i="18"/>
  <c r="G61" i="1" l="1"/>
  <c r="V42" i="18"/>
  <c r="X42" i="18" s="1"/>
  <c r="H48" i="18"/>
  <c r="V47" i="18"/>
  <c r="F62" i="1"/>
  <c r="F10" i="1"/>
  <c r="F12" i="1" s="1"/>
  <c r="G62" i="1"/>
  <c r="G10" i="1"/>
  <c r="G12" i="1" s="1"/>
  <c r="F33" i="1" l="1"/>
  <c r="G33" i="1"/>
  <c r="G38" i="15"/>
  <c r="G39" i="15" s="1"/>
  <c r="G44" i="1"/>
  <c r="G41" i="1"/>
  <c r="F41" i="1"/>
  <c r="F44" i="1"/>
  <c r="V48" i="18"/>
  <c r="X47" i="18"/>
  <c r="G58" i="1" l="1"/>
  <c r="F58" i="1"/>
  <c r="F57" i="1"/>
  <c r="F51" i="1"/>
  <c r="F46" i="1"/>
  <c r="F52" i="1" s="1"/>
  <c r="F45" i="1"/>
  <c r="G51" i="1"/>
  <c r="G45" i="1"/>
  <c r="G46" i="1"/>
  <c r="G52" i="1" s="1"/>
  <c r="G57" i="1"/>
</calcChain>
</file>

<file path=xl/sharedStrings.xml><?xml version="1.0" encoding="utf-8"?>
<sst xmlns="http://schemas.openxmlformats.org/spreadsheetml/2006/main" count="1168" uniqueCount="633">
  <si>
    <t>Statement of Operations &amp; Revenue Requirement</t>
  </si>
  <si>
    <t>Actual Rates</t>
  </si>
  <si>
    <t>Pro Forma</t>
  </si>
  <si>
    <t>Present Rates</t>
  </si>
  <si>
    <t>Proposed Rates</t>
  </si>
  <si>
    <t>Line</t>
  </si>
  <si>
    <t>Description</t>
  </si>
  <si>
    <t>Actual Test Yr</t>
  </si>
  <si>
    <t>Adjustment</t>
  </si>
  <si>
    <t>Adj Test Yr</t>
  </si>
  <si>
    <t>#</t>
  </si>
  <si>
    <t>(4)</t>
  </si>
  <si>
    <t>(5)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</si>
  <si>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</si>
  <si>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</si>
  <si>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</si>
  <si>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</si>
  <si>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</si>
  <si>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</si>
  <si>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</si>
  <si>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</si>
  <si>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</si>
  <si>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</si>
  <si>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</si>
  <si>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</si>
  <si>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</si>
  <si>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</si>
  <si>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</si>
  <si>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</si>
  <si>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</si>
  <si>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</si>
  <si>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</si>
  <si>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</si>
  <si>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</si>
  <si>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</si>
  <si>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</si>
  <si>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</si>
  <si>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</si>
  <si>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</si>
  <si>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</si>
  <si>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</si>
  <si>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</si>
  <si>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</si>
  <si>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</si>
  <si>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</si>
  <si>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</si>
  <si>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(6)</t>
  </si>
  <si>
    <t>Target OTIER</t>
  </si>
  <si>
    <t>Based on TIER</t>
  </si>
  <si>
    <t>Based on OTIER</t>
  </si>
  <si>
    <t>Revenue Requirement at Target TIER</t>
  </si>
  <si>
    <t>Revenue Deficiency at Target TIER</t>
  </si>
  <si>
    <t xml:space="preserve">Variance from Target OTIER </t>
  </si>
  <si>
    <t>Variance from Target TIER</t>
  </si>
  <si>
    <t>Wages &amp; Salaries</t>
  </si>
  <si>
    <t>Hours Worked</t>
  </si>
  <si>
    <t>Actual Test Year Wages</t>
  </si>
  <si>
    <t>Pro Forma Wages at 2,080 Hours</t>
  </si>
  <si>
    <t>Pro Forma Adjustment</t>
  </si>
  <si>
    <t>Note</t>
  </si>
  <si>
    <t>Regular</t>
  </si>
  <si>
    <t>Overtime</t>
  </si>
  <si>
    <t>Total</t>
  </si>
  <si>
    <t>E</t>
  </si>
  <si>
    <t xml:space="preserve"> </t>
  </si>
  <si>
    <t>C</t>
  </si>
  <si>
    <t>A</t>
  </si>
  <si>
    <t>D</t>
  </si>
  <si>
    <t>B</t>
  </si>
  <si>
    <t>Retired</t>
  </si>
  <si>
    <t>Reference Schedule:  1.12</t>
  </si>
  <si>
    <t>(1)</t>
  </si>
  <si>
    <t>(2)</t>
  </si>
  <si>
    <t>(3)</t>
  </si>
  <si>
    <t>Employee</t>
  </si>
  <si>
    <t>(7)</t>
  </si>
  <si>
    <t>(8)</t>
  </si>
  <si>
    <t>Reference Schedule:  1.11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</si>
  <si>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</si>
  <si>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</si>
  <si>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</si>
  <si>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</si>
  <si>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</si>
  <si>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</si>
  <si>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</si>
  <si>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</si>
  <si>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</si>
  <si>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</si>
  <si>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</si>
  <si>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</si>
  <si>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 Forma Amount</t>
  </si>
  <si>
    <t>Reference Schedule:  1.09</t>
  </si>
  <si>
    <t>Item</t>
  </si>
  <si>
    <t>Directors Expenses Test Year</t>
  </si>
  <si>
    <t>Reference Schedule:  1.08</t>
  </si>
  <si>
    <t>Donations, Promotional Advertising &amp; Dues</t>
  </si>
  <si>
    <t>Amount</t>
  </si>
  <si>
    <t>Account</t>
  </si>
  <si>
    <t>NRECA Dues</t>
  </si>
  <si>
    <t>KEC Dues</t>
  </si>
  <si>
    <t xml:space="preserve">KY Living </t>
  </si>
  <si>
    <t>Donations</t>
  </si>
  <si>
    <t>This adjustment removes charitable donations, promotional advertising expenses, and dues from the revenue requirement consistent with standard Commission practices.</t>
  </si>
  <si>
    <t>Reference Schedule:  1.01</t>
  </si>
  <si>
    <t xml:space="preserve">Fuel Adjustment Clause </t>
  </si>
  <si>
    <t>Year</t>
  </si>
  <si>
    <t>Month</t>
  </si>
  <si>
    <t>Revenue</t>
  </si>
  <si>
    <t>Expense</t>
  </si>
  <si>
    <t>TOTAL</t>
  </si>
  <si>
    <t>Test Year Amount</t>
  </si>
  <si>
    <t>Pro Forma Year Amount</t>
  </si>
  <si>
    <t>This adjustment removes the FAC revenues and expenses from the test period.</t>
  </si>
  <si>
    <t>Reference Schedule:  1.02</t>
  </si>
  <si>
    <t>Environmental Surcharge</t>
  </si>
  <si>
    <t>This adjustment removes the Envionmental Surcharge revenues and expenses from the test period.</t>
  </si>
  <si>
    <t>Interest Expense</t>
  </si>
  <si>
    <t>Lender</t>
  </si>
  <si>
    <t>Rate</t>
  </si>
  <si>
    <t>Interest</t>
  </si>
  <si>
    <t>This adjustment normalizes the interest on Interest Expense from test year to recent amounts.</t>
  </si>
  <si>
    <t>Reference Schedule:  1.03</t>
  </si>
  <si>
    <t>Depreciation Expense Normalization</t>
  </si>
  <si>
    <t>Acct #</t>
  </si>
  <si>
    <t>Fully Depr Items</t>
  </si>
  <si>
    <t>Normalized Expense</t>
  </si>
  <si>
    <t>Test Year Expense</t>
  </si>
  <si>
    <t>Pro Forma Adj</t>
  </si>
  <si>
    <t>Distribution Plant</t>
  </si>
  <si>
    <t>Services</t>
  </si>
  <si>
    <t>Subtotal</t>
  </si>
  <si>
    <t>General Plant</t>
  </si>
  <si>
    <t>Miscellaneous</t>
  </si>
  <si>
    <t>This adjustment normalizes depreciation expenses by replacing test year actual expenses with test year end balances (less any fully depreciated items) at approved depreciation rates.</t>
  </si>
  <si>
    <t>Reference Schedule:  1.04</t>
  </si>
  <si>
    <t>Right of Way</t>
  </si>
  <si>
    <t>Account 593</t>
  </si>
  <si>
    <t>Cost</t>
  </si>
  <si>
    <t>Test Year Right of Way expense</t>
  </si>
  <si>
    <t>Reference Schedule:  1.05</t>
  </si>
  <si>
    <t xml:space="preserve">Pro Forma Adjustment </t>
  </si>
  <si>
    <t>Reference Schedule:  1.07</t>
  </si>
  <si>
    <t>Summary of Pro Forma Adjustments</t>
  </si>
  <si>
    <t>Non-Operating Income</t>
  </si>
  <si>
    <t>Net Margin</t>
  </si>
  <si>
    <t>Donations, Promo Ads &amp; Dues</t>
  </si>
  <si>
    <t>401k Contributions</t>
  </si>
  <si>
    <t>Rate Case Costs</t>
  </si>
  <si>
    <t>Year End Customers</t>
  </si>
  <si>
    <t>Depreciation Normalization</t>
  </si>
  <si>
    <t>Directors Expenses</t>
  </si>
  <si>
    <t xml:space="preserve">Right of Way </t>
  </si>
  <si>
    <t>reserved</t>
  </si>
  <si>
    <t>Checks</t>
  </si>
  <si>
    <t>Variance</t>
  </si>
  <si>
    <t>Rate Case Expenses</t>
  </si>
  <si>
    <t>Consulting - Catalyst Consulting LLC</t>
  </si>
  <si>
    <t>Advertising / Notices</t>
  </si>
  <si>
    <t>Total Amount</t>
  </si>
  <si>
    <t>Amortization Period (Years)</t>
  </si>
  <si>
    <t>Annual Amortization Amount</t>
  </si>
  <si>
    <t>This adjustment estimates the rate case costs amortized over a 3 year period, consistent with standard Commission practice.</t>
  </si>
  <si>
    <t>Reference Schedule:  1.13</t>
  </si>
  <si>
    <t>Legal - Honaker Law Office PLLC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</si>
  <si>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</si>
  <si>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</si>
  <si>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</si>
  <si>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</si>
  <si>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</si>
  <si>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</si>
  <si>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 xml:space="preserve">   Total Utility Plant</t>
  </si>
  <si>
    <t>Accum Provision for Depr and Amort</t>
  </si>
  <si>
    <t>Net Utility Plant</t>
  </si>
  <si>
    <t>Investment in Subsidiary Companies</t>
  </si>
  <si>
    <t>Investment in Assoc Org - Patr Capital</t>
  </si>
  <si>
    <t>Investment in Assoc Org - Other Gen Fnd</t>
  </si>
  <si>
    <t>Investment in Assoc Org - Non Gen Fnd</t>
  </si>
  <si>
    <t>Investment in Economic Development Projects</t>
  </si>
  <si>
    <t>Other Investment</t>
  </si>
  <si>
    <t>Special Funds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</si>
  <si>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</si>
  <si>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</si>
  <si>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</si>
  <si>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</si>
  <si>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</si>
  <si>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</si>
  <si>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</si>
  <si>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</si>
  <si>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</si>
  <si>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</si>
  <si>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</si>
  <si>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</si>
  <si>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</si>
  <si>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</si>
  <si>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</si>
  <si>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</si>
  <si>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</si>
  <si>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</si>
  <si>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Prior Year</t>
  </si>
  <si>
    <t>Operating Margins - Current Year</t>
  </si>
  <si>
    <t>Non-Operating Margins</t>
  </si>
  <si>
    <t>Other Margins &amp; Equities</t>
  </si>
  <si>
    <t>Total Margins &amp; Equities</t>
  </si>
  <si>
    <t>Long Term Debt - FFB - RUS GUAR</t>
  </si>
  <si>
    <t>Long Term Debt - Other - REA GUAR</t>
  </si>
  <si>
    <t>Long Term Debt - Other (Net)</t>
  </si>
  <si>
    <t>Total Long Term Debt</t>
  </si>
  <si>
    <t>Accum Operating Provisions</t>
  </si>
  <si>
    <t>Notes Payable</t>
  </si>
  <si>
    <t>Accounts Payable</t>
  </si>
  <si>
    <t>Consumer Deposits</t>
  </si>
  <si>
    <t>Current Maturities LTD</t>
  </si>
  <si>
    <t>Current Maturities LTD - Econ Dev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</si>
  <si>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</si>
  <si>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</si>
  <si>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</si>
  <si>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</si>
  <si>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</si>
  <si>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Payments - Unapplied</t>
  </si>
  <si>
    <t>Obligation under Capital Lease</t>
  </si>
  <si>
    <t>Total Other Noncurr Liability</t>
  </si>
  <si>
    <t>Summary of Adjustments to Test Year Statement of Operations</t>
  </si>
  <si>
    <t xml:space="preserve">Reference Schedule &gt;     </t>
  </si>
  <si>
    <t xml:space="preserve">Item  &gt;     </t>
  </si>
  <si>
    <t>Var from Adj List</t>
  </si>
  <si>
    <t>Operating Revenues:</t>
  </si>
  <si>
    <t>Base Rates</t>
  </si>
  <si>
    <t>Rate Riders</t>
  </si>
  <si>
    <t>Total Revenues</t>
  </si>
  <si>
    <t xml:space="preserve">        Base Rates</t>
  </si>
  <si>
    <t xml:space="preserve">        Rate Riders</t>
  </si>
  <si>
    <t>Distribution - Operations</t>
  </si>
  <si>
    <t>Distribution - Maintenance</t>
  </si>
  <si>
    <t>Consumer Accounts</t>
  </si>
  <si>
    <t>Sales</t>
  </si>
  <si>
    <t>Administrative and General</t>
  </si>
  <si>
    <t xml:space="preserve">    Total Operating Expenses</t>
  </si>
  <si>
    <t>Depreciation</t>
  </si>
  <si>
    <t>Interest on Long Term Debt</t>
  </si>
  <si>
    <t>Interest Expense - Other</t>
  </si>
  <si>
    <t>Income(Loss) from Equity Invstmts</t>
  </si>
  <si>
    <t>Total Non-Operating Margins</t>
  </si>
  <si>
    <t>Revenue Adj</t>
  </si>
  <si>
    <t>Expense Adj</t>
  </si>
  <si>
    <t>Non Oper Adj</t>
  </si>
  <si>
    <t>Net Adj</t>
  </si>
  <si>
    <t>Fuel Adjustment Clause</t>
  </si>
  <si>
    <t>Sum from Rev Req page</t>
  </si>
  <si>
    <t>Sum from Adj IS page</t>
  </si>
  <si>
    <t>Reference Schedule:  1.14</t>
  </si>
  <si>
    <t>Reference Schedule:  1.06</t>
  </si>
  <si>
    <t>Year-End Customers</t>
  </si>
  <si>
    <t>Average</t>
  </si>
  <si>
    <t>End of Period Increase over Avg</t>
  </si>
  <si>
    <t>Total kWh</t>
  </si>
  <si>
    <t>Average kWh</t>
  </si>
  <si>
    <t>Year-End kWh Adjustment</t>
  </si>
  <si>
    <t>(continued)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</si>
  <si>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</si>
  <si>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</si>
  <si>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</si>
  <si>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</si>
  <si>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</si>
  <si>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</si>
  <si>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</si>
  <si>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</si>
  <si>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</si>
  <si>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</si>
  <si>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</si>
  <si>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</si>
  <si>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</si>
  <si>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</si>
  <si>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</si>
  <si>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</si>
  <si>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Reference Schedule:  1.15</t>
  </si>
  <si>
    <t xml:space="preserve">This adjustment removes G&amp;T capital credits </t>
  </si>
  <si>
    <t>consistent with Commission practice.</t>
  </si>
  <si>
    <t>Margins at Target OTIER</t>
  </si>
  <si>
    <t>Revenue Requirement at Target OTIER</t>
  </si>
  <si>
    <t>Revenue Deficiency at Target OTIER</t>
  </si>
  <si>
    <t>Assets</t>
  </si>
  <si>
    <t>Liab</t>
  </si>
  <si>
    <t>Diff</t>
  </si>
  <si>
    <t>Ref Schedule</t>
  </si>
  <si>
    <t>FARMERS RECC</t>
  </si>
  <si>
    <t>Taxes - Property &amp; Gross Recpts</t>
  </si>
  <si>
    <t>Balance</t>
  </si>
  <si>
    <t>FFB-2-1</t>
  </si>
  <si>
    <t>FFB-2-2</t>
  </si>
  <si>
    <t>FFB-2-3</t>
  </si>
  <si>
    <t>FFB-2-4</t>
  </si>
  <si>
    <t>FFB-2-5</t>
  </si>
  <si>
    <t>FFB-2-6</t>
  </si>
  <si>
    <t>FFB-2-7</t>
  </si>
  <si>
    <t>FFB-2-8</t>
  </si>
  <si>
    <t>FFB-3-1</t>
  </si>
  <si>
    <t>FFB-3-2</t>
  </si>
  <si>
    <t>FFB-3-3</t>
  </si>
  <si>
    <t>FFB-3-4</t>
  </si>
  <si>
    <t>FFB-3-5</t>
  </si>
  <si>
    <t>FFB-3-6</t>
  </si>
  <si>
    <t>FFB-3-7</t>
  </si>
  <si>
    <t>FFB-3-8</t>
  </si>
  <si>
    <t>FFB-3-9</t>
  </si>
  <si>
    <t>FFB-4-1</t>
  </si>
  <si>
    <t>FFB-4-2</t>
  </si>
  <si>
    <t>FFB-4-3</t>
  </si>
  <si>
    <t>FFB-4-4</t>
  </si>
  <si>
    <t>FFB-4-5</t>
  </si>
  <si>
    <t>FFB-4-6</t>
  </si>
  <si>
    <t>FFB-4-7</t>
  </si>
  <si>
    <t>FFB-4-8</t>
  </si>
  <si>
    <t>FFB-4-9</t>
  </si>
  <si>
    <t>FFB-4-10</t>
  </si>
  <si>
    <t>FFB-4-11</t>
  </si>
  <si>
    <t>FFB-4-12</t>
  </si>
  <si>
    <t>FFB-4-13</t>
  </si>
  <si>
    <t>FFB-5-1</t>
  </si>
  <si>
    <t>FFB-5-2</t>
  </si>
  <si>
    <t>FFB-5-3</t>
  </si>
  <si>
    <t>FFB-5-4</t>
  </si>
  <si>
    <t>FFB-5-5</t>
  </si>
  <si>
    <t>FFB-5-6</t>
  </si>
  <si>
    <t>FFB-5-7</t>
  </si>
  <si>
    <t>FFB-5-8</t>
  </si>
  <si>
    <t>FFB-5-9</t>
  </si>
  <si>
    <t>FFB-5-10</t>
  </si>
  <si>
    <t>FFB-5-11</t>
  </si>
  <si>
    <t>FFB-5-12</t>
  </si>
  <si>
    <t>FFB-5-13</t>
  </si>
  <si>
    <t>FFB-5-14</t>
  </si>
  <si>
    <t>FFB-6-1</t>
  </si>
  <si>
    <t>FFB-6-2</t>
  </si>
  <si>
    <t>FFB-6-3</t>
  </si>
  <si>
    <t>FFB-6-4</t>
  </si>
  <si>
    <t>FFB-6-5</t>
  </si>
  <si>
    <t>CFC 9017-001</t>
  </si>
  <si>
    <t>CFC 9018-001</t>
  </si>
  <si>
    <t>CFC 9018-002</t>
  </si>
  <si>
    <t>CFC 9018-003</t>
  </si>
  <si>
    <t>CFC 9022-001</t>
  </si>
  <si>
    <t>REDLG Loan</t>
  </si>
  <si>
    <t>Test Yr Ending Bal</t>
  </si>
  <si>
    <t>Intangible Plant</t>
  </si>
  <si>
    <t>Misc. Intangible Plan</t>
  </si>
  <si>
    <t>Fuel Holders, Producers/ACC</t>
  </si>
  <si>
    <t>Generators</t>
  </si>
  <si>
    <t>Accessory Electric Equipment</t>
  </si>
  <si>
    <t>SCADA/Load Management</t>
  </si>
  <si>
    <t>Poles, Towers &amp; Fixtures</t>
  </si>
  <si>
    <t>O/H Conductors &amp; Devices</t>
  </si>
  <si>
    <t>U/G Conductors &amp; Devices</t>
  </si>
  <si>
    <t>Line Transformers</t>
  </si>
  <si>
    <t>Meters - Traditional</t>
  </si>
  <si>
    <t>AMR-TWAC-Meter</t>
  </si>
  <si>
    <t>AMR-TWAC-Receiver-Equip</t>
  </si>
  <si>
    <t>AMR-TWAC-Transformers</t>
  </si>
  <si>
    <t>AMR-TWAC-Computer</t>
  </si>
  <si>
    <t>AMR-TWAC-Control Link</t>
  </si>
  <si>
    <t>Install/Cust. Premise</t>
  </si>
  <si>
    <t>Install/Cust. Premise LED</t>
  </si>
  <si>
    <t>St Lights &amp; Sign Sys</t>
  </si>
  <si>
    <t>Street Lighting/City of Glasgow</t>
  </si>
  <si>
    <t>Street Lighting/City--Cave City</t>
  </si>
  <si>
    <t>Street Lighting/Metcalfe County</t>
  </si>
  <si>
    <t>Street Lighting/Munfordville</t>
  </si>
  <si>
    <t>Street Lighting/Edmonton</t>
  </si>
  <si>
    <t>Street Lighting/Barren County</t>
  </si>
  <si>
    <t>Land and Land Rights</t>
  </si>
  <si>
    <t>Structures &amp; Improvements</t>
  </si>
  <si>
    <t>Office Furniture &amp; Equipment</t>
  </si>
  <si>
    <t>Tools, Shop, Garage &amp; Equipment</t>
  </si>
  <si>
    <t>Laboratory Equipment</t>
  </si>
  <si>
    <t>Power Operated Equipment</t>
  </si>
  <si>
    <t>Communications Equipment</t>
  </si>
  <si>
    <t>Temp Service/Cons Prem</t>
  </si>
  <si>
    <t>Distribution &amp; General Subtotal</t>
  </si>
  <si>
    <t>Transporation Charged to Clearing</t>
  </si>
  <si>
    <t>Transportation</t>
  </si>
  <si>
    <t>Allocation of Clearing to O&amp;M</t>
  </si>
  <si>
    <t>A+B</t>
  </si>
  <si>
    <t>This adjustment normalizes depreciation expenses by replacing test year actual expenses with test year end balances, less any fully depreciated items, at approved depreciation rates.</t>
  </si>
  <si>
    <t>Labor $</t>
  </si>
  <si>
    <t>Alloc</t>
  </si>
  <si>
    <t>580-589</t>
  </si>
  <si>
    <t>Operations</t>
  </si>
  <si>
    <t>590-598</t>
  </si>
  <si>
    <t>Maintenance</t>
  </si>
  <si>
    <t>901-905</t>
  </si>
  <si>
    <t>920-935</t>
  </si>
  <si>
    <t>Administrative &amp; General</t>
  </si>
  <si>
    <t>Pro Forma Right of Way expense</t>
  </si>
  <si>
    <t>This adjustment adds to expense for ROW management</t>
  </si>
  <si>
    <t xml:space="preserve">Schedule R - Residential Rate </t>
  </si>
  <si>
    <t>Schedule C - Comm. &amp; Indust. Service Rate &lt; 50 kW</t>
  </si>
  <si>
    <t>Outside Services</t>
  </si>
  <si>
    <t xml:space="preserve">     TOTAL</t>
  </si>
  <si>
    <t>Booked Amount</t>
  </si>
  <si>
    <t>Non-Recurring Amount</t>
  </si>
  <si>
    <t>Hired After January 1, 2012</t>
  </si>
  <si>
    <t>Employer Contribution</t>
  </si>
  <si>
    <t>Pension</t>
  </si>
  <si>
    <t>401k</t>
  </si>
  <si>
    <t>S2</t>
  </si>
  <si>
    <t>S3</t>
  </si>
  <si>
    <t>S4</t>
  </si>
  <si>
    <t>S5</t>
  </si>
  <si>
    <t>S6</t>
  </si>
  <si>
    <t>S7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</si>
  <si>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</si>
  <si>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</si>
  <si>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</si>
  <si>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</si>
  <si>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</si>
  <si>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</si>
  <si>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</si>
  <si>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</si>
  <si>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</si>
  <si>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</si>
  <si>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</si>
  <si>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</si>
  <si>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</si>
  <si>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</si>
  <si>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</si>
  <si>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</si>
  <si>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</si>
  <si>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</si>
  <si>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</si>
  <si>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</si>
  <si>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</si>
  <si>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</si>
  <si>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</si>
  <si>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</si>
  <si>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</si>
  <si>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</si>
  <si>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</si>
  <si>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</si>
  <si>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</si>
  <si>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</si>
  <si>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</si>
  <si>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</si>
  <si>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</si>
  <si>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</si>
  <si>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</si>
  <si>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</si>
  <si>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</si>
  <si>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</si>
  <si>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</si>
  <si>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</si>
  <si>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</si>
  <si>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</si>
  <si>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</si>
  <si>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</si>
  <si>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</si>
  <si>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</si>
  <si>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</si>
  <si>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</si>
  <si>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</si>
  <si>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</si>
  <si>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</si>
  <si>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</si>
  <si>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</si>
  <si>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PT1</t>
  </si>
  <si>
    <t>PT2</t>
  </si>
  <si>
    <t>R1</t>
  </si>
  <si>
    <t>R2</t>
  </si>
  <si>
    <t>R3</t>
  </si>
  <si>
    <t>Definition</t>
  </si>
  <si>
    <t>S</t>
  </si>
  <si>
    <t>Salaried</t>
  </si>
  <si>
    <t>H</t>
  </si>
  <si>
    <t>Hourly</t>
  </si>
  <si>
    <t>PT</t>
  </si>
  <si>
    <t>Part-Time</t>
  </si>
  <si>
    <t>R</t>
  </si>
  <si>
    <t>T</t>
  </si>
  <si>
    <t>Terminated</t>
  </si>
  <si>
    <t>Hired Before January 1, 2012</t>
  </si>
  <si>
    <t>Ref</t>
  </si>
  <si>
    <t>ID / Ref</t>
  </si>
  <si>
    <t>Life Insurance</t>
  </si>
  <si>
    <t>F</t>
  </si>
  <si>
    <t>G</t>
  </si>
  <si>
    <t>(D * 2)</t>
  </si>
  <si>
    <t>((F-E)/F)*B</t>
  </si>
  <si>
    <t>Total Premium</t>
  </si>
  <si>
    <t>Lesser of $50k or Salary</t>
  </si>
  <si>
    <t>Coverage - 2x Salary</t>
  </si>
  <si>
    <t>Amount to Exclude</t>
  </si>
  <si>
    <t>Allowed Total</t>
  </si>
  <si>
    <t>This adjustment removes life insurance premiums greater than the employee annual salary or $50,000.</t>
  </si>
  <si>
    <t>Payroll Taxes</t>
  </si>
  <si>
    <t>Social Security</t>
  </si>
  <si>
    <t>Medicare</t>
  </si>
  <si>
    <t>Federal Unemployment</t>
  </si>
  <si>
    <t>State Unemployment</t>
  </si>
  <si>
    <t>Normalized</t>
  </si>
  <si>
    <t>Up To</t>
  </si>
  <si>
    <t>At</t>
  </si>
  <si>
    <t>All</t>
  </si>
  <si>
    <t>(5)+(7)+</t>
  </si>
  <si>
    <t>Wages</t>
  </si>
  <si>
    <t>(9)+(11)</t>
  </si>
  <si>
    <t>Difference</t>
  </si>
  <si>
    <t>Allocation to Accounts</t>
  </si>
  <si>
    <t>907-910</t>
  </si>
  <si>
    <t xml:space="preserve">Expense Adjustment &gt; </t>
  </si>
  <si>
    <t>101-120</t>
  </si>
  <si>
    <t>231-283</t>
  </si>
  <si>
    <t>This adjustment updates Payroll Tax to correspond to normalized wage adjustment.</t>
  </si>
  <si>
    <t>Community Support</t>
  </si>
  <si>
    <t>Annual Meeting</t>
  </si>
  <si>
    <t>Exclusion</t>
  </si>
  <si>
    <t>This adjustment removes non-recurring outside services in Acct 923.</t>
  </si>
  <si>
    <t>Comment</t>
  </si>
  <si>
    <t>Check/ACH</t>
  </si>
  <si>
    <t>Associations -</t>
  </si>
  <si>
    <t>Payee</t>
  </si>
  <si>
    <t>Date</t>
  </si>
  <si>
    <t>Number</t>
  </si>
  <si>
    <t>Other Mtgs</t>
  </si>
  <si>
    <t>Other</t>
  </si>
  <si>
    <t>FAULKNER CORNELIUS</t>
  </si>
  <si>
    <t>HAWKINS PAUL C</t>
  </si>
  <si>
    <t>LONDON RANDY</t>
  </si>
  <si>
    <t>WILLIAMS BRANDI</t>
  </si>
  <si>
    <t>SMITH RONNIE D</t>
  </si>
  <si>
    <t>MARTIN C F  JR</t>
  </si>
  <si>
    <t>SEXTON RANDY D</t>
  </si>
  <si>
    <t>Test Year Inclusions</t>
  </si>
  <si>
    <t>*</t>
  </si>
  <si>
    <t>**</t>
  </si>
  <si>
    <t xml:space="preserve">Annualized Cost </t>
  </si>
  <si>
    <t>Farmers RECC</t>
  </si>
  <si>
    <t>Current Wage Rate</t>
  </si>
  <si>
    <t>Vac P.Out</t>
  </si>
  <si>
    <t>Labor Expense Summary</t>
  </si>
  <si>
    <t>Utility Plant</t>
  </si>
  <si>
    <t>Current &amp; Accrued Liabilities</t>
  </si>
  <si>
    <t>Reference Schedule:  1.10</t>
  </si>
  <si>
    <t xml:space="preserve">PSC   </t>
  </si>
  <si>
    <t>Increase $</t>
  </si>
  <si>
    <t>Increase %</t>
  </si>
  <si>
    <t>Reference Schedule:  1.16</t>
  </si>
  <si>
    <t>Potential Rates</t>
  </si>
  <si>
    <t>1.85 OTIER</t>
  </si>
  <si>
    <t>For the 12 Months Ended December 31, 2024</t>
  </si>
  <si>
    <t>FFB-6-6</t>
  </si>
  <si>
    <t>FFB-6-7</t>
  </si>
  <si>
    <t>FFB-6-8</t>
  </si>
  <si>
    <t>FFB-6-9</t>
  </si>
  <si>
    <t>FFB-6-10</t>
  </si>
  <si>
    <t>FFB-6-11</t>
  </si>
  <si>
    <t>FFB-6-12</t>
  </si>
  <si>
    <t>FFB-6-13</t>
  </si>
  <si>
    <t>2024 Actual Test Year</t>
  </si>
  <si>
    <t>AMR Meters</t>
  </si>
  <si>
    <t>For 12 Months Ended December 31, 2024</t>
  </si>
  <si>
    <t>S1</t>
  </si>
  <si>
    <t>H54</t>
  </si>
  <si>
    <t>H55</t>
  </si>
  <si>
    <t>TOTALS</t>
  </si>
  <si>
    <t>Retirement Plans</t>
  </si>
  <si>
    <t>Pay Rate</t>
  </si>
  <si>
    <t>Proforma Regular Wages</t>
  </si>
  <si>
    <t>part-time: not eligible</t>
  </si>
  <si>
    <t>no longer employed</t>
  </si>
  <si>
    <t>Health Insurance Premuims</t>
  </si>
  <si>
    <t>Option</t>
  </si>
  <si>
    <t>Total Cost $</t>
  </si>
  <si>
    <t>Employee %</t>
  </si>
  <si>
    <t>Employee $</t>
  </si>
  <si>
    <t>Utility %</t>
  </si>
  <si>
    <t>Utility $</t>
  </si>
  <si>
    <t>Normalized Test Year</t>
  </si>
  <si>
    <t>Employee &amp; Spouse</t>
  </si>
  <si>
    <t>Employee &amp; Child(ren)</t>
  </si>
  <si>
    <t>Employee &amp; Family</t>
  </si>
  <si>
    <t>Pro Forma Year</t>
  </si>
  <si>
    <t>Health Insurance Premiums</t>
  </si>
  <si>
    <t>CAMPBELL MYERS &amp; RUTLEDGE - 990 Tax Return Prep</t>
  </si>
  <si>
    <t>FROST, BROWN, TODD LLC - General Advice</t>
  </si>
  <si>
    <t>FROST, BROWN, TODD LLC - Audit Response Letter</t>
  </si>
  <si>
    <t>INTANDEM LLC - Compensation Report</t>
  </si>
  <si>
    <t>JONES, NALE &amp; MATTINGLY PLC - Post Retirement Study</t>
  </si>
  <si>
    <t>KENVIRONS INC - Air Permit Compliance -  Generators</t>
  </si>
  <si>
    <t>LEFTWICH LAND SURVEYING - Land Surveys</t>
  </si>
  <si>
    <t>MISC - CORP ATTRONEY - KEC Meeting &amp; Christmas Gift</t>
  </si>
  <si>
    <t>NRECA GROUP BENEFITS TRUST - Corporate Attorney</t>
  </si>
  <si>
    <t>CAMPBELL MYERS &amp; RUTLEDGE - Annual Financial Audit</t>
  </si>
  <si>
    <t>RICHARDSON GARDNER - Corporate Attorney Retainer</t>
  </si>
  <si>
    <t>HONAKER LAW OFFICE, PLLC - Tariff Update/other</t>
  </si>
  <si>
    <t>Annually</t>
  </si>
  <si>
    <t>REMOVED</t>
  </si>
  <si>
    <t>Every Other Year</t>
  </si>
  <si>
    <t>CATALYST CONSULTING - Commercial Rate Review</t>
  </si>
  <si>
    <t>Beginning Unbilled</t>
  </si>
  <si>
    <t>Ending Unbilled</t>
  </si>
  <si>
    <t>Nominating Committee</t>
  </si>
  <si>
    <t>Meetings-Food</t>
  </si>
  <si>
    <t>PVA Data</t>
  </si>
  <si>
    <t>Non-Recurring Items</t>
  </si>
  <si>
    <t>Reference Schedule:  1.17</t>
  </si>
  <si>
    <t>Sale of Outerloop Property</t>
  </si>
  <si>
    <t>This adjustment removes non-recurring non-operating margins associated with a sale of property</t>
  </si>
  <si>
    <t>Advances - 2025</t>
  </si>
  <si>
    <t>Residential Off Peak Electric Thermal Storage Tariff</t>
  </si>
  <si>
    <t>Net Metering Tariff</t>
  </si>
  <si>
    <t>Net Rev Adj</t>
  </si>
  <si>
    <t>02/19/24</t>
  </si>
  <si>
    <t>FRECC BRD MTG 02/15/24-FAULKNER</t>
  </si>
  <si>
    <t>FRECC BRD MTG 02/15/24-WILLIAMS</t>
  </si>
  <si>
    <t>03/26/24</t>
  </si>
  <si>
    <t>FRECC BRD MTG 03/21/24-WILLIAMS</t>
  </si>
  <si>
    <t>04/19/24</t>
  </si>
  <si>
    <t>FRECC BRD MTG 04/18/24-WILLIAMS</t>
  </si>
  <si>
    <t>06/21/24</t>
  </si>
  <si>
    <t>FRECC BRD MTG 06/20/24-FAULKNER</t>
  </si>
  <si>
    <t>08/19/24</t>
  </si>
  <si>
    <t>FRECC BRD MTG 08/15/24-FAULKNER</t>
  </si>
  <si>
    <t>FRECC BRD MTG 08/15/24-LONDON</t>
  </si>
  <si>
    <t>FRECC BRD MTG 08/15/24-SEXTON</t>
  </si>
  <si>
    <t>FRECC BRD MTG 08/15/24-SMITH</t>
  </si>
  <si>
    <t>FRECC BRD MTG 08/15/24-WILLIAMS</t>
  </si>
  <si>
    <t>10/21/24</t>
  </si>
  <si>
    <t>FRECC BRD MTG 10/17/24-SMITH</t>
  </si>
  <si>
    <t>12/03/24</t>
  </si>
  <si>
    <t>CHRISTMAS GIFT</t>
  </si>
  <si>
    <t>This adjustment removes Director expenses pursuant to Commission precedent / regulations.</t>
  </si>
  <si>
    <t>Notes Receivable (Net)</t>
  </si>
  <si>
    <t>Long Term Debt - RUS (Net)</t>
  </si>
  <si>
    <t>Long TermDebt - RUS - Econ Dev (Net)</t>
  </si>
  <si>
    <t>PSC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</si>
</sst>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m/d/yy;@"/>
    <numFmt numFmtId="169" formatCode="0.000%"/>
    <numFmt numFmtId="170" formatCode="0.0%"/>
    <numFmt numFmtId="171" formatCode="_(&quot;$&quot;* #,##0.00000_);_(&quot;$&quot;* \(#,##0.00000\);_(&quot;$&quot;* &quot;-&quot;??_);_(@_)"/>
    <numFmt numFmtId="172" formatCode="_(* #,##0.00000_);_(* \(#,##0.00000\);_(* &quot;-&quot;??_);_(@_)"/>
    <numFmt numFmtId="173" formatCode="###.00"/>
    <numFmt numFmtId="174" formatCode="_(* #,##0.0_);_(* \(#,##0.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P-TIMES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P-TIMES"/>
    </font>
    <font>
      <u/>
      <sz val="11"/>
      <name val="Arial"/>
      <family val="2"/>
    </font>
    <font>
      <b/>
      <u/>
      <sz val="10"/>
      <color theme="1"/>
      <name val="Arial"/>
      <family val="2"/>
    </font>
    <font>
      <sz val="10"/>
      <color indexed="0"/>
      <name val="Arial"/>
      <family val="2"/>
    </font>
    <font>
      <u/>
      <sz val="10"/>
      <color indexed="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4" fillId="0" borderId="0"/>
  </cellStyleXfs>
  <cellXfs count="3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0" fontId="4" fillId="0" borderId="0" xfId="0" applyFont="1"/>
    <xf numFmtId="165" fontId="3" fillId="0" borderId="0" xfId="0" applyNumberFormat="1" applyFont="1"/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Fill="1" applyBorder="1"/>
    <xf numFmtId="43" fontId="3" fillId="0" borderId="0" xfId="1" applyFont="1" applyFill="1"/>
    <xf numFmtId="0" fontId="3" fillId="0" borderId="3" xfId="0" applyFont="1" applyBorder="1"/>
    <xf numFmtId="165" fontId="3" fillId="0" borderId="3" xfId="1" applyNumberFormat="1" applyFont="1" applyFill="1" applyBorder="1"/>
    <xf numFmtId="0" fontId="3" fillId="0" borderId="4" xfId="0" applyFont="1" applyBorder="1"/>
    <xf numFmtId="165" fontId="3" fillId="0" borderId="4" xfId="1" applyNumberFormat="1" applyFont="1" applyFill="1" applyBorder="1"/>
    <xf numFmtId="43" fontId="3" fillId="0" borderId="0" xfId="0" applyNumberFormat="1" applyFont="1"/>
    <xf numFmtId="166" fontId="3" fillId="0" borderId="0" xfId="0" applyNumberFormat="1" applyFont="1"/>
    <xf numFmtId="10" fontId="3" fillId="0" borderId="0" xfId="3" applyNumberFormat="1" applyFont="1" applyFill="1"/>
    <xf numFmtId="165" fontId="3" fillId="0" borderId="0" xfId="1" applyNumberFormat="1" applyFont="1" applyFill="1" applyBorder="1"/>
    <xf numFmtId="0" fontId="3" fillId="0" borderId="0" xfId="0" applyFont="1" applyAlignment="1">
      <alignment horizontal="right"/>
    </xf>
    <xf numFmtId="43" fontId="3" fillId="0" borderId="0" xfId="1" applyFont="1" applyFill="1" applyBorder="1"/>
    <xf numFmtId="43" fontId="3" fillId="0" borderId="0" xfId="1" applyFont="1"/>
    <xf numFmtId="10" fontId="3" fillId="0" borderId="0" xfId="3" applyNumberFormat="1" applyFont="1" applyAlignment="1">
      <alignment horizontal="right"/>
    </xf>
    <xf numFmtId="0" fontId="6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3" fillId="0" borderId="0" xfId="4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66" fontId="3" fillId="0" borderId="0" xfId="2" applyNumberFormat="1" applyFont="1"/>
    <xf numFmtId="0" fontId="0" fillId="0" borderId="0" xfId="0" applyAlignment="1">
      <alignment horizontal="center"/>
    </xf>
    <xf numFmtId="0" fontId="6" fillId="0" borderId="0" xfId="4" applyFont="1"/>
    <xf numFmtId="0" fontId="8" fillId="0" borderId="0" xfId="4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65" fontId="9" fillId="0" borderId="0" xfId="1" applyNumberFormat="1" applyFont="1"/>
    <xf numFmtId="0" fontId="11" fillId="0" borderId="0" xfId="0" applyFont="1"/>
    <xf numFmtId="0" fontId="8" fillId="0" borderId="0" xfId="0" applyFont="1" applyAlignment="1">
      <alignment horizontal="left"/>
    </xf>
    <xf numFmtId="43" fontId="8" fillId="0" borderId="0" xfId="1" applyFont="1"/>
    <xf numFmtId="0" fontId="8" fillId="0" borderId="4" xfId="0" applyFont="1" applyBorder="1"/>
    <xf numFmtId="43" fontId="9" fillId="0" borderId="0" xfId="1" applyFont="1"/>
    <xf numFmtId="0" fontId="8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0" fontId="2" fillId="0" borderId="0" xfId="4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8" fillId="0" borderId="1" xfId="0" applyFont="1" applyBorder="1"/>
    <xf numFmtId="40" fontId="8" fillId="0" borderId="0" xfId="1" applyNumberFormat="1" applyFont="1" applyBorder="1" applyProtection="1">
      <protection locked="0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40" fontId="8" fillId="0" borderId="0" xfId="0" applyNumberFormat="1" applyFont="1" applyProtection="1">
      <protection locked="0"/>
    </xf>
    <xf numFmtId="40" fontId="8" fillId="0" borderId="0" xfId="1" applyNumberFormat="1" applyFont="1" applyFill="1" applyBorder="1"/>
    <xf numFmtId="165" fontId="8" fillId="0" borderId="0" xfId="1" applyNumberFormat="1" applyFont="1" applyBorder="1"/>
    <xf numFmtId="165" fontId="8" fillId="0" borderId="0" xfId="1" applyNumberFormat="1" applyFont="1"/>
    <xf numFmtId="0" fontId="8" fillId="0" borderId="1" xfId="0" applyFont="1" applyBorder="1" applyAlignment="1">
      <alignment horizontal="center"/>
    </xf>
    <xf numFmtId="166" fontId="8" fillId="0" borderId="0" xfId="2" applyNumberFormat="1" applyFont="1" applyFill="1"/>
    <xf numFmtId="0" fontId="8" fillId="0" borderId="0" xfId="0" applyFont="1" applyAlignment="1">
      <alignment vertical="top" wrapText="1"/>
    </xf>
    <xf numFmtId="40" fontId="8" fillId="0" borderId="0" xfId="1" applyNumberFormat="1" applyFont="1" applyFill="1" applyBorder="1" applyProtection="1">
      <protection locked="0"/>
    </xf>
    <xf numFmtId="0" fontId="8" fillId="0" borderId="0" xfId="0" applyFont="1" applyAlignment="1">
      <alignment horizontal="center" wrapText="1"/>
    </xf>
    <xf numFmtId="10" fontId="3" fillId="0" borderId="0" xfId="0" applyNumberFormat="1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12" fillId="0" borderId="0" xfId="0" applyFont="1"/>
    <xf numFmtId="0" fontId="8" fillId="0" borderId="1" xfId="0" quotePrefix="1" applyFont="1" applyBorder="1" applyAlignment="1">
      <alignment horizontal="left"/>
    </xf>
    <xf numFmtId="166" fontId="8" fillId="0" borderId="0" xfId="2" applyNumberFormat="1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/>
    <xf numFmtId="165" fontId="8" fillId="0" borderId="0" xfId="1" applyNumberFormat="1" applyFont="1" applyFill="1"/>
    <xf numFmtId="2" fontId="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0" fontId="9" fillId="0" borderId="0" xfId="1" applyNumberFormat="1" applyFont="1" applyBorder="1" applyProtection="1">
      <protection locked="0"/>
    </xf>
    <xf numFmtId="166" fontId="8" fillId="0" borderId="2" xfId="2" applyNumberFormat="1" applyFont="1" applyFill="1" applyBorder="1"/>
    <xf numFmtId="166" fontId="8" fillId="0" borderId="0" xfId="2" applyNumberFormat="1" applyFont="1" applyFill="1" applyBorder="1"/>
    <xf numFmtId="166" fontId="8" fillId="0" borderId="0" xfId="2" applyNumberFormat="1" applyFont="1"/>
    <xf numFmtId="40" fontId="9" fillId="0" borderId="0" xfId="0" applyNumberFormat="1" applyFont="1" applyProtection="1">
      <protection locked="0"/>
    </xf>
    <xf numFmtId="166" fontId="8" fillId="0" borderId="4" xfId="2" applyNumberFormat="1" applyFont="1" applyBorder="1"/>
    <xf numFmtId="40" fontId="9" fillId="0" borderId="0" xfId="1" applyNumberFormat="1" applyFont="1" applyFill="1" applyBorder="1"/>
    <xf numFmtId="165" fontId="9" fillId="0" borderId="0" xfId="1" applyNumberFormat="1" applyFont="1" applyBorder="1"/>
    <xf numFmtId="40" fontId="9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Alignment="1"/>
    <xf numFmtId="0" fontId="16" fillId="0" borderId="0" xfId="0" applyFont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13" fillId="0" borderId="0" xfId="0" applyFont="1"/>
    <xf numFmtId="0" fontId="17" fillId="0" borderId="0" xfId="0" applyFont="1"/>
    <xf numFmtId="165" fontId="3" fillId="0" borderId="0" xfId="1" applyNumberFormat="1" applyFont="1" applyProtection="1"/>
    <xf numFmtId="165" fontId="3" fillId="0" borderId="0" xfId="1" applyNumberFormat="1" applyFont="1" applyFill="1" applyProtection="1"/>
    <xf numFmtId="165" fontId="3" fillId="0" borderId="4" xfId="1" applyNumberFormat="1" applyFont="1" applyBorder="1" applyProtection="1"/>
    <xf numFmtId="165" fontId="3" fillId="0" borderId="0" xfId="1" applyNumberFormat="1" applyFont="1" applyBorder="1" applyProtection="1"/>
    <xf numFmtId="0" fontId="17" fillId="0" borderId="0" xfId="0" applyFont="1" applyAlignment="1">
      <alignment horizontal="left"/>
    </xf>
    <xf numFmtId="0" fontId="18" fillId="0" borderId="0" xfId="0" applyFont="1"/>
    <xf numFmtId="165" fontId="0" fillId="0" borderId="0" xfId="1" applyNumberFormat="1" applyFont="1" applyFill="1"/>
    <xf numFmtId="165" fontId="3" fillId="0" borderId="1" xfId="1" applyNumberFormat="1" applyFont="1" applyBorder="1" applyProtection="1"/>
    <xf numFmtId="0" fontId="19" fillId="0" borderId="0" xfId="5" applyFont="1" applyAlignment="1">
      <alignment horizontal="center"/>
    </xf>
    <xf numFmtId="0" fontId="15" fillId="0" borderId="0" xfId="5" applyFont="1" applyAlignment="1">
      <alignment horizontal="centerContinuous"/>
    </xf>
    <xf numFmtId="0" fontId="19" fillId="0" borderId="0" xfId="5" applyFont="1" applyAlignment="1">
      <alignment horizontal="centerContinuous"/>
    </xf>
    <xf numFmtId="0" fontId="19" fillId="0" borderId="0" xfId="5" applyFont="1" applyAlignment="1">
      <alignment horizontal="right"/>
    </xf>
    <xf numFmtId="0" fontId="19" fillId="0" borderId="0" xfId="5" applyFont="1"/>
    <xf numFmtId="0" fontId="20" fillId="0" borderId="0" xfId="5" applyFont="1"/>
    <xf numFmtId="0" fontId="20" fillId="0" borderId="0" xfId="5" applyFont="1" applyAlignment="1">
      <alignment horizontal="center"/>
    </xf>
    <xf numFmtId="2" fontId="19" fillId="0" borderId="0" xfId="5" applyNumberFormat="1" applyFont="1" applyAlignment="1">
      <alignment horizontal="center"/>
    </xf>
    <xf numFmtId="0" fontId="21" fillId="0" borderId="0" xfId="5" applyFont="1" applyAlignment="1">
      <alignment horizontal="centerContinuous"/>
    </xf>
    <xf numFmtId="0" fontId="19" fillId="0" borderId="1" xfId="5" applyFont="1" applyBorder="1" applyAlignment="1">
      <alignment horizontal="center" wrapText="1"/>
    </xf>
    <xf numFmtId="0" fontId="19" fillId="0" borderId="1" xfId="5" applyFont="1" applyBorder="1" applyAlignment="1">
      <alignment horizontal="right" vertical="center"/>
    </xf>
    <xf numFmtId="0" fontId="20" fillId="0" borderId="1" xfId="5" applyFont="1" applyBorder="1" applyAlignment="1">
      <alignment horizontal="center" wrapText="1"/>
    </xf>
    <xf numFmtId="37" fontId="19" fillId="0" borderId="0" xfId="5" applyNumberFormat="1" applyFont="1"/>
    <xf numFmtId="0" fontId="21" fillId="0" borderId="0" xfId="5" applyFont="1"/>
    <xf numFmtId="165" fontId="19" fillId="0" borderId="0" xfId="1" applyNumberFormat="1" applyFont="1" applyFill="1"/>
    <xf numFmtId="0" fontId="19" fillId="0" borderId="6" xfId="5" applyFont="1" applyBorder="1"/>
    <xf numFmtId="0" fontId="19" fillId="0" borderId="7" xfId="5" applyFont="1" applyBorder="1"/>
    <xf numFmtId="37" fontId="8" fillId="0" borderId="0" xfId="0" applyNumberFormat="1" applyFont="1"/>
    <xf numFmtId="165" fontId="3" fillId="2" borderId="0" xfId="0" applyNumberFormat="1" applyFont="1" applyFill="1"/>
    <xf numFmtId="0" fontId="3" fillId="2" borderId="0" xfId="0" applyFont="1" applyFill="1"/>
    <xf numFmtId="165" fontId="3" fillId="0" borderId="2" xfId="1" applyNumberFormat="1" applyFont="1" applyBorder="1"/>
    <xf numFmtId="0" fontId="3" fillId="0" borderId="0" xfId="0" applyFont="1" applyAlignment="1">
      <alignment horizontal="left" vertical="center"/>
    </xf>
    <xf numFmtId="165" fontId="3" fillId="0" borderId="0" xfId="1" applyNumberFormat="1" applyFont="1" applyBorder="1"/>
    <xf numFmtId="171" fontId="3" fillId="0" borderId="0" xfId="2" applyNumberFormat="1" applyFont="1" applyBorder="1"/>
    <xf numFmtId="172" fontId="3" fillId="0" borderId="0" xfId="1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6" fontId="3" fillId="0" borderId="8" xfId="2" applyNumberFormat="1" applyFont="1" applyBorder="1"/>
    <xf numFmtId="166" fontId="2" fillId="0" borderId="1" xfId="2" applyNumberFormat="1" applyFont="1" applyBorder="1" applyAlignment="1">
      <alignment horizontal="right"/>
    </xf>
    <xf numFmtId="0" fontId="2" fillId="0" borderId="1" xfId="0" applyFont="1" applyBorder="1"/>
    <xf numFmtId="0" fontId="8" fillId="0" borderId="2" xfId="0" applyFont="1" applyBorder="1" applyAlignment="1">
      <alignment horizontal="left"/>
    </xf>
    <xf numFmtId="0" fontId="0" fillId="3" borderId="0" xfId="0" applyFill="1"/>
    <xf numFmtId="165" fontId="0" fillId="3" borderId="0" xfId="0" applyNumberFormat="1" applyFill="1"/>
    <xf numFmtId="0" fontId="15" fillId="0" borderId="0" xfId="5" applyFont="1"/>
    <xf numFmtId="0" fontId="15" fillId="0" borderId="0" xfId="5" applyFont="1" applyAlignment="1">
      <alignment horizontal="left"/>
    </xf>
    <xf numFmtId="165" fontId="19" fillId="0" borderId="0" xfId="1" applyNumberFormat="1" applyFont="1"/>
    <xf numFmtId="165" fontId="19" fillId="0" borderId="1" xfId="1" applyNumberFormat="1" applyFont="1" applyBorder="1"/>
    <xf numFmtId="165" fontId="19" fillId="0" borderId="6" xfId="1" applyNumberFormat="1" applyFont="1" applyBorder="1"/>
    <xf numFmtId="165" fontId="19" fillId="0" borderId="0" xfId="1" applyNumberFormat="1" applyFont="1" applyAlignment="1">
      <alignment horizontal="right"/>
    </xf>
    <xf numFmtId="165" fontId="19" fillId="0" borderId="7" xfId="1" applyNumberFormat="1" applyFont="1" applyBorder="1"/>
    <xf numFmtId="166" fontId="8" fillId="0" borderId="2" xfId="0" quotePrefix="1" applyNumberFormat="1" applyFont="1" applyBorder="1" applyAlignment="1">
      <alignment horizontal="center"/>
    </xf>
    <xf numFmtId="166" fontId="8" fillId="0" borderId="0" xfId="1" applyNumberFormat="1" applyFont="1" applyBorder="1" applyProtection="1">
      <protection locked="0"/>
    </xf>
    <xf numFmtId="43" fontId="3" fillId="0" borderId="0" xfId="1" applyFont="1" applyAlignment="1">
      <alignment horizontal="center" wrapText="1"/>
    </xf>
    <xf numFmtId="10" fontId="3" fillId="0" borderId="0" xfId="3" applyNumberFormat="1" applyFont="1"/>
    <xf numFmtId="43" fontId="3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22" fillId="0" borderId="0" xfId="0" applyFont="1" applyAlignment="1">
      <alignment horizontal="center" wrapText="1"/>
    </xf>
    <xf numFmtId="43" fontId="8" fillId="0" borderId="0" xfId="0" applyNumberFormat="1" applyFont="1"/>
    <xf numFmtId="0" fontId="2" fillId="0" borderId="1" xfId="0" applyFont="1" applyBorder="1" applyAlignment="1">
      <alignment horizontal="center" wrapText="1"/>
    </xf>
    <xf numFmtId="173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65" fontId="2" fillId="0" borderId="2" xfId="1" applyNumberFormat="1" applyFont="1" applyBorder="1"/>
    <xf numFmtId="43" fontId="8" fillId="0" borderId="0" xfId="1" applyFont="1" applyFill="1"/>
    <xf numFmtId="165" fontId="3" fillId="0" borderId="0" xfId="1" applyNumberFormat="1" applyFont="1"/>
    <xf numFmtId="0" fontId="23" fillId="0" borderId="0" xfId="0" applyFont="1" applyAlignment="1" applyProtection="1">
      <alignment horizontal="center"/>
      <protection locked="0"/>
    </xf>
    <xf numFmtId="168" fontId="23" fillId="0" borderId="0" xfId="0" applyNumberFormat="1" applyFont="1" applyAlignment="1" applyProtection="1">
      <alignment horizontal="center"/>
      <protection locked="0"/>
    </xf>
    <xf numFmtId="0" fontId="3" fillId="0" borderId="0" xfId="4" quotePrefix="1" applyFont="1" applyAlignment="1">
      <alignment horizontal="left"/>
    </xf>
    <xf numFmtId="0" fontId="3" fillId="0" borderId="0" xfId="4" quotePrefix="1" applyFont="1" applyAlignment="1">
      <alignment horizontal="center"/>
    </xf>
    <xf numFmtId="165" fontId="8" fillId="0" borderId="1" xfId="1" applyNumberFormat="1" applyFont="1" applyBorder="1"/>
    <xf numFmtId="43" fontId="8" fillId="0" borderId="0" xfId="1" applyFont="1" applyBorder="1"/>
    <xf numFmtId="166" fontId="8" fillId="0" borderId="0" xfId="0" applyNumberFormat="1" applyFont="1" applyProtection="1">
      <protection locked="0"/>
    </xf>
    <xf numFmtId="165" fontId="8" fillId="0" borderId="2" xfId="1" applyNumberFormat="1" applyFont="1" applyBorder="1"/>
    <xf numFmtId="165" fontId="8" fillId="0" borderId="2" xfId="1" applyNumberFormat="1" applyFont="1" applyFill="1" applyBorder="1"/>
    <xf numFmtId="165" fontId="8" fillId="0" borderId="0" xfId="1" applyNumberFormat="1" applyFont="1" applyFill="1" applyBorder="1"/>
    <xf numFmtId="165" fontId="6" fillId="0" borderId="4" xfId="1" applyNumberFormat="1" applyFont="1" applyFill="1" applyBorder="1"/>
    <xf numFmtId="166" fontId="8" fillId="0" borderId="2" xfId="2" applyNumberFormat="1" applyFont="1" applyFill="1" applyBorder="1" applyAlignment="1" applyProtection="1">
      <protection locked="0"/>
    </xf>
    <xf numFmtId="10" fontId="3" fillId="0" borderId="0" xfId="3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166" fontId="3" fillId="0" borderId="0" xfId="2" applyNumberFormat="1" applyFont="1" applyFill="1" applyAlignment="1">
      <alignment horizontal="right"/>
    </xf>
    <xf numFmtId="43" fontId="3" fillId="0" borderId="5" xfId="1" applyFont="1" applyFill="1" applyBorder="1"/>
    <xf numFmtId="0" fontId="24" fillId="0" borderId="0" xfId="0" applyFont="1" applyAlignment="1" applyProtection="1">
      <alignment horizontal="center"/>
      <protection locked="0"/>
    </xf>
    <xf numFmtId="168" fontId="24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44" fontId="8" fillId="0" borderId="0" xfId="2" applyFont="1"/>
    <xf numFmtId="165" fontId="8" fillId="0" borderId="4" xfId="0" applyNumberFormat="1" applyFont="1" applyBorder="1"/>
    <xf numFmtId="10" fontId="2" fillId="0" borderId="0" xfId="3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0" quotePrefix="1" applyFont="1"/>
    <xf numFmtId="0" fontId="8" fillId="0" borderId="0" xfId="4" applyFont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169" fontId="3" fillId="0" borderId="0" xfId="3" applyNumberFormat="1" applyFont="1" applyFill="1" applyBorder="1" applyAlignment="1">
      <alignment horizontal="center"/>
    </xf>
    <xf numFmtId="169" fontId="8" fillId="0" borderId="0" xfId="3" applyNumberFormat="1" applyFont="1" applyFill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left"/>
    </xf>
    <xf numFmtId="165" fontId="8" fillId="0" borderId="4" xfId="1" applyNumberFormat="1" applyFont="1" applyBorder="1"/>
    <xf numFmtId="165" fontId="8" fillId="0" borderId="4" xfId="1" applyNumberFormat="1" applyFont="1" applyBorder="1" applyAlignment="1">
      <alignment horizontal="center"/>
    </xf>
    <xf numFmtId="0" fontId="6" fillId="0" borderId="4" xfId="0" applyFont="1" applyBorder="1"/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center"/>
    </xf>
    <xf numFmtId="0" fontId="25" fillId="0" borderId="0" xfId="0" applyFont="1"/>
    <xf numFmtId="169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43" fontId="3" fillId="0" borderId="0" xfId="1" applyFont="1" applyBorder="1" applyAlignment="1" applyProtection="1">
      <alignment horizontal="center"/>
    </xf>
    <xf numFmtId="41" fontId="3" fillId="0" borderId="0" xfId="0" applyNumberFormat="1" applyFont="1"/>
    <xf numFmtId="10" fontId="3" fillId="0" borderId="0" xfId="3" applyNumberFormat="1" applyFont="1" applyBorder="1" applyProtection="1"/>
    <xf numFmtId="0" fontId="3" fillId="0" borderId="2" xfId="0" applyFont="1" applyBorder="1" applyAlignment="1">
      <alignment horizontal="right"/>
    </xf>
    <xf numFmtId="41" fontId="3" fillId="0" borderId="2" xfId="0" applyNumberFormat="1" applyFont="1" applyBorder="1"/>
    <xf numFmtId="43" fontId="3" fillId="0" borderId="0" xfId="1" applyFont="1" applyBorder="1" applyAlignment="1" applyProtection="1">
      <alignment horizontal="left"/>
    </xf>
    <xf numFmtId="170" fontId="3" fillId="0" borderId="0" xfId="0" applyNumberFormat="1" applyFont="1"/>
    <xf numFmtId="0" fontId="3" fillId="0" borderId="3" xfId="0" applyFont="1" applyBorder="1" applyAlignment="1">
      <alignment horizontal="right"/>
    </xf>
    <xf numFmtId="41" fontId="3" fillId="0" borderId="3" xfId="0" applyNumberFormat="1" applyFont="1" applyBorder="1"/>
    <xf numFmtId="43" fontId="3" fillId="0" borderId="3" xfId="1" applyFont="1" applyBorder="1" applyAlignment="1" applyProtection="1">
      <alignment horizontal="left"/>
    </xf>
    <xf numFmtId="10" fontId="3" fillId="0" borderId="3" xfId="0" applyNumberFormat="1" applyFont="1" applyBorder="1"/>
    <xf numFmtId="41" fontId="3" fillId="0" borderId="4" xfId="0" applyNumberFormat="1" applyFont="1" applyBorder="1"/>
    <xf numFmtId="41" fontId="2" fillId="0" borderId="4" xfId="0" applyNumberFormat="1" applyFont="1" applyBorder="1"/>
    <xf numFmtId="170" fontId="3" fillId="0" borderId="0" xfId="3" applyNumberFormat="1" applyFont="1" applyBorder="1" applyProtection="1"/>
    <xf numFmtId="0" fontId="3" fillId="0" borderId="4" xfId="0" applyFont="1" applyBorder="1" applyAlignment="1">
      <alignment horizontal="center"/>
    </xf>
    <xf numFmtId="170" fontId="3" fillId="0" borderId="4" xfId="3" applyNumberFormat="1" applyFont="1" applyBorder="1" applyProtection="1"/>
    <xf numFmtId="41" fontId="8" fillId="0" borderId="0" xfId="0" applyNumberFormat="1" applyFont="1"/>
    <xf numFmtId="10" fontId="3" fillId="0" borderId="0" xfId="3" applyNumberFormat="1" applyFont="1" applyFill="1" applyBorder="1" applyProtection="1"/>
    <xf numFmtId="0" fontId="4" fillId="0" borderId="0" xfId="0" applyFont="1" applyAlignment="1">
      <alignment horizontal="center" wrapText="1"/>
    </xf>
    <xf numFmtId="166" fontId="3" fillId="0" borderId="0" xfId="2" applyNumberFormat="1" applyFont="1" applyFill="1" applyBorder="1" applyProtection="1"/>
    <xf numFmtId="166" fontId="3" fillId="0" borderId="2" xfId="2" applyNumberFormat="1" applyFont="1" applyFill="1" applyBorder="1" applyAlignment="1" applyProtection="1">
      <alignment horizontal="center"/>
    </xf>
    <xf numFmtId="170" fontId="3" fillId="0" borderId="2" xfId="3" applyNumberFormat="1" applyFont="1" applyBorder="1" applyProtection="1"/>
    <xf numFmtId="166" fontId="3" fillId="0" borderId="0" xfId="2" applyNumberFormat="1" applyFont="1" applyFill="1" applyBorder="1" applyAlignment="1" applyProtection="1">
      <alignment horizontal="center"/>
    </xf>
    <xf numFmtId="166" fontId="3" fillId="0" borderId="4" xfId="2" applyNumberFormat="1" applyFont="1" applyFill="1" applyBorder="1" applyAlignment="1" applyProtection="1">
      <alignment horizontal="center"/>
    </xf>
    <xf numFmtId="166" fontId="3" fillId="0" borderId="4" xfId="2" applyNumberFormat="1" applyFont="1" applyBorder="1" applyAlignment="1" applyProtection="1"/>
    <xf numFmtId="166" fontId="8" fillId="0" borderId="0" xfId="2" quotePrefix="1" applyNumberFormat="1" applyFont="1" applyBorder="1" applyAlignment="1">
      <alignment horizontal="center"/>
    </xf>
    <xf numFmtId="43" fontId="3" fillId="0" borderId="0" xfId="1" applyFont="1" applyFill="1" applyBorder="1" applyAlignment="1" applyProtection="1">
      <alignment horizontal="left"/>
    </xf>
    <xf numFmtId="0" fontId="26" fillId="0" borderId="0" xfId="0" applyFont="1"/>
    <xf numFmtId="174" fontId="8" fillId="0" borderId="0" xfId="1" applyNumberFormat="1" applyFont="1"/>
    <xf numFmtId="174" fontId="8" fillId="0" borderId="1" xfId="1" applyNumberFormat="1" applyFont="1" applyBorder="1"/>
    <xf numFmtId="44" fontId="8" fillId="0" borderId="0" xfId="0" applyNumberFormat="1" applyFont="1"/>
    <xf numFmtId="166" fontId="8" fillId="0" borderId="0" xfId="0" applyNumberFormat="1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70" fontId="8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5" xfId="0" applyFont="1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5" fontId="6" fillId="0" borderId="0" xfId="1" applyNumberFormat="1" applyFont="1"/>
    <xf numFmtId="0" fontId="6" fillId="0" borderId="1" xfId="0" applyFont="1" applyBorder="1" applyAlignment="1">
      <alignment wrapText="1"/>
    </xf>
    <xf numFmtId="165" fontId="27" fillId="0" borderId="0" xfId="1" applyNumberFormat="1" applyFont="1"/>
    <xf numFmtId="43" fontId="8" fillId="0" borderId="1" xfId="1" applyFont="1" applyBorder="1"/>
    <xf numFmtId="165" fontId="27" fillId="0" borderId="1" xfId="1" applyNumberFormat="1" applyFont="1" applyBorder="1"/>
    <xf numFmtId="165" fontId="3" fillId="0" borderId="1" xfId="1" applyNumberFormat="1" applyFont="1" applyFill="1" applyBorder="1"/>
    <xf numFmtId="44" fontId="3" fillId="0" borderId="0" xfId="0" applyNumberFormat="1" applyFont="1"/>
    <xf numFmtId="0" fontId="2" fillId="0" borderId="2" xfId="0" applyFont="1" applyBorder="1" applyAlignment="1">
      <alignment horizontal="right"/>
    </xf>
    <xf numFmtId="166" fontId="3" fillId="0" borderId="2" xfId="0" applyNumberFormat="1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quotePrefix="1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6" fontId="3" fillId="0" borderId="15" xfId="0" applyNumberFormat="1" applyFont="1" applyBorder="1" applyAlignment="1">
      <alignment horizontal="center"/>
    </xf>
    <xf numFmtId="10" fontId="3" fillId="0" borderId="14" xfId="0" applyNumberFormat="1" applyFont="1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3" fillId="0" borderId="14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64" fontId="3" fillId="0" borderId="9" xfId="0" quotePrefix="1" applyNumberFormat="1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164" fontId="3" fillId="0" borderId="10" xfId="0" quotePrefix="1" applyNumberFormat="1" applyFont="1" applyBorder="1" applyAlignment="1">
      <alignment horizontal="center"/>
    </xf>
    <xf numFmtId="164" fontId="3" fillId="0" borderId="5" xfId="0" quotePrefix="1" applyNumberFormat="1" applyFont="1" applyBorder="1" applyAlignment="1">
      <alignment horizontal="center"/>
    </xf>
    <xf numFmtId="166" fontId="8" fillId="4" borderId="0" xfId="2" applyNumberFormat="1" applyFont="1" applyFill="1"/>
    <xf numFmtId="0" fontId="3" fillId="0" borderId="0" xfId="0" applyFont="1" applyAlignment="1">
      <alignment horizontal="left" vertical="top" wrapText="1"/>
    </xf>
    <xf numFmtId="0" fontId="22" fillId="0" borderId="0" xfId="0" applyFont="1"/>
    <xf numFmtId="9" fontId="8" fillId="0" borderId="0" xfId="3" applyFont="1" applyAlignment="1">
      <alignment horizontal="center"/>
    </xf>
    <xf numFmtId="9" fontId="8" fillId="0" borderId="1" xfId="3" applyFont="1" applyBorder="1" applyAlignment="1">
      <alignment horizontal="center"/>
    </xf>
    <xf numFmtId="165" fontId="8" fillId="0" borderId="1" xfId="0" applyNumberFormat="1" applyFont="1" applyBorder="1"/>
    <xf numFmtId="165" fontId="6" fillId="0" borderId="4" xfId="0" applyNumberFormat="1" applyFont="1" applyBorder="1"/>
    <xf numFmtId="0" fontId="6" fillId="0" borderId="1" xfId="0" quotePrefix="1" applyFont="1" applyBorder="1" applyAlignment="1">
      <alignment horizontal="center"/>
    </xf>
    <xf numFmtId="165" fontId="3" fillId="0" borderId="3" xfId="1" applyNumberFormat="1" applyFont="1" applyBorder="1"/>
    <xf numFmtId="0" fontId="3" fillId="0" borderId="4" xfId="0" applyFont="1" applyBorder="1" applyAlignment="1">
      <alignment horizontal="right"/>
    </xf>
    <xf numFmtId="166" fontId="3" fillId="0" borderId="0" xfId="2" applyNumberFormat="1" applyFont="1" applyFill="1"/>
    <xf numFmtId="166" fontId="3" fillId="0" borderId="1" xfId="2" applyNumberFormat="1" applyFont="1" applyBorder="1" applyAlignment="1">
      <alignment horizontal="right"/>
    </xf>
    <xf numFmtId="0" fontId="3" fillId="0" borderId="0" xfId="4" applyFont="1" applyAlignment="1">
      <alignment horizontal="center"/>
    </xf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6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/>
    <xf numFmtId="165" fontId="3" fillId="0" borderId="3" xfId="1" applyNumberFormat="1" applyFont="1" applyBorder="1" applyProtection="1"/>
    <xf numFmtId="165" fontId="3" fillId="0" borderId="5" xfId="0" applyNumberFormat="1" applyFont="1" applyFill="1" applyBorder="1"/>
    <xf numFmtId="166" fontId="2" fillId="0" borderId="5" xfId="2" applyNumberFormat="1" applyFont="1" applyBorder="1"/>
    <xf numFmtId="166" fontId="2" fillId="0" borderId="5" xfId="0" applyNumberFormat="1" applyFont="1" applyBorder="1"/>
    <xf numFmtId="167" fontId="3" fillId="0" borderId="0" xfId="0" applyNumberFormat="1" applyFont="1"/>
    <xf numFmtId="0" fontId="3" fillId="0" borderId="0" xfId="0" quotePrefix="1" applyFont="1" applyAlignment="1">
      <alignment horizontal="center"/>
    </xf>
    <xf numFmtId="167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7" fontId="3" fillId="0" borderId="0" xfId="0" applyNumberFormat="1" applyFont="1" applyAlignment="1">
      <alignment horizontal="center"/>
    </xf>
    <xf numFmtId="167" fontId="3" fillId="0" borderId="1" xfId="0" quotePrefix="1" applyNumberFormat="1" applyFont="1" applyBorder="1" applyAlignment="1">
      <alignment horizontal="center"/>
    </xf>
    <xf numFmtId="5" fontId="3" fillId="0" borderId="0" xfId="0" applyNumberFormat="1" applyFont="1"/>
    <xf numFmtId="0" fontId="8" fillId="0" borderId="0" xfId="0" applyNumberFormat="1" applyFont="1" applyAlignment="1">
      <alignment horizontal="left"/>
    </xf>
    <xf numFmtId="0" fontId="8" fillId="0" borderId="2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8" fillId="0" borderId="0" xfId="1" applyNumberFormat="1" applyFont="1" applyAlignment="1">
      <alignment horizontal="left"/>
    </xf>
    <xf numFmtId="0" fontId="6" fillId="0" borderId="0" xfId="4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4000000}"/>
    <cellStyle name="Normal 3" xfId="5" xr:uid="{00000000-0005-0000-0000-000005000000}"/>
    <cellStyle name="Percent" xfId="3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view="pageBreakPreview" zoomScaleNormal="100" zoomScaleSheetLayoutView="100" workbookViewId="0">
      <selection activeCell="I43" sqref="I43"/>
    </sheetView>
  </sheetViews>
  <sheetFormatPr defaultColWidth="9.140625" defaultRowHeight="12.75"/>
  <cols>
    <col min="1" max="1" width="5" style="5" customWidth="1"/>
    <col min="2" max="2" width="36" style="2" bestFit="1" customWidth="1"/>
    <col min="3" max="3" width="16.7109375" style="2" bestFit="1" customWidth="1"/>
    <col min="4" max="4" width="14" style="2" customWidth="1"/>
    <col min="5" max="5" width="15.7109375" style="2" customWidth="1"/>
    <col min="6" max="6" width="18.42578125" style="2" hidden="1" customWidth="1"/>
    <col min="7" max="7" width="18.140625" style="2" customWidth="1"/>
    <col min="8" max="8" width="13.7109375" style="2" bestFit="1" customWidth="1"/>
    <col min="9" max="9" width="15.140625" style="2" bestFit="1" customWidth="1"/>
    <col min="10" max="11" width="9.140625" style="2"/>
    <col min="12" max="12" width="14.42578125" style="2" bestFit="1" customWidth="1"/>
    <col min="13" max="16384" width="9.140625" style="2"/>
  </cols>
  <sheetData>
    <row r="1" spans="1:12">
      <c r="A1" s="1" t="s">
        <v>284</v>
      </c>
      <c r="B1" s="1"/>
      <c r="C1" s="1"/>
      <c r="D1" s="1"/>
      <c r="E1" s="1"/>
    </row>
    <row r="2" spans="1:12">
      <c r="A2" s="1" t="s">
        <v>0</v>
      </c>
      <c r="B2" s="1"/>
      <c r="C2" s="1"/>
      <c r="D2" s="1"/>
      <c r="E2" s="1"/>
    </row>
    <row r="3" spans="1:12">
      <c r="A3" s="1" t="s">
        <v>546</v>
      </c>
      <c r="B3" s="1"/>
      <c r="C3" s="1"/>
      <c r="D3" s="1"/>
      <c r="E3" s="1"/>
      <c r="H3" s="9"/>
    </row>
    <row r="4" spans="1:12">
      <c r="A4" s="3"/>
      <c r="E4" s="4"/>
    </row>
    <row r="5" spans="1:12">
      <c r="A5" s="3"/>
      <c r="E5" s="4"/>
      <c r="F5" s="25"/>
      <c r="G5" s="191" t="s">
        <v>545</v>
      </c>
    </row>
    <row r="6" spans="1:12">
      <c r="C6" s="3" t="s">
        <v>1</v>
      </c>
      <c r="D6" s="3" t="s">
        <v>2</v>
      </c>
      <c r="E6" s="3" t="s">
        <v>3</v>
      </c>
      <c r="F6" s="3" t="s">
        <v>4</v>
      </c>
      <c r="G6" s="3" t="s">
        <v>544</v>
      </c>
    </row>
    <row r="7" spans="1:12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9</v>
      </c>
      <c r="G7" s="3" t="s">
        <v>9</v>
      </c>
    </row>
    <row r="8" spans="1:12" s="1" customFormat="1">
      <c r="A8" s="6" t="s">
        <v>10</v>
      </c>
      <c r="B8" s="7">
        <v>1</v>
      </c>
      <c r="C8" s="7">
        <f>B8+1</f>
        <v>2</v>
      </c>
      <c r="D8" s="7">
        <f>C8+1</f>
        <v>3</v>
      </c>
      <c r="E8" s="7" t="s">
        <v>11</v>
      </c>
      <c r="F8" s="7"/>
      <c r="G8" s="7" t="s">
        <v>12</v>
      </c>
      <c r="I8" s="2"/>
    </row>
    <row r="9" spans="1:12">
      <c r="A9" s="5">
        <v>1</v>
      </c>
      <c r="B9" s="8" t="s">
        <v>13</v>
      </c>
      <c r="C9" s="9"/>
    </row>
    <row r="10" spans="1:12">
      <c r="A10" s="5">
        <f>A9+1</f>
        <v>2</v>
      </c>
      <c r="B10" s="2" t="s">
        <v>14</v>
      </c>
      <c r="C10" s="10">
        <v>59636496.420000002</v>
      </c>
      <c r="D10" s="10">
        <f>'Adj List'!D30</f>
        <v>-8570607.1199999992</v>
      </c>
      <c r="E10" s="10">
        <f>C10+D10</f>
        <v>51065889.300000004</v>
      </c>
      <c r="F10" s="10">
        <f>E10+F61</f>
        <v>53176830.56806542</v>
      </c>
      <c r="G10" s="10">
        <f>E10+G61</f>
        <v>53431725.864113919</v>
      </c>
      <c r="H10" s="9"/>
      <c r="L10" s="9"/>
    </row>
    <row r="11" spans="1:12">
      <c r="A11" s="5">
        <f t="shared" ref="A11:A62" si="0">A10+1</f>
        <v>3</v>
      </c>
      <c r="B11" s="2" t="s">
        <v>15</v>
      </c>
      <c r="C11" s="10">
        <v>774063.54</v>
      </c>
      <c r="D11" s="10">
        <v>0</v>
      </c>
      <c r="E11" s="10">
        <f>C11+D11</f>
        <v>774063.54</v>
      </c>
      <c r="F11" s="10">
        <f>E11</f>
        <v>774063.54</v>
      </c>
      <c r="G11" s="10">
        <f>F11</f>
        <v>774063.54</v>
      </c>
      <c r="L11" s="9"/>
    </row>
    <row r="12" spans="1:12">
      <c r="A12" s="5">
        <f t="shared" si="0"/>
        <v>4</v>
      </c>
      <c r="B12" s="11" t="s">
        <v>16</v>
      </c>
      <c r="C12" s="12">
        <f t="shared" ref="C12:G12" si="1">SUM(C10:C11)</f>
        <v>60410559.960000001</v>
      </c>
      <c r="D12" s="12">
        <f t="shared" si="1"/>
        <v>-8570607.1199999992</v>
      </c>
      <c r="E12" s="12">
        <f t="shared" si="1"/>
        <v>51839952.840000004</v>
      </c>
      <c r="F12" s="12">
        <f t="shared" si="1"/>
        <v>53950894.108065419</v>
      </c>
      <c r="G12" s="12">
        <f t="shared" si="1"/>
        <v>54205789.404113919</v>
      </c>
      <c r="H12" s="9"/>
      <c r="L12" s="9"/>
    </row>
    <row r="13" spans="1:12">
      <c r="A13" s="5">
        <f t="shared" si="0"/>
        <v>5</v>
      </c>
      <c r="C13" s="10"/>
      <c r="D13" s="10"/>
      <c r="E13" s="10"/>
      <c r="F13" s="10"/>
      <c r="G13" s="10"/>
      <c r="H13" s="9"/>
      <c r="J13" s="9"/>
      <c r="L13" s="9"/>
    </row>
    <row r="14" spans="1:12">
      <c r="A14" s="5">
        <f t="shared" si="0"/>
        <v>6</v>
      </c>
      <c r="B14" s="8" t="s">
        <v>17</v>
      </c>
      <c r="C14" s="10"/>
      <c r="D14" s="10"/>
      <c r="E14" s="10"/>
      <c r="F14" s="10"/>
      <c r="G14" s="10"/>
      <c r="H14" s="9"/>
      <c r="L14" s="9"/>
    </row>
    <row r="15" spans="1:12">
      <c r="A15" s="5">
        <f t="shared" si="0"/>
        <v>7</v>
      </c>
      <c r="B15" s="2" t="s">
        <v>18</v>
      </c>
      <c r="C15" s="10">
        <v>42568609</v>
      </c>
      <c r="D15" s="10">
        <f>'Adj List'!E7+'Adj List'!E8+'Adj List'!E12</f>
        <v>-8663366.2599999998</v>
      </c>
      <c r="E15" s="10">
        <f>C15+D15</f>
        <v>33905242.740000002</v>
      </c>
      <c r="F15" s="10">
        <f>E15</f>
        <v>33905242.740000002</v>
      </c>
      <c r="G15" s="10">
        <f>E15</f>
        <v>33905242.740000002</v>
      </c>
      <c r="H15" s="9"/>
      <c r="I15" s="9"/>
      <c r="L15" s="9"/>
    </row>
    <row r="16" spans="1:12">
      <c r="A16" s="5">
        <f t="shared" si="0"/>
        <v>8</v>
      </c>
      <c r="B16" s="2" t="s">
        <v>19</v>
      </c>
      <c r="C16" s="10">
        <v>1653671</v>
      </c>
      <c r="D16" s="10">
        <v>0</v>
      </c>
      <c r="E16" s="10">
        <f t="shared" ref="E16:E21" si="2">C16+D16</f>
        <v>1653671</v>
      </c>
      <c r="F16" s="10">
        <f t="shared" ref="F16:F21" si="3">E16</f>
        <v>1653671</v>
      </c>
      <c r="G16" s="10">
        <f t="shared" ref="G16:G21" si="4">E16</f>
        <v>1653671</v>
      </c>
      <c r="H16" s="9"/>
      <c r="I16" s="9"/>
      <c r="L16" s="9"/>
    </row>
    <row r="17" spans="1:12">
      <c r="A17" s="5">
        <f t="shared" si="0"/>
        <v>9</v>
      </c>
      <c r="B17" s="2" t="s">
        <v>20</v>
      </c>
      <c r="C17" s="10">
        <v>4409342</v>
      </c>
      <c r="D17" s="10">
        <f>'Adj List'!E13+'Adj List'!E11</f>
        <v>382631.29086615419</v>
      </c>
      <c r="E17" s="10">
        <f t="shared" si="2"/>
        <v>4791973.2908661542</v>
      </c>
      <c r="F17" s="10">
        <f t="shared" si="3"/>
        <v>4791973.2908661542</v>
      </c>
      <c r="G17" s="10">
        <f t="shared" si="4"/>
        <v>4791973.2908661542</v>
      </c>
      <c r="H17" s="9"/>
      <c r="I17" s="9"/>
      <c r="L17" s="9"/>
    </row>
    <row r="18" spans="1:12">
      <c r="A18" s="5">
        <f t="shared" si="0"/>
        <v>10</v>
      </c>
      <c r="B18" s="2" t="s">
        <v>21</v>
      </c>
      <c r="C18" s="10">
        <v>1553057</v>
      </c>
      <c r="D18" s="10">
        <v>0</v>
      </c>
      <c r="E18" s="10">
        <f t="shared" si="2"/>
        <v>1553057</v>
      </c>
      <c r="F18" s="10">
        <f t="shared" si="3"/>
        <v>1553057</v>
      </c>
      <c r="G18" s="10">
        <f t="shared" si="4"/>
        <v>1553057</v>
      </c>
      <c r="H18" s="9"/>
      <c r="I18" s="9"/>
      <c r="L18" s="9"/>
    </row>
    <row r="19" spans="1:12">
      <c r="A19" s="5">
        <f t="shared" si="0"/>
        <v>11</v>
      </c>
      <c r="B19" s="2" t="s">
        <v>22</v>
      </c>
      <c r="C19" s="10">
        <v>185557</v>
      </c>
      <c r="D19" s="10">
        <v>0</v>
      </c>
      <c r="E19" s="10">
        <f t="shared" si="2"/>
        <v>185557</v>
      </c>
      <c r="F19" s="10">
        <f t="shared" si="3"/>
        <v>185557</v>
      </c>
      <c r="G19" s="10">
        <f t="shared" si="4"/>
        <v>185557</v>
      </c>
      <c r="H19" s="9"/>
      <c r="I19" s="9"/>
      <c r="L19" s="9"/>
    </row>
    <row r="20" spans="1:12">
      <c r="A20" s="5">
        <f t="shared" si="0"/>
        <v>12</v>
      </c>
      <c r="B20" s="2" t="s">
        <v>23</v>
      </c>
      <c r="C20" s="10">
        <v>0</v>
      </c>
      <c r="D20" s="10">
        <v>0</v>
      </c>
      <c r="E20" s="10">
        <f t="shared" si="2"/>
        <v>0</v>
      </c>
      <c r="F20" s="10">
        <f t="shared" si="3"/>
        <v>0</v>
      </c>
      <c r="G20" s="10">
        <f t="shared" si="4"/>
        <v>0</v>
      </c>
      <c r="H20" s="9"/>
      <c r="I20" s="9"/>
      <c r="L20" s="9"/>
    </row>
    <row r="21" spans="1:12">
      <c r="A21" s="5">
        <f t="shared" si="0"/>
        <v>13</v>
      </c>
      <c r="B21" s="2" t="s">
        <v>24</v>
      </c>
      <c r="C21" s="10">
        <v>2200276</v>
      </c>
      <c r="D21" s="10">
        <f>'Adj List'!E14+'Adj List'!E15+'Adj List'!E16+'Adj List'!E17+'Adj List'!E18+'Adj List'!E19+'Adj List'!E20+'Adj List'!E22</f>
        <v>-164091.55579328275</v>
      </c>
      <c r="E21" s="10">
        <f t="shared" si="2"/>
        <v>2036184.4442067172</v>
      </c>
      <c r="F21" s="10">
        <f t="shared" si="3"/>
        <v>2036184.4442067172</v>
      </c>
      <c r="G21" s="10">
        <f t="shared" si="4"/>
        <v>2036184.4442067172</v>
      </c>
      <c r="H21" s="9"/>
      <c r="I21" s="9"/>
      <c r="L21" s="9"/>
    </row>
    <row r="22" spans="1:12">
      <c r="A22" s="5">
        <f t="shared" si="0"/>
        <v>14</v>
      </c>
      <c r="B22" s="11" t="s">
        <v>25</v>
      </c>
      <c r="C22" s="12">
        <f>SUM(C15:C21)</f>
        <v>52570512</v>
      </c>
      <c r="D22" s="12">
        <f t="shared" ref="D22:F22" si="5">SUM(D15:D21)</f>
        <v>-8444826.5249271281</v>
      </c>
      <c r="E22" s="12">
        <f>SUM(E15:E21)</f>
        <v>44125685.475072868</v>
      </c>
      <c r="F22" s="12">
        <f t="shared" si="5"/>
        <v>44125685.475072868</v>
      </c>
      <c r="G22" s="12">
        <f t="shared" ref="G22" si="6">SUM(G15:G21)</f>
        <v>44125685.475072868</v>
      </c>
      <c r="H22" s="9"/>
      <c r="I22" s="9"/>
      <c r="L22" s="9"/>
    </row>
    <row r="23" spans="1:12">
      <c r="A23" s="5">
        <f t="shared" si="0"/>
        <v>15</v>
      </c>
      <c r="C23" s="10"/>
      <c r="D23" s="10"/>
      <c r="E23" s="10"/>
      <c r="F23" s="10"/>
      <c r="G23" s="10"/>
      <c r="H23" s="9"/>
      <c r="I23" s="9"/>
      <c r="L23" s="9"/>
    </row>
    <row r="24" spans="1:12">
      <c r="A24" s="5">
        <f t="shared" si="0"/>
        <v>16</v>
      </c>
      <c r="B24" s="2" t="s">
        <v>26</v>
      </c>
      <c r="C24" s="10">
        <v>4080703</v>
      </c>
      <c r="D24" s="10">
        <f>'Adj List'!E10</f>
        <v>75417.476972552642</v>
      </c>
      <c r="E24" s="10">
        <f t="shared" ref="E24:E29" si="7">C24+D24</f>
        <v>4156120.4769725525</v>
      </c>
      <c r="F24" s="10">
        <f>E24</f>
        <v>4156120.4769725525</v>
      </c>
      <c r="G24" s="10">
        <f>E24</f>
        <v>4156120.4769725525</v>
      </c>
      <c r="H24" s="9"/>
      <c r="I24" s="9"/>
      <c r="L24" s="9"/>
    </row>
    <row r="25" spans="1:12">
      <c r="A25" s="5">
        <f>A23+1</f>
        <v>16</v>
      </c>
      <c r="B25" s="2" t="s">
        <v>285</v>
      </c>
      <c r="C25" s="10">
        <v>849647</v>
      </c>
      <c r="D25" s="10"/>
      <c r="E25" s="10">
        <f t="shared" si="7"/>
        <v>849647</v>
      </c>
      <c r="F25" s="10">
        <f t="shared" ref="F25" si="8">E25</f>
        <v>849647</v>
      </c>
      <c r="G25" s="10">
        <f t="shared" ref="G25:G29" si="9">E25</f>
        <v>849647</v>
      </c>
      <c r="H25" s="9"/>
      <c r="I25" s="9"/>
      <c r="L25" s="9"/>
    </row>
    <row r="26" spans="1:12">
      <c r="A26" s="5">
        <f>A24+1</f>
        <v>17</v>
      </c>
      <c r="B26" s="2" t="s">
        <v>27</v>
      </c>
      <c r="C26" s="10">
        <v>52771</v>
      </c>
      <c r="D26" s="10"/>
      <c r="E26" s="10">
        <f t="shared" si="7"/>
        <v>52771</v>
      </c>
      <c r="F26" s="10">
        <f t="shared" ref="F26:F29" si="10">E26</f>
        <v>52771</v>
      </c>
      <c r="G26" s="10">
        <f t="shared" si="9"/>
        <v>52771</v>
      </c>
      <c r="H26" s="9"/>
      <c r="I26" s="9"/>
      <c r="L26" s="9"/>
    </row>
    <row r="27" spans="1:12">
      <c r="A27" s="5">
        <f t="shared" si="0"/>
        <v>18</v>
      </c>
      <c r="B27" s="2" t="s">
        <v>28</v>
      </c>
      <c r="C27" s="10">
        <v>2413130</v>
      </c>
      <c r="D27" s="10">
        <f>'Adj List'!E9</f>
        <v>252698.89300999884</v>
      </c>
      <c r="E27" s="10">
        <f t="shared" si="7"/>
        <v>2665828.8930099988</v>
      </c>
      <c r="F27" s="10">
        <f t="shared" si="10"/>
        <v>2665828.8930099988</v>
      </c>
      <c r="G27" s="10">
        <f t="shared" si="9"/>
        <v>2665828.8930099988</v>
      </c>
      <c r="H27" s="9"/>
      <c r="I27" s="9"/>
      <c r="L27" s="9"/>
    </row>
    <row r="28" spans="1:12">
      <c r="A28" s="5">
        <f t="shared" si="0"/>
        <v>19</v>
      </c>
      <c r="B28" s="2" t="s">
        <v>29</v>
      </c>
      <c r="C28" s="10">
        <v>96409</v>
      </c>
      <c r="D28" s="10"/>
      <c r="E28" s="10">
        <f t="shared" si="7"/>
        <v>96409</v>
      </c>
      <c r="F28" s="10">
        <f t="shared" si="10"/>
        <v>96409</v>
      </c>
      <c r="G28" s="10">
        <f t="shared" si="9"/>
        <v>96409</v>
      </c>
      <c r="H28" s="9"/>
      <c r="I28" s="9"/>
      <c r="L28" s="9"/>
    </row>
    <row r="29" spans="1:12">
      <c r="A29" s="5">
        <f t="shared" si="0"/>
        <v>20</v>
      </c>
      <c r="B29" s="2" t="s">
        <v>30</v>
      </c>
      <c r="C29" s="10">
        <v>3543</v>
      </c>
      <c r="D29" s="10"/>
      <c r="E29" s="10">
        <f t="shared" si="7"/>
        <v>3543</v>
      </c>
      <c r="F29" s="10">
        <f t="shared" si="10"/>
        <v>3543</v>
      </c>
      <c r="G29" s="10">
        <f t="shared" si="9"/>
        <v>3543</v>
      </c>
      <c r="H29" s="9"/>
      <c r="I29" s="9"/>
      <c r="L29" s="9"/>
    </row>
    <row r="30" spans="1:12">
      <c r="A30" s="5">
        <f t="shared" si="0"/>
        <v>21</v>
      </c>
      <c r="C30" s="10"/>
      <c r="D30" s="10"/>
      <c r="E30" s="10"/>
      <c r="F30" s="10"/>
      <c r="G30" s="10"/>
      <c r="H30" s="9"/>
      <c r="I30" s="9"/>
      <c r="L30" s="9"/>
    </row>
    <row r="31" spans="1:12">
      <c r="A31" s="5">
        <f t="shared" si="0"/>
        <v>22</v>
      </c>
      <c r="B31" s="14" t="s">
        <v>31</v>
      </c>
      <c r="C31" s="15">
        <f t="shared" ref="C31:F31" si="11">SUM(C22:C29)</f>
        <v>60066715</v>
      </c>
      <c r="D31" s="15">
        <f t="shared" si="11"/>
        <v>-8116710.1549445763</v>
      </c>
      <c r="E31" s="15">
        <f t="shared" si="11"/>
        <v>51950004.845055416</v>
      </c>
      <c r="F31" s="15">
        <f t="shared" si="11"/>
        <v>51950004.845055416</v>
      </c>
      <c r="G31" s="15">
        <f t="shared" ref="G31" si="12">SUM(G22:G29)</f>
        <v>51950004.845055416</v>
      </c>
      <c r="H31" s="9"/>
      <c r="I31" s="9"/>
      <c r="L31" s="9"/>
    </row>
    <row r="32" spans="1:12">
      <c r="A32" s="5">
        <f t="shared" si="0"/>
        <v>23</v>
      </c>
      <c r="C32" s="10"/>
      <c r="D32" s="10"/>
      <c r="E32" s="10"/>
      <c r="F32" s="10"/>
      <c r="G32" s="10"/>
      <c r="H32" s="9"/>
      <c r="I32" s="9"/>
      <c r="L32" s="9"/>
    </row>
    <row r="33" spans="1:12" ht="13.5" thickBot="1">
      <c r="A33" s="5">
        <f t="shared" si="0"/>
        <v>24</v>
      </c>
      <c r="B33" s="16" t="s">
        <v>32</v>
      </c>
      <c r="C33" s="17">
        <f t="shared" ref="C33:F33" si="13">C12-C31</f>
        <v>343844.96000000089</v>
      </c>
      <c r="D33" s="17">
        <f t="shared" si="13"/>
        <v>-453896.96505542286</v>
      </c>
      <c r="E33" s="17">
        <f t="shared" si="13"/>
        <v>-110052.00505541265</v>
      </c>
      <c r="F33" s="17">
        <f t="shared" si="13"/>
        <v>2000889.2630100027</v>
      </c>
      <c r="G33" s="17">
        <f t="shared" ref="G33" si="14">G12-G31</f>
        <v>2255784.5590585023</v>
      </c>
      <c r="H33" s="9"/>
      <c r="I33" s="9"/>
      <c r="L33" s="9"/>
    </row>
    <row r="34" spans="1:12" ht="13.5" thickTop="1">
      <c r="A34" s="5">
        <f t="shared" si="0"/>
        <v>25</v>
      </c>
      <c r="C34" s="10"/>
      <c r="D34" s="10"/>
      <c r="E34" s="10"/>
      <c r="F34" s="10"/>
      <c r="G34" s="10"/>
      <c r="H34" s="9"/>
      <c r="I34" s="9"/>
      <c r="L34" s="9"/>
    </row>
    <row r="35" spans="1:12">
      <c r="A35" s="5">
        <f t="shared" si="0"/>
        <v>26</v>
      </c>
      <c r="B35" s="2" t="s">
        <v>33</v>
      </c>
      <c r="C35" s="10">
        <v>74695</v>
      </c>
      <c r="D35" s="10"/>
      <c r="E35" s="10">
        <f>C35+D35</f>
        <v>74695</v>
      </c>
      <c r="F35" s="10">
        <f t="shared" ref="F35:F39" si="15">E35</f>
        <v>74695</v>
      </c>
      <c r="G35" s="10">
        <f>E35</f>
        <v>74695</v>
      </c>
      <c r="H35" s="9"/>
      <c r="I35" s="9"/>
      <c r="L35" s="9"/>
    </row>
    <row r="36" spans="1:12">
      <c r="A36" s="5" t="s">
        <v>34</v>
      </c>
      <c r="B36" s="2" t="s">
        <v>35</v>
      </c>
      <c r="C36" s="10">
        <v>289153</v>
      </c>
      <c r="D36" s="10"/>
      <c r="E36" s="10">
        <f>C36+D36</f>
        <v>289153</v>
      </c>
      <c r="F36" s="10">
        <f t="shared" si="15"/>
        <v>289153</v>
      </c>
      <c r="G36" s="10">
        <f t="shared" ref="G36:G39" si="16">E36</f>
        <v>289153</v>
      </c>
      <c r="H36" s="9"/>
      <c r="I36" s="9"/>
      <c r="L36" s="9"/>
    </row>
    <row r="37" spans="1:12">
      <c r="A37" s="5">
        <f>A35+1</f>
        <v>27</v>
      </c>
      <c r="B37" s="2" t="s">
        <v>36</v>
      </c>
      <c r="C37" s="10">
        <v>440187</v>
      </c>
      <c r="D37" s="10">
        <f>'Adj List'!F23</f>
        <v>-410199.37</v>
      </c>
      <c r="E37" s="10">
        <f>C37+D37</f>
        <v>29987.630000000005</v>
      </c>
      <c r="F37" s="10">
        <f t="shared" si="15"/>
        <v>29987.630000000005</v>
      </c>
      <c r="G37" s="10">
        <f t="shared" si="16"/>
        <v>29987.630000000005</v>
      </c>
      <c r="H37" s="9"/>
      <c r="I37" s="9"/>
      <c r="L37" s="9"/>
    </row>
    <row r="38" spans="1:12">
      <c r="A38" s="5">
        <f t="shared" si="0"/>
        <v>28</v>
      </c>
      <c r="B38" s="2" t="s">
        <v>37</v>
      </c>
      <c r="C38" s="10">
        <v>277928</v>
      </c>
      <c r="D38" s="10">
        <f>'Adj List'!F21</f>
        <v>-277928</v>
      </c>
      <c r="E38" s="10">
        <f>C38+D38</f>
        <v>0</v>
      </c>
      <c r="F38" s="10">
        <f t="shared" si="15"/>
        <v>0</v>
      </c>
      <c r="G38" s="10">
        <f t="shared" si="16"/>
        <v>0</v>
      </c>
      <c r="H38" s="9"/>
      <c r="I38" s="9"/>
      <c r="L38" s="9"/>
    </row>
    <row r="39" spans="1:12">
      <c r="A39" s="5">
        <f t="shared" si="0"/>
        <v>29</v>
      </c>
      <c r="B39" s="2" t="s">
        <v>38</v>
      </c>
      <c r="C39" s="10">
        <v>271104</v>
      </c>
      <c r="D39" s="10"/>
      <c r="E39" s="10">
        <f>C39+D39</f>
        <v>271104</v>
      </c>
      <c r="F39" s="10">
        <f t="shared" si="15"/>
        <v>271104</v>
      </c>
      <c r="G39" s="10">
        <f t="shared" si="16"/>
        <v>271104</v>
      </c>
      <c r="H39" s="9"/>
      <c r="I39" s="9"/>
      <c r="L39" s="9"/>
    </row>
    <row r="40" spans="1:12">
      <c r="A40" s="5">
        <f t="shared" si="0"/>
        <v>30</v>
      </c>
      <c r="C40" s="10"/>
      <c r="D40" s="10"/>
      <c r="E40" s="10"/>
      <c r="F40" s="10"/>
      <c r="G40" s="10"/>
      <c r="H40" s="9"/>
      <c r="I40" s="9"/>
      <c r="L40" s="9"/>
    </row>
    <row r="41" spans="1:12" ht="13.5" thickBot="1">
      <c r="A41" s="5">
        <f t="shared" si="0"/>
        <v>31</v>
      </c>
      <c r="B41" s="16" t="s">
        <v>39</v>
      </c>
      <c r="C41" s="17">
        <f t="shared" ref="C41:F41" si="17">C33+SUM(C35:C39)</f>
        <v>1696911.9600000009</v>
      </c>
      <c r="D41" s="17">
        <f t="shared" si="17"/>
        <v>-1142024.335055423</v>
      </c>
      <c r="E41" s="17">
        <f t="shared" si="17"/>
        <v>554887.62494458735</v>
      </c>
      <c r="F41" s="17">
        <f t="shared" si="17"/>
        <v>2665828.8930100026</v>
      </c>
      <c r="G41" s="17">
        <f t="shared" ref="G41" si="18">G33+SUM(G35:G39)</f>
        <v>2920724.1890585022</v>
      </c>
      <c r="H41" s="9"/>
      <c r="I41" s="9"/>
      <c r="L41" s="9"/>
    </row>
    <row r="42" spans="1:12" ht="13.5" thickTop="1">
      <c r="A42" s="5">
        <f t="shared" si="0"/>
        <v>32</v>
      </c>
      <c r="C42" s="10"/>
      <c r="D42" s="10"/>
      <c r="E42" s="10"/>
      <c r="F42" s="10"/>
      <c r="G42" s="10"/>
      <c r="H42" s="9"/>
      <c r="I42" s="9"/>
    </row>
    <row r="43" spans="1:12">
      <c r="A43" s="5">
        <f t="shared" si="0"/>
        <v>33</v>
      </c>
      <c r="B43" s="2" t="s">
        <v>40</v>
      </c>
      <c r="C43" s="10">
        <v>10170</v>
      </c>
      <c r="D43" s="10"/>
      <c r="E43" s="10">
        <f>C43+D43</f>
        <v>10170</v>
      </c>
      <c r="F43" s="10">
        <f>E43</f>
        <v>10170</v>
      </c>
      <c r="G43" s="10">
        <f>E43</f>
        <v>10170</v>
      </c>
      <c r="H43" s="9"/>
      <c r="I43" s="9"/>
    </row>
    <row r="44" spans="1:12">
      <c r="A44" s="5">
        <f t="shared" si="0"/>
        <v>34</v>
      </c>
      <c r="B44" s="2" t="s">
        <v>41</v>
      </c>
      <c r="C44" s="13">
        <f>(C33+C43+C27)/C27</f>
        <v>1.1467036421576959</v>
      </c>
      <c r="D44" s="10"/>
      <c r="E44" s="13">
        <f>(E33+E43+E27)/E27</f>
        <v>0.96253247711535028</v>
      </c>
      <c r="F44" s="13">
        <f>(F33+F43+F27)/F27</f>
        <v>1.7543842248402173</v>
      </c>
      <c r="G44" s="184">
        <f>(G33+G43+G27)/G27</f>
        <v>1.8500000000000012</v>
      </c>
      <c r="H44" s="24"/>
      <c r="I44" s="24"/>
    </row>
    <row r="45" spans="1:12">
      <c r="A45" s="5">
        <f t="shared" si="0"/>
        <v>35</v>
      </c>
      <c r="B45" s="2" t="s">
        <v>42</v>
      </c>
      <c r="C45" s="13">
        <f>(C41+C27)/C27</f>
        <v>1.7031995623940694</v>
      </c>
      <c r="D45" s="10"/>
      <c r="E45" s="13">
        <f>(E41+E27)/E27</f>
        <v>1.2081482522751343</v>
      </c>
      <c r="F45" s="184">
        <f>(F41+F27)/F27</f>
        <v>2.0000000000000013</v>
      </c>
      <c r="G45" s="23">
        <f>(G41+G27)/G27</f>
        <v>2.0956157751597853</v>
      </c>
      <c r="H45" s="24"/>
      <c r="I45" s="24"/>
    </row>
    <row r="46" spans="1:12">
      <c r="A46" s="5">
        <f t="shared" si="0"/>
        <v>36</v>
      </c>
      <c r="B46" s="2" t="s">
        <v>43</v>
      </c>
      <c r="C46" s="13">
        <f>(C27+C41-C38)/C27</f>
        <v>1.5880263226597824</v>
      </c>
      <c r="D46" s="10"/>
      <c r="E46" s="13">
        <f>(E27+E41-E38)/E27</f>
        <v>1.2081482522751343</v>
      </c>
      <c r="F46" s="13">
        <f>(F27+F41-F38)/F27</f>
        <v>2.0000000000000013</v>
      </c>
      <c r="G46" s="13">
        <f>(G27+G41-G38)/G27</f>
        <v>2.0956157751597853</v>
      </c>
      <c r="H46" s="24"/>
      <c r="I46" s="24"/>
    </row>
    <row r="47" spans="1:12">
      <c r="A47" s="5">
        <f t="shared" si="0"/>
        <v>37</v>
      </c>
      <c r="H47" s="9"/>
      <c r="I47" s="9"/>
    </row>
    <row r="48" spans="1:12" hidden="1">
      <c r="A48" s="5">
        <f t="shared" si="0"/>
        <v>38</v>
      </c>
      <c r="B48" s="2" t="s">
        <v>44</v>
      </c>
      <c r="C48" s="13">
        <v>2</v>
      </c>
      <c r="D48" s="10"/>
      <c r="E48" s="13">
        <f>C48</f>
        <v>2</v>
      </c>
      <c r="F48" s="13">
        <v>2</v>
      </c>
      <c r="G48" s="13">
        <v>2</v>
      </c>
      <c r="H48" s="9"/>
      <c r="I48" s="9"/>
    </row>
    <row r="49" spans="1:12" hidden="1">
      <c r="A49" s="5">
        <f t="shared" si="0"/>
        <v>39</v>
      </c>
      <c r="B49" s="2" t="s">
        <v>45</v>
      </c>
      <c r="C49" s="10">
        <f>C48*C27-C27</f>
        <v>2413130</v>
      </c>
      <c r="D49" s="10"/>
      <c r="E49" s="10">
        <f>E48*E27-E27</f>
        <v>2665828.8930099988</v>
      </c>
      <c r="F49" s="10">
        <f>F48*F27-F27</f>
        <v>2665828.8930099988</v>
      </c>
      <c r="G49" s="10">
        <f>G48*G27-G27</f>
        <v>2665828.8930099988</v>
      </c>
      <c r="H49" s="9"/>
      <c r="I49" s="9"/>
    </row>
    <row r="50" spans="1:12" hidden="1">
      <c r="A50" s="5">
        <f t="shared" si="0"/>
        <v>40</v>
      </c>
      <c r="B50" s="2" t="s">
        <v>50</v>
      </c>
      <c r="C50" s="10">
        <f>C31+C49</f>
        <v>62479845</v>
      </c>
      <c r="D50" s="10"/>
      <c r="E50" s="10">
        <f>E31+E49</f>
        <v>54615833.738065414</v>
      </c>
      <c r="F50" s="10">
        <f>F31+F49</f>
        <v>54615833.738065414</v>
      </c>
      <c r="G50" s="10">
        <f>G31+G49</f>
        <v>54615833.738065414</v>
      </c>
      <c r="H50" s="9"/>
      <c r="I50" s="9"/>
      <c r="L50" s="19"/>
    </row>
    <row r="51" spans="1:12" hidden="1">
      <c r="A51" s="5">
        <f t="shared" si="0"/>
        <v>41</v>
      </c>
      <c r="B51" s="2" t="s">
        <v>51</v>
      </c>
      <c r="C51" s="10">
        <f>C49-C41</f>
        <v>716218.03999999911</v>
      </c>
      <c r="D51" s="10"/>
      <c r="E51" s="21">
        <f>E49-E41</f>
        <v>2110941.2680654116</v>
      </c>
      <c r="F51" s="10">
        <f>F49-F41</f>
        <v>-3.7252902984619141E-9</v>
      </c>
      <c r="G51" s="10">
        <f>G49-G41</f>
        <v>-254895.29604850337</v>
      </c>
      <c r="H51" s="9"/>
      <c r="I51" s="9"/>
    </row>
    <row r="52" spans="1:12" hidden="1">
      <c r="A52" s="5">
        <f t="shared" si="0"/>
        <v>42</v>
      </c>
      <c r="B52" s="2" t="s">
        <v>53</v>
      </c>
      <c r="C52" s="20"/>
      <c r="D52" s="22"/>
      <c r="E52" s="23">
        <f>ROUND(E46-C48,2)</f>
        <v>-0.79</v>
      </c>
      <c r="F52" s="23">
        <f>ROUND(F46-C48,2)</f>
        <v>0</v>
      </c>
      <c r="G52" s="23">
        <f>ROUND(G46-C48,2)</f>
        <v>0.1</v>
      </c>
      <c r="H52" s="9"/>
      <c r="I52" s="9"/>
    </row>
    <row r="53" spans="1:12" hidden="1">
      <c r="A53" s="5">
        <f t="shared" si="0"/>
        <v>43</v>
      </c>
      <c r="H53" s="24"/>
      <c r="I53" s="24"/>
    </row>
    <row r="54" spans="1:12">
      <c r="A54" s="5">
        <f>A47+1</f>
        <v>38</v>
      </c>
      <c r="B54" s="2" t="s">
        <v>47</v>
      </c>
      <c r="C54" s="2">
        <v>1.85</v>
      </c>
      <c r="E54" s="2">
        <f>C54</f>
        <v>1.85</v>
      </c>
      <c r="F54" s="2">
        <f>E54</f>
        <v>1.85</v>
      </c>
      <c r="G54" s="2">
        <f>F54</f>
        <v>1.85</v>
      </c>
      <c r="H54" s="24"/>
      <c r="I54" s="24"/>
    </row>
    <row r="55" spans="1:12">
      <c r="A55" s="5">
        <f t="shared" si="0"/>
        <v>39</v>
      </c>
      <c r="B55" s="2" t="s">
        <v>277</v>
      </c>
      <c r="C55" s="9">
        <f>C54*C27-C27-C43+SUM(C35:C39)</f>
        <v>3394057.5</v>
      </c>
      <c r="D55" s="9"/>
      <c r="E55" s="9">
        <f>E54*E27-E27-E43+SUM(E35:E39)</f>
        <v>2920724.1890584994</v>
      </c>
      <c r="F55" s="9">
        <f>F54*F27-F27-F43+SUM(F35:F39)</f>
        <v>2920724.1890584994</v>
      </c>
      <c r="G55" s="9">
        <f>G54*G27-G27-G43+SUM(G35:G39)</f>
        <v>2920724.1890584994</v>
      </c>
    </row>
    <row r="56" spans="1:12">
      <c r="A56" s="5">
        <f t="shared" si="0"/>
        <v>40</v>
      </c>
      <c r="B56" s="2" t="s">
        <v>278</v>
      </c>
      <c r="C56" s="9">
        <f>C31+C55</f>
        <v>63460772.5</v>
      </c>
      <c r="E56" s="9">
        <f t="shared" ref="E56:G56" si="19">E31+E55</f>
        <v>54870729.034113914</v>
      </c>
      <c r="F56" s="9">
        <f t="shared" si="19"/>
        <v>54870729.034113914</v>
      </c>
      <c r="G56" s="9">
        <f t="shared" si="19"/>
        <v>54870729.034113914</v>
      </c>
    </row>
    <row r="57" spans="1:12">
      <c r="A57" s="5">
        <f t="shared" si="0"/>
        <v>41</v>
      </c>
      <c r="B57" s="2" t="s">
        <v>279</v>
      </c>
      <c r="C57" s="9">
        <f>C55-C41</f>
        <v>1697145.5399999991</v>
      </c>
      <c r="D57" s="9"/>
      <c r="E57" s="312">
        <f>E55-E41</f>
        <v>2365836.5641139122</v>
      </c>
      <c r="F57" s="9">
        <f>F55-F41</f>
        <v>254895.29604849685</v>
      </c>
      <c r="G57" s="9">
        <f>G55-G41</f>
        <v>0</v>
      </c>
    </row>
    <row r="58" spans="1:12">
      <c r="A58" s="5">
        <f t="shared" si="0"/>
        <v>42</v>
      </c>
      <c r="B58" s="2" t="s">
        <v>52</v>
      </c>
      <c r="E58" s="24">
        <f>E44-E54</f>
        <v>-0.88746752288464981</v>
      </c>
      <c r="F58" s="24">
        <f t="shared" ref="F58:G58" si="20">F44-F54</f>
        <v>-9.5615775159782812E-2</v>
      </c>
      <c r="G58" s="24">
        <f t="shared" si="20"/>
        <v>0</v>
      </c>
      <c r="I58" s="9"/>
    </row>
    <row r="59" spans="1:12">
      <c r="A59" s="5">
        <f t="shared" si="0"/>
        <v>43</v>
      </c>
    </row>
    <row r="60" spans="1:12">
      <c r="A60" s="5">
        <f t="shared" si="0"/>
        <v>44</v>
      </c>
      <c r="F60" s="182" t="s">
        <v>48</v>
      </c>
      <c r="G60" s="182" t="s">
        <v>49</v>
      </c>
    </row>
    <row r="61" spans="1:12">
      <c r="A61" s="5">
        <f t="shared" si="0"/>
        <v>45</v>
      </c>
      <c r="B61" s="2" t="s">
        <v>541</v>
      </c>
      <c r="F61" s="183">
        <f>E51</f>
        <v>2110941.2680654116</v>
      </c>
      <c r="G61" s="183">
        <f>E57</f>
        <v>2365836.5641139122</v>
      </c>
    </row>
    <row r="62" spans="1:12">
      <c r="A62" s="5">
        <f t="shared" si="0"/>
        <v>46</v>
      </c>
      <c r="B62" s="2" t="s">
        <v>542</v>
      </c>
      <c r="F62" s="181">
        <f>F61/C10</f>
        <v>3.5396802206466904E-2</v>
      </c>
      <c r="G62" s="181">
        <f>G61/C10</f>
        <v>3.9670951617481222E-2</v>
      </c>
    </row>
  </sheetData>
  <pageMargins left="0.7" right="0.7" top="0.75" bottom="0.75" header="0.3" footer="0.3"/>
  <pageSetup scale="85" orientation="portrait" r:id="rId1"/>
  <headerFooter>
    <oddFooter>&amp;RExhibit  JW-2
Page &amp;P of &amp;N</oddFooter>
  </headerFooter>
  <ignoredErrors>
    <ignoredError sqref="E8 G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9"/>
  <sheetViews>
    <sheetView view="pageBreakPreview" topLeftCell="A31" zoomScaleNormal="100" zoomScaleSheetLayoutView="100" workbookViewId="0">
      <selection activeCell="I16" sqref="I16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3.28515625" style="2" customWidth="1"/>
    <col min="4" max="4" width="10.85546875" style="2" customWidth="1"/>
    <col min="5" max="5" width="4.140625" style="2" customWidth="1"/>
    <col min="6" max="6" width="15.140625" style="2" customWidth="1"/>
    <col min="7" max="9" width="14.28515625" style="2" customWidth="1"/>
    <col min="10" max="10" width="16.28515625" style="2" customWidth="1"/>
    <col min="11" max="16384" width="9.140625" style="2"/>
  </cols>
  <sheetData>
    <row r="1" spans="1:11">
      <c r="J1" s="27" t="s">
        <v>250</v>
      </c>
    </row>
    <row r="3" spans="1:11">
      <c r="J3" s="27"/>
    </row>
    <row r="4" spans="1:11">
      <c r="A4" s="295" t="str">
        <f>RevReq!A1</f>
        <v>FARMERS RECC</v>
      </c>
      <c r="B4" s="295"/>
      <c r="C4" s="295"/>
      <c r="D4" s="295"/>
      <c r="E4" s="295"/>
      <c r="F4" s="295"/>
      <c r="G4" s="295"/>
      <c r="H4" s="295"/>
      <c r="I4" s="295"/>
      <c r="J4" s="295"/>
    </row>
    <row r="5" spans="1:11">
      <c r="A5" s="295" t="str">
        <f>RevReq!A3</f>
        <v>For the 12 Months Ended December 31, 2024</v>
      </c>
      <c r="B5" s="295"/>
      <c r="C5" s="295"/>
      <c r="D5" s="295"/>
      <c r="E5" s="295"/>
      <c r="F5" s="295"/>
      <c r="G5" s="295"/>
      <c r="H5" s="295"/>
      <c r="I5" s="295"/>
      <c r="J5" s="295"/>
      <c r="K5" s="53"/>
    </row>
    <row r="6" spans="1:1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>
      <c r="A7" s="296" t="s">
        <v>251</v>
      </c>
      <c r="B7" s="296"/>
      <c r="C7" s="296"/>
      <c r="D7" s="296"/>
      <c r="E7" s="296"/>
      <c r="F7" s="296"/>
      <c r="G7" s="296"/>
      <c r="H7" s="296"/>
      <c r="I7" s="296"/>
      <c r="J7" s="296"/>
    </row>
    <row r="9" spans="1:11" ht="51">
      <c r="A9" s="5" t="s">
        <v>5</v>
      </c>
      <c r="C9" s="5" t="s">
        <v>105</v>
      </c>
      <c r="D9" s="5" t="s">
        <v>106</v>
      </c>
      <c r="E9" s="5"/>
      <c r="F9" s="29" t="s">
        <v>393</v>
      </c>
      <c r="G9" s="29" t="s">
        <v>394</v>
      </c>
      <c r="H9" s="29" t="s">
        <v>606</v>
      </c>
      <c r="I9" s="29" t="s">
        <v>607</v>
      </c>
      <c r="J9" s="5" t="s">
        <v>62</v>
      </c>
    </row>
    <row r="10" spans="1:11">
      <c r="A10" s="30" t="s">
        <v>10</v>
      </c>
      <c r="C10" s="54" t="s">
        <v>71</v>
      </c>
      <c r="D10" s="54" t="s">
        <v>72</v>
      </c>
      <c r="E10" s="5"/>
      <c r="F10" s="54" t="s">
        <v>73</v>
      </c>
      <c r="G10" s="54" t="s">
        <v>11</v>
      </c>
      <c r="H10" s="54" t="s">
        <v>12</v>
      </c>
      <c r="I10" s="54" t="s">
        <v>46</v>
      </c>
      <c r="J10" s="54" t="s">
        <v>75</v>
      </c>
    </row>
    <row r="11" spans="1:11">
      <c r="A11" s="5"/>
    </row>
    <row r="12" spans="1:11">
      <c r="A12" s="5"/>
    </row>
    <row r="13" spans="1:11">
      <c r="A13" s="5">
        <v>1</v>
      </c>
      <c r="C13" s="5">
        <v>2022</v>
      </c>
      <c r="D13" s="5" t="s">
        <v>78</v>
      </c>
      <c r="E13" s="32"/>
      <c r="F13" s="168">
        <v>24446</v>
      </c>
      <c r="G13" s="168">
        <v>1715</v>
      </c>
      <c r="H13" s="168">
        <v>95</v>
      </c>
      <c r="I13" s="168">
        <v>78</v>
      </c>
      <c r="J13" s="132"/>
    </row>
    <row r="14" spans="1:11">
      <c r="A14" s="5">
        <v>2</v>
      </c>
      <c r="C14" s="5">
        <v>2022</v>
      </c>
      <c r="D14" s="5" t="s">
        <v>79</v>
      </c>
      <c r="E14" s="32"/>
      <c r="F14" s="168">
        <v>24499</v>
      </c>
      <c r="G14" s="168">
        <v>1726</v>
      </c>
      <c r="H14" s="168">
        <v>89</v>
      </c>
      <c r="I14" s="168">
        <v>78</v>
      </c>
      <c r="J14" s="133"/>
    </row>
    <row r="15" spans="1:11">
      <c r="A15" s="5">
        <v>3</v>
      </c>
      <c r="C15" s="5">
        <v>2022</v>
      </c>
      <c r="D15" s="5" t="s">
        <v>80</v>
      </c>
      <c r="E15" s="32"/>
      <c r="F15" s="168">
        <v>24501</v>
      </c>
      <c r="G15" s="168">
        <v>1725</v>
      </c>
      <c r="H15" s="168">
        <v>86</v>
      </c>
      <c r="I15" s="168">
        <v>78</v>
      </c>
      <c r="J15" s="133"/>
    </row>
    <row r="16" spans="1:11">
      <c r="A16" s="5">
        <v>4</v>
      </c>
      <c r="C16" s="5">
        <v>2022</v>
      </c>
      <c r="D16" s="5" t="s">
        <v>81</v>
      </c>
      <c r="E16" s="32"/>
      <c r="F16" s="168">
        <v>24513</v>
      </c>
      <c r="G16" s="168">
        <v>1736</v>
      </c>
      <c r="H16" s="168">
        <v>86</v>
      </c>
      <c r="I16" s="168">
        <v>78</v>
      </c>
      <c r="J16" s="133"/>
    </row>
    <row r="17" spans="1:10">
      <c r="A17" s="5">
        <v>5</v>
      </c>
      <c r="C17" s="5">
        <v>2022</v>
      </c>
      <c r="D17" s="5" t="s">
        <v>82</v>
      </c>
      <c r="E17" s="32"/>
      <c r="F17" s="168">
        <v>24544</v>
      </c>
      <c r="G17" s="168">
        <v>1733</v>
      </c>
      <c r="H17" s="168">
        <v>82</v>
      </c>
      <c r="I17" s="168">
        <v>78</v>
      </c>
      <c r="J17" s="133"/>
    </row>
    <row r="18" spans="1:10">
      <c r="A18" s="5">
        <v>6</v>
      </c>
      <c r="C18" s="5">
        <v>2022</v>
      </c>
      <c r="D18" s="5" t="s">
        <v>83</v>
      </c>
      <c r="E18" s="32"/>
      <c r="F18" s="168">
        <v>24597</v>
      </c>
      <c r="G18" s="168">
        <v>1737</v>
      </c>
      <c r="H18" s="168">
        <v>79</v>
      </c>
      <c r="I18" s="168">
        <v>80</v>
      </c>
      <c r="J18" s="133"/>
    </row>
    <row r="19" spans="1:10">
      <c r="A19" s="5">
        <v>7</v>
      </c>
      <c r="C19" s="5">
        <v>2022</v>
      </c>
      <c r="D19" s="5" t="s">
        <v>84</v>
      </c>
      <c r="E19" s="32"/>
      <c r="F19" s="168">
        <v>24618</v>
      </c>
      <c r="G19" s="168">
        <v>1738</v>
      </c>
      <c r="H19" s="168">
        <v>77</v>
      </c>
      <c r="I19" s="168">
        <v>79</v>
      </c>
      <c r="J19" s="133"/>
    </row>
    <row r="20" spans="1:10">
      <c r="A20" s="5">
        <v>8</v>
      </c>
      <c r="C20" s="5">
        <v>2022</v>
      </c>
      <c r="D20" s="5" t="s">
        <v>85</v>
      </c>
      <c r="E20" s="32"/>
      <c r="F20" s="168">
        <v>24655</v>
      </c>
      <c r="G20" s="168">
        <v>1749</v>
      </c>
      <c r="H20" s="168">
        <v>78</v>
      </c>
      <c r="I20" s="168">
        <v>80</v>
      </c>
      <c r="J20" s="133"/>
    </row>
    <row r="21" spans="1:10">
      <c r="A21" s="5">
        <v>9</v>
      </c>
      <c r="C21" s="5">
        <v>2022</v>
      </c>
      <c r="D21" s="5" t="s">
        <v>86</v>
      </c>
      <c r="E21" s="32"/>
      <c r="F21" s="168">
        <v>24652</v>
      </c>
      <c r="G21" s="168">
        <v>1752</v>
      </c>
      <c r="H21" s="168">
        <v>78</v>
      </c>
      <c r="I21" s="168">
        <v>81</v>
      </c>
      <c r="J21" s="133"/>
    </row>
    <row r="22" spans="1:10">
      <c r="A22" s="5">
        <v>10</v>
      </c>
      <c r="C22" s="5">
        <v>2022</v>
      </c>
      <c r="D22" s="5" t="s">
        <v>87</v>
      </c>
      <c r="E22" s="32"/>
      <c r="F22" s="168">
        <v>24645</v>
      </c>
      <c r="G22" s="168">
        <v>1860</v>
      </c>
      <c r="H22" s="168">
        <v>79</v>
      </c>
      <c r="I22" s="168">
        <v>83</v>
      </c>
      <c r="J22" s="133"/>
    </row>
    <row r="23" spans="1:10">
      <c r="A23" s="5">
        <v>11</v>
      </c>
      <c r="C23" s="5">
        <v>2022</v>
      </c>
      <c r="D23" s="5" t="s">
        <v>88</v>
      </c>
      <c r="E23" s="32"/>
      <c r="F23" s="168">
        <v>24588</v>
      </c>
      <c r="G23" s="168">
        <v>1879</v>
      </c>
      <c r="H23" s="168">
        <v>77</v>
      </c>
      <c r="I23" s="168">
        <v>85</v>
      </c>
      <c r="J23" s="133"/>
    </row>
    <row r="24" spans="1:10">
      <c r="A24" s="5">
        <v>12</v>
      </c>
      <c r="C24" s="5">
        <v>2022</v>
      </c>
      <c r="D24" s="5" t="s">
        <v>89</v>
      </c>
      <c r="E24" s="32"/>
      <c r="F24" s="168">
        <v>24625</v>
      </c>
      <c r="G24" s="168">
        <v>1869</v>
      </c>
      <c r="H24" s="168">
        <v>78</v>
      </c>
      <c r="I24" s="168">
        <v>84</v>
      </c>
      <c r="J24" s="133"/>
    </row>
    <row r="25" spans="1:10">
      <c r="A25" s="5">
        <v>13</v>
      </c>
      <c r="C25" s="55" t="s">
        <v>252</v>
      </c>
      <c r="D25" s="11"/>
      <c r="E25" s="57"/>
      <c r="F25" s="134">
        <f>AVERAGE(F13:F24)</f>
        <v>24573.583333333332</v>
      </c>
      <c r="G25" s="134">
        <f>AVERAGE(G13:G24)</f>
        <v>1768.25</v>
      </c>
      <c r="H25" s="134">
        <f>AVERAGE(H13:H24)</f>
        <v>82</v>
      </c>
      <c r="I25" s="134">
        <f>AVERAGE(I13:I24)</f>
        <v>80.166666666666671</v>
      </c>
      <c r="J25" s="133"/>
    </row>
    <row r="26" spans="1:10">
      <c r="A26" s="5">
        <v>14</v>
      </c>
    </row>
    <row r="27" spans="1:10">
      <c r="A27" s="5">
        <v>15</v>
      </c>
      <c r="C27" s="135" t="s">
        <v>253</v>
      </c>
      <c r="E27" s="57"/>
      <c r="F27" s="136">
        <f>F24-F25</f>
        <v>51.416666666667879</v>
      </c>
      <c r="G27" s="136">
        <f t="shared" ref="G27:H27" si="0">G24-G25</f>
        <v>100.75</v>
      </c>
      <c r="H27" s="136">
        <f t="shared" si="0"/>
        <v>-4</v>
      </c>
      <c r="I27" s="136">
        <f t="shared" ref="I27" si="1">I24-I25</f>
        <v>3.8333333333333286</v>
      </c>
      <c r="J27" s="133"/>
    </row>
    <row r="28" spans="1:10">
      <c r="A28" s="5">
        <v>16</v>
      </c>
      <c r="D28" s="5"/>
      <c r="E28" s="57"/>
      <c r="F28" s="57"/>
      <c r="G28" s="57"/>
      <c r="H28" s="57"/>
      <c r="I28" s="57"/>
    </row>
    <row r="29" spans="1:10">
      <c r="A29" s="5">
        <v>17</v>
      </c>
      <c r="C29" s="2" t="s">
        <v>254</v>
      </c>
      <c r="D29" s="5"/>
      <c r="E29" s="57"/>
      <c r="F29" s="136">
        <v>310421953</v>
      </c>
      <c r="G29" s="136">
        <v>34413107</v>
      </c>
      <c r="H29" s="136">
        <v>263644</v>
      </c>
      <c r="I29" s="136">
        <v>1640178</v>
      </c>
      <c r="J29" s="133"/>
    </row>
    <row r="30" spans="1:10">
      <c r="A30" s="5">
        <v>18</v>
      </c>
      <c r="C30" s="2" t="s">
        <v>255</v>
      </c>
      <c r="D30" s="5"/>
      <c r="E30" s="57"/>
      <c r="F30" s="136">
        <f>F29/F25</f>
        <v>12632.343797370484</v>
      </c>
      <c r="G30" s="136">
        <f t="shared" ref="G30:H30" si="2">G29/G25</f>
        <v>19461.675102502475</v>
      </c>
      <c r="H30" s="136">
        <f t="shared" si="2"/>
        <v>3215.1707317073169</v>
      </c>
      <c r="I30" s="136">
        <f t="shared" ref="I30" si="3">I29/I25</f>
        <v>20459.60083160083</v>
      </c>
      <c r="J30" s="133"/>
    </row>
    <row r="31" spans="1:10">
      <c r="A31" s="5">
        <v>19</v>
      </c>
      <c r="C31" s="2" t="s">
        <v>256</v>
      </c>
      <c r="D31" s="5"/>
      <c r="E31" s="57"/>
      <c r="F31" s="136">
        <f>F30*F27</f>
        <v>649513.01024814765</v>
      </c>
      <c r="G31" s="136">
        <f t="shared" ref="G31:H31" si="4">G30*G27</f>
        <v>1960763.7665771244</v>
      </c>
      <c r="H31" s="136">
        <f t="shared" si="4"/>
        <v>-12860.682926829268</v>
      </c>
      <c r="I31" s="136">
        <f t="shared" ref="I31" si="5">I30*I27</f>
        <v>78428.469854469746</v>
      </c>
      <c r="J31" s="9">
        <f>SUM(F31:I31)</f>
        <v>2675844.5637529125</v>
      </c>
    </row>
    <row r="32" spans="1:10">
      <c r="A32" s="5">
        <v>20</v>
      </c>
      <c r="D32" s="5"/>
      <c r="E32" s="57"/>
      <c r="F32" s="57"/>
      <c r="G32" s="57"/>
      <c r="H32" s="57"/>
      <c r="I32" s="57"/>
    </row>
    <row r="33" spans="1:10">
      <c r="A33" s="5">
        <v>21</v>
      </c>
      <c r="C33" s="1" t="s">
        <v>258</v>
      </c>
      <c r="D33" s="5"/>
      <c r="E33" s="57"/>
      <c r="F33" s="57"/>
      <c r="G33" s="57"/>
      <c r="H33" s="57"/>
      <c r="I33" s="57"/>
    </row>
    <row r="34" spans="1:10">
      <c r="A34" s="5">
        <v>22</v>
      </c>
      <c r="C34" s="2" t="s">
        <v>259</v>
      </c>
      <c r="D34" s="5"/>
      <c r="E34" s="57"/>
      <c r="F34" s="58">
        <v>30958337.219999999</v>
      </c>
      <c r="G34" s="58">
        <v>3570621.62</v>
      </c>
      <c r="H34" s="58">
        <v>14846.68</v>
      </c>
      <c r="I34" s="58">
        <v>104713.95999999999</v>
      </c>
      <c r="J34" s="133"/>
    </row>
    <row r="35" spans="1:10">
      <c r="A35" s="5">
        <v>23</v>
      </c>
      <c r="C35" s="2" t="s">
        <v>260</v>
      </c>
      <c r="D35" s="5"/>
      <c r="E35" s="57"/>
      <c r="F35" s="137">
        <f>F34/F29</f>
        <v>9.972985776556853E-2</v>
      </c>
      <c r="G35" s="137">
        <f>G34/G29</f>
        <v>0.10375760665841652</v>
      </c>
      <c r="H35" s="137">
        <f>H34/H29</f>
        <v>5.6313361957791568E-2</v>
      </c>
      <c r="I35" s="137">
        <f>I34/I29</f>
        <v>6.3843046303510953E-2</v>
      </c>
      <c r="J35" s="133"/>
    </row>
    <row r="36" spans="1:10">
      <c r="A36" s="5">
        <v>24</v>
      </c>
      <c r="C36" s="2" t="s">
        <v>261</v>
      </c>
      <c r="D36" s="5"/>
      <c r="E36" s="57"/>
      <c r="F36" s="57">
        <f>F35*F31</f>
        <v>64775.840128934018</v>
      </c>
      <c r="G36" s="57">
        <f>G35*G31</f>
        <v>203444.15564258449</v>
      </c>
      <c r="H36" s="57">
        <f>H35*H31</f>
        <v>-724.22829268292685</v>
      </c>
      <c r="I36" s="57">
        <f>I35*I31</f>
        <v>5007.1124324324246</v>
      </c>
      <c r="J36" s="9">
        <f>SUM(F36:I36)</f>
        <v>272502.87991126801</v>
      </c>
    </row>
    <row r="37" spans="1:10">
      <c r="A37" s="5">
        <v>25</v>
      </c>
      <c r="D37" s="5"/>
      <c r="E37" s="57"/>
      <c r="F37" s="57"/>
      <c r="G37" s="57"/>
      <c r="H37" s="57"/>
      <c r="I37" s="57"/>
    </row>
    <row r="38" spans="1:10">
      <c r="A38" s="5">
        <v>26</v>
      </c>
      <c r="C38" s="1" t="s">
        <v>262</v>
      </c>
      <c r="D38" s="5"/>
      <c r="E38" s="57"/>
      <c r="F38" s="57"/>
      <c r="G38" s="57"/>
      <c r="H38" s="57"/>
      <c r="I38" s="57"/>
    </row>
    <row r="39" spans="1:10">
      <c r="A39" s="5">
        <v>27</v>
      </c>
      <c r="C39" s="2" t="s">
        <v>263</v>
      </c>
      <c r="D39" s="5"/>
      <c r="E39" s="57"/>
      <c r="F39" s="138">
        <f>G56/G57</f>
        <v>6.7172714472354025E-2</v>
      </c>
      <c r="G39" s="138">
        <f>F39</f>
        <v>6.7172714472354025E-2</v>
      </c>
      <c r="H39" s="138">
        <f>G39</f>
        <v>6.7172714472354025E-2</v>
      </c>
      <c r="I39" s="138">
        <f>H39</f>
        <v>6.7172714472354025E-2</v>
      </c>
      <c r="J39" s="133"/>
    </row>
    <row r="40" spans="1:10">
      <c r="A40" s="5">
        <v>28</v>
      </c>
      <c r="C40" s="2" t="s">
        <v>264</v>
      </c>
      <c r="D40" s="5"/>
      <c r="E40" s="57"/>
      <c r="F40" s="57">
        <f>F39*F31</f>
        <v>43629.551983477977</v>
      </c>
      <c r="G40" s="57">
        <f>G39*G31</f>
        <v>131709.82464002259</v>
      </c>
      <c r="H40" s="57">
        <f>H39*H31</f>
        <v>-863.88698216338071</v>
      </c>
      <c r="I40" s="57">
        <f>I39*I31</f>
        <v>5268.253212037921</v>
      </c>
      <c r="J40" s="9">
        <f>SUM(F40:I40)</f>
        <v>179743.74285337512</v>
      </c>
    </row>
    <row r="41" spans="1:10" ht="13.5" thickBot="1">
      <c r="A41" s="5">
        <v>29</v>
      </c>
      <c r="C41" s="139"/>
      <c r="D41" s="140"/>
      <c r="E41" s="141"/>
      <c r="F41" s="141"/>
      <c r="G41" s="141"/>
      <c r="H41" s="141"/>
      <c r="I41" s="141"/>
      <c r="J41" s="139"/>
    </row>
    <row r="42" spans="1:10" ht="13.5" thickTop="1">
      <c r="A42" s="5"/>
      <c r="C42" s="2" t="s">
        <v>257</v>
      </c>
      <c r="D42" s="5"/>
      <c r="E42" s="57"/>
      <c r="F42" s="57"/>
      <c r="G42" s="57"/>
      <c r="H42" s="57"/>
      <c r="I42" s="57"/>
    </row>
    <row r="43" spans="1:10">
      <c r="A43" s="5">
        <v>30</v>
      </c>
      <c r="D43" s="5"/>
      <c r="E43" s="57"/>
    </row>
    <row r="44" spans="1:10">
      <c r="A44" s="5">
        <v>31</v>
      </c>
      <c r="E44" s="57"/>
      <c r="F44" s="142" t="s">
        <v>265</v>
      </c>
      <c r="G44" s="142" t="s">
        <v>108</v>
      </c>
      <c r="I44" s="291" t="s">
        <v>608</v>
      </c>
    </row>
    <row r="45" spans="1:10">
      <c r="A45" s="5">
        <v>32</v>
      </c>
      <c r="C45" s="2" t="s">
        <v>110</v>
      </c>
      <c r="E45" s="57"/>
      <c r="F45" s="58">
        <v>0</v>
      </c>
      <c r="G45" s="58">
        <v>0</v>
      </c>
      <c r="I45" s="19">
        <f>F45-G45</f>
        <v>0</v>
      </c>
    </row>
    <row r="46" spans="1:10">
      <c r="A46" s="5">
        <v>33</v>
      </c>
      <c r="E46" s="57"/>
      <c r="F46" s="57"/>
    </row>
    <row r="47" spans="1:10">
      <c r="A47" s="5">
        <v>34</v>
      </c>
      <c r="C47" s="2" t="s">
        <v>111</v>
      </c>
      <c r="E47" s="32"/>
      <c r="F47" s="290">
        <f>J36</f>
        <v>272502.87991126801</v>
      </c>
      <c r="G47" s="290">
        <f>J40</f>
        <v>179743.74285337512</v>
      </c>
      <c r="I47" s="19">
        <f>F47-G47</f>
        <v>92759.137057892891</v>
      </c>
    </row>
    <row r="48" spans="1:10">
      <c r="A48" s="5">
        <v>35</v>
      </c>
    </row>
    <row r="49" spans="1:10" ht="13.5" thickBot="1">
      <c r="A49" s="5">
        <v>36</v>
      </c>
      <c r="C49" s="16" t="s">
        <v>8</v>
      </c>
      <c r="D49" s="16"/>
      <c r="E49" s="59"/>
      <c r="F49" s="60">
        <f>ROUND(F47-F45,2)</f>
        <v>272502.88</v>
      </c>
      <c r="G49" s="60">
        <f>ROUND(G47-G45,2)</f>
        <v>179743.74</v>
      </c>
      <c r="I49" s="60">
        <f>F49-G49</f>
        <v>92759.140000000014</v>
      </c>
    </row>
    <row r="50" spans="1:10" ht="13.5" thickTop="1">
      <c r="A50" s="5">
        <v>37</v>
      </c>
    </row>
    <row r="51" spans="1:10">
      <c r="A51" s="5">
        <v>38</v>
      </c>
    </row>
    <row r="52" spans="1:10">
      <c r="A52" s="5">
        <v>39</v>
      </c>
      <c r="C52" s="36" t="s">
        <v>266</v>
      </c>
      <c r="G52" s="143" t="s">
        <v>267</v>
      </c>
    </row>
    <row r="53" spans="1:10">
      <c r="A53" s="5">
        <v>40</v>
      </c>
      <c r="C53" s="2" t="s">
        <v>268</v>
      </c>
      <c r="D53" s="5"/>
      <c r="E53" s="57"/>
      <c r="G53" s="57">
        <v>42568608.799999997</v>
      </c>
    </row>
    <row r="54" spans="1:10">
      <c r="A54" s="5">
        <v>41</v>
      </c>
      <c r="C54" s="2" t="s">
        <v>269</v>
      </c>
      <c r="D54" s="5"/>
      <c r="E54" s="57"/>
      <c r="G54" s="57">
        <v>-2488284</v>
      </c>
      <c r="H54" s="57"/>
      <c r="I54" s="57"/>
    </row>
    <row r="55" spans="1:10">
      <c r="A55" s="5">
        <v>42</v>
      </c>
      <c r="C55" s="2" t="s">
        <v>270</v>
      </c>
      <c r="D55" s="5"/>
      <c r="E55" s="57"/>
      <c r="G55" s="57">
        <v>-6361321</v>
      </c>
      <c r="H55" s="57"/>
      <c r="I55" s="57"/>
    </row>
    <row r="56" spans="1:10">
      <c r="A56" s="5">
        <v>44</v>
      </c>
      <c r="C56" s="2" t="s">
        <v>271</v>
      </c>
      <c r="D56" s="5"/>
      <c r="E56" s="57"/>
      <c r="G56" s="57">
        <f>SUM(G53:G55)</f>
        <v>33719003.799999997</v>
      </c>
      <c r="H56" s="57"/>
      <c r="I56" s="57"/>
    </row>
    <row r="57" spans="1:10">
      <c r="A57" s="5">
        <v>45</v>
      </c>
      <c r="C57" s="2" t="s">
        <v>272</v>
      </c>
      <c r="D57" s="5"/>
      <c r="E57" s="57"/>
      <c r="G57" s="136">
        <v>501974709</v>
      </c>
      <c r="H57" s="136"/>
      <c r="I57" s="136"/>
    </row>
    <row r="59" spans="1:10" ht="27.6" customHeight="1">
      <c r="C59" s="297" t="s">
        <v>273</v>
      </c>
      <c r="D59" s="297"/>
      <c r="E59" s="297"/>
      <c r="F59" s="297"/>
      <c r="G59" s="297"/>
      <c r="H59" s="281"/>
      <c r="I59" s="281"/>
      <c r="J59" s="159"/>
    </row>
  </sheetData>
  <mergeCells count="4">
    <mergeCell ref="A4:J4"/>
    <mergeCell ref="A5:J5"/>
    <mergeCell ref="A7:J7"/>
    <mergeCell ref="C59:G59"/>
  </mergeCells>
  <printOptions horizontalCentered="1"/>
  <pageMargins left="0.7" right="0.7" top="0.75" bottom="0.75" header="0.3" footer="0.3"/>
  <pageSetup scale="81" fitToHeight="0" orientation="portrait" r:id="rId1"/>
  <headerFooter>
    <oddFooter>&amp;RExhibit  JW-2
Page &amp;P of &amp;N</oddFooter>
  </headerFooter>
  <rowBreaks count="1" manualBreakCount="1">
    <brk id="41" max="16383" man="1"/>
  </rowBreaks>
  <ignoredErrors>
    <ignoredError sqref="C10:G10 H10:J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4"/>
  <sheetViews>
    <sheetView view="pageBreakPreview" topLeftCell="A16" zoomScaleNormal="100" zoomScaleSheetLayoutView="100" workbookViewId="0">
      <selection activeCell="I34" sqref="I34"/>
    </sheetView>
  </sheetViews>
  <sheetFormatPr defaultColWidth="8.85546875" defaultRowHeight="12.75"/>
  <cols>
    <col min="1" max="1" width="5.42578125" style="37" customWidth="1"/>
    <col min="2" max="2" width="24.7109375" style="37" customWidth="1"/>
    <col min="3" max="3" width="11.5703125" style="37" bestFit="1" customWidth="1"/>
    <col min="4" max="4" width="12" style="37" bestFit="1" customWidth="1"/>
    <col min="5" max="5" width="11.5703125" style="37" bestFit="1" customWidth="1"/>
    <col min="6" max="6" width="8.140625" style="37" bestFit="1" customWidth="1"/>
    <col min="7" max="7" width="14.42578125" style="37" customWidth="1"/>
    <col min="8" max="10" width="18.140625" style="37" customWidth="1"/>
    <col min="11" max="11" width="10.5703125" style="37" bestFit="1" customWidth="1"/>
    <col min="12" max="16384" width="8.85546875" style="37"/>
  </cols>
  <sheetData>
    <row r="1" spans="1:11">
      <c r="G1" s="26" t="s">
        <v>141</v>
      </c>
    </row>
    <row r="2" spans="1:11">
      <c r="A2" s="43"/>
      <c r="C2" s="76"/>
      <c r="D2" s="26"/>
      <c r="G2" s="26"/>
    </row>
    <row r="3" spans="1:11">
      <c r="A3" s="43"/>
      <c r="C3" s="76"/>
      <c r="E3" s="26"/>
    </row>
    <row r="4" spans="1:11">
      <c r="A4" s="299" t="s">
        <v>533</v>
      </c>
      <c r="B4" s="299"/>
      <c r="C4" s="299"/>
      <c r="D4" s="299"/>
      <c r="E4" s="299"/>
      <c r="F4" s="299"/>
      <c r="G4" s="299"/>
    </row>
    <row r="5" spans="1:11">
      <c r="A5" s="299" t="s">
        <v>557</v>
      </c>
      <c r="B5" s="299"/>
      <c r="C5" s="299"/>
      <c r="D5" s="299"/>
      <c r="E5" s="299"/>
      <c r="F5" s="299"/>
      <c r="G5" s="299"/>
      <c r="K5" s="34"/>
    </row>
    <row r="6" spans="1:11">
      <c r="A6" s="192"/>
      <c r="B6" s="192"/>
      <c r="C6" s="192"/>
      <c r="D6" s="192"/>
      <c r="E6" s="192"/>
      <c r="F6" s="192"/>
      <c r="G6" s="192"/>
      <c r="K6" s="34"/>
    </row>
    <row r="7" spans="1:11">
      <c r="A7" s="300" t="s">
        <v>567</v>
      </c>
      <c r="B7" s="300"/>
      <c r="C7" s="300"/>
      <c r="D7" s="300"/>
      <c r="E7" s="300"/>
      <c r="F7" s="300"/>
      <c r="G7" s="300"/>
    </row>
    <row r="8" spans="1:11">
      <c r="A8" s="193"/>
      <c r="B8" s="193"/>
      <c r="C8" s="193"/>
      <c r="D8" s="193"/>
      <c r="E8" s="193"/>
      <c r="F8" s="193"/>
      <c r="G8" s="193"/>
    </row>
    <row r="9" spans="1:11">
      <c r="A9" s="49"/>
      <c r="B9" s="49" t="s">
        <v>568</v>
      </c>
      <c r="C9" s="49" t="s">
        <v>569</v>
      </c>
      <c r="D9" s="49" t="s">
        <v>570</v>
      </c>
      <c r="E9" s="49" t="s">
        <v>571</v>
      </c>
      <c r="F9" s="49" t="s">
        <v>572</v>
      </c>
      <c r="G9" s="49" t="s">
        <v>573</v>
      </c>
      <c r="H9" s="48"/>
      <c r="I9" s="48"/>
      <c r="J9" s="48"/>
    </row>
    <row r="10" spans="1:11">
      <c r="A10" s="244" t="s">
        <v>10</v>
      </c>
      <c r="B10" s="287" t="s">
        <v>71</v>
      </c>
      <c r="C10" s="287" t="s">
        <v>72</v>
      </c>
      <c r="D10" s="287" t="s">
        <v>73</v>
      </c>
      <c r="E10" s="287" t="s">
        <v>11</v>
      </c>
      <c r="F10" s="287" t="s">
        <v>12</v>
      </c>
      <c r="G10" s="287" t="s">
        <v>46</v>
      </c>
      <c r="H10" s="49"/>
      <c r="I10" s="49"/>
      <c r="J10" s="49"/>
    </row>
    <row r="11" spans="1:11">
      <c r="K11" s="62"/>
    </row>
    <row r="12" spans="1:11">
      <c r="A12" s="43">
        <v>1</v>
      </c>
      <c r="B12" s="282" t="s">
        <v>574</v>
      </c>
      <c r="K12" s="62"/>
    </row>
    <row r="13" spans="1:11">
      <c r="A13" s="43">
        <v>2</v>
      </c>
      <c r="B13" s="37" t="s">
        <v>74</v>
      </c>
      <c r="C13" s="69">
        <v>96901</v>
      </c>
      <c r="D13" s="283">
        <v>0.1</v>
      </c>
      <c r="E13" s="69">
        <v>9691</v>
      </c>
      <c r="F13" s="283">
        <f>1-D13</f>
        <v>0.9</v>
      </c>
      <c r="G13" s="88">
        <f>C13-E13</f>
        <v>87210</v>
      </c>
      <c r="K13" s="62"/>
    </row>
    <row r="14" spans="1:11">
      <c r="A14" s="43">
        <v>3</v>
      </c>
      <c r="B14" s="37" t="s">
        <v>575</v>
      </c>
      <c r="C14" s="69">
        <v>121091</v>
      </c>
      <c r="D14" s="283">
        <v>0.1</v>
      </c>
      <c r="E14" s="69">
        <v>12110</v>
      </c>
      <c r="F14" s="283">
        <f t="shared" ref="F14:F16" si="0">1-D14</f>
        <v>0.9</v>
      </c>
      <c r="G14" s="88">
        <f t="shared" ref="G14:G16" si="1">C14-E14</f>
        <v>108981</v>
      </c>
      <c r="K14" s="62"/>
    </row>
    <row r="15" spans="1:11">
      <c r="A15" s="43">
        <v>4</v>
      </c>
      <c r="B15" s="37" t="s">
        <v>576</v>
      </c>
      <c r="C15" s="69">
        <v>130286</v>
      </c>
      <c r="D15" s="283">
        <v>0.1</v>
      </c>
      <c r="E15" s="69">
        <v>13029</v>
      </c>
      <c r="F15" s="283">
        <f t="shared" si="0"/>
        <v>0.9</v>
      </c>
      <c r="G15" s="88">
        <f t="shared" si="1"/>
        <v>117257</v>
      </c>
      <c r="K15" s="62"/>
    </row>
    <row r="16" spans="1:11">
      <c r="A16" s="43">
        <v>5</v>
      </c>
      <c r="B16" s="61" t="s">
        <v>577</v>
      </c>
      <c r="C16" s="173">
        <v>626086</v>
      </c>
      <c r="D16" s="284">
        <v>0.1</v>
      </c>
      <c r="E16" s="173">
        <v>62347</v>
      </c>
      <c r="F16" s="283">
        <f t="shared" si="0"/>
        <v>0.9</v>
      </c>
      <c r="G16" s="285">
        <f t="shared" si="1"/>
        <v>563739</v>
      </c>
      <c r="K16" s="62"/>
    </row>
    <row r="17" spans="1:11">
      <c r="A17" s="43">
        <v>6</v>
      </c>
      <c r="B17" s="37" t="s">
        <v>109</v>
      </c>
      <c r="C17" s="88">
        <f>SUM(C13:C16)</f>
        <v>974364</v>
      </c>
      <c r="E17" s="88">
        <f>SUM(E13:E16)</f>
        <v>97177</v>
      </c>
      <c r="F17" s="47"/>
      <c r="G17" s="88">
        <f>SUM(G13:G16)</f>
        <v>877187</v>
      </c>
      <c r="K17" s="62"/>
    </row>
    <row r="18" spans="1:11">
      <c r="A18" s="43">
        <v>7</v>
      </c>
      <c r="K18" s="62"/>
    </row>
    <row r="19" spans="1:11">
      <c r="A19" s="43">
        <v>8</v>
      </c>
      <c r="K19" s="62"/>
    </row>
    <row r="20" spans="1:11">
      <c r="A20" s="43">
        <v>9</v>
      </c>
      <c r="B20" s="282" t="s">
        <v>578</v>
      </c>
      <c r="K20" s="62"/>
    </row>
    <row r="21" spans="1:11">
      <c r="A21" s="43">
        <v>10</v>
      </c>
      <c r="B21" s="37" t="s">
        <v>74</v>
      </c>
      <c r="C21" s="69">
        <v>96901</v>
      </c>
      <c r="D21" s="283">
        <v>0.12</v>
      </c>
      <c r="E21" s="44">
        <f>C21*D21</f>
        <v>11628.119999999999</v>
      </c>
      <c r="F21" s="283">
        <f>1-D21</f>
        <v>0.88</v>
      </c>
      <c r="G21" s="88">
        <f>C21-E21</f>
        <v>85272.88</v>
      </c>
      <c r="K21" s="62"/>
    </row>
    <row r="22" spans="1:11">
      <c r="A22" s="43">
        <v>11</v>
      </c>
      <c r="B22" s="37" t="s">
        <v>575</v>
      </c>
      <c r="C22" s="69">
        <v>121091</v>
      </c>
      <c r="D22" s="283">
        <v>0.12</v>
      </c>
      <c r="E22" s="69">
        <f t="shared" ref="E22:E24" si="2">C22*D22</f>
        <v>14530.92</v>
      </c>
      <c r="F22" s="283">
        <f t="shared" ref="F22:F24" si="3">1-D22</f>
        <v>0.88</v>
      </c>
      <c r="G22" s="88">
        <f t="shared" ref="G22:G24" si="4">C22-E22</f>
        <v>106560.08</v>
      </c>
      <c r="K22" s="62"/>
    </row>
    <row r="23" spans="1:11">
      <c r="A23" s="43">
        <v>12</v>
      </c>
      <c r="B23" s="37" t="s">
        <v>576</v>
      </c>
      <c r="C23" s="69">
        <v>130286</v>
      </c>
      <c r="D23" s="283">
        <v>0.12</v>
      </c>
      <c r="E23" s="69">
        <f t="shared" si="2"/>
        <v>15634.32</v>
      </c>
      <c r="F23" s="283">
        <f t="shared" si="3"/>
        <v>0.88</v>
      </c>
      <c r="G23" s="88">
        <f t="shared" si="4"/>
        <v>114651.68</v>
      </c>
      <c r="K23" s="62"/>
    </row>
    <row r="24" spans="1:11">
      <c r="A24" s="43">
        <v>13</v>
      </c>
      <c r="B24" s="61" t="s">
        <v>577</v>
      </c>
      <c r="C24" s="173">
        <v>626086</v>
      </c>
      <c r="D24" s="284">
        <v>0.12</v>
      </c>
      <c r="E24" s="173">
        <f t="shared" si="2"/>
        <v>75130.319999999992</v>
      </c>
      <c r="F24" s="283">
        <f t="shared" si="3"/>
        <v>0.88</v>
      </c>
      <c r="G24" s="285">
        <f t="shared" si="4"/>
        <v>550955.68000000005</v>
      </c>
      <c r="K24" s="62"/>
    </row>
    <row r="25" spans="1:11">
      <c r="A25" s="43">
        <v>14</v>
      </c>
      <c r="B25" s="37" t="s">
        <v>109</v>
      </c>
      <c r="C25" s="88">
        <f>SUM(C21:C24)</f>
        <v>974364</v>
      </c>
      <c r="E25" s="88">
        <f>SUM(E21:E24)</f>
        <v>116923.68</v>
      </c>
      <c r="F25" s="47"/>
      <c r="G25" s="88">
        <f>SUM(G21:G24)</f>
        <v>857440.32000000007</v>
      </c>
    </row>
    <row r="26" spans="1:11">
      <c r="A26" s="43">
        <v>15</v>
      </c>
    </row>
    <row r="27" spans="1:11" ht="13.5" thickBot="1">
      <c r="A27" s="43">
        <v>16</v>
      </c>
      <c r="B27" s="205" t="s">
        <v>8</v>
      </c>
      <c r="C27" s="205"/>
      <c r="D27" s="205"/>
      <c r="E27" s="205"/>
      <c r="F27" s="205"/>
      <c r="G27" s="286">
        <f>G25-G17</f>
        <v>-19746.679999999935</v>
      </c>
    </row>
    <row r="28" spans="1:11" ht="13.5" thickTop="1">
      <c r="A28" s="43">
        <v>17</v>
      </c>
    </row>
    <row r="29" spans="1:11">
      <c r="A29" s="43">
        <v>18</v>
      </c>
    </row>
    <row r="30" spans="1:11">
      <c r="A30" s="43">
        <v>19</v>
      </c>
    </row>
    <row r="31" spans="1:11">
      <c r="A31" s="43">
        <v>20</v>
      </c>
      <c r="B31" s="4" t="s">
        <v>504</v>
      </c>
      <c r="C31" s="229" t="s">
        <v>383</v>
      </c>
      <c r="D31" s="229" t="s">
        <v>8</v>
      </c>
    </row>
    <row r="32" spans="1:11">
      <c r="A32" s="43">
        <v>21</v>
      </c>
      <c r="B32" s="5" t="s">
        <v>384</v>
      </c>
      <c r="C32" s="224">
        <v>0.12259540588971797</v>
      </c>
      <c r="D32" s="19">
        <f>$G$27*C32</f>
        <v>-2420.8522495743682</v>
      </c>
    </row>
    <row r="33" spans="1:4">
      <c r="A33" s="43">
        <v>22</v>
      </c>
      <c r="B33" s="5" t="s">
        <v>386</v>
      </c>
      <c r="C33" s="224">
        <v>0.20220543660841139</v>
      </c>
      <c r="D33" s="19">
        <f t="shared" ref="D33:D36" si="5">$G$27*C33</f>
        <v>-3992.8860509665719</v>
      </c>
    </row>
    <row r="34" spans="1:4">
      <c r="A34" s="43">
        <v>23</v>
      </c>
      <c r="B34" s="5" t="s">
        <v>388</v>
      </c>
      <c r="C34" s="224">
        <v>0.10039625505814737</v>
      </c>
      <c r="D34" s="19">
        <f t="shared" si="5"/>
        <v>-1982.4927218316109</v>
      </c>
    </row>
    <row r="35" spans="1:4">
      <c r="A35" s="43">
        <v>24</v>
      </c>
      <c r="B35" s="5" t="s">
        <v>505</v>
      </c>
      <c r="C35" s="224">
        <v>2.0355009061798761E-2</v>
      </c>
      <c r="D35" s="19">
        <f t="shared" si="5"/>
        <v>-401.94385034043904</v>
      </c>
    </row>
    <row r="36" spans="1:4">
      <c r="A36" s="43">
        <v>25</v>
      </c>
      <c r="B36" s="5" t="s">
        <v>389</v>
      </c>
      <c r="C36" s="224">
        <v>0.12106005977373557</v>
      </c>
      <c r="D36" s="19">
        <f t="shared" si="5"/>
        <v>-2390.534261132821</v>
      </c>
    </row>
    <row r="37" spans="1:4">
      <c r="A37" s="43">
        <v>26</v>
      </c>
      <c r="B37" s="259" t="s">
        <v>506</v>
      </c>
      <c r="C37" s="232">
        <v>0.56661216639181111</v>
      </c>
      <c r="D37" s="314">
        <f>SUM(D32:D36)</f>
        <v>-11188.709133845812</v>
      </c>
    </row>
    <row r="38" spans="1:4">
      <c r="A38" s="43">
        <v>27</v>
      </c>
      <c r="B38" s="5"/>
      <c r="C38" s="224"/>
      <c r="D38" s="2"/>
    </row>
    <row r="39" spans="1:4">
      <c r="A39" s="43">
        <v>28</v>
      </c>
      <c r="B39" s="5" t="s">
        <v>507</v>
      </c>
      <c r="C39" s="224">
        <v>0.30993156664551791</v>
      </c>
      <c r="D39" s="19">
        <f>$G$27*C39</f>
        <v>-6120.119468447695</v>
      </c>
    </row>
    <row r="40" spans="1:4">
      <c r="A40" s="43">
        <v>29</v>
      </c>
      <c r="B40" s="5" t="s">
        <v>508</v>
      </c>
      <c r="C40" s="224">
        <v>0.12345626696267104</v>
      </c>
      <c r="D40" s="19">
        <f>$G$27*C40</f>
        <v>-2437.851397706429</v>
      </c>
    </row>
    <row r="41" spans="1:4">
      <c r="A41" s="43">
        <v>30</v>
      </c>
      <c r="B41" s="55"/>
      <c r="C41" s="232">
        <v>0.43338783360818894</v>
      </c>
      <c r="D41" s="260">
        <f>SUM(D39:D40)</f>
        <v>-8557.9708661541245</v>
      </c>
    </row>
    <row r="42" spans="1:4">
      <c r="A42" s="43">
        <v>31</v>
      </c>
      <c r="B42" s="5"/>
      <c r="C42" s="224"/>
      <c r="D42" s="2"/>
    </row>
    <row r="43" spans="1:4" ht="13.5" thickBot="1">
      <c r="A43" s="43">
        <v>32</v>
      </c>
      <c r="B43" s="225"/>
      <c r="C43" s="226">
        <v>1</v>
      </c>
      <c r="D43" s="235">
        <f>D37+D41</f>
        <v>-19746.679999999935</v>
      </c>
    </row>
    <row r="44" spans="1:4" ht="13.5" thickTop="1"/>
  </sheetData>
  <mergeCells count="3">
    <mergeCell ref="A4:G4"/>
    <mergeCell ref="A5:G5"/>
    <mergeCell ref="A7:G7"/>
  </mergeCells>
  <printOptions horizontalCentered="1"/>
  <pageMargins left="0.7" right="0.7" top="0.75" bottom="0.75" header="0.3" footer="0.3"/>
  <pageSetup scale="77" orientation="portrait" r:id="rId1"/>
  <headerFooter>
    <oddFooter>&amp;RExhibit  JW-2
Page &amp;P of &amp;N</oddFooter>
  </headerFooter>
  <ignoredErrors>
    <ignoredError sqref="B10:G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zoomScaleNormal="100" zoomScaleSheetLayoutView="100" workbookViewId="0">
      <selection activeCell="H17" sqref="H17"/>
    </sheetView>
  </sheetViews>
  <sheetFormatPr defaultColWidth="8.85546875" defaultRowHeight="12.75"/>
  <cols>
    <col min="1" max="1" width="7.85546875" style="2" customWidth="1"/>
    <col min="2" max="2" width="28.85546875" style="2" customWidth="1"/>
    <col min="3" max="3" width="14.7109375" style="2" customWidth="1"/>
    <col min="4" max="4" width="16.5703125" style="2" customWidth="1"/>
    <col min="5" max="5" width="16.5703125" style="315" customWidth="1"/>
    <col min="6" max="16384" width="8.85546875" style="2"/>
  </cols>
  <sheetData>
    <row r="1" spans="1:16" ht="15" customHeight="1">
      <c r="A1" s="5"/>
      <c r="E1" s="27" t="s">
        <v>94</v>
      </c>
      <c r="F1" s="315" t="s">
        <v>64</v>
      </c>
      <c r="H1" s="27"/>
      <c r="M1" s="5"/>
      <c r="O1" s="27"/>
    </row>
    <row r="2" spans="1:16" ht="20.25" customHeight="1">
      <c r="G2" s="27"/>
      <c r="H2" s="27"/>
    </row>
    <row r="3" spans="1:16">
      <c r="G3" s="27"/>
      <c r="H3" s="27"/>
    </row>
    <row r="4" spans="1:16">
      <c r="A4" s="295" t="str">
        <f>RevReq!A1</f>
        <v>FARMERS RECC</v>
      </c>
      <c r="B4" s="295"/>
      <c r="C4" s="295"/>
      <c r="D4" s="295"/>
      <c r="E4" s="295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>
      <c r="A5" s="295" t="str">
        <f>RevReq!A3</f>
        <v>For the 12 Months Ended December 31, 2024</v>
      </c>
      <c r="B5" s="295"/>
      <c r="C5" s="295"/>
      <c r="D5" s="295"/>
      <c r="E5" s="295"/>
      <c r="F5" s="53"/>
      <c r="G5" s="53"/>
      <c r="H5" s="53"/>
      <c r="I5" s="53"/>
      <c r="J5" s="53"/>
      <c r="K5" s="53"/>
      <c r="L5" s="53"/>
      <c r="M5" s="53"/>
      <c r="N5" s="53"/>
      <c r="O5" s="53"/>
    </row>
    <row r="7" spans="1:16" s="28" customFormat="1" ht="15" customHeight="1">
      <c r="A7" s="296" t="s">
        <v>95</v>
      </c>
      <c r="B7" s="296"/>
      <c r="C7" s="296"/>
      <c r="D7" s="296"/>
      <c r="E7" s="296"/>
      <c r="F7" s="36"/>
      <c r="G7" s="36"/>
      <c r="H7" s="36"/>
      <c r="I7" s="36"/>
      <c r="J7" s="36"/>
      <c r="K7" s="36"/>
      <c r="L7" s="36"/>
      <c r="M7" s="36"/>
      <c r="N7" s="36"/>
      <c r="O7" s="36"/>
    </row>
    <row r="10" spans="1:16">
      <c r="B10" s="316"/>
      <c r="C10" s="316"/>
      <c r="D10" s="316" t="s">
        <v>62</v>
      </c>
      <c r="E10" s="317"/>
      <c r="F10" s="318"/>
      <c r="G10" s="318"/>
      <c r="H10" s="318"/>
      <c r="I10" s="318"/>
      <c r="J10" s="318"/>
      <c r="K10" s="318"/>
      <c r="L10" s="318"/>
      <c r="M10" s="318"/>
    </row>
    <row r="11" spans="1:16" s="3" customFormat="1">
      <c r="A11" s="5" t="s">
        <v>5</v>
      </c>
      <c r="B11" s="5" t="s">
        <v>92</v>
      </c>
      <c r="C11" s="5" t="s">
        <v>97</v>
      </c>
      <c r="D11" s="5" t="s">
        <v>96</v>
      </c>
      <c r="E11" s="319" t="s">
        <v>512</v>
      </c>
      <c r="F11" s="318"/>
      <c r="G11" s="318"/>
      <c r="H11" s="318"/>
      <c r="I11" s="318"/>
      <c r="J11" s="318"/>
      <c r="K11" s="318"/>
      <c r="L11" s="318"/>
      <c r="M11" s="318"/>
    </row>
    <row r="12" spans="1:16" s="3" customFormat="1">
      <c r="A12" s="30" t="s">
        <v>10</v>
      </c>
      <c r="B12" s="54" t="s">
        <v>71</v>
      </c>
      <c r="C12" s="54" t="s">
        <v>72</v>
      </c>
      <c r="D12" s="54" t="s">
        <v>73</v>
      </c>
      <c r="E12" s="320" t="s">
        <v>11</v>
      </c>
      <c r="F12" s="318"/>
      <c r="G12" s="318"/>
      <c r="H12" s="318"/>
      <c r="I12" s="318"/>
      <c r="J12" s="318"/>
      <c r="K12" s="318"/>
      <c r="L12" s="318"/>
      <c r="M12" s="318"/>
    </row>
    <row r="14" spans="1:16">
      <c r="A14" s="5">
        <v>1</v>
      </c>
      <c r="B14" s="2" t="s">
        <v>511</v>
      </c>
      <c r="C14" s="24">
        <v>930.21</v>
      </c>
      <c r="D14" s="321">
        <v>10846.670000000002</v>
      </c>
      <c r="E14" s="321">
        <f>-D14</f>
        <v>-10846.670000000002</v>
      </c>
    </row>
    <row r="15" spans="1:16">
      <c r="A15" s="5">
        <f>A14+1</f>
        <v>2</v>
      </c>
      <c r="B15" s="2" t="s">
        <v>101</v>
      </c>
      <c r="C15" s="24">
        <v>426.1</v>
      </c>
      <c r="D15" s="321">
        <v>4215</v>
      </c>
      <c r="E15" s="321">
        <f t="shared" ref="E15:E22" si="0">-D15</f>
        <v>-4215</v>
      </c>
    </row>
    <row r="16" spans="1:16">
      <c r="A16" s="5">
        <f t="shared" ref="A16:A24" si="1">A15+1</f>
        <v>3</v>
      </c>
      <c r="B16" s="2" t="s">
        <v>99</v>
      </c>
      <c r="C16" s="24">
        <v>930.1</v>
      </c>
      <c r="D16" s="321">
        <v>22799.38</v>
      </c>
      <c r="E16" s="321">
        <f t="shared" si="0"/>
        <v>-22799.38</v>
      </c>
    </row>
    <row r="17" spans="1:11">
      <c r="A17" s="5">
        <f t="shared" si="1"/>
        <v>4</v>
      </c>
      <c r="B17" s="2" t="s">
        <v>100</v>
      </c>
      <c r="C17" s="24">
        <v>930.1</v>
      </c>
      <c r="D17" s="321">
        <v>136446.13</v>
      </c>
      <c r="E17" s="321">
        <f t="shared" si="0"/>
        <v>-136446.13</v>
      </c>
    </row>
    <row r="18" spans="1:11">
      <c r="A18" s="5">
        <f t="shared" si="1"/>
        <v>5</v>
      </c>
      <c r="B18" s="2" t="s">
        <v>98</v>
      </c>
      <c r="C18" s="24">
        <v>930.2</v>
      </c>
      <c r="D18" s="321">
        <v>76148.98</v>
      </c>
      <c r="E18" s="321">
        <f t="shared" si="0"/>
        <v>-76148.98</v>
      </c>
    </row>
    <row r="19" spans="1:11">
      <c r="A19" s="5">
        <f t="shared" si="1"/>
        <v>6</v>
      </c>
      <c r="B19" s="2" t="s">
        <v>598</v>
      </c>
      <c r="C19" s="24">
        <v>930.2</v>
      </c>
      <c r="D19" s="321">
        <v>476.63</v>
      </c>
      <c r="E19" s="321">
        <f t="shared" si="0"/>
        <v>-476.63</v>
      </c>
    </row>
    <row r="20" spans="1:11">
      <c r="A20" s="5">
        <f t="shared" si="1"/>
        <v>7</v>
      </c>
      <c r="B20" s="2" t="s">
        <v>599</v>
      </c>
      <c r="C20" s="24">
        <v>930.2</v>
      </c>
      <c r="D20" s="321">
        <v>613.65</v>
      </c>
      <c r="E20" s="321">
        <f t="shared" si="0"/>
        <v>-613.65</v>
      </c>
    </row>
    <row r="21" spans="1:11">
      <c r="A21" s="5">
        <f t="shared" si="1"/>
        <v>8</v>
      </c>
      <c r="B21" s="2" t="s">
        <v>600</v>
      </c>
      <c r="C21" s="24">
        <v>930.2</v>
      </c>
      <c r="D21" s="321">
        <v>350</v>
      </c>
      <c r="E21" s="321">
        <f t="shared" si="0"/>
        <v>-350</v>
      </c>
    </row>
    <row r="22" spans="1:11">
      <c r="A22" s="5">
        <f t="shared" si="1"/>
        <v>9</v>
      </c>
      <c r="B22" s="2" t="s">
        <v>510</v>
      </c>
      <c r="C22" s="24">
        <v>930.23</v>
      </c>
      <c r="D22" s="321">
        <v>48726.549999999996</v>
      </c>
      <c r="E22" s="321">
        <f t="shared" si="0"/>
        <v>-48726.549999999996</v>
      </c>
    </row>
    <row r="23" spans="1:11">
      <c r="A23" s="5">
        <f t="shared" si="1"/>
        <v>10</v>
      </c>
    </row>
    <row r="24" spans="1:11">
      <c r="A24" s="5">
        <f t="shared" si="1"/>
        <v>11</v>
      </c>
      <c r="B24" s="2" t="s">
        <v>62</v>
      </c>
      <c r="E24" s="321">
        <f>SUM(E14:E23)</f>
        <v>-300622.99</v>
      </c>
    </row>
    <row r="27" spans="1:11">
      <c r="B27" s="297" t="s">
        <v>102</v>
      </c>
      <c r="C27" s="297"/>
      <c r="D27" s="297"/>
      <c r="E27" s="297"/>
      <c r="F27" s="168"/>
      <c r="G27" s="168"/>
      <c r="H27" s="168"/>
      <c r="I27" s="168"/>
      <c r="J27" s="168"/>
      <c r="K27" s="168"/>
    </row>
  </sheetData>
  <sortState xmlns:xlrd2="http://schemas.microsoft.com/office/spreadsheetml/2017/richdata2" ref="A14:S20">
    <sortCondition ref="B14:B20"/>
  </sortState>
  <mergeCells count="4">
    <mergeCell ref="A4:E4"/>
    <mergeCell ref="A5:E5"/>
    <mergeCell ref="A7:E7"/>
    <mergeCell ref="B27:E27"/>
  </mergeCells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2:E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7"/>
  <sheetViews>
    <sheetView view="pageBreakPreview" zoomScaleNormal="100" zoomScaleSheetLayoutView="100" workbookViewId="0">
      <selection activeCell="C44" sqref="C44"/>
    </sheetView>
  </sheetViews>
  <sheetFormatPr defaultColWidth="9.140625" defaultRowHeight="12.75"/>
  <cols>
    <col min="1" max="1" width="5.28515625" style="37" customWidth="1"/>
    <col min="2" max="2" width="24.7109375" style="37" customWidth="1"/>
    <col min="3" max="3" width="9" style="37" bestFit="1" customWidth="1"/>
    <col min="4" max="4" width="11.28515625" style="37" bestFit="1" customWidth="1"/>
    <col min="5" max="5" width="34.28515625" style="37" bestFit="1" customWidth="1"/>
    <col min="6" max="6" width="13.42578125" style="37" bestFit="1" customWidth="1"/>
    <col min="7" max="7" width="9.7109375" style="37" customWidth="1"/>
    <col min="8" max="8" width="13.7109375" style="37" customWidth="1"/>
    <col min="9" max="9" width="14" style="37" bestFit="1" customWidth="1"/>
    <col min="10" max="16384" width="9.140625" style="37"/>
  </cols>
  <sheetData>
    <row r="1" spans="1:10">
      <c r="H1" s="26" t="s">
        <v>91</v>
      </c>
    </row>
    <row r="4" spans="1:10">
      <c r="A4" s="299" t="str">
        <f>RevReq!A1</f>
        <v>FARMERS RECC</v>
      </c>
      <c r="B4" s="299"/>
      <c r="C4" s="299"/>
      <c r="D4" s="299"/>
      <c r="E4" s="299"/>
      <c r="F4" s="299"/>
      <c r="G4" s="299"/>
      <c r="H4" s="299"/>
    </row>
    <row r="5" spans="1:10">
      <c r="A5" s="299" t="str">
        <f>RevReq!A3</f>
        <v>For the 12 Months Ended December 31, 2024</v>
      </c>
      <c r="B5" s="299"/>
      <c r="C5" s="299"/>
      <c r="D5" s="299"/>
      <c r="E5" s="299"/>
      <c r="F5" s="299"/>
      <c r="G5" s="299"/>
      <c r="H5" s="299"/>
    </row>
    <row r="6" spans="1:10">
      <c r="A6" s="34"/>
      <c r="B6" s="34"/>
      <c r="C6" s="34"/>
      <c r="D6" s="34"/>
      <c r="E6" s="34"/>
      <c r="F6" s="34"/>
      <c r="G6" s="34"/>
      <c r="H6" s="34"/>
    </row>
    <row r="7" spans="1:10">
      <c r="A7" s="296" t="s">
        <v>93</v>
      </c>
      <c r="B7" s="296"/>
      <c r="C7" s="296"/>
      <c r="D7" s="296"/>
      <c r="E7" s="296"/>
      <c r="F7" s="296"/>
      <c r="G7" s="296"/>
      <c r="H7" s="296"/>
    </row>
    <row r="9" spans="1:10">
      <c r="B9" s="169"/>
      <c r="C9" s="170"/>
      <c r="D9" s="169" t="s">
        <v>515</v>
      </c>
      <c r="E9" s="169"/>
      <c r="F9" s="169" t="s">
        <v>516</v>
      </c>
      <c r="G9" s="169"/>
    </row>
    <row r="10" spans="1:10">
      <c r="A10" s="42" t="s">
        <v>10</v>
      </c>
      <c r="B10" s="185" t="s">
        <v>517</v>
      </c>
      <c r="C10" s="186" t="s">
        <v>518</v>
      </c>
      <c r="D10" s="185" t="s">
        <v>519</v>
      </c>
      <c r="E10" s="185" t="s">
        <v>6</v>
      </c>
      <c r="F10" s="185" t="s">
        <v>520</v>
      </c>
      <c r="G10" s="185" t="s">
        <v>521</v>
      </c>
      <c r="H10" s="187" t="s">
        <v>109</v>
      </c>
      <c r="I10" s="189"/>
      <c r="J10" s="189"/>
    </row>
    <row r="11" spans="1:10">
      <c r="A11" s="43"/>
      <c r="F11" s="44"/>
      <c r="G11" s="44"/>
      <c r="H11" s="167"/>
      <c r="I11" s="189"/>
      <c r="J11" s="189"/>
    </row>
    <row r="12" spans="1:10">
      <c r="A12" s="43">
        <v>1</v>
      </c>
      <c r="B12" s="171" t="s">
        <v>522</v>
      </c>
      <c r="C12" s="171" t="s">
        <v>609</v>
      </c>
      <c r="D12" s="172">
        <v>58750</v>
      </c>
      <c r="E12" s="171" t="s">
        <v>610</v>
      </c>
      <c r="F12" s="167">
        <v>600</v>
      </c>
      <c r="G12" s="167"/>
      <c r="H12" s="89">
        <f>F12+G12</f>
        <v>600</v>
      </c>
      <c r="I12" s="189"/>
      <c r="J12" s="189"/>
    </row>
    <row r="13" spans="1:10">
      <c r="A13" s="43">
        <f t="shared" ref="A13:A35" si="0">1+A12</f>
        <v>2</v>
      </c>
      <c r="B13" s="171" t="s">
        <v>525</v>
      </c>
      <c r="C13" s="171" t="s">
        <v>609</v>
      </c>
      <c r="D13" s="172">
        <v>58756</v>
      </c>
      <c r="E13" s="171" t="s">
        <v>611</v>
      </c>
      <c r="F13" s="167">
        <v>600</v>
      </c>
      <c r="G13" s="167"/>
      <c r="H13" s="89">
        <f t="shared" ref="H13:H29" si="1">F13+G13</f>
        <v>600</v>
      </c>
      <c r="I13" s="189"/>
      <c r="J13" s="189"/>
    </row>
    <row r="14" spans="1:10">
      <c r="A14" s="43">
        <f t="shared" si="0"/>
        <v>3</v>
      </c>
      <c r="B14" s="171" t="s">
        <v>525</v>
      </c>
      <c r="C14" s="171" t="s">
        <v>612</v>
      </c>
      <c r="D14" s="172">
        <v>58929</v>
      </c>
      <c r="E14" s="171" t="s">
        <v>613</v>
      </c>
      <c r="F14" s="167">
        <v>1200</v>
      </c>
      <c r="G14" s="167"/>
      <c r="H14" s="89">
        <f t="shared" si="1"/>
        <v>1200</v>
      </c>
      <c r="I14" s="189"/>
      <c r="J14" s="189"/>
    </row>
    <row r="15" spans="1:10">
      <c r="A15" s="43">
        <f t="shared" si="0"/>
        <v>4</v>
      </c>
      <c r="B15" s="171" t="s">
        <v>525</v>
      </c>
      <c r="C15" s="171" t="s">
        <v>614</v>
      </c>
      <c r="D15" s="172">
        <v>59103</v>
      </c>
      <c r="E15" s="171" t="s">
        <v>615</v>
      </c>
      <c r="F15" s="167">
        <v>300</v>
      </c>
      <c r="G15" s="167"/>
      <c r="H15" s="89">
        <f t="shared" si="1"/>
        <v>300</v>
      </c>
      <c r="I15" s="189"/>
      <c r="J15" s="189"/>
    </row>
    <row r="16" spans="1:10">
      <c r="A16" s="43">
        <f t="shared" si="0"/>
        <v>5</v>
      </c>
      <c r="B16" s="171" t="s">
        <v>522</v>
      </c>
      <c r="C16" s="171" t="s">
        <v>616</v>
      </c>
      <c r="D16" s="172">
        <v>59478</v>
      </c>
      <c r="E16" s="171" t="s">
        <v>617</v>
      </c>
      <c r="F16" s="167">
        <v>600</v>
      </c>
      <c r="G16" s="167"/>
      <c r="H16" s="89">
        <f t="shared" si="1"/>
        <v>600</v>
      </c>
      <c r="I16" s="189"/>
      <c r="J16" s="189"/>
    </row>
    <row r="17" spans="1:10">
      <c r="A17" s="43">
        <f t="shared" si="0"/>
        <v>6</v>
      </c>
      <c r="B17" s="171" t="s">
        <v>522</v>
      </c>
      <c r="C17" s="171" t="s">
        <v>618</v>
      </c>
      <c r="D17" s="172">
        <v>2444</v>
      </c>
      <c r="E17" s="171" t="s">
        <v>619</v>
      </c>
      <c r="F17" s="167">
        <v>600</v>
      </c>
      <c r="G17" s="167"/>
      <c r="H17" s="89">
        <f t="shared" si="1"/>
        <v>600</v>
      </c>
      <c r="I17" s="189"/>
      <c r="J17" s="189"/>
    </row>
    <row r="18" spans="1:10">
      <c r="A18" s="43">
        <f t="shared" si="0"/>
        <v>7</v>
      </c>
      <c r="B18" s="171" t="s">
        <v>524</v>
      </c>
      <c r="C18" s="171" t="s">
        <v>618</v>
      </c>
      <c r="D18" s="172">
        <v>2446</v>
      </c>
      <c r="E18" s="171" t="s">
        <v>620</v>
      </c>
      <c r="F18" s="167">
        <v>600</v>
      </c>
      <c r="G18" s="167"/>
      <c r="H18" s="89">
        <f t="shared" si="1"/>
        <v>600</v>
      </c>
    </row>
    <row r="19" spans="1:10">
      <c r="A19" s="43">
        <f t="shared" si="0"/>
        <v>8</v>
      </c>
      <c r="B19" s="171" t="s">
        <v>528</v>
      </c>
      <c r="C19" s="171" t="s">
        <v>618</v>
      </c>
      <c r="D19" s="172">
        <v>2448</v>
      </c>
      <c r="E19" s="171" t="s">
        <v>621</v>
      </c>
      <c r="F19" s="167">
        <v>300</v>
      </c>
      <c r="G19" s="167"/>
      <c r="H19" s="89">
        <f t="shared" si="1"/>
        <v>300</v>
      </c>
    </row>
    <row r="20" spans="1:10">
      <c r="A20" s="43">
        <f t="shared" si="0"/>
        <v>9</v>
      </c>
      <c r="B20" s="171" t="s">
        <v>526</v>
      </c>
      <c r="C20" s="171" t="s">
        <v>618</v>
      </c>
      <c r="D20" s="172">
        <v>2449</v>
      </c>
      <c r="E20" s="171" t="s">
        <v>622</v>
      </c>
      <c r="F20" s="167">
        <v>300</v>
      </c>
      <c r="G20" s="167"/>
      <c r="H20" s="89">
        <f t="shared" si="1"/>
        <v>300</v>
      </c>
    </row>
    <row r="21" spans="1:10">
      <c r="A21" s="43">
        <f t="shared" si="0"/>
        <v>10</v>
      </c>
      <c r="B21" s="171" t="s">
        <v>525</v>
      </c>
      <c r="C21" s="171" t="s">
        <v>618</v>
      </c>
      <c r="D21" s="172">
        <v>2450</v>
      </c>
      <c r="E21" s="171" t="s">
        <v>623</v>
      </c>
      <c r="F21" s="167">
        <v>600</v>
      </c>
      <c r="G21" s="167"/>
      <c r="H21" s="89">
        <f t="shared" si="1"/>
        <v>600</v>
      </c>
    </row>
    <row r="22" spans="1:10">
      <c r="A22" s="43">
        <f t="shared" si="0"/>
        <v>11</v>
      </c>
      <c r="B22" s="171" t="s">
        <v>526</v>
      </c>
      <c r="C22" s="171" t="s">
        <v>624</v>
      </c>
      <c r="D22" s="172">
        <v>2532</v>
      </c>
      <c r="E22" s="171" t="s">
        <v>625</v>
      </c>
      <c r="F22" s="167">
        <v>750</v>
      </c>
      <c r="G22" s="167"/>
      <c r="H22" s="89">
        <f t="shared" si="1"/>
        <v>750</v>
      </c>
    </row>
    <row r="23" spans="1:10">
      <c r="A23" s="43">
        <f t="shared" si="0"/>
        <v>12</v>
      </c>
      <c r="B23" s="195" t="s">
        <v>523</v>
      </c>
      <c r="C23" s="293" t="s">
        <v>626</v>
      </c>
      <c r="D23" s="292">
        <v>60375</v>
      </c>
      <c r="E23" s="293" t="s">
        <v>627</v>
      </c>
      <c r="F23" s="167"/>
      <c r="G23" s="167">
        <v>100</v>
      </c>
      <c r="H23" s="89">
        <f t="shared" si="1"/>
        <v>100</v>
      </c>
    </row>
    <row r="24" spans="1:10">
      <c r="A24" s="43">
        <f t="shared" si="0"/>
        <v>13</v>
      </c>
      <c r="B24" s="195" t="s">
        <v>524</v>
      </c>
      <c r="C24" s="293" t="s">
        <v>626</v>
      </c>
      <c r="D24" s="292">
        <v>60376</v>
      </c>
      <c r="E24" s="293" t="s">
        <v>627</v>
      </c>
      <c r="F24" s="167"/>
      <c r="G24" s="167">
        <v>100</v>
      </c>
      <c r="H24" s="89">
        <f t="shared" si="1"/>
        <v>100</v>
      </c>
    </row>
    <row r="25" spans="1:10">
      <c r="A25" s="43">
        <f t="shared" si="0"/>
        <v>14</v>
      </c>
      <c r="B25" s="195" t="s">
        <v>527</v>
      </c>
      <c r="C25" s="293" t="s">
        <v>626</v>
      </c>
      <c r="D25" s="292">
        <v>60377</v>
      </c>
      <c r="E25" s="293" t="s">
        <v>627</v>
      </c>
      <c r="F25" s="167"/>
      <c r="G25" s="167">
        <v>100</v>
      </c>
      <c r="H25" s="89">
        <f t="shared" si="1"/>
        <v>100</v>
      </c>
    </row>
    <row r="26" spans="1:10">
      <c r="A26" s="43">
        <f t="shared" si="0"/>
        <v>15</v>
      </c>
      <c r="B26" s="195" t="s">
        <v>528</v>
      </c>
      <c r="C26" s="293" t="s">
        <v>626</v>
      </c>
      <c r="D26" s="292">
        <v>60378</v>
      </c>
      <c r="E26" s="293" t="s">
        <v>627</v>
      </c>
      <c r="F26" s="167"/>
      <c r="G26" s="167">
        <v>100</v>
      </c>
      <c r="H26" s="89">
        <f t="shared" si="1"/>
        <v>100</v>
      </c>
    </row>
    <row r="27" spans="1:10">
      <c r="A27" s="43">
        <f t="shared" si="0"/>
        <v>16</v>
      </c>
      <c r="B27" s="195" t="s">
        <v>526</v>
      </c>
      <c r="C27" s="293" t="s">
        <v>626</v>
      </c>
      <c r="D27" s="292">
        <v>60379</v>
      </c>
      <c r="E27" s="293" t="s">
        <v>627</v>
      </c>
      <c r="F27" s="167"/>
      <c r="G27" s="167">
        <v>100</v>
      </c>
      <c r="H27" s="89">
        <f t="shared" si="1"/>
        <v>100</v>
      </c>
    </row>
    <row r="28" spans="1:10">
      <c r="A28" s="43">
        <f t="shared" si="0"/>
        <v>17</v>
      </c>
      <c r="B28" s="195" t="s">
        <v>525</v>
      </c>
      <c r="C28" s="293" t="s">
        <v>626</v>
      </c>
      <c r="D28" s="292">
        <v>60380</v>
      </c>
      <c r="E28" s="293" t="s">
        <v>627</v>
      </c>
      <c r="F28" s="167"/>
      <c r="G28" s="167">
        <v>100</v>
      </c>
      <c r="H28" s="89">
        <f t="shared" si="1"/>
        <v>100</v>
      </c>
    </row>
    <row r="29" spans="1:10">
      <c r="A29" s="43">
        <f t="shared" si="0"/>
        <v>18</v>
      </c>
      <c r="B29" s="195" t="s">
        <v>522</v>
      </c>
      <c r="C29" s="293" t="s">
        <v>626</v>
      </c>
      <c r="D29" s="292">
        <v>60373</v>
      </c>
      <c r="E29" s="293" t="s">
        <v>627</v>
      </c>
      <c r="F29" s="167"/>
      <c r="G29" s="167">
        <v>100</v>
      </c>
      <c r="H29" s="89">
        <f t="shared" si="1"/>
        <v>100</v>
      </c>
    </row>
    <row r="30" spans="1:10">
      <c r="A30" s="43">
        <f t="shared" si="0"/>
        <v>19</v>
      </c>
      <c r="F30" s="68"/>
      <c r="G30" s="68"/>
      <c r="H30" s="88"/>
    </row>
    <row r="31" spans="1:10">
      <c r="A31" s="43">
        <f t="shared" si="0"/>
        <v>20</v>
      </c>
      <c r="B31" s="47" t="s">
        <v>529</v>
      </c>
      <c r="C31" s="47"/>
      <c r="D31" s="47"/>
      <c r="E31" s="47"/>
      <c r="F31" s="176">
        <f>SUM(F11:F29)</f>
        <v>6450</v>
      </c>
      <c r="G31" s="176">
        <f>SUM(G11:G29)</f>
        <v>700</v>
      </c>
      <c r="H31" s="177">
        <f>SUM(H11:H29)</f>
        <v>7150</v>
      </c>
    </row>
    <row r="32" spans="1:10">
      <c r="A32" s="43">
        <f t="shared" si="0"/>
        <v>21</v>
      </c>
      <c r="F32" s="88"/>
      <c r="G32" s="88"/>
      <c r="H32" s="88"/>
    </row>
    <row r="33" spans="1:8">
      <c r="A33" s="43">
        <f t="shared" si="0"/>
        <v>22</v>
      </c>
      <c r="B33" s="37" t="s">
        <v>90</v>
      </c>
      <c r="F33" s="88"/>
      <c r="G33" s="88"/>
      <c r="H33" s="178">
        <v>0</v>
      </c>
    </row>
    <row r="34" spans="1:8">
      <c r="A34" s="43">
        <f t="shared" si="0"/>
        <v>23</v>
      </c>
      <c r="F34" s="88"/>
      <c r="G34" s="88"/>
      <c r="H34" s="178"/>
    </row>
    <row r="35" spans="1:8" ht="13.5" thickBot="1">
      <c r="A35" s="43">
        <f t="shared" si="0"/>
        <v>24</v>
      </c>
      <c r="B35" s="45" t="s">
        <v>8</v>
      </c>
      <c r="C35" s="45"/>
      <c r="D35" s="45"/>
      <c r="E35" s="45"/>
      <c r="F35" s="190"/>
      <c r="G35" s="190"/>
      <c r="H35" s="179">
        <f>H33-H31</f>
        <v>-7150</v>
      </c>
    </row>
    <row r="36" spans="1:8" ht="13.5" thickTop="1"/>
    <row r="37" spans="1:8">
      <c r="B37" s="37" t="s">
        <v>628</v>
      </c>
    </row>
  </sheetData>
  <mergeCells count="3">
    <mergeCell ref="A4:H4"/>
    <mergeCell ref="A5:H5"/>
    <mergeCell ref="A7:H7"/>
  </mergeCells>
  <printOptions horizontalCentered="1"/>
  <pageMargins left="0.7" right="0.7" top="0.75" bottom="0.75" header="0.3" footer="0.3"/>
  <pageSetup scale="70" orientation="landscape" r:id="rId1"/>
  <headerFooter>
    <oddFooter>&amp;RExhibit  JW-2
Page &amp;P of &amp;N</oddFooter>
  </headerFooter>
  <ignoredErrors>
    <ignoredError sqref="C12:C29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97"/>
  <sheetViews>
    <sheetView view="pageBreakPreview" topLeftCell="A61" zoomScaleNormal="100" zoomScaleSheetLayoutView="100" workbookViewId="0">
      <selection activeCell="L91" sqref="L91"/>
    </sheetView>
  </sheetViews>
  <sheetFormatPr defaultColWidth="9.140625" defaultRowHeight="12.75"/>
  <cols>
    <col min="1" max="1" width="4.42578125" style="322" bestFit="1" customWidth="1"/>
    <col min="2" max="2" width="8.140625" style="37" bestFit="1" customWidth="1"/>
    <col min="3" max="3" width="9.140625" style="37" customWidth="1"/>
    <col min="4" max="4" width="11.140625" style="37" customWidth="1"/>
    <col min="5" max="5" width="8.85546875" style="37" customWidth="1"/>
    <col min="6" max="6" width="10.140625" style="37" customWidth="1"/>
    <col min="7" max="7" width="11.28515625" style="37" bestFit="1" customWidth="1"/>
    <col min="8" max="8" width="8.7109375" style="37" bestFit="1" customWidth="1"/>
    <col min="9" max="9" width="10.42578125" style="37" bestFit="1" customWidth="1"/>
    <col min="10" max="10" width="9.42578125" style="37" customWidth="1"/>
    <col min="11" max="11" width="10.28515625" style="37" bestFit="1" customWidth="1"/>
    <col min="12" max="12" width="12.28515625" style="37" customWidth="1"/>
    <col min="13" max="13" width="10.28515625" style="37" bestFit="1" customWidth="1"/>
    <col min="14" max="14" width="8.7109375" style="37" bestFit="1" customWidth="1"/>
    <col min="15" max="15" width="12.7109375" style="37" hidden="1" customWidth="1"/>
    <col min="16" max="16" width="9.42578125" style="37" hidden="1" customWidth="1"/>
    <col min="17" max="17" width="14" style="37" bestFit="1" customWidth="1"/>
    <col min="18" max="18" width="13.5703125" style="37" customWidth="1"/>
    <col min="19" max="16384" width="9.140625" style="37"/>
  </cols>
  <sheetData>
    <row r="1" spans="1:18">
      <c r="R1" s="26" t="s">
        <v>539</v>
      </c>
    </row>
    <row r="2" spans="1:18">
      <c r="B2" s="39"/>
    </row>
    <row r="3" spans="1:18">
      <c r="B3" s="39"/>
    </row>
    <row r="4" spans="1:18">
      <c r="A4" s="299" t="s">
        <v>533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18">
      <c r="A5" s="299" t="s">
        <v>557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</row>
    <row r="6" spans="1:18">
      <c r="B6" s="39"/>
    </row>
    <row r="7" spans="1:18">
      <c r="B7" s="296" t="s">
        <v>54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</row>
    <row r="8" spans="1:18">
      <c r="B8" s="48"/>
    </row>
    <row r="9" spans="1:18" ht="12.75" customHeight="1">
      <c r="B9" s="303" t="s">
        <v>74</v>
      </c>
      <c r="C9" s="303"/>
      <c r="D9" s="304" t="s">
        <v>55</v>
      </c>
      <c r="E9" s="304"/>
      <c r="F9" s="304"/>
      <c r="G9" s="304" t="s">
        <v>56</v>
      </c>
      <c r="H9" s="304"/>
      <c r="I9" s="304"/>
      <c r="J9" s="304"/>
      <c r="K9" s="304"/>
      <c r="L9" s="302" t="s">
        <v>534</v>
      </c>
      <c r="M9" s="304" t="s">
        <v>57</v>
      </c>
      <c r="N9" s="304"/>
      <c r="O9" s="304"/>
      <c r="P9" s="304"/>
      <c r="Q9" s="304"/>
      <c r="R9" s="302" t="s">
        <v>58</v>
      </c>
    </row>
    <row r="10" spans="1:18">
      <c r="A10" s="323" t="s">
        <v>5</v>
      </c>
      <c r="B10" s="5" t="s">
        <v>632</v>
      </c>
      <c r="C10" s="5" t="s">
        <v>59</v>
      </c>
      <c r="D10" s="29" t="s">
        <v>60</v>
      </c>
      <c r="E10" s="29" t="s">
        <v>61</v>
      </c>
      <c r="F10" s="29" t="s">
        <v>535</v>
      </c>
      <c r="G10" s="29" t="s">
        <v>60</v>
      </c>
      <c r="H10" s="29" t="s">
        <v>61</v>
      </c>
      <c r="I10" s="29" t="s">
        <v>535</v>
      </c>
      <c r="J10" s="29" t="s">
        <v>521</v>
      </c>
      <c r="K10" s="29" t="s">
        <v>62</v>
      </c>
      <c r="L10" s="302"/>
      <c r="M10" s="29" t="s">
        <v>60</v>
      </c>
      <c r="N10" s="29" t="s">
        <v>61</v>
      </c>
      <c r="O10" s="29" t="s">
        <v>535</v>
      </c>
      <c r="P10" s="29" t="s">
        <v>521</v>
      </c>
      <c r="Q10" s="29" t="s">
        <v>62</v>
      </c>
      <c r="R10" s="302"/>
    </row>
    <row r="11" spans="1:18">
      <c r="A11" s="324" t="s">
        <v>10</v>
      </c>
      <c r="B11" s="31">
        <f>1</f>
        <v>1</v>
      </c>
      <c r="C11" s="31">
        <f t="shared" ref="C11:R11" si="0">B11+1</f>
        <v>2</v>
      </c>
      <c r="D11" s="31">
        <f t="shared" si="0"/>
        <v>3</v>
      </c>
      <c r="E11" s="31">
        <f t="shared" si="0"/>
        <v>4</v>
      </c>
      <c r="F11" s="31">
        <f t="shared" si="0"/>
        <v>5</v>
      </c>
      <c r="G11" s="31">
        <f t="shared" si="0"/>
        <v>6</v>
      </c>
      <c r="H11" s="31">
        <f t="shared" si="0"/>
        <v>7</v>
      </c>
      <c r="I11" s="31">
        <f t="shared" si="0"/>
        <v>8</v>
      </c>
      <c r="J11" s="31">
        <f t="shared" si="0"/>
        <v>9</v>
      </c>
      <c r="K11" s="31">
        <f t="shared" si="0"/>
        <v>10</v>
      </c>
      <c r="L11" s="31">
        <f t="shared" si="0"/>
        <v>11</v>
      </c>
      <c r="M11" s="31">
        <f t="shared" si="0"/>
        <v>12</v>
      </c>
      <c r="N11" s="31">
        <f t="shared" si="0"/>
        <v>13</v>
      </c>
      <c r="O11" s="31">
        <f t="shared" si="0"/>
        <v>14</v>
      </c>
      <c r="P11" s="31">
        <f t="shared" si="0"/>
        <v>15</v>
      </c>
      <c r="Q11" s="31">
        <f t="shared" si="0"/>
        <v>16</v>
      </c>
      <c r="R11" s="31">
        <f t="shared" si="0"/>
        <v>17</v>
      </c>
    </row>
    <row r="12" spans="1:18">
      <c r="A12" s="325">
        <v>1</v>
      </c>
      <c r="B12" s="37" t="s">
        <v>558</v>
      </c>
      <c r="D12" s="239">
        <v>2080</v>
      </c>
      <c r="E12" s="239"/>
      <c r="F12" s="239"/>
      <c r="G12" s="69">
        <v>223747.38</v>
      </c>
      <c r="H12" s="69"/>
      <c r="I12" s="69"/>
      <c r="J12" s="69"/>
      <c r="K12" s="69">
        <f>SUM(G12:J12)</f>
        <v>223747.38</v>
      </c>
      <c r="L12" s="44">
        <v>111.89700000000001</v>
      </c>
      <c r="M12" s="69">
        <f>L12*2080</f>
        <v>232745.76</v>
      </c>
      <c r="N12" s="69"/>
      <c r="O12" s="69"/>
      <c r="P12" s="69"/>
      <c r="Q12" s="69">
        <f>SUM(M12:P12)</f>
        <v>232745.76</v>
      </c>
      <c r="R12" s="69">
        <f>Q12-K12</f>
        <v>8998.3800000000047</v>
      </c>
    </row>
    <row r="13" spans="1:18">
      <c r="A13" s="325">
        <f>A12+1</f>
        <v>2</v>
      </c>
      <c r="B13" s="37" t="s">
        <v>403</v>
      </c>
      <c r="D13" s="239">
        <v>2080</v>
      </c>
      <c r="E13" s="239"/>
      <c r="F13" s="239"/>
      <c r="G13" s="69">
        <v>139590.56</v>
      </c>
      <c r="H13" s="69"/>
      <c r="I13" s="69"/>
      <c r="J13" s="69">
        <v>1827.1</v>
      </c>
      <c r="K13" s="69">
        <f t="shared" ref="K13:K76" si="1">SUM(G13:J13)</f>
        <v>141417.66</v>
      </c>
      <c r="L13" s="44">
        <v>69.099999999999994</v>
      </c>
      <c r="M13" s="69">
        <f t="shared" ref="M13:M73" si="2">L13*2080</f>
        <v>143728</v>
      </c>
      <c r="N13" s="69"/>
      <c r="O13" s="69"/>
      <c r="P13" s="69"/>
      <c r="Q13" s="69">
        <f t="shared" ref="Q13:Q75" si="3">SUM(M13:P13)</f>
        <v>143728</v>
      </c>
      <c r="R13" s="69">
        <f t="shared" ref="R13:R76" si="4">Q13-K13</f>
        <v>2310.3399999999965</v>
      </c>
    </row>
    <row r="14" spans="1:18">
      <c r="A14" s="325">
        <f t="shared" ref="A14:A77" si="5">A13+1</f>
        <v>3</v>
      </c>
      <c r="B14" s="37" t="s">
        <v>404</v>
      </c>
      <c r="D14" s="239">
        <v>2080</v>
      </c>
      <c r="E14" s="239"/>
      <c r="F14" s="239"/>
      <c r="G14" s="69">
        <v>138038.32999999999</v>
      </c>
      <c r="H14" s="69"/>
      <c r="I14" s="69"/>
      <c r="J14" s="69">
        <v>494.03</v>
      </c>
      <c r="K14" s="69">
        <f t="shared" si="1"/>
        <v>138532.35999999999</v>
      </c>
      <c r="L14" s="44">
        <v>68.5</v>
      </c>
      <c r="M14" s="69">
        <f t="shared" si="2"/>
        <v>142480</v>
      </c>
      <c r="N14" s="69"/>
      <c r="O14" s="69"/>
      <c r="P14" s="69"/>
      <c r="Q14" s="69">
        <f t="shared" si="3"/>
        <v>142480</v>
      </c>
      <c r="R14" s="69">
        <f t="shared" si="4"/>
        <v>3947.640000000014</v>
      </c>
    </row>
    <row r="15" spans="1:18">
      <c r="A15" s="325">
        <f t="shared" si="5"/>
        <v>4</v>
      </c>
      <c r="B15" s="37" t="s">
        <v>405</v>
      </c>
      <c r="D15" s="239">
        <v>2080</v>
      </c>
      <c r="E15" s="239"/>
      <c r="F15" s="239"/>
      <c r="G15" s="69">
        <v>139486.56</v>
      </c>
      <c r="H15" s="69"/>
      <c r="I15" s="69"/>
      <c r="J15" s="69">
        <v>1858.92</v>
      </c>
      <c r="K15" s="69">
        <f t="shared" si="1"/>
        <v>141345.48000000001</v>
      </c>
      <c r="L15" s="44">
        <v>69.05</v>
      </c>
      <c r="M15" s="69">
        <f t="shared" si="2"/>
        <v>143624</v>
      </c>
      <c r="N15" s="69"/>
      <c r="O15" s="69"/>
      <c r="P15" s="69"/>
      <c r="Q15" s="69">
        <f t="shared" si="3"/>
        <v>143624</v>
      </c>
      <c r="R15" s="69">
        <f t="shared" si="4"/>
        <v>2278.5199999999895</v>
      </c>
    </row>
    <row r="16" spans="1:18">
      <c r="A16" s="325">
        <f t="shared" si="5"/>
        <v>5</v>
      </c>
      <c r="B16" s="37" t="s">
        <v>406</v>
      </c>
      <c r="D16" s="239">
        <v>2080</v>
      </c>
      <c r="E16" s="239"/>
      <c r="F16" s="239"/>
      <c r="G16" s="69">
        <v>120321.46</v>
      </c>
      <c r="H16" s="69"/>
      <c r="I16" s="69"/>
      <c r="J16" s="69">
        <v>1379.28</v>
      </c>
      <c r="K16" s="69">
        <f t="shared" si="1"/>
        <v>121700.74</v>
      </c>
      <c r="L16" s="44">
        <v>59.4</v>
      </c>
      <c r="M16" s="69">
        <f t="shared" si="2"/>
        <v>123552</v>
      </c>
      <c r="N16" s="69"/>
      <c r="O16" s="69"/>
      <c r="P16" s="69"/>
      <c r="Q16" s="69">
        <f t="shared" si="3"/>
        <v>123552</v>
      </c>
      <c r="R16" s="69">
        <f t="shared" si="4"/>
        <v>1851.2599999999948</v>
      </c>
    </row>
    <row r="17" spans="1:18">
      <c r="A17" s="325">
        <f t="shared" si="5"/>
        <v>6</v>
      </c>
      <c r="B17" s="37" t="s">
        <v>407</v>
      </c>
      <c r="D17" s="239">
        <v>2080</v>
      </c>
      <c r="E17" s="239"/>
      <c r="F17" s="239"/>
      <c r="G17" s="69">
        <v>96401.84</v>
      </c>
      <c r="H17" s="69"/>
      <c r="I17" s="69"/>
      <c r="J17" s="69">
        <v>689.7</v>
      </c>
      <c r="K17" s="69">
        <f t="shared" si="1"/>
        <v>97091.54</v>
      </c>
      <c r="L17" s="44">
        <v>47.27</v>
      </c>
      <c r="M17" s="69">
        <f t="shared" si="2"/>
        <v>98321.600000000006</v>
      </c>
      <c r="N17" s="69"/>
      <c r="O17" s="69"/>
      <c r="P17" s="69"/>
      <c r="Q17" s="69">
        <f t="shared" si="3"/>
        <v>98321.600000000006</v>
      </c>
      <c r="R17" s="69">
        <f t="shared" si="4"/>
        <v>1230.0600000000122</v>
      </c>
    </row>
    <row r="18" spans="1:18">
      <c r="A18" s="325">
        <f t="shared" si="5"/>
        <v>7</v>
      </c>
      <c r="B18" s="37" t="s">
        <v>408</v>
      </c>
      <c r="D18" s="239">
        <v>2080</v>
      </c>
      <c r="E18" s="239"/>
      <c r="F18" s="239"/>
      <c r="G18" s="69">
        <v>124069.62000000001</v>
      </c>
      <c r="H18" s="69"/>
      <c r="I18" s="69"/>
      <c r="J18" s="69">
        <v>647.9</v>
      </c>
      <c r="K18" s="69">
        <f t="shared" si="1"/>
        <v>124717.52</v>
      </c>
      <c r="L18" s="44">
        <v>62.43</v>
      </c>
      <c r="M18" s="69">
        <f t="shared" si="2"/>
        <v>129854.39999999999</v>
      </c>
      <c r="N18" s="69"/>
      <c r="O18" s="69"/>
      <c r="P18" s="69"/>
      <c r="Q18" s="69">
        <f t="shared" si="3"/>
        <v>129854.39999999999</v>
      </c>
      <c r="R18" s="69">
        <f t="shared" si="4"/>
        <v>5136.8799999999901</v>
      </c>
    </row>
    <row r="19" spans="1:18">
      <c r="A19" s="325">
        <f t="shared" si="5"/>
        <v>8</v>
      </c>
      <c r="B19" s="37" t="s">
        <v>409</v>
      </c>
      <c r="D19" s="239">
        <v>2080</v>
      </c>
      <c r="E19" s="239">
        <v>7</v>
      </c>
      <c r="F19" s="239"/>
      <c r="G19" s="69">
        <v>76502.880000000005</v>
      </c>
      <c r="H19" s="69">
        <v>376.74</v>
      </c>
      <c r="I19" s="69"/>
      <c r="J19" s="69"/>
      <c r="K19" s="69">
        <f t="shared" si="1"/>
        <v>76879.62000000001</v>
      </c>
      <c r="L19" s="44">
        <v>37.090000000000003</v>
      </c>
      <c r="M19" s="69">
        <f t="shared" si="2"/>
        <v>77147.200000000012</v>
      </c>
      <c r="N19" s="69">
        <f>(E19*L19)*1.5</f>
        <v>389.44499999999999</v>
      </c>
      <c r="O19" s="69"/>
      <c r="P19" s="69"/>
      <c r="Q19" s="69">
        <f t="shared" si="3"/>
        <v>77536.645000000019</v>
      </c>
      <c r="R19" s="69">
        <f t="shared" si="4"/>
        <v>657.02500000000873</v>
      </c>
    </row>
    <row r="20" spans="1:18">
      <c r="A20" s="325">
        <f t="shared" si="5"/>
        <v>9</v>
      </c>
      <c r="B20" s="37" t="s">
        <v>410</v>
      </c>
      <c r="D20" s="239">
        <v>2080</v>
      </c>
      <c r="E20" s="239">
        <v>3.5</v>
      </c>
      <c r="F20" s="239"/>
      <c r="G20" s="69">
        <v>49692</v>
      </c>
      <c r="H20" s="69">
        <v>124.43</v>
      </c>
      <c r="I20" s="69"/>
      <c r="J20" s="69">
        <v>1380.29</v>
      </c>
      <c r="K20" s="69">
        <f t="shared" si="1"/>
        <v>51196.72</v>
      </c>
      <c r="L20" s="44">
        <v>23.7</v>
      </c>
      <c r="M20" s="69">
        <f t="shared" si="2"/>
        <v>49296</v>
      </c>
      <c r="N20" s="69">
        <f>(E20*L20)*1.5</f>
        <v>124.42500000000001</v>
      </c>
      <c r="O20" s="69"/>
      <c r="P20" s="69"/>
      <c r="Q20" s="69">
        <f t="shared" si="3"/>
        <v>49420.425000000003</v>
      </c>
      <c r="R20" s="69">
        <f t="shared" si="4"/>
        <v>-1776.2949999999983</v>
      </c>
    </row>
    <row r="21" spans="1:18">
      <c r="A21" s="325">
        <f t="shared" si="5"/>
        <v>10</v>
      </c>
      <c r="B21" s="37" t="s">
        <v>411</v>
      </c>
      <c r="D21" s="239">
        <v>2080</v>
      </c>
      <c r="E21" s="239"/>
      <c r="F21" s="239"/>
      <c r="G21" s="69">
        <v>70570.73</v>
      </c>
      <c r="H21" s="69"/>
      <c r="I21" s="69"/>
      <c r="J21" s="69">
        <v>1962.69</v>
      </c>
      <c r="K21" s="69">
        <f t="shared" si="1"/>
        <v>72533.42</v>
      </c>
      <c r="L21" s="44">
        <v>33.700000000000003</v>
      </c>
      <c r="M21" s="69">
        <f t="shared" si="2"/>
        <v>70096</v>
      </c>
      <c r="N21" s="69">
        <f t="shared" ref="N21:N73" si="6">(E21*L21)*1.5</f>
        <v>0</v>
      </c>
      <c r="O21" s="69"/>
      <c r="P21" s="69"/>
      <c r="Q21" s="69">
        <f t="shared" si="3"/>
        <v>70096</v>
      </c>
      <c r="R21" s="69">
        <f t="shared" si="4"/>
        <v>-2437.4199999999983</v>
      </c>
    </row>
    <row r="22" spans="1:18">
      <c r="A22" s="325">
        <f t="shared" si="5"/>
        <v>11</v>
      </c>
      <c r="B22" s="37" t="s">
        <v>412</v>
      </c>
      <c r="D22" s="239">
        <v>2080</v>
      </c>
      <c r="E22" s="239">
        <v>64</v>
      </c>
      <c r="F22" s="239"/>
      <c r="G22" s="69">
        <v>99469.77</v>
      </c>
      <c r="H22" s="69">
        <v>4388.5</v>
      </c>
      <c r="I22" s="69"/>
      <c r="J22" s="69"/>
      <c r="K22" s="69">
        <f t="shared" si="1"/>
        <v>103858.27</v>
      </c>
      <c r="L22" s="44">
        <v>47.54</v>
      </c>
      <c r="M22" s="69">
        <f t="shared" si="2"/>
        <v>98883.199999999997</v>
      </c>
      <c r="N22" s="69">
        <f t="shared" si="6"/>
        <v>4563.84</v>
      </c>
      <c r="O22" s="69"/>
      <c r="P22" s="69"/>
      <c r="Q22" s="69">
        <f t="shared" si="3"/>
        <v>103447.03999999999</v>
      </c>
      <c r="R22" s="69">
        <f t="shared" si="4"/>
        <v>-411.23000000001048</v>
      </c>
    </row>
    <row r="23" spans="1:18">
      <c r="A23" s="325">
        <f t="shared" si="5"/>
        <v>12</v>
      </c>
      <c r="B23" s="37" t="s">
        <v>413</v>
      </c>
      <c r="D23" s="239">
        <v>2051</v>
      </c>
      <c r="E23" s="239">
        <v>236.5</v>
      </c>
      <c r="F23" s="239"/>
      <c r="G23" s="69">
        <v>89750.64</v>
      </c>
      <c r="H23" s="69">
        <v>15417.35</v>
      </c>
      <c r="I23" s="69"/>
      <c r="J23" s="69"/>
      <c r="K23" s="69">
        <f t="shared" si="1"/>
        <v>105167.99</v>
      </c>
      <c r="L23" s="44">
        <v>44.63</v>
      </c>
      <c r="M23" s="69">
        <f t="shared" si="2"/>
        <v>92830.400000000009</v>
      </c>
      <c r="N23" s="69">
        <f t="shared" si="6"/>
        <v>15832.4925</v>
      </c>
      <c r="O23" s="69"/>
      <c r="P23" s="69"/>
      <c r="Q23" s="69">
        <f t="shared" si="3"/>
        <v>108662.89250000002</v>
      </c>
      <c r="R23" s="69">
        <f t="shared" si="4"/>
        <v>3494.9025000000111</v>
      </c>
    </row>
    <row r="24" spans="1:18">
      <c r="A24" s="325">
        <f t="shared" si="5"/>
        <v>13</v>
      </c>
      <c r="B24" s="37" t="s">
        <v>414</v>
      </c>
      <c r="D24" s="239">
        <v>2080</v>
      </c>
      <c r="E24" s="239">
        <v>277</v>
      </c>
      <c r="F24" s="239"/>
      <c r="G24" s="69">
        <v>60606.400000000001</v>
      </c>
      <c r="H24" s="69">
        <v>12055.68</v>
      </c>
      <c r="I24" s="69"/>
      <c r="J24" s="69"/>
      <c r="K24" s="69">
        <f t="shared" si="1"/>
        <v>72662.080000000002</v>
      </c>
      <c r="L24" s="44">
        <v>29.74</v>
      </c>
      <c r="M24" s="69">
        <f t="shared" si="2"/>
        <v>61859.199999999997</v>
      </c>
      <c r="N24" s="69">
        <f t="shared" si="6"/>
        <v>12356.97</v>
      </c>
      <c r="O24" s="69"/>
      <c r="P24" s="69"/>
      <c r="Q24" s="69">
        <f t="shared" si="3"/>
        <v>74216.17</v>
      </c>
      <c r="R24" s="69">
        <f t="shared" si="4"/>
        <v>1554.0899999999965</v>
      </c>
    </row>
    <row r="25" spans="1:18">
      <c r="A25" s="325">
        <f t="shared" si="5"/>
        <v>14</v>
      </c>
      <c r="B25" s="37" t="s">
        <v>415</v>
      </c>
      <c r="D25" s="239">
        <v>2080</v>
      </c>
      <c r="E25" s="239">
        <v>10.5</v>
      </c>
      <c r="F25" s="239"/>
      <c r="G25" s="69">
        <v>52709.86</v>
      </c>
      <c r="H25" s="69">
        <v>396.48</v>
      </c>
      <c r="I25" s="69"/>
      <c r="J25" s="69"/>
      <c r="K25" s="69">
        <f t="shared" si="1"/>
        <v>53106.340000000004</v>
      </c>
      <c r="L25" s="44">
        <v>25.87</v>
      </c>
      <c r="M25" s="69">
        <f t="shared" si="2"/>
        <v>53809.599999999999</v>
      </c>
      <c r="N25" s="69">
        <f t="shared" si="6"/>
        <v>407.45249999999999</v>
      </c>
      <c r="O25" s="69"/>
      <c r="P25" s="69"/>
      <c r="Q25" s="69">
        <f t="shared" si="3"/>
        <v>54217.052499999998</v>
      </c>
      <c r="R25" s="69">
        <f t="shared" si="4"/>
        <v>1110.7124999999942</v>
      </c>
    </row>
    <row r="26" spans="1:18">
      <c r="A26" s="325">
        <f t="shared" si="5"/>
        <v>15</v>
      </c>
      <c r="B26" s="37" t="s">
        <v>416</v>
      </c>
      <c r="D26" s="239">
        <v>2080</v>
      </c>
      <c r="E26" s="239">
        <v>27</v>
      </c>
      <c r="F26" s="239"/>
      <c r="G26" s="69">
        <v>64739.12</v>
      </c>
      <c r="H26" s="69">
        <v>1244.97</v>
      </c>
      <c r="I26" s="69"/>
      <c r="J26" s="69"/>
      <c r="K26" s="69">
        <f t="shared" si="1"/>
        <v>65984.09</v>
      </c>
      <c r="L26" s="44">
        <v>32.119999999999997</v>
      </c>
      <c r="M26" s="69">
        <f t="shared" si="2"/>
        <v>66809.599999999991</v>
      </c>
      <c r="N26" s="69">
        <f t="shared" si="6"/>
        <v>1300.8599999999999</v>
      </c>
      <c r="O26" s="69"/>
      <c r="P26" s="69"/>
      <c r="Q26" s="69">
        <f t="shared" si="3"/>
        <v>68110.459999999992</v>
      </c>
      <c r="R26" s="69">
        <f t="shared" si="4"/>
        <v>2126.3699999999953</v>
      </c>
    </row>
    <row r="27" spans="1:18">
      <c r="A27" s="325">
        <f t="shared" si="5"/>
        <v>16</v>
      </c>
      <c r="B27" s="37" t="s">
        <v>417</v>
      </c>
      <c r="D27" s="239">
        <v>2051</v>
      </c>
      <c r="E27" s="239">
        <v>426</v>
      </c>
      <c r="F27" s="239"/>
      <c r="G27" s="69">
        <v>84490.42</v>
      </c>
      <c r="H27" s="69">
        <v>26148.15</v>
      </c>
      <c r="I27" s="69"/>
      <c r="J27" s="69"/>
      <c r="K27" s="69">
        <f t="shared" si="1"/>
        <v>110638.57</v>
      </c>
      <c r="L27" s="44">
        <v>42.01</v>
      </c>
      <c r="M27" s="69">
        <f t="shared" si="2"/>
        <v>87380.800000000003</v>
      </c>
      <c r="N27" s="69">
        <f t="shared" si="6"/>
        <v>26844.39</v>
      </c>
      <c r="O27" s="69"/>
      <c r="P27" s="69"/>
      <c r="Q27" s="69">
        <f t="shared" si="3"/>
        <v>114225.19</v>
      </c>
      <c r="R27" s="69">
        <f t="shared" si="4"/>
        <v>3586.6199999999953</v>
      </c>
    </row>
    <row r="28" spans="1:18">
      <c r="A28" s="325">
        <f t="shared" si="5"/>
        <v>17</v>
      </c>
      <c r="B28" s="37" t="s">
        <v>418</v>
      </c>
      <c r="D28" s="239">
        <v>2080</v>
      </c>
      <c r="E28" s="239">
        <v>92.5</v>
      </c>
      <c r="F28" s="239"/>
      <c r="G28" s="69">
        <v>64954.400000000001</v>
      </c>
      <c r="H28" s="69">
        <v>4278.66</v>
      </c>
      <c r="I28" s="69"/>
      <c r="J28" s="69"/>
      <c r="K28" s="69">
        <f t="shared" si="1"/>
        <v>69233.06</v>
      </c>
      <c r="L28" s="44">
        <v>32.119999999999997</v>
      </c>
      <c r="M28" s="69">
        <f t="shared" si="2"/>
        <v>66809.599999999991</v>
      </c>
      <c r="N28" s="69">
        <f t="shared" si="6"/>
        <v>4456.6499999999996</v>
      </c>
      <c r="O28" s="69"/>
      <c r="P28" s="69"/>
      <c r="Q28" s="69">
        <f t="shared" si="3"/>
        <v>71266.249999999985</v>
      </c>
      <c r="R28" s="69">
        <f t="shared" si="4"/>
        <v>2033.1899999999878</v>
      </c>
    </row>
    <row r="29" spans="1:18">
      <c r="A29" s="325">
        <f t="shared" si="5"/>
        <v>18</v>
      </c>
      <c r="B29" s="37" t="s">
        <v>419</v>
      </c>
      <c r="D29" s="239">
        <v>2048</v>
      </c>
      <c r="E29" s="239">
        <v>185.5</v>
      </c>
      <c r="F29" s="239"/>
      <c r="G29" s="69">
        <v>89493.38</v>
      </c>
      <c r="H29" s="69">
        <v>12088.91</v>
      </c>
      <c r="I29" s="69"/>
      <c r="J29" s="69"/>
      <c r="K29" s="69">
        <f t="shared" si="1"/>
        <v>101582.29000000001</v>
      </c>
      <c r="L29" s="44">
        <v>44.63</v>
      </c>
      <c r="M29" s="69">
        <f t="shared" si="2"/>
        <v>92830.400000000009</v>
      </c>
      <c r="N29" s="69">
        <f t="shared" si="6"/>
        <v>12418.297500000001</v>
      </c>
      <c r="O29" s="69"/>
      <c r="P29" s="69"/>
      <c r="Q29" s="69">
        <f t="shared" si="3"/>
        <v>105248.69750000001</v>
      </c>
      <c r="R29" s="69">
        <f t="shared" si="4"/>
        <v>3666.4075000000012</v>
      </c>
    </row>
    <row r="30" spans="1:18">
      <c r="A30" s="325">
        <f t="shared" si="5"/>
        <v>19</v>
      </c>
      <c r="B30" s="37" t="s">
        <v>420</v>
      </c>
      <c r="D30" s="239">
        <v>2080</v>
      </c>
      <c r="E30" s="239">
        <v>177.5</v>
      </c>
      <c r="F30" s="239"/>
      <c r="G30" s="69">
        <v>90804.28</v>
      </c>
      <c r="H30" s="69">
        <v>11575.27</v>
      </c>
      <c r="I30" s="69"/>
      <c r="J30" s="69"/>
      <c r="K30" s="69">
        <f t="shared" si="1"/>
        <v>102379.55</v>
      </c>
      <c r="L30" s="44">
        <v>44.63</v>
      </c>
      <c r="M30" s="69">
        <f t="shared" si="2"/>
        <v>92830.400000000009</v>
      </c>
      <c r="N30" s="69">
        <f t="shared" si="6"/>
        <v>11882.737500000001</v>
      </c>
      <c r="O30" s="69"/>
      <c r="P30" s="69"/>
      <c r="Q30" s="69">
        <f t="shared" si="3"/>
        <v>104713.13750000001</v>
      </c>
      <c r="R30" s="69">
        <f t="shared" si="4"/>
        <v>2333.5875000000087</v>
      </c>
    </row>
    <row r="31" spans="1:18">
      <c r="A31" s="325">
        <f t="shared" si="5"/>
        <v>20</v>
      </c>
      <c r="B31" s="37" t="s">
        <v>421</v>
      </c>
      <c r="D31" s="239">
        <v>2080</v>
      </c>
      <c r="E31" s="239">
        <v>141</v>
      </c>
      <c r="F31" s="239"/>
      <c r="G31" s="69">
        <v>97746.559999999998</v>
      </c>
      <c r="H31" s="69">
        <v>9679.39</v>
      </c>
      <c r="I31" s="69"/>
      <c r="J31" s="69"/>
      <c r="K31" s="69">
        <f t="shared" si="1"/>
        <v>107425.95</v>
      </c>
      <c r="L31" s="44">
        <v>47.54</v>
      </c>
      <c r="M31" s="69">
        <f t="shared" si="2"/>
        <v>98883.199999999997</v>
      </c>
      <c r="N31" s="69">
        <f t="shared" si="6"/>
        <v>10054.710000000001</v>
      </c>
      <c r="O31" s="69"/>
      <c r="P31" s="69"/>
      <c r="Q31" s="69">
        <f t="shared" si="3"/>
        <v>108937.91</v>
      </c>
      <c r="R31" s="69">
        <f t="shared" si="4"/>
        <v>1511.9600000000064</v>
      </c>
    </row>
    <row r="32" spans="1:18">
      <c r="A32" s="325">
        <f t="shared" si="5"/>
        <v>21</v>
      </c>
      <c r="B32" s="37" t="s">
        <v>422</v>
      </c>
      <c r="D32" s="239">
        <v>2080</v>
      </c>
      <c r="E32" s="239">
        <v>5.5</v>
      </c>
      <c r="F32" s="239"/>
      <c r="G32" s="69">
        <v>52892.17</v>
      </c>
      <c r="H32" s="69">
        <v>208.67</v>
      </c>
      <c r="I32" s="69"/>
      <c r="J32" s="69">
        <v>1472.89</v>
      </c>
      <c r="K32" s="69">
        <f t="shared" si="1"/>
        <v>54573.729999999996</v>
      </c>
      <c r="L32" s="44">
        <v>25.29</v>
      </c>
      <c r="M32" s="69">
        <f t="shared" si="2"/>
        <v>52603.199999999997</v>
      </c>
      <c r="N32" s="69">
        <f t="shared" si="6"/>
        <v>208.64249999999998</v>
      </c>
      <c r="O32" s="69"/>
      <c r="P32" s="69"/>
      <c r="Q32" s="69">
        <f t="shared" si="3"/>
        <v>52811.842499999999</v>
      </c>
      <c r="R32" s="69">
        <f t="shared" si="4"/>
        <v>-1761.8874999999971</v>
      </c>
    </row>
    <row r="33" spans="1:18">
      <c r="A33" s="325">
        <f t="shared" si="5"/>
        <v>22</v>
      </c>
      <c r="B33" s="37" t="s">
        <v>423</v>
      </c>
      <c r="D33" s="239">
        <v>2080</v>
      </c>
      <c r="E33" s="239">
        <v>217.5</v>
      </c>
      <c r="F33" s="239"/>
      <c r="G33" s="69">
        <v>85675.86</v>
      </c>
      <c r="H33" s="69">
        <v>13352.96</v>
      </c>
      <c r="I33" s="69"/>
      <c r="J33" s="69"/>
      <c r="K33" s="69">
        <f t="shared" si="1"/>
        <v>99028.82</v>
      </c>
      <c r="L33" s="44">
        <v>42.01</v>
      </c>
      <c r="M33" s="69">
        <f t="shared" si="2"/>
        <v>87380.800000000003</v>
      </c>
      <c r="N33" s="69">
        <f t="shared" si="6"/>
        <v>13705.762499999999</v>
      </c>
      <c r="O33" s="69"/>
      <c r="P33" s="69"/>
      <c r="Q33" s="69">
        <f t="shared" si="3"/>
        <v>101086.5625</v>
      </c>
      <c r="R33" s="69">
        <f t="shared" si="4"/>
        <v>2057.742499999993</v>
      </c>
    </row>
    <row r="34" spans="1:18">
      <c r="A34" s="325">
        <f t="shared" si="5"/>
        <v>23</v>
      </c>
      <c r="B34" s="37" t="s">
        <v>424</v>
      </c>
      <c r="D34" s="239">
        <v>2080</v>
      </c>
      <c r="E34" s="239">
        <v>9</v>
      </c>
      <c r="F34" s="239"/>
      <c r="G34" s="69">
        <v>49521.15</v>
      </c>
      <c r="H34" s="69">
        <v>319.32</v>
      </c>
      <c r="I34" s="69"/>
      <c r="J34" s="69"/>
      <c r="K34" s="69">
        <f t="shared" si="1"/>
        <v>49840.47</v>
      </c>
      <c r="L34" s="44">
        <v>24.48</v>
      </c>
      <c r="M34" s="69">
        <f t="shared" si="2"/>
        <v>50918.400000000001</v>
      </c>
      <c r="N34" s="69">
        <f t="shared" si="6"/>
        <v>330.48</v>
      </c>
      <c r="O34" s="69"/>
      <c r="P34" s="69"/>
      <c r="Q34" s="69">
        <f t="shared" si="3"/>
        <v>51248.880000000005</v>
      </c>
      <c r="R34" s="69">
        <f t="shared" si="4"/>
        <v>1408.4100000000035</v>
      </c>
    </row>
    <row r="35" spans="1:18">
      <c r="A35" s="325">
        <f t="shared" si="5"/>
        <v>24</v>
      </c>
      <c r="B35" s="37" t="s">
        <v>425</v>
      </c>
      <c r="D35" s="239">
        <v>2080</v>
      </c>
      <c r="E35" s="239">
        <v>25.75</v>
      </c>
      <c r="F35" s="239"/>
      <c r="G35" s="69">
        <v>69007.710000000006</v>
      </c>
      <c r="H35" s="69">
        <v>1272.93</v>
      </c>
      <c r="I35" s="69"/>
      <c r="J35" s="69"/>
      <c r="K35" s="69">
        <f t="shared" si="1"/>
        <v>70280.639999999999</v>
      </c>
      <c r="L35" s="44">
        <v>35.590000000000003</v>
      </c>
      <c r="M35" s="69">
        <f t="shared" si="2"/>
        <v>74027.200000000012</v>
      </c>
      <c r="N35" s="69">
        <f t="shared" si="6"/>
        <v>1374.6637500000002</v>
      </c>
      <c r="O35" s="69"/>
      <c r="P35" s="69"/>
      <c r="Q35" s="69">
        <f t="shared" si="3"/>
        <v>75401.863750000019</v>
      </c>
      <c r="R35" s="69">
        <f t="shared" si="4"/>
        <v>5121.2237500000192</v>
      </c>
    </row>
    <row r="36" spans="1:18">
      <c r="A36" s="325">
        <f t="shared" si="5"/>
        <v>25</v>
      </c>
      <c r="B36" s="37" t="s">
        <v>426</v>
      </c>
      <c r="D36" s="239">
        <v>2080</v>
      </c>
      <c r="E36" s="239">
        <v>5.75</v>
      </c>
      <c r="F36" s="239"/>
      <c r="G36" s="69">
        <v>53171</v>
      </c>
      <c r="H36" s="69">
        <v>218.86</v>
      </c>
      <c r="I36" s="69"/>
      <c r="J36" s="69"/>
      <c r="K36" s="69">
        <f t="shared" si="1"/>
        <v>53389.86</v>
      </c>
      <c r="L36" s="44">
        <v>26.53</v>
      </c>
      <c r="M36" s="69">
        <f t="shared" si="2"/>
        <v>55182.400000000001</v>
      </c>
      <c r="N36" s="69">
        <f t="shared" si="6"/>
        <v>228.82125000000002</v>
      </c>
      <c r="O36" s="69"/>
      <c r="P36" s="69"/>
      <c r="Q36" s="69">
        <f t="shared" si="3"/>
        <v>55411.221250000002</v>
      </c>
      <c r="R36" s="69">
        <f t="shared" si="4"/>
        <v>2021.3612500000017</v>
      </c>
    </row>
    <row r="37" spans="1:18">
      <c r="A37" s="325">
        <f t="shared" si="5"/>
        <v>26</v>
      </c>
      <c r="B37" s="37" t="s">
        <v>427</v>
      </c>
      <c r="D37" s="239">
        <v>2080</v>
      </c>
      <c r="E37" s="239">
        <v>77.5</v>
      </c>
      <c r="F37" s="239"/>
      <c r="G37" s="69">
        <v>43211.839999999997</v>
      </c>
      <c r="H37" s="69">
        <v>2406.5100000000002</v>
      </c>
      <c r="I37" s="69"/>
      <c r="J37" s="69"/>
      <c r="K37" s="69">
        <f t="shared" si="1"/>
        <v>45618.35</v>
      </c>
      <c r="L37" s="44">
        <v>21.34</v>
      </c>
      <c r="M37" s="69">
        <f t="shared" si="2"/>
        <v>44387.199999999997</v>
      </c>
      <c r="N37" s="69">
        <f t="shared" si="6"/>
        <v>2480.7749999999996</v>
      </c>
      <c r="O37" s="69"/>
      <c r="P37" s="69"/>
      <c r="Q37" s="69">
        <f t="shared" si="3"/>
        <v>46867.974999999999</v>
      </c>
      <c r="R37" s="69">
        <f t="shared" si="4"/>
        <v>1249.625</v>
      </c>
    </row>
    <row r="38" spans="1:18">
      <c r="A38" s="325">
        <f t="shared" si="5"/>
        <v>27</v>
      </c>
      <c r="B38" s="37" t="s">
        <v>428</v>
      </c>
      <c r="D38" s="239">
        <v>2080</v>
      </c>
      <c r="E38" s="239">
        <v>50.25</v>
      </c>
      <c r="F38" s="239"/>
      <c r="G38" s="69">
        <v>66363.12</v>
      </c>
      <c r="H38" s="69">
        <v>2399.7600000000002</v>
      </c>
      <c r="I38" s="69"/>
      <c r="J38" s="69"/>
      <c r="K38" s="69">
        <f t="shared" si="1"/>
        <v>68762.87999999999</v>
      </c>
      <c r="L38" s="44">
        <v>33</v>
      </c>
      <c r="M38" s="69">
        <f t="shared" si="2"/>
        <v>68640</v>
      </c>
      <c r="N38" s="69">
        <f t="shared" si="6"/>
        <v>2487.375</v>
      </c>
      <c r="O38" s="69"/>
      <c r="P38" s="69"/>
      <c r="Q38" s="69">
        <f t="shared" si="3"/>
        <v>71127.375</v>
      </c>
      <c r="R38" s="69">
        <f t="shared" si="4"/>
        <v>2364.4950000000099</v>
      </c>
    </row>
    <row r="39" spans="1:18">
      <c r="A39" s="325">
        <f t="shared" si="5"/>
        <v>28</v>
      </c>
      <c r="B39" s="37" t="s">
        <v>429</v>
      </c>
      <c r="D39" s="239">
        <v>2051</v>
      </c>
      <c r="E39" s="239">
        <v>434</v>
      </c>
      <c r="F39" s="239"/>
      <c r="G39" s="69">
        <v>89544.82</v>
      </c>
      <c r="H39" s="69">
        <v>28319.73</v>
      </c>
      <c r="I39" s="69"/>
      <c r="J39" s="69"/>
      <c r="K39" s="69">
        <f t="shared" si="1"/>
        <v>117864.55</v>
      </c>
      <c r="L39" s="44">
        <v>44.63</v>
      </c>
      <c r="M39" s="69">
        <f t="shared" si="2"/>
        <v>92830.400000000009</v>
      </c>
      <c r="N39" s="69">
        <f t="shared" si="6"/>
        <v>29054.130000000005</v>
      </c>
      <c r="O39" s="69"/>
      <c r="P39" s="69"/>
      <c r="Q39" s="69">
        <f t="shared" si="3"/>
        <v>121884.53000000001</v>
      </c>
      <c r="R39" s="69">
        <f t="shared" si="4"/>
        <v>4019.9800000000105</v>
      </c>
    </row>
    <row r="40" spans="1:18">
      <c r="A40" s="325">
        <f t="shared" si="5"/>
        <v>29</v>
      </c>
      <c r="B40" s="37" t="s">
        <v>430</v>
      </c>
      <c r="D40" s="239">
        <v>2080</v>
      </c>
      <c r="E40" s="239">
        <v>7.5</v>
      </c>
      <c r="F40" s="239"/>
      <c r="G40" s="69">
        <v>43524.59</v>
      </c>
      <c r="H40" s="69">
        <v>234.16</v>
      </c>
      <c r="I40" s="69"/>
      <c r="J40" s="69"/>
      <c r="K40" s="69">
        <f t="shared" si="1"/>
        <v>43758.75</v>
      </c>
      <c r="L40" s="44">
        <v>21.5</v>
      </c>
      <c r="M40" s="69">
        <f t="shared" si="2"/>
        <v>44720</v>
      </c>
      <c r="N40" s="69">
        <f t="shared" si="6"/>
        <v>241.875</v>
      </c>
      <c r="O40" s="69"/>
      <c r="P40" s="69"/>
      <c r="Q40" s="69">
        <f t="shared" si="3"/>
        <v>44961.875</v>
      </c>
      <c r="R40" s="69">
        <f t="shared" si="4"/>
        <v>1203.125</v>
      </c>
    </row>
    <row r="41" spans="1:18">
      <c r="A41" s="325">
        <f t="shared" si="5"/>
        <v>30</v>
      </c>
      <c r="B41" s="37" t="s">
        <v>431</v>
      </c>
      <c r="D41" s="239">
        <v>2080</v>
      </c>
      <c r="E41" s="239">
        <v>214.5</v>
      </c>
      <c r="F41" s="239"/>
      <c r="G41" s="69">
        <v>85485.51</v>
      </c>
      <c r="H41" s="69">
        <v>13159.66</v>
      </c>
      <c r="I41" s="69"/>
      <c r="J41" s="69"/>
      <c r="K41" s="69">
        <f t="shared" si="1"/>
        <v>98645.17</v>
      </c>
      <c r="L41" s="44">
        <v>42.01</v>
      </c>
      <c r="M41" s="69">
        <f t="shared" si="2"/>
        <v>87380.800000000003</v>
      </c>
      <c r="N41" s="69">
        <f t="shared" si="6"/>
        <v>13516.717500000001</v>
      </c>
      <c r="O41" s="69"/>
      <c r="P41" s="69"/>
      <c r="Q41" s="69">
        <f t="shared" si="3"/>
        <v>100897.5175</v>
      </c>
      <c r="R41" s="69">
        <f t="shared" si="4"/>
        <v>2252.3475000000035</v>
      </c>
    </row>
    <row r="42" spans="1:18">
      <c r="A42" s="325">
        <f t="shared" si="5"/>
        <v>31</v>
      </c>
      <c r="B42" s="37" t="s">
        <v>432</v>
      </c>
      <c r="D42" s="239">
        <v>2080</v>
      </c>
      <c r="E42" s="239">
        <v>147</v>
      </c>
      <c r="F42" s="239"/>
      <c r="G42" s="69">
        <v>67371.69</v>
      </c>
      <c r="H42" s="69">
        <v>7115.4</v>
      </c>
      <c r="I42" s="69"/>
      <c r="J42" s="69"/>
      <c r="K42" s="69">
        <f t="shared" si="1"/>
        <v>74487.09</v>
      </c>
      <c r="L42" s="44">
        <v>34.69</v>
      </c>
      <c r="M42" s="69">
        <f t="shared" si="2"/>
        <v>72155.199999999997</v>
      </c>
      <c r="N42" s="69">
        <f t="shared" si="6"/>
        <v>7649.1449999999986</v>
      </c>
      <c r="O42" s="69"/>
      <c r="P42" s="69"/>
      <c r="Q42" s="69">
        <f t="shared" si="3"/>
        <v>79804.345000000001</v>
      </c>
      <c r="R42" s="69">
        <f t="shared" si="4"/>
        <v>5317.2550000000047</v>
      </c>
    </row>
    <row r="43" spans="1:18">
      <c r="A43" s="325">
        <f t="shared" si="5"/>
        <v>32</v>
      </c>
      <c r="B43" s="37" t="s">
        <v>433</v>
      </c>
      <c r="D43" s="239">
        <v>2080</v>
      </c>
      <c r="E43" s="239">
        <v>468.5</v>
      </c>
      <c r="F43" s="239"/>
      <c r="G43" s="69">
        <v>85456.1</v>
      </c>
      <c r="H43" s="69">
        <v>28805.18</v>
      </c>
      <c r="I43" s="69"/>
      <c r="J43" s="69"/>
      <c r="K43" s="69">
        <f t="shared" si="1"/>
        <v>114261.28</v>
      </c>
      <c r="L43" s="44">
        <v>42.01</v>
      </c>
      <c r="M43" s="69">
        <f t="shared" si="2"/>
        <v>87380.800000000003</v>
      </c>
      <c r="N43" s="69">
        <f t="shared" si="6"/>
        <v>29522.527499999997</v>
      </c>
      <c r="O43" s="69"/>
      <c r="P43" s="69"/>
      <c r="Q43" s="69">
        <f t="shared" si="3"/>
        <v>116903.3275</v>
      </c>
      <c r="R43" s="69">
        <f t="shared" si="4"/>
        <v>2642.0475000000006</v>
      </c>
    </row>
    <row r="44" spans="1:18">
      <c r="A44" s="325">
        <f t="shared" si="5"/>
        <v>33</v>
      </c>
      <c r="B44" s="37" t="s">
        <v>434</v>
      </c>
      <c r="D44" s="239">
        <v>2048</v>
      </c>
      <c r="E44" s="239">
        <v>359</v>
      </c>
      <c r="F44" s="239"/>
      <c r="G44" s="69">
        <v>84147.97</v>
      </c>
      <c r="H44" s="69">
        <v>22031.81</v>
      </c>
      <c r="I44" s="69"/>
      <c r="J44" s="69"/>
      <c r="K44" s="69">
        <f t="shared" si="1"/>
        <v>106179.78</v>
      </c>
      <c r="L44" s="44">
        <v>42.01</v>
      </c>
      <c r="M44" s="69">
        <f t="shared" si="2"/>
        <v>87380.800000000003</v>
      </c>
      <c r="N44" s="69">
        <f t="shared" si="6"/>
        <v>22622.385000000002</v>
      </c>
      <c r="O44" s="69"/>
      <c r="P44" s="69"/>
      <c r="Q44" s="69">
        <f t="shared" si="3"/>
        <v>110003.185</v>
      </c>
      <c r="R44" s="69">
        <f t="shared" si="4"/>
        <v>3823.4049999999988</v>
      </c>
    </row>
    <row r="45" spans="1:18">
      <c r="A45" s="325">
        <f t="shared" si="5"/>
        <v>34</v>
      </c>
      <c r="B45" s="37" t="s">
        <v>435</v>
      </c>
      <c r="D45" s="239">
        <v>2080</v>
      </c>
      <c r="E45" s="239">
        <v>61</v>
      </c>
      <c r="F45" s="239"/>
      <c r="G45" s="69">
        <v>43547.57</v>
      </c>
      <c r="H45" s="69">
        <v>1902.62</v>
      </c>
      <c r="I45" s="69"/>
      <c r="J45" s="69"/>
      <c r="K45" s="69">
        <f t="shared" si="1"/>
        <v>45450.19</v>
      </c>
      <c r="L45" s="44">
        <v>22.35</v>
      </c>
      <c r="M45" s="69">
        <f t="shared" si="2"/>
        <v>46488</v>
      </c>
      <c r="N45" s="69">
        <f t="shared" si="6"/>
        <v>2045.0250000000001</v>
      </c>
      <c r="O45" s="69"/>
      <c r="P45" s="69"/>
      <c r="Q45" s="69">
        <f t="shared" si="3"/>
        <v>48533.025000000001</v>
      </c>
      <c r="R45" s="69">
        <f t="shared" si="4"/>
        <v>3082.8349999999991</v>
      </c>
    </row>
    <row r="46" spans="1:18">
      <c r="A46" s="325">
        <f t="shared" si="5"/>
        <v>35</v>
      </c>
      <c r="B46" s="37" t="s">
        <v>436</v>
      </c>
      <c r="D46" s="239">
        <v>2080</v>
      </c>
      <c r="E46" s="239">
        <v>232.5</v>
      </c>
      <c r="F46" s="239"/>
      <c r="G46" s="69">
        <v>85456.24</v>
      </c>
      <c r="H46" s="69">
        <v>14279.49</v>
      </c>
      <c r="I46" s="69"/>
      <c r="J46" s="69"/>
      <c r="K46" s="69">
        <f t="shared" si="1"/>
        <v>99735.73000000001</v>
      </c>
      <c r="L46" s="44">
        <v>42.01</v>
      </c>
      <c r="M46" s="69">
        <f t="shared" si="2"/>
        <v>87380.800000000003</v>
      </c>
      <c r="N46" s="69">
        <f t="shared" si="6"/>
        <v>14650.987499999999</v>
      </c>
      <c r="O46" s="69"/>
      <c r="P46" s="69"/>
      <c r="Q46" s="69">
        <f t="shared" si="3"/>
        <v>102031.78750000001</v>
      </c>
      <c r="R46" s="69">
        <f t="shared" si="4"/>
        <v>2296.0574999999953</v>
      </c>
    </row>
    <row r="47" spans="1:18">
      <c r="A47" s="325">
        <f t="shared" si="5"/>
        <v>36</v>
      </c>
      <c r="B47" s="37" t="s">
        <v>437</v>
      </c>
      <c r="D47" s="239">
        <v>2080</v>
      </c>
      <c r="E47" s="239">
        <v>280</v>
      </c>
      <c r="F47" s="239"/>
      <c r="G47" s="69">
        <v>85470.28</v>
      </c>
      <c r="H47" s="69">
        <v>17204.57</v>
      </c>
      <c r="I47" s="69"/>
      <c r="J47" s="69"/>
      <c r="K47" s="69">
        <f t="shared" si="1"/>
        <v>102674.85</v>
      </c>
      <c r="L47" s="44">
        <v>42.01</v>
      </c>
      <c r="M47" s="69">
        <f t="shared" si="2"/>
        <v>87380.800000000003</v>
      </c>
      <c r="N47" s="69">
        <f t="shared" si="6"/>
        <v>17644.199999999997</v>
      </c>
      <c r="O47" s="69"/>
      <c r="P47" s="69"/>
      <c r="Q47" s="69">
        <f t="shared" si="3"/>
        <v>105025</v>
      </c>
      <c r="R47" s="69">
        <f t="shared" si="4"/>
        <v>2350.1499999999942</v>
      </c>
    </row>
    <row r="48" spans="1:18">
      <c r="A48" s="325">
        <f t="shared" si="5"/>
        <v>37</v>
      </c>
      <c r="B48" s="37" t="s">
        <v>438</v>
      </c>
      <c r="D48" s="239">
        <v>2080</v>
      </c>
      <c r="E48" s="239">
        <v>348</v>
      </c>
      <c r="F48" s="239"/>
      <c r="G48" s="69">
        <v>85456.17</v>
      </c>
      <c r="H48" s="69">
        <v>21359.11</v>
      </c>
      <c r="I48" s="69"/>
      <c r="J48" s="69"/>
      <c r="K48" s="69">
        <f t="shared" si="1"/>
        <v>106815.28</v>
      </c>
      <c r="L48" s="44">
        <v>42.01</v>
      </c>
      <c r="M48" s="69">
        <f t="shared" si="2"/>
        <v>87380.800000000003</v>
      </c>
      <c r="N48" s="69">
        <f t="shared" si="6"/>
        <v>21929.22</v>
      </c>
      <c r="O48" s="69"/>
      <c r="P48" s="69"/>
      <c r="Q48" s="69">
        <f t="shared" si="3"/>
        <v>109310.02</v>
      </c>
      <c r="R48" s="69">
        <f t="shared" si="4"/>
        <v>2494.7400000000052</v>
      </c>
    </row>
    <row r="49" spans="1:18">
      <c r="A49" s="325">
        <f t="shared" si="5"/>
        <v>38</v>
      </c>
      <c r="B49" s="37" t="s">
        <v>439</v>
      </c>
      <c r="D49" s="239">
        <v>2080</v>
      </c>
      <c r="E49" s="239">
        <v>200.5</v>
      </c>
      <c r="F49" s="239"/>
      <c r="G49" s="69">
        <v>85427.31</v>
      </c>
      <c r="H49" s="69">
        <v>12355.14</v>
      </c>
      <c r="I49" s="69"/>
      <c r="J49" s="69"/>
      <c r="K49" s="69">
        <f t="shared" si="1"/>
        <v>97782.45</v>
      </c>
      <c r="L49" s="44">
        <v>42.01</v>
      </c>
      <c r="M49" s="69">
        <f t="shared" si="2"/>
        <v>87380.800000000003</v>
      </c>
      <c r="N49" s="69">
        <f t="shared" si="6"/>
        <v>12634.5075</v>
      </c>
      <c r="O49" s="69"/>
      <c r="P49" s="69"/>
      <c r="Q49" s="69">
        <f t="shared" si="3"/>
        <v>100015.3075</v>
      </c>
      <c r="R49" s="69">
        <f t="shared" si="4"/>
        <v>2232.8574999999983</v>
      </c>
    </row>
    <row r="50" spans="1:18">
      <c r="A50" s="325">
        <f t="shared" si="5"/>
        <v>39</v>
      </c>
      <c r="B50" s="37" t="s">
        <v>440</v>
      </c>
      <c r="D50" s="239">
        <v>2051</v>
      </c>
      <c r="E50" s="239">
        <v>281</v>
      </c>
      <c r="F50" s="239"/>
      <c r="G50" s="69">
        <v>84241.02</v>
      </c>
      <c r="H50" s="69">
        <v>17248.71</v>
      </c>
      <c r="I50" s="69"/>
      <c r="J50" s="69"/>
      <c r="K50" s="69">
        <f t="shared" si="1"/>
        <v>101489.73000000001</v>
      </c>
      <c r="L50" s="44">
        <v>42.01</v>
      </c>
      <c r="M50" s="69">
        <f t="shared" si="2"/>
        <v>87380.800000000003</v>
      </c>
      <c r="N50" s="69">
        <f t="shared" si="6"/>
        <v>17707.215</v>
      </c>
      <c r="O50" s="69"/>
      <c r="P50" s="69"/>
      <c r="Q50" s="69">
        <f t="shared" si="3"/>
        <v>105088.015</v>
      </c>
      <c r="R50" s="69">
        <f t="shared" si="4"/>
        <v>3598.2849999999889</v>
      </c>
    </row>
    <row r="51" spans="1:18">
      <c r="A51" s="325">
        <f t="shared" si="5"/>
        <v>40</v>
      </c>
      <c r="B51" s="37" t="s">
        <v>441</v>
      </c>
      <c r="D51" s="239">
        <v>2080</v>
      </c>
      <c r="E51" s="239">
        <v>21</v>
      </c>
      <c r="F51" s="239"/>
      <c r="G51" s="69">
        <v>53507.64</v>
      </c>
      <c r="H51" s="69">
        <v>804.95</v>
      </c>
      <c r="I51" s="69"/>
      <c r="J51" s="69"/>
      <c r="K51" s="69">
        <f t="shared" si="1"/>
        <v>54312.59</v>
      </c>
      <c r="L51" s="44">
        <v>26.45</v>
      </c>
      <c r="M51" s="69">
        <f t="shared" si="2"/>
        <v>55016</v>
      </c>
      <c r="N51" s="69">
        <f t="shared" si="6"/>
        <v>833.17499999999995</v>
      </c>
      <c r="O51" s="69"/>
      <c r="P51" s="69"/>
      <c r="Q51" s="69">
        <f t="shared" si="3"/>
        <v>55849.175000000003</v>
      </c>
      <c r="R51" s="69">
        <f t="shared" si="4"/>
        <v>1536.5850000000064</v>
      </c>
    </row>
    <row r="52" spans="1:18">
      <c r="A52" s="325">
        <f t="shared" si="5"/>
        <v>41</v>
      </c>
      <c r="B52" s="37" t="s">
        <v>442</v>
      </c>
      <c r="D52" s="239">
        <v>2080</v>
      </c>
      <c r="E52" s="239">
        <v>71.25</v>
      </c>
      <c r="F52" s="239"/>
      <c r="G52" s="69">
        <v>60011.199999999997</v>
      </c>
      <c r="H52" s="69">
        <v>3063.07</v>
      </c>
      <c r="I52" s="69"/>
      <c r="J52" s="69"/>
      <c r="K52" s="69">
        <f t="shared" si="1"/>
        <v>63074.27</v>
      </c>
      <c r="L52" s="44">
        <v>29.81</v>
      </c>
      <c r="M52" s="69">
        <f t="shared" si="2"/>
        <v>62004.799999999996</v>
      </c>
      <c r="N52" s="69">
        <f t="shared" si="6"/>
        <v>3185.9437500000004</v>
      </c>
      <c r="O52" s="69"/>
      <c r="P52" s="69"/>
      <c r="Q52" s="69">
        <f t="shared" si="3"/>
        <v>65190.743749999994</v>
      </c>
      <c r="R52" s="69">
        <f t="shared" si="4"/>
        <v>2116.4737499999974</v>
      </c>
    </row>
    <row r="53" spans="1:18">
      <c r="A53" s="325">
        <f t="shared" si="5"/>
        <v>42</v>
      </c>
      <c r="B53" s="37" t="s">
        <v>443</v>
      </c>
      <c r="D53" s="239">
        <v>2080</v>
      </c>
      <c r="E53" s="239">
        <v>316.5</v>
      </c>
      <c r="F53" s="239"/>
      <c r="G53" s="69">
        <v>84412.1</v>
      </c>
      <c r="H53" s="69">
        <v>19085.29</v>
      </c>
      <c r="I53" s="69"/>
      <c r="J53" s="69"/>
      <c r="K53" s="69">
        <f t="shared" si="1"/>
        <v>103497.39000000001</v>
      </c>
      <c r="L53" s="44">
        <v>42.01</v>
      </c>
      <c r="M53" s="69">
        <f t="shared" si="2"/>
        <v>87380.800000000003</v>
      </c>
      <c r="N53" s="69">
        <f t="shared" si="6"/>
        <v>19944.247499999998</v>
      </c>
      <c r="O53" s="69"/>
      <c r="P53" s="69"/>
      <c r="Q53" s="69">
        <f t="shared" si="3"/>
        <v>107325.0475</v>
      </c>
      <c r="R53" s="69">
        <f t="shared" si="4"/>
        <v>3827.6574999999866</v>
      </c>
    </row>
    <row r="54" spans="1:18">
      <c r="A54" s="325">
        <f t="shared" si="5"/>
        <v>43</v>
      </c>
      <c r="B54" s="37" t="s">
        <v>444</v>
      </c>
      <c r="D54" s="239">
        <v>2080</v>
      </c>
      <c r="E54" s="239">
        <v>127</v>
      </c>
      <c r="F54" s="239"/>
      <c r="G54" s="69">
        <v>50727.93</v>
      </c>
      <c r="H54" s="69">
        <v>4618.54</v>
      </c>
      <c r="I54" s="69"/>
      <c r="J54" s="69"/>
      <c r="K54" s="69">
        <f t="shared" si="1"/>
        <v>55346.47</v>
      </c>
      <c r="L54" s="44">
        <v>25</v>
      </c>
      <c r="M54" s="69">
        <f t="shared" si="2"/>
        <v>52000</v>
      </c>
      <c r="N54" s="69">
        <f t="shared" si="6"/>
        <v>4762.5</v>
      </c>
      <c r="O54" s="69"/>
      <c r="P54" s="69"/>
      <c r="Q54" s="69">
        <f t="shared" si="3"/>
        <v>56762.5</v>
      </c>
      <c r="R54" s="69">
        <f t="shared" si="4"/>
        <v>1416.0299999999988</v>
      </c>
    </row>
    <row r="55" spans="1:18">
      <c r="A55" s="325">
        <f t="shared" si="5"/>
        <v>44</v>
      </c>
      <c r="B55" s="37" t="s">
        <v>445</v>
      </c>
      <c r="D55" s="239">
        <v>2080</v>
      </c>
      <c r="E55" s="239">
        <v>9.25</v>
      </c>
      <c r="F55" s="239"/>
      <c r="G55" s="69">
        <v>45555.43</v>
      </c>
      <c r="H55" s="69">
        <v>304.07</v>
      </c>
      <c r="I55" s="69"/>
      <c r="J55" s="69"/>
      <c r="K55" s="69">
        <f t="shared" si="1"/>
        <v>45859.5</v>
      </c>
      <c r="L55" s="44">
        <v>22.74</v>
      </c>
      <c r="M55" s="69">
        <f t="shared" si="2"/>
        <v>47299.199999999997</v>
      </c>
      <c r="N55" s="69">
        <f t="shared" si="6"/>
        <v>315.51749999999998</v>
      </c>
      <c r="O55" s="69"/>
      <c r="P55" s="69"/>
      <c r="Q55" s="69">
        <f t="shared" si="3"/>
        <v>47614.717499999999</v>
      </c>
      <c r="R55" s="69">
        <f t="shared" si="4"/>
        <v>1755.2174999999988</v>
      </c>
    </row>
    <row r="56" spans="1:18">
      <c r="A56" s="325">
        <f t="shared" si="5"/>
        <v>45</v>
      </c>
      <c r="B56" s="37" t="s">
        <v>446</v>
      </c>
      <c r="D56" s="239">
        <v>2080</v>
      </c>
      <c r="E56" s="239">
        <v>435.5</v>
      </c>
      <c r="F56" s="239"/>
      <c r="G56" s="69">
        <v>78847.13</v>
      </c>
      <c r="H56" s="69">
        <v>24684.28</v>
      </c>
      <c r="I56" s="69"/>
      <c r="J56" s="69"/>
      <c r="K56" s="69">
        <f t="shared" si="1"/>
        <v>103531.41</v>
      </c>
      <c r="L56" s="44">
        <v>38.79</v>
      </c>
      <c r="M56" s="69">
        <f t="shared" si="2"/>
        <v>80683.199999999997</v>
      </c>
      <c r="N56" s="69">
        <f t="shared" si="6"/>
        <v>25339.567499999997</v>
      </c>
      <c r="O56" s="69"/>
      <c r="P56" s="69"/>
      <c r="Q56" s="69">
        <f t="shared" si="3"/>
        <v>106022.76749999999</v>
      </c>
      <c r="R56" s="69">
        <f t="shared" si="4"/>
        <v>2491.3574999999837</v>
      </c>
    </row>
    <row r="57" spans="1:18">
      <c r="A57" s="325">
        <f t="shared" si="5"/>
        <v>46</v>
      </c>
      <c r="B57" s="37" t="s">
        <v>447</v>
      </c>
      <c r="D57" s="239">
        <v>2080</v>
      </c>
      <c r="E57" s="239">
        <v>310</v>
      </c>
      <c r="F57" s="239"/>
      <c r="G57" s="69">
        <v>64280.83</v>
      </c>
      <c r="H57" s="69">
        <v>14403.54</v>
      </c>
      <c r="I57" s="69"/>
      <c r="J57" s="69"/>
      <c r="K57" s="69">
        <f t="shared" si="1"/>
        <v>78684.37</v>
      </c>
      <c r="L57" s="44">
        <v>32.54</v>
      </c>
      <c r="M57" s="69">
        <f t="shared" si="2"/>
        <v>67683.199999999997</v>
      </c>
      <c r="N57" s="69">
        <f t="shared" si="6"/>
        <v>15131.099999999999</v>
      </c>
      <c r="O57" s="69"/>
      <c r="P57" s="69"/>
      <c r="Q57" s="69">
        <f t="shared" si="3"/>
        <v>82814.299999999988</v>
      </c>
      <c r="R57" s="69">
        <f t="shared" si="4"/>
        <v>4129.929999999993</v>
      </c>
    </row>
    <row r="58" spans="1:18">
      <c r="A58" s="325">
        <f t="shared" si="5"/>
        <v>47</v>
      </c>
      <c r="B58" s="37" t="s">
        <v>448</v>
      </c>
      <c r="D58" s="239">
        <v>2048</v>
      </c>
      <c r="E58" s="239">
        <v>300.5</v>
      </c>
      <c r="F58" s="239"/>
      <c r="G58" s="69">
        <v>60368.88</v>
      </c>
      <c r="H58" s="69">
        <v>13241.11</v>
      </c>
      <c r="I58" s="69"/>
      <c r="J58" s="69"/>
      <c r="K58" s="69">
        <f t="shared" si="1"/>
        <v>73609.989999999991</v>
      </c>
      <c r="L58" s="44">
        <v>32.159999999999997</v>
      </c>
      <c r="M58" s="69">
        <f t="shared" si="2"/>
        <v>66892.799999999988</v>
      </c>
      <c r="N58" s="69">
        <f t="shared" si="6"/>
        <v>14496.119999999997</v>
      </c>
      <c r="O58" s="69"/>
      <c r="P58" s="69"/>
      <c r="Q58" s="69">
        <f t="shared" si="3"/>
        <v>81388.919999999984</v>
      </c>
      <c r="R58" s="69">
        <f t="shared" si="4"/>
        <v>7778.929999999993</v>
      </c>
    </row>
    <row r="59" spans="1:18">
      <c r="A59" s="325">
        <f t="shared" si="5"/>
        <v>48</v>
      </c>
      <c r="B59" s="37" t="s">
        <v>449</v>
      </c>
      <c r="D59" s="239">
        <v>2080</v>
      </c>
      <c r="E59" s="239">
        <v>20.5</v>
      </c>
      <c r="F59" s="239"/>
      <c r="G59" s="69">
        <v>65385.17</v>
      </c>
      <c r="H59" s="69">
        <v>947.51</v>
      </c>
      <c r="I59" s="69"/>
      <c r="J59" s="69"/>
      <c r="K59" s="69">
        <f t="shared" si="1"/>
        <v>66332.679999999993</v>
      </c>
      <c r="L59" s="44">
        <v>33.89</v>
      </c>
      <c r="M59" s="69">
        <f t="shared" si="2"/>
        <v>70491.199999999997</v>
      </c>
      <c r="N59" s="69">
        <f t="shared" si="6"/>
        <v>1042.1175000000001</v>
      </c>
      <c r="O59" s="69"/>
      <c r="P59" s="69"/>
      <c r="Q59" s="69">
        <f t="shared" si="3"/>
        <v>71533.31749999999</v>
      </c>
      <c r="R59" s="69">
        <f t="shared" si="4"/>
        <v>5200.6374999999971</v>
      </c>
    </row>
    <row r="60" spans="1:18">
      <c r="A60" s="325">
        <f t="shared" si="5"/>
        <v>49</v>
      </c>
      <c r="B60" s="37" t="s">
        <v>450</v>
      </c>
      <c r="D60" s="239">
        <v>2080</v>
      </c>
      <c r="E60" s="239">
        <v>12.25</v>
      </c>
      <c r="F60" s="239"/>
      <c r="G60" s="69">
        <v>40582.089999999997</v>
      </c>
      <c r="H60" s="69">
        <v>355.13</v>
      </c>
      <c r="I60" s="69"/>
      <c r="J60" s="69"/>
      <c r="K60" s="69">
        <f t="shared" si="1"/>
        <v>40937.219999999994</v>
      </c>
      <c r="L60" s="44">
        <v>20.95</v>
      </c>
      <c r="M60" s="69">
        <f t="shared" si="2"/>
        <v>43576</v>
      </c>
      <c r="N60" s="69">
        <f t="shared" si="6"/>
        <v>384.95624999999995</v>
      </c>
      <c r="O60" s="69"/>
      <c r="P60" s="69"/>
      <c r="Q60" s="69">
        <f t="shared" si="3"/>
        <v>43960.956250000003</v>
      </c>
      <c r="R60" s="69">
        <f t="shared" si="4"/>
        <v>3023.736250000009</v>
      </c>
    </row>
    <row r="61" spans="1:18">
      <c r="A61" s="325">
        <f t="shared" si="5"/>
        <v>50</v>
      </c>
      <c r="B61" s="37" t="s">
        <v>451</v>
      </c>
      <c r="D61" s="239">
        <v>2080</v>
      </c>
      <c r="E61" s="239">
        <v>39.75</v>
      </c>
      <c r="F61" s="239"/>
      <c r="G61" s="69">
        <v>40712.639999999999</v>
      </c>
      <c r="H61" s="69">
        <v>1157.6600000000001</v>
      </c>
      <c r="I61" s="69"/>
      <c r="J61" s="69"/>
      <c r="K61" s="69">
        <f t="shared" si="1"/>
        <v>41870.300000000003</v>
      </c>
      <c r="L61" s="44">
        <v>20.95</v>
      </c>
      <c r="M61" s="69">
        <f t="shared" si="2"/>
        <v>43576</v>
      </c>
      <c r="N61" s="69">
        <f t="shared" si="6"/>
        <v>1249.14375</v>
      </c>
      <c r="O61" s="69"/>
      <c r="P61" s="69"/>
      <c r="Q61" s="69">
        <f t="shared" si="3"/>
        <v>44825.143750000003</v>
      </c>
      <c r="R61" s="69">
        <f t="shared" si="4"/>
        <v>2954.84375</v>
      </c>
    </row>
    <row r="62" spans="1:18">
      <c r="A62" s="325">
        <f t="shared" si="5"/>
        <v>51</v>
      </c>
      <c r="B62" s="37" t="s">
        <v>452</v>
      </c>
      <c r="D62" s="239">
        <v>2080</v>
      </c>
      <c r="E62" s="239">
        <v>28.75</v>
      </c>
      <c r="F62" s="239"/>
      <c r="G62" s="69">
        <v>40800.959999999999</v>
      </c>
      <c r="H62" s="69">
        <v>841.2</v>
      </c>
      <c r="I62" s="69"/>
      <c r="J62" s="69"/>
      <c r="K62" s="69">
        <f t="shared" si="1"/>
        <v>41642.159999999996</v>
      </c>
      <c r="L62" s="44">
        <v>20.95</v>
      </c>
      <c r="M62" s="69">
        <f t="shared" si="2"/>
        <v>43576</v>
      </c>
      <c r="N62" s="69">
        <f t="shared" si="6"/>
        <v>903.46875</v>
      </c>
      <c r="O62" s="69"/>
      <c r="P62" s="69"/>
      <c r="Q62" s="69">
        <f t="shared" si="3"/>
        <v>44479.46875</v>
      </c>
      <c r="R62" s="69">
        <f t="shared" si="4"/>
        <v>2837.3087500000038</v>
      </c>
    </row>
    <row r="63" spans="1:18">
      <c r="A63" s="325">
        <f t="shared" si="5"/>
        <v>52</v>
      </c>
      <c r="B63" s="37" t="s">
        <v>453</v>
      </c>
      <c r="D63" s="239">
        <v>2051</v>
      </c>
      <c r="E63" s="239">
        <v>424</v>
      </c>
      <c r="F63" s="239"/>
      <c r="G63" s="69">
        <v>60456.9</v>
      </c>
      <c r="H63" s="69">
        <v>18703.46</v>
      </c>
      <c r="I63" s="69"/>
      <c r="J63" s="69"/>
      <c r="K63" s="69">
        <f t="shared" si="1"/>
        <v>79160.36</v>
      </c>
      <c r="L63" s="44">
        <v>32.159999999999997</v>
      </c>
      <c r="M63" s="69">
        <f t="shared" si="2"/>
        <v>66892.799999999988</v>
      </c>
      <c r="N63" s="69">
        <f t="shared" si="6"/>
        <v>20453.759999999998</v>
      </c>
      <c r="O63" s="69"/>
      <c r="P63" s="69"/>
      <c r="Q63" s="69">
        <f t="shared" si="3"/>
        <v>87346.559999999983</v>
      </c>
      <c r="R63" s="69">
        <f t="shared" si="4"/>
        <v>8186.1999999999825</v>
      </c>
    </row>
    <row r="64" spans="1:18">
      <c r="A64" s="325">
        <f t="shared" si="5"/>
        <v>53</v>
      </c>
      <c r="B64" s="37" t="s">
        <v>454</v>
      </c>
      <c r="D64" s="239">
        <v>2048</v>
      </c>
      <c r="E64" s="239">
        <v>427.5</v>
      </c>
      <c r="F64" s="239"/>
      <c r="G64" s="69">
        <v>56074.19</v>
      </c>
      <c r="H64" s="69">
        <v>17480.759999999998</v>
      </c>
      <c r="I64" s="69"/>
      <c r="J64" s="69"/>
      <c r="K64" s="69">
        <f t="shared" si="1"/>
        <v>73554.95</v>
      </c>
      <c r="L64" s="44">
        <v>30.02</v>
      </c>
      <c r="M64" s="69">
        <f t="shared" si="2"/>
        <v>62441.599999999999</v>
      </c>
      <c r="N64" s="69">
        <f t="shared" si="6"/>
        <v>19250.324999999997</v>
      </c>
      <c r="O64" s="69"/>
      <c r="P64" s="69"/>
      <c r="Q64" s="69">
        <f t="shared" si="3"/>
        <v>81691.924999999988</v>
      </c>
      <c r="R64" s="69">
        <f t="shared" si="4"/>
        <v>8136.9749999999913</v>
      </c>
    </row>
    <row r="65" spans="1:18">
      <c r="A65" s="325">
        <f t="shared" si="5"/>
        <v>54</v>
      </c>
      <c r="B65" s="37" t="s">
        <v>455</v>
      </c>
      <c r="D65" s="239">
        <v>2080</v>
      </c>
      <c r="E65" s="239">
        <v>318</v>
      </c>
      <c r="F65" s="239"/>
      <c r="G65" s="69">
        <v>56938.02</v>
      </c>
      <c r="H65" s="69">
        <v>13034.61</v>
      </c>
      <c r="I65" s="69"/>
      <c r="J65" s="69"/>
      <c r="K65" s="69">
        <f t="shared" si="1"/>
        <v>69972.63</v>
      </c>
      <c r="L65" s="44">
        <v>30.02</v>
      </c>
      <c r="M65" s="69">
        <f t="shared" si="2"/>
        <v>62441.599999999999</v>
      </c>
      <c r="N65" s="69">
        <f t="shared" si="6"/>
        <v>14319.54</v>
      </c>
      <c r="O65" s="69"/>
      <c r="P65" s="69"/>
      <c r="Q65" s="69">
        <f t="shared" si="3"/>
        <v>76761.14</v>
      </c>
      <c r="R65" s="69">
        <f t="shared" si="4"/>
        <v>6788.5099999999948</v>
      </c>
    </row>
    <row r="66" spans="1:18">
      <c r="A66" s="325">
        <f t="shared" si="5"/>
        <v>55</v>
      </c>
      <c r="B66" s="37" t="s">
        <v>456</v>
      </c>
      <c r="D66" s="239">
        <v>1716.77</v>
      </c>
      <c r="E66" s="239">
        <v>3.75</v>
      </c>
      <c r="F66" s="239"/>
      <c r="G66" s="69">
        <v>33590.11</v>
      </c>
      <c r="H66" s="69">
        <v>110.22</v>
      </c>
      <c r="I66" s="69"/>
      <c r="J66" s="69"/>
      <c r="K66" s="69">
        <f t="shared" si="1"/>
        <v>33700.33</v>
      </c>
      <c r="L66" s="44">
        <v>20.95</v>
      </c>
      <c r="M66" s="69">
        <f t="shared" si="2"/>
        <v>43576</v>
      </c>
      <c r="N66" s="69">
        <f t="shared" si="6"/>
        <v>117.84375</v>
      </c>
      <c r="O66" s="69"/>
      <c r="P66" s="69"/>
      <c r="Q66" s="69">
        <f t="shared" si="3"/>
        <v>43693.84375</v>
      </c>
      <c r="R66" s="69">
        <f t="shared" si="4"/>
        <v>9993.5137499999983</v>
      </c>
    </row>
    <row r="67" spans="1:18">
      <c r="A67" s="325">
        <f t="shared" si="5"/>
        <v>56</v>
      </c>
      <c r="B67" s="37" t="s">
        <v>457</v>
      </c>
      <c r="D67" s="239">
        <v>2080</v>
      </c>
      <c r="E67" s="239">
        <v>203.25</v>
      </c>
      <c r="F67" s="239"/>
      <c r="G67" s="69">
        <v>54232.57</v>
      </c>
      <c r="H67" s="69">
        <v>7937.33</v>
      </c>
      <c r="I67" s="69"/>
      <c r="J67" s="69"/>
      <c r="K67" s="69">
        <f t="shared" si="1"/>
        <v>62169.9</v>
      </c>
      <c r="L67" s="44">
        <v>27.28</v>
      </c>
      <c r="M67" s="69">
        <f t="shared" si="2"/>
        <v>56742.400000000001</v>
      </c>
      <c r="N67" s="69">
        <f t="shared" si="6"/>
        <v>8316.99</v>
      </c>
      <c r="O67" s="69"/>
      <c r="P67" s="69"/>
      <c r="Q67" s="69">
        <f t="shared" si="3"/>
        <v>65059.39</v>
      </c>
      <c r="R67" s="69">
        <f t="shared" si="4"/>
        <v>2889.489999999998</v>
      </c>
    </row>
    <row r="68" spans="1:18">
      <c r="A68" s="325">
        <f t="shared" si="5"/>
        <v>57</v>
      </c>
      <c r="B68" s="37" t="s">
        <v>458</v>
      </c>
      <c r="D68" s="239">
        <v>2051</v>
      </c>
      <c r="E68" s="239">
        <v>255</v>
      </c>
      <c r="F68" s="239"/>
      <c r="G68" s="69">
        <v>77794.05</v>
      </c>
      <c r="H68" s="69">
        <v>14461.62</v>
      </c>
      <c r="I68" s="69"/>
      <c r="J68" s="69"/>
      <c r="K68" s="69">
        <f t="shared" si="1"/>
        <v>92255.67</v>
      </c>
      <c r="L68" s="44">
        <v>38.79</v>
      </c>
      <c r="M68" s="69">
        <f t="shared" si="2"/>
        <v>80683.199999999997</v>
      </c>
      <c r="N68" s="69">
        <f t="shared" si="6"/>
        <v>14837.174999999999</v>
      </c>
      <c r="O68" s="69"/>
      <c r="P68" s="69"/>
      <c r="Q68" s="69">
        <f t="shared" si="3"/>
        <v>95520.375</v>
      </c>
      <c r="R68" s="69">
        <f t="shared" si="4"/>
        <v>3264.7050000000017</v>
      </c>
    </row>
    <row r="69" spans="1:18">
      <c r="A69" s="325">
        <f t="shared" si="5"/>
        <v>58</v>
      </c>
      <c r="B69" s="37" t="s">
        <v>459</v>
      </c>
      <c r="D69" s="239">
        <v>2080</v>
      </c>
      <c r="E69" s="239">
        <v>13</v>
      </c>
      <c r="F69" s="239"/>
      <c r="G69" s="69">
        <v>40605.120000000003</v>
      </c>
      <c r="H69" s="69">
        <v>376.78</v>
      </c>
      <c r="I69" s="69"/>
      <c r="J69" s="69"/>
      <c r="K69" s="69">
        <f t="shared" si="1"/>
        <v>40981.9</v>
      </c>
      <c r="L69" s="44">
        <v>20.95</v>
      </c>
      <c r="M69" s="69">
        <f t="shared" si="2"/>
        <v>43576</v>
      </c>
      <c r="N69" s="69">
        <f t="shared" si="6"/>
        <v>408.52499999999998</v>
      </c>
      <c r="O69" s="69"/>
      <c r="P69" s="69"/>
      <c r="Q69" s="69">
        <f t="shared" si="3"/>
        <v>43984.525000000001</v>
      </c>
      <c r="R69" s="69">
        <f t="shared" si="4"/>
        <v>3002.625</v>
      </c>
    </row>
    <row r="70" spans="1:18">
      <c r="A70" s="325">
        <f t="shared" si="5"/>
        <v>59</v>
      </c>
      <c r="B70" s="37" t="s">
        <v>460</v>
      </c>
      <c r="D70" s="239">
        <v>2080</v>
      </c>
      <c r="E70" s="239">
        <v>76</v>
      </c>
      <c r="F70" s="239"/>
      <c r="G70" s="69">
        <v>47053.96</v>
      </c>
      <c r="H70" s="69">
        <v>2565.04</v>
      </c>
      <c r="I70" s="69"/>
      <c r="J70" s="69"/>
      <c r="K70" s="69">
        <f t="shared" si="1"/>
        <v>49619</v>
      </c>
      <c r="L70" s="44">
        <v>23.29</v>
      </c>
      <c r="M70" s="69">
        <f t="shared" si="2"/>
        <v>48443.199999999997</v>
      </c>
      <c r="N70" s="69">
        <f t="shared" si="6"/>
        <v>2655.06</v>
      </c>
      <c r="O70" s="69"/>
      <c r="P70" s="69"/>
      <c r="Q70" s="69">
        <f t="shared" si="3"/>
        <v>51098.259999999995</v>
      </c>
      <c r="R70" s="69">
        <f t="shared" si="4"/>
        <v>1479.2599999999948</v>
      </c>
    </row>
    <row r="71" spans="1:18">
      <c r="A71" s="325">
        <f t="shared" si="5"/>
        <v>60</v>
      </c>
      <c r="B71" s="37" t="s">
        <v>461</v>
      </c>
      <c r="D71" s="239">
        <v>1799</v>
      </c>
      <c r="E71" s="239">
        <v>49</v>
      </c>
      <c r="F71" s="239"/>
      <c r="G71" s="69">
        <v>35114.639999999999</v>
      </c>
      <c r="H71" s="69">
        <v>1428.32</v>
      </c>
      <c r="I71" s="69"/>
      <c r="J71" s="69"/>
      <c r="K71" s="69">
        <f t="shared" si="1"/>
        <v>36542.959999999999</v>
      </c>
      <c r="L71" s="44">
        <v>20.95</v>
      </c>
      <c r="M71" s="69">
        <f t="shared" si="2"/>
        <v>43576</v>
      </c>
      <c r="N71" s="69">
        <f t="shared" si="6"/>
        <v>1539.8249999999998</v>
      </c>
      <c r="O71" s="69"/>
      <c r="P71" s="69"/>
      <c r="Q71" s="69">
        <f t="shared" si="3"/>
        <v>45115.824999999997</v>
      </c>
      <c r="R71" s="69">
        <f t="shared" si="4"/>
        <v>8572.864999999998</v>
      </c>
    </row>
    <row r="72" spans="1:18">
      <c r="A72" s="325">
        <f t="shared" si="5"/>
        <v>61</v>
      </c>
      <c r="B72" s="37" t="s">
        <v>559</v>
      </c>
      <c r="D72" s="239">
        <v>1714.75</v>
      </c>
      <c r="E72" s="239">
        <v>66.25</v>
      </c>
      <c r="F72" s="239"/>
      <c r="G72" s="69">
        <v>58733.82</v>
      </c>
      <c r="H72" s="69">
        <v>3468.46</v>
      </c>
      <c r="I72" s="69"/>
      <c r="J72" s="69"/>
      <c r="K72" s="69">
        <f t="shared" si="1"/>
        <v>62202.28</v>
      </c>
      <c r="L72" s="44">
        <v>39</v>
      </c>
      <c r="M72" s="69">
        <f t="shared" si="2"/>
        <v>81120</v>
      </c>
      <c r="N72" s="69">
        <f t="shared" si="6"/>
        <v>3875.625</v>
      </c>
      <c r="O72" s="69"/>
      <c r="P72" s="69"/>
      <c r="Q72" s="69">
        <f t="shared" si="3"/>
        <v>84995.625</v>
      </c>
      <c r="R72" s="69">
        <f t="shared" si="4"/>
        <v>22793.345000000001</v>
      </c>
    </row>
    <row r="73" spans="1:18">
      <c r="A73" s="325">
        <f t="shared" si="5"/>
        <v>62</v>
      </c>
      <c r="B73" s="37" t="s">
        <v>560</v>
      </c>
      <c r="D73" s="239">
        <v>1109.97</v>
      </c>
      <c r="E73" s="239">
        <v>28.25</v>
      </c>
      <c r="F73" s="239"/>
      <c r="G73" s="69">
        <v>21876.69</v>
      </c>
      <c r="H73" s="69">
        <v>833.14</v>
      </c>
      <c r="I73" s="69"/>
      <c r="J73" s="69"/>
      <c r="K73" s="69">
        <f t="shared" si="1"/>
        <v>22709.829999999998</v>
      </c>
      <c r="L73" s="44">
        <v>20.95</v>
      </c>
      <c r="M73" s="69">
        <f t="shared" si="2"/>
        <v>43576</v>
      </c>
      <c r="N73" s="69">
        <f t="shared" si="6"/>
        <v>887.75624999999991</v>
      </c>
      <c r="O73" s="69"/>
      <c r="P73" s="69"/>
      <c r="Q73" s="69">
        <f t="shared" si="3"/>
        <v>44463.756249999999</v>
      </c>
      <c r="R73" s="69">
        <f t="shared" si="4"/>
        <v>21753.92625</v>
      </c>
    </row>
    <row r="74" spans="1:18">
      <c r="A74" s="325">
        <f t="shared" si="5"/>
        <v>63</v>
      </c>
      <c r="B74" s="37" t="s">
        <v>462</v>
      </c>
      <c r="D74" s="239">
        <v>988.5</v>
      </c>
      <c r="E74" s="239"/>
      <c r="F74" s="239"/>
      <c r="G74" s="69">
        <v>15900</v>
      </c>
      <c r="H74" s="69"/>
      <c r="I74" s="69"/>
      <c r="J74" s="69"/>
      <c r="K74" s="69">
        <f t="shared" si="1"/>
        <v>15900</v>
      </c>
      <c r="L74" s="44">
        <v>16.559999999999999</v>
      </c>
      <c r="M74" s="69">
        <f>L74*988.5</f>
        <v>16369.56</v>
      </c>
      <c r="N74" s="69"/>
      <c r="O74" s="69"/>
      <c r="P74" s="69"/>
      <c r="Q74" s="69">
        <f t="shared" si="3"/>
        <v>16369.56</v>
      </c>
      <c r="R74" s="69">
        <f t="shared" si="4"/>
        <v>469.55999999999949</v>
      </c>
    </row>
    <row r="75" spans="1:18">
      <c r="A75" s="325">
        <f t="shared" si="5"/>
        <v>64</v>
      </c>
      <c r="B75" s="37" t="s">
        <v>463</v>
      </c>
      <c r="D75" s="239">
        <v>101</v>
      </c>
      <c r="E75" s="239"/>
      <c r="F75" s="239"/>
      <c r="G75" s="69">
        <v>1517.02</v>
      </c>
      <c r="H75" s="69"/>
      <c r="I75" s="69"/>
      <c r="J75" s="69"/>
      <c r="K75" s="69">
        <f t="shared" si="1"/>
        <v>1517.02</v>
      </c>
      <c r="L75" s="44">
        <v>15.44</v>
      </c>
      <c r="M75" s="69">
        <f>L75*101</f>
        <v>1559.44</v>
      </c>
      <c r="N75" s="69"/>
      <c r="O75" s="69"/>
      <c r="P75" s="69"/>
      <c r="Q75" s="69">
        <f t="shared" si="3"/>
        <v>1559.44</v>
      </c>
      <c r="R75" s="69">
        <f t="shared" si="4"/>
        <v>42.420000000000073</v>
      </c>
    </row>
    <row r="76" spans="1:18">
      <c r="A76" s="325">
        <f t="shared" si="5"/>
        <v>65</v>
      </c>
      <c r="B76" s="37" t="s">
        <v>464</v>
      </c>
      <c r="D76" s="239"/>
      <c r="E76" s="239"/>
      <c r="F76" s="239">
        <v>829</v>
      </c>
      <c r="G76" s="69"/>
      <c r="H76" s="69"/>
      <c r="I76" s="69">
        <v>20227.599999999999</v>
      </c>
      <c r="J76" s="69"/>
      <c r="K76" s="69">
        <f t="shared" si="1"/>
        <v>20227.599999999999</v>
      </c>
      <c r="L76" s="69"/>
      <c r="M76" s="69">
        <f t="shared" ref="M76:M78" si="7">L76*2080</f>
        <v>0</v>
      </c>
      <c r="N76" s="69"/>
      <c r="O76" s="69"/>
      <c r="P76" s="69"/>
      <c r="Q76" s="69">
        <f t="shared" ref="Q76:Q78" si="8">SUM(M76:P76)</f>
        <v>0</v>
      </c>
      <c r="R76" s="69">
        <f t="shared" si="4"/>
        <v>-20227.599999999999</v>
      </c>
    </row>
    <row r="77" spans="1:18">
      <c r="A77" s="325">
        <f t="shared" si="5"/>
        <v>66</v>
      </c>
      <c r="B77" s="37" t="s">
        <v>465</v>
      </c>
      <c r="D77" s="239"/>
      <c r="E77" s="239"/>
      <c r="F77" s="239">
        <v>743.02</v>
      </c>
      <c r="G77" s="69"/>
      <c r="H77" s="69"/>
      <c r="I77" s="69">
        <v>20091.259999999998</v>
      </c>
      <c r="J77" s="69"/>
      <c r="K77" s="69">
        <f t="shared" ref="K77:K78" si="9">SUM(G77:J77)</f>
        <v>20091.259999999998</v>
      </c>
      <c r="L77" s="69"/>
      <c r="M77" s="69">
        <f t="shared" si="7"/>
        <v>0</v>
      </c>
      <c r="N77" s="69"/>
      <c r="O77" s="69"/>
      <c r="P77" s="69"/>
      <c r="Q77" s="69">
        <f t="shared" si="8"/>
        <v>0</v>
      </c>
      <c r="R77" s="69">
        <f t="shared" ref="R77:R78" si="10">Q77-K77</f>
        <v>-20091.259999999998</v>
      </c>
    </row>
    <row r="78" spans="1:18">
      <c r="A78" s="325">
        <f t="shared" ref="A78:A96" si="11">A77+1</f>
        <v>67</v>
      </c>
      <c r="B78" s="37" t="s">
        <v>466</v>
      </c>
      <c r="C78" s="61"/>
      <c r="D78" s="240">
        <v>736</v>
      </c>
      <c r="E78" s="240">
        <v>34</v>
      </c>
      <c r="F78" s="240"/>
      <c r="G78" s="173">
        <v>15047.28</v>
      </c>
      <c r="H78" s="173">
        <v>1030.8800000000001</v>
      </c>
      <c r="I78" s="173"/>
      <c r="J78" s="173"/>
      <c r="K78" s="173">
        <f t="shared" si="9"/>
        <v>16078.16</v>
      </c>
      <c r="L78" s="173"/>
      <c r="M78" s="173">
        <f t="shared" si="7"/>
        <v>0</v>
      </c>
      <c r="N78" s="173"/>
      <c r="O78" s="173"/>
      <c r="P78" s="173"/>
      <c r="Q78" s="173">
        <f t="shared" si="8"/>
        <v>0</v>
      </c>
      <c r="R78" s="173">
        <f t="shared" si="10"/>
        <v>-16078.16</v>
      </c>
    </row>
    <row r="79" spans="1:18">
      <c r="A79" s="325">
        <f t="shared" si="11"/>
        <v>68</v>
      </c>
      <c r="B79" s="37" t="s">
        <v>561</v>
      </c>
      <c r="D79" s="69">
        <f t="shared" ref="D79:R79" si="12">SUM(D12:D78)</f>
        <v>128503.99</v>
      </c>
      <c r="E79" s="69">
        <f t="shared" si="12"/>
        <v>8663</v>
      </c>
      <c r="F79" s="69">
        <f t="shared" si="12"/>
        <v>1572.02</v>
      </c>
      <c r="G79" s="69">
        <f t="shared" si="12"/>
        <v>4578284.68</v>
      </c>
      <c r="H79" s="69">
        <f t="shared" si="12"/>
        <v>466906.08999999997</v>
      </c>
      <c r="I79" s="69">
        <f t="shared" si="12"/>
        <v>40318.86</v>
      </c>
      <c r="J79" s="69">
        <f t="shared" si="12"/>
        <v>11712.8</v>
      </c>
      <c r="K79" s="69">
        <f t="shared" si="12"/>
        <v>5097222.43</v>
      </c>
      <c r="L79" s="69">
        <f t="shared" si="12"/>
        <v>2323.0569999999998</v>
      </c>
      <c r="M79" s="69">
        <f t="shared" si="12"/>
        <v>4783327.5599999987</v>
      </c>
      <c r="N79" s="69">
        <f t="shared" si="12"/>
        <v>484917.00749999989</v>
      </c>
      <c r="O79" s="69">
        <f t="shared" si="12"/>
        <v>0</v>
      </c>
      <c r="P79" s="69">
        <f t="shared" si="12"/>
        <v>0</v>
      </c>
      <c r="Q79" s="69">
        <f t="shared" si="12"/>
        <v>5268244.567499998</v>
      </c>
      <c r="R79" s="69">
        <f t="shared" si="12"/>
        <v>171022.13749999998</v>
      </c>
    </row>
    <row r="80" spans="1:18">
      <c r="A80" s="325">
        <f t="shared" si="11"/>
        <v>69</v>
      </c>
      <c r="D80" s="44"/>
      <c r="E80" s="44"/>
      <c r="F80" s="44"/>
      <c r="G80" s="167"/>
      <c r="H80" s="44"/>
      <c r="I80" s="44"/>
      <c r="J80" s="44"/>
      <c r="K80" s="44"/>
      <c r="L80" s="44"/>
    </row>
    <row r="81" spans="1:18">
      <c r="A81" s="325">
        <f t="shared" si="11"/>
        <v>70</v>
      </c>
      <c r="K81" s="241"/>
      <c r="L81" s="44"/>
      <c r="R81" s="242"/>
    </row>
    <row r="82" spans="1:18">
      <c r="A82" s="325">
        <f t="shared" si="11"/>
        <v>71</v>
      </c>
      <c r="K82" s="241"/>
      <c r="L82" s="44"/>
    </row>
    <row r="83" spans="1:18">
      <c r="A83" s="325">
        <f t="shared" si="11"/>
        <v>72</v>
      </c>
      <c r="L83" s="44"/>
    </row>
    <row r="84" spans="1:18">
      <c r="A84" s="325">
        <f t="shared" si="11"/>
        <v>73</v>
      </c>
      <c r="B84" s="5"/>
      <c r="C84" s="210" t="s">
        <v>536</v>
      </c>
      <c r="D84" s="5"/>
      <c r="E84" s="5"/>
      <c r="F84" s="2"/>
      <c r="G84" s="229" t="s">
        <v>382</v>
      </c>
      <c r="H84" s="229" t="s">
        <v>383</v>
      </c>
      <c r="I84" s="229" t="s">
        <v>8</v>
      </c>
      <c r="L84" s="243" t="s">
        <v>478</v>
      </c>
      <c r="M84" s="244" t="s">
        <v>467</v>
      </c>
    </row>
    <row r="85" spans="1:18">
      <c r="A85" s="325">
        <f t="shared" si="11"/>
        <v>74</v>
      </c>
      <c r="B85" s="2"/>
      <c r="C85" s="5" t="s">
        <v>384</v>
      </c>
      <c r="D85" s="2" t="s">
        <v>385</v>
      </c>
      <c r="E85" s="5"/>
      <c r="F85" s="5"/>
      <c r="G85" s="230">
        <v>624896</v>
      </c>
      <c r="H85" s="224">
        <f>G85/$G$96</f>
        <v>0.12259540588971797</v>
      </c>
      <c r="I85" s="32">
        <f>$R$79*H85</f>
        <v>20966.528362939654</v>
      </c>
      <c r="L85" s="74" t="s">
        <v>468</v>
      </c>
      <c r="M85" s="39" t="s">
        <v>469</v>
      </c>
    </row>
    <row r="86" spans="1:18">
      <c r="A86" s="325">
        <f t="shared" si="11"/>
        <v>75</v>
      </c>
      <c r="B86" s="2"/>
      <c r="C86" s="5" t="s">
        <v>386</v>
      </c>
      <c r="D86" s="2" t="s">
        <v>387</v>
      </c>
      <c r="E86" s="5"/>
      <c r="F86" s="5"/>
      <c r="G86" s="230">
        <v>1030686</v>
      </c>
      <c r="H86" s="224">
        <f t="shared" ref="H86:H89" si="13">G86/$G$96</f>
        <v>0.20220543660841139</v>
      </c>
      <c r="I86" s="32">
        <f t="shared" ref="I86:I89" si="14">$R$79*H86</f>
        <v>34581.605982891262</v>
      </c>
      <c r="L86" s="39" t="s">
        <v>470</v>
      </c>
      <c r="M86" s="39" t="s">
        <v>471</v>
      </c>
    </row>
    <row r="87" spans="1:18">
      <c r="A87" s="325">
        <f t="shared" si="11"/>
        <v>76</v>
      </c>
      <c r="B87" s="2"/>
      <c r="C87" s="5" t="s">
        <v>388</v>
      </c>
      <c r="D87" s="2" t="s">
        <v>233</v>
      </c>
      <c r="E87" s="5"/>
      <c r="F87" s="5"/>
      <c r="G87" s="230">
        <v>511742</v>
      </c>
      <c r="H87" s="224">
        <f t="shared" si="13"/>
        <v>0.10039625505814737</v>
      </c>
      <c r="I87" s="32">
        <f t="shared" si="14"/>
        <v>17169.982137039548</v>
      </c>
      <c r="L87" s="39" t="s">
        <v>472</v>
      </c>
      <c r="M87" s="39" t="s">
        <v>473</v>
      </c>
    </row>
    <row r="88" spans="1:18">
      <c r="A88" s="325">
        <f t="shared" si="11"/>
        <v>77</v>
      </c>
      <c r="B88" s="2"/>
      <c r="C88" s="5" t="s">
        <v>505</v>
      </c>
      <c r="D88" s="2" t="s">
        <v>22</v>
      </c>
      <c r="E88" s="5"/>
      <c r="F88" s="5"/>
      <c r="G88" s="230">
        <v>103754</v>
      </c>
      <c r="H88" s="224">
        <f t="shared" si="13"/>
        <v>2.0355009061798761E-2</v>
      </c>
      <c r="I88" s="32">
        <f t="shared" si="14"/>
        <v>3481.1571585806932</v>
      </c>
      <c r="L88" s="39" t="s">
        <v>474</v>
      </c>
      <c r="M88" s="39" t="s">
        <v>69</v>
      </c>
    </row>
    <row r="89" spans="1:18">
      <c r="A89" s="325">
        <f t="shared" si="11"/>
        <v>78</v>
      </c>
      <c r="B89" s="2"/>
      <c r="C89" s="5" t="s">
        <v>389</v>
      </c>
      <c r="D89" s="2" t="s">
        <v>390</v>
      </c>
      <c r="E89" s="5"/>
      <c r="F89" s="5"/>
      <c r="G89" s="230">
        <v>617070</v>
      </c>
      <c r="H89" s="224">
        <f t="shared" si="13"/>
        <v>0.12106005977373557</v>
      </c>
      <c r="I89" s="32">
        <f t="shared" si="14"/>
        <v>20703.950188382023</v>
      </c>
      <c r="L89" s="39" t="s">
        <v>475</v>
      </c>
      <c r="M89" s="39" t="s">
        <v>476</v>
      </c>
    </row>
    <row r="90" spans="1:18">
      <c r="A90" s="325">
        <f t="shared" si="11"/>
        <v>79</v>
      </c>
      <c r="B90" s="2"/>
      <c r="C90" s="165" t="s">
        <v>506</v>
      </c>
      <c r="D90" s="214"/>
      <c r="E90" s="55"/>
      <c r="F90" s="55"/>
      <c r="G90" s="231">
        <f>SUM(G85:G89)</f>
        <v>2888148</v>
      </c>
      <c r="H90" s="232">
        <f>SUM(H85:H89)</f>
        <v>0.56661216639181111</v>
      </c>
      <c r="I90" s="313">
        <f>SUM(I85:I89)</f>
        <v>96903.223829833179</v>
      </c>
      <c r="J90" s="2" t="s">
        <v>530</v>
      </c>
    </row>
    <row r="91" spans="1:18">
      <c r="A91" s="325">
        <f t="shared" si="11"/>
        <v>80</v>
      </c>
      <c r="B91" s="2"/>
      <c r="C91" s="5"/>
      <c r="D91" s="2"/>
      <c r="E91" s="5"/>
      <c r="F91" s="5"/>
      <c r="G91" s="233"/>
      <c r="H91" s="224"/>
      <c r="I91" s="32"/>
      <c r="M91" s="2"/>
    </row>
    <row r="92" spans="1:18">
      <c r="A92" s="325">
        <f t="shared" si="11"/>
        <v>81</v>
      </c>
      <c r="B92" s="2"/>
      <c r="C92" s="5" t="s">
        <v>507</v>
      </c>
      <c r="D92" s="2" t="s">
        <v>537</v>
      </c>
      <c r="E92" s="5"/>
      <c r="F92" s="5"/>
      <c r="G92" s="230">
        <v>1579790</v>
      </c>
      <c r="H92" s="224">
        <f>G92/$G$96</f>
        <v>0.30993156664551791</v>
      </c>
      <c r="I92" s="32">
        <f>$R$79*H92</f>
        <v>53005.159006440175</v>
      </c>
      <c r="M92" s="2"/>
    </row>
    <row r="93" spans="1:18">
      <c r="A93" s="325">
        <f t="shared" si="11"/>
        <v>82</v>
      </c>
      <c r="B93" s="2"/>
      <c r="C93" s="5" t="s">
        <v>508</v>
      </c>
      <c r="D93" s="2" t="s">
        <v>538</v>
      </c>
      <c r="E93" s="5"/>
      <c r="F93" s="5"/>
      <c r="G93" s="230">
        <v>629284</v>
      </c>
      <c r="H93" s="224">
        <f>G93/$G$96</f>
        <v>0.12345626696267104</v>
      </c>
      <c r="I93" s="32">
        <f>$R$79*H93</f>
        <v>21113.754663726631</v>
      </c>
      <c r="M93" s="2"/>
    </row>
    <row r="94" spans="1:18">
      <c r="A94" s="325">
        <f t="shared" si="11"/>
        <v>83</v>
      </c>
      <c r="B94" s="2"/>
      <c r="C94" s="55"/>
      <c r="D94" s="11"/>
      <c r="E94" s="55"/>
      <c r="F94" s="55"/>
      <c r="G94" s="231">
        <f>SUM(G92:G93)</f>
        <v>2209074</v>
      </c>
      <c r="H94" s="232">
        <f>SUM(H92:H93)</f>
        <v>0.43338783360818894</v>
      </c>
      <c r="I94" s="56">
        <f>SUM(I92:I93)</f>
        <v>74118.913670166803</v>
      </c>
      <c r="M94" s="2"/>
    </row>
    <row r="95" spans="1:18">
      <c r="A95" s="325">
        <f t="shared" si="11"/>
        <v>84</v>
      </c>
      <c r="B95" s="2"/>
      <c r="C95" s="5"/>
      <c r="D95" s="2"/>
      <c r="E95" s="5"/>
      <c r="F95" s="5"/>
      <c r="G95" s="233"/>
      <c r="H95" s="224"/>
      <c r="I95" s="32"/>
      <c r="M95" s="2"/>
    </row>
    <row r="96" spans="1:18" ht="13.5" thickBot="1">
      <c r="A96" s="325">
        <f t="shared" si="11"/>
        <v>85</v>
      </c>
      <c r="B96" s="2"/>
      <c r="C96" s="225"/>
      <c r="D96" s="16" t="s">
        <v>62</v>
      </c>
      <c r="E96" s="225"/>
      <c r="F96" s="225"/>
      <c r="G96" s="234">
        <f>G90+G94</f>
        <v>5097222</v>
      </c>
      <c r="H96" s="226">
        <f>H90+H94</f>
        <v>1</v>
      </c>
      <c r="I96" s="235">
        <f>I90+I94</f>
        <v>171022.13749999998</v>
      </c>
      <c r="M96" s="2"/>
    </row>
    <row r="97" ht="13.5" thickTop="1"/>
  </sheetData>
  <mergeCells count="9">
    <mergeCell ref="R9:R10"/>
    <mergeCell ref="B7:R7"/>
    <mergeCell ref="A4:R4"/>
    <mergeCell ref="A5:R5"/>
    <mergeCell ref="B9:C9"/>
    <mergeCell ref="D9:F9"/>
    <mergeCell ref="G9:K9"/>
    <mergeCell ref="L9:L10"/>
    <mergeCell ref="M9:Q9"/>
  </mergeCells>
  <pageMargins left="0.7" right="0.7" top="0.75" bottom="0.75" header="0.3" footer="0.3"/>
  <pageSetup scale="69" fitToHeight="2" orientation="landscape" r:id="rId1"/>
  <headerFooter>
    <oddFooter>&amp;RExhibit  JW-2
Page &amp;P of &amp;N</oddFooter>
  </headerFooter>
  <ignoredErrors>
    <ignoredError sqref="K76:K7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93"/>
  <sheetViews>
    <sheetView view="pageBreakPreview" topLeftCell="A58" zoomScaleNormal="100" zoomScaleSheetLayoutView="100" workbookViewId="0">
      <selection activeCell="E74" sqref="E74"/>
    </sheetView>
  </sheetViews>
  <sheetFormatPr defaultColWidth="9.140625" defaultRowHeight="12.75"/>
  <cols>
    <col min="1" max="1" width="5" style="43" bestFit="1" customWidth="1"/>
    <col min="2" max="2" width="9.5703125" style="37" customWidth="1"/>
    <col min="3" max="4" width="24.7109375" style="37" customWidth="1"/>
    <col min="5" max="5" width="7.28515625" style="37" bestFit="1" customWidth="1"/>
    <col min="6" max="6" width="24.85546875" style="37" customWidth="1"/>
    <col min="7" max="11" width="9.140625" style="37"/>
    <col min="12" max="12" width="10.5703125" style="37" bestFit="1" customWidth="1"/>
    <col min="13" max="16384" width="9.140625" style="37"/>
  </cols>
  <sheetData>
    <row r="1" spans="1:12">
      <c r="F1" s="26" t="s">
        <v>77</v>
      </c>
    </row>
    <row r="2" spans="1:12">
      <c r="A2" s="299" t="s">
        <v>533</v>
      </c>
      <c r="B2" s="299"/>
      <c r="C2" s="299"/>
      <c r="D2" s="299"/>
      <c r="E2" s="299"/>
      <c r="F2" s="299"/>
    </row>
    <row r="3" spans="1:12">
      <c r="A3" s="299" t="s">
        <v>557</v>
      </c>
      <c r="B3" s="299"/>
      <c r="C3" s="299"/>
      <c r="D3" s="299"/>
      <c r="E3" s="299"/>
      <c r="F3" s="299"/>
    </row>
    <row r="4" spans="1:12">
      <c r="A4" s="326"/>
      <c r="B4" s="192"/>
      <c r="C4" s="192"/>
      <c r="D4" s="192"/>
      <c r="E4" s="192"/>
      <c r="F4" s="192"/>
    </row>
    <row r="5" spans="1:12">
      <c r="A5" s="300" t="s">
        <v>562</v>
      </c>
      <c r="B5" s="300"/>
      <c r="C5" s="300"/>
      <c r="D5" s="300"/>
      <c r="E5" s="300"/>
      <c r="F5" s="300"/>
    </row>
    <row r="7" spans="1:12">
      <c r="A7" s="144"/>
      <c r="B7" s="47"/>
      <c r="C7" s="305" t="s">
        <v>477</v>
      </c>
      <c r="D7" s="306"/>
      <c r="E7" s="246"/>
      <c r="F7" s="247" t="s">
        <v>399</v>
      </c>
    </row>
    <row r="8" spans="1:12">
      <c r="A8" s="327" t="s">
        <v>5</v>
      </c>
      <c r="B8" s="49" t="s">
        <v>540</v>
      </c>
      <c r="C8" s="49" t="s">
        <v>400</v>
      </c>
      <c r="D8" s="248" t="s">
        <v>400</v>
      </c>
      <c r="E8" s="49"/>
      <c r="F8" s="249" t="s">
        <v>400</v>
      </c>
    </row>
    <row r="9" spans="1:12">
      <c r="A9" s="328" t="s">
        <v>10</v>
      </c>
      <c r="B9" s="244" t="s">
        <v>478</v>
      </c>
      <c r="C9" s="244" t="s">
        <v>401</v>
      </c>
      <c r="D9" s="250" t="s">
        <v>402</v>
      </c>
      <c r="E9" s="244"/>
      <c r="F9" s="251" t="s">
        <v>402</v>
      </c>
    </row>
    <row r="10" spans="1:12">
      <c r="A10" s="43">
        <v>1</v>
      </c>
      <c r="B10" s="37" t="s">
        <v>558</v>
      </c>
      <c r="C10" s="44"/>
      <c r="D10" s="44"/>
      <c r="E10" s="44"/>
      <c r="F10" s="44">
        <v>22278.14</v>
      </c>
    </row>
    <row r="11" spans="1:12">
      <c r="A11" s="43">
        <f>A10+1</f>
        <v>2</v>
      </c>
      <c r="B11" s="37" t="s">
        <v>403</v>
      </c>
      <c r="C11" s="69">
        <v>33899.279999999999</v>
      </c>
      <c r="D11" s="69">
        <v>1389.57</v>
      </c>
      <c r="E11" s="69"/>
      <c r="F11" s="69"/>
    </row>
    <row r="12" spans="1:12">
      <c r="A12" s="43">
        <f t="shared" ref="A12:A75" si="0">A11+1</f>
        <v>3</v>
      </c>
      <c r="B12" s="37" t="s">
        <v>404</v>
      </c>
      <c r="C12" s="69">
        <v>33608.519999999997</v>
      </c>
      <c r="D12" s="69">
        <v>1377.76</v>
      </c>
      <c r="E12" s="69"/>
      <c r="F12" s="69"/>
      <c r="J12" s="39"/>
      <c r="K12" s="188"/>
      <c r="L12" s="167"/>
    </row>
    <row r="13" spans="1:12">
      <c r="A13" s="43">
        <f t="shared" si="0"/>
        <v>4</v>
      </c>
      <c r="B13" s="37" t="s">
        <v>405</v>
      </c>
      <c r="C13" s="69">
        <v>33873.72</v>
      </c>
      <c r="D13" s="69">
        <v>1388.53</v>
      </c>
      <c r="E13" s="69"/>
      <c r="F13" s="69"/>
      <c r="J13" s="39"/>
      <c r="K13" s="39"/>
      <c r="L13" s="167"/>
    </row>
    <row r="14" spans="1:12">
      <c r="A14" s="43">
        <f t="shared" si="0"/>
        <v>5</v>
      </c>
      <c r="B14" s="37" t="s">
        <v>406</v>
      </c>
      <c r="C14" s="69">
        <v>29322.6</v>
      </c>
      <c r="D14" s="69">
        <v>1201.02</v>
      </c>
      <c r="E14" s="69"/>
      <c r="F14" s="69"/>
      <c r="J14" s="39"/>
      <c r="K14" s="188"/>
      <c r="L14" s="167"/>
    </row>
    <row r="15" spans="1:12">
      <c r="A15" s="43">
        <f t="shared" si="0"/>
        <v>6</v>
      </c>
      <c r="B15" s="37" t="s">
        <v>407</v>
      </c>
      <c r="C15" s="69"/>
      <c r="D15" s="69"/>
      <c r="E15" s="69"/>
      <c r="F15" s="69">
        <v>9600.99</v>
      </c>
      <c r="J15" s="39"/>
      <c r="K15" s="188"/>
      <c r="L15" s="167"/>
    </row>
    <row r="16" spans="1:12">
      <c r="A16" s="43">
        <f t="shared" si="0"/>
        <v>7</v>
      </c>
      <c r="B16" s="37" t="s">
        <v>408</v>
      </c>
      <c r="C16" s="69"/>
      <c r="D16" s="69"/>
      <c r="E16" s="69"/>
      <c r="F16" s="69">
        <v>12352.869999999999</v>
      </c>
      <c r="J16" s="39"/>
      <c r="K16" s="188"/>
      <c r="L16" s="167"/>
    </row>
    <row r="17" spans="1:12">
      <c r="A17" s="43">
        <f t="shared" si="0"/>
        <v>8</v>
      </c>
      <c r="B17" s="37" t="s">
        <v>409</v>
      </c>
      <c r="C17" s="69">
        <v>18306.72</v>
      </c>
      <c r="D17" s="69">
        <v>749.69</v>
      </c>
      <c r="E17" s="69"/>
      <c r="F17" s="69"/>
      <c r="J17" s="39"/>
      <c r="K17" s="39"/>
      <c r="L17" s="167"/>
    </row>
    <row r="18" spans="1:12">
      <c r="A18" s="43">
        <f t="shared" si="0"/>
        <v>9</v>
      </c>
      <c r="B18" s="37" t="s">
        <v>410</v>
      </c>
      <c r="C18" s="69">
        <v>12092.28</v>
      </c>
      <c r="D18" s="69">
        <v>492.96</v>
      </c>
      <c r="E18" s="69"/>
      <c r="F18" s="69"/>
      <c r="J18" s="39"/>
      <c r="K18" s="188"/>
      <c r="L18" s="167"/>
    </row>
    <row r="19" spans="1:12">
      <c r="A19" s="43">
        <f t="shared" si="0"/>
        <v>10</v>
      </c>
      <c r="B19" s="37" t="s">
        <v>411</v>
      </c>
      <c r="C19" s="69">
        <v>17194.560000000001</v>
      </c>
      <c r="D19" s="69">
        <v>700.96</v>
      </c>
      <c r="E19" s="69"/>
      <c r="F19" s="69"/>
      <c r="J19" s="39"/>
      <c r="K19" s="39"/>
      <c r="L19" s="167"/>
    </row>
    <row r="20" spans="1:12">
      <c r="A20" s="43">
        <f t="shared" si="0"/>
        <v>11</v>
      </c>
      <c r="B20" s="37" t="s">
        <v>412</v>
      </c>
      <c r="C20" s="69">
        <v>23322.48</v>
      </c>
      <c r="D20" s="69">
        <v>956.08</v>
      </c>
      <c r="E20" s="69"/>
      <c r="F20" s="69"/>
      <c r="H20" s="39"/>
      <c r="I20" s="49"/>
      <c r="J20" s="49"/>
      <c r="K20" s="49"/>
      <c r="L20" s="39"/>
    </row>
    <row r="21" spans="1:12">
      <c r="A21" s="43">
        <f t="shared" si="0"/>
        <v>12</v>
      </c>
      <c r="B21" s="37" t="s">
        <v>413</v>
      </c>
      <c r="C21" s="69">
        <v>22148.880000000001</v>
      </c>
      <c r="D21" s="69">
        <v>893.88</v>
      </c>
      <c r="E21" s="69"/>
      <c r="F21" s="69"/>
      <c r="J21" s="39"/>
      <c r="K21" s="39"/>
      <c r="L21" s="167"/>
    </row>
    <row r="22" spans="1:12">
      <c r="A22" s="43">
        <f t="shared" si="0"/>
        <v>13</v>
      </c>
      <c r="B22" s="37" t="s">
        <v>414</v>
      </c>
      <c r="C22" s="69">
        <v>14760.6</v>
      </c>
      <c r="D22" s="69">
        <v>603.98</v>
      </c>
      <c r="E22" s="69"/>
      <c r="F22" s="69"/>
      <c r="J22" s="39"/>
      <c r="K22" s="188"/>
      <c r="L22" s="167"/>
    </row>
    <row r="23" spans="1:12">
      <c r="A23" s="43">
        <f t="shared" si="0"/>
        <v>14</v>
      </c>
      <c r="B23" s="37" t="s">
        <v>415</v>
      </c>
      <c r="C23" s="69">
        <v>12842.52</v>
      </c>
      <c r="D23" s="69">
        <v>525.65</v>
      </c>
      <c r="E23" s="69"/>
      <c r="F23" s="69"/>
      <c r="J23" s="39"/>
      <c r="K23" s="188"/>
      <c r="L23" s="167"/>
    </row>
    <row r="24" spans="1:12">
      <c r="A24" s="43">
        <f t="shared" si="0"/>
        <v>15</v>
      </c>
      <c r="B24" s="37" t="s">
        <v>416</v>
      </c>
      <c r="C24" s="69">
        <v>15684.24</v>
      </c>
      <c r="D24" s="69">
        <v>643.33000000000004</v>
      </c>
      <c r="E24" s="69"/>
      <c r="F24" s="69"/>
      <c r="J24" s="39"/>
      <c r="K24" s="188"/>
      <c r="L24" s="167"/>
    </row>
    <row r="25" spans="1:12">
      <c r="A25" s="43">
        <f t="shared" si="0"/>
        <v>16</v>
      </c>
      <c r="B25" s="37" t="s">
        <v>417</v>
      </c>
      <c r="C25" s="69">
        <v>20852.88</v>
      </c>
      <c r="D25" s="69">
        <v>841.61</v>
      </c>
      <c r="E25" s="69"/>
      <c r="F25" s="69"/>
      <c r="J25" s="39"/>
      <c r="K25" s="188"/>
      <c r="L25" s="167"/>
    </row>
    <row r="26" spans="1:12">
      <c r="A26" s="43">
        <f t="shared" si="0"/>
        <v>17</v>
      </c>
      <c r="B26" s="37" t="s">
        <v>418</v>
      </c>
      <c r="C26" s="69">
        <v>15684.24</v>
      </c>
      <c r="D26" s="69">
        <v>643.33000000000004</v>
      </c>
      <c r="E26" s="69"/>
      <c r="F26" s="69"/>
      <c r="J26" s="39"/>
      <c r="K26" s="188"/>
      <c r="L26" s="167"/>
    </row>
    <row r="27" spans="1:12">
      <c r="A27" s="43">
        <f t="shared" si="0"/>
        <v>18</v>
      </c>
      <c r="B27" s="37" t="s">
        <v>419</v>
      </c>
      <c r="C27" s="69">
        <v>22148.880000000001</v>
      </c>
      <c r="D27" s="69">
        <v>892.58</v>
      </c>
      <c r="E27" s="69"/>
      <c r="F27" s="69"/>
      <c r="J27" s="39"/>
      <c r="K27" s="39"/>
      <c r="L27" s="167"/>
    </row>
    <row r="28" spans="1:12">
      <c r="A28" s="43">
        <f t="shared" si="0"/>
        <v>19</v>
      </c>
      <c r="B28" s="37" t="s">
        <v>420</v>
      </c>
      <c r="C28" s="69">
        <v>22148.880000000001</v>
      </c>
      <c r="D28" s="69">
        <v>906.47</v>
      </c>
      <c r="E28" s="69"/>
      <c r="F28" s="69"/>
      <c r="J28" s="39"/>
      <c r="K28" s="188"/>
      <c r="L28" s="167"/>
    </row>
    <row r="29" spans="1:12">
      <c r="A29" s="43">
        <f t="shared" si="0"/>
        <v>20</v>
      </c>
      <c r="B29" s="37" t="s">
        <v>421</v>
      </c>
      <c r="C29" s="69">
        <v>23322.48</v>
      </c>
      <c r="D29" s="69">
        <v>956.08</v>
      </c>
      <c r="E29" s="69"/>
      <c r="F29" s="69"/>
      <c r="J29" s="39"/>
      <c r="K29" s="39"/>
      <c r="L29" s="167"/>
    </row>
    <row r="30" spans="1:12">
      <c r="A30" s="43">
        <f t="shared" si="0"/>
        <v>21</v>
      </c>
      <c r="B30" s="37" t="s">
        <v>422</v>
      </c>
      <c r="C30" s="69">
        <v>12903.48</v>
      </c>
      <c r="D30" s="69">
        <v>525.98</v>
      </c>
      <c r="E30" s="69"/>
      <c r="F30" s="69"/>
      <c r="J30" s="39"/>
      <c r="K30" s="39"/>
      <c r="L30" s="167"/>
    </row>
    <row r="31" spans="1:12">
      <c r="A31" s="43">
        <f t="shared" si="0"/>
        <v>22</v>
      </c>
      <c r="B31" s="37" t="s">
        <v>423</v>
      </c>
      <c r="C31" s="69">
        <v>20852.88</v>
      </c>
      <c r="D31" s="69">
        <v>853.47</v>
      </c>
      <c r="E31" s="69"/>
      <c r="F31" s="69"/>
      <c r="J31" s="39"/>
      <c r="K31" s="188"/>
      <c r="L31" s="167"/>
    </row>
    <row r="32" spans="1:12">
      <c r="A32" s="43">
        <f t="shared" si="0"/>
        <v>23</v>
      </c>
      <c r="B32" s="37" t="s">
        <v>424</v>
      </c>
      <c r="C32" s="69">
        <v>12066.72</v>
      </c>
      <c r="D32" s="69">
        <v>494.3</v>
      </c>
      <c r="E32" s="69"/>
      <c r="F32" s="69"/>
      <c r="J32" s="39"/>
      <c r="K32" s="39"/>
      <c r="L32" s="167"/>
    </row>
    <row r="33" spans="1:12">
      <c r="A33" s="43">
        <f t="shared" si="0"/>
        <v>24</v>
      </c>
      <c r="B33" s="37" t="s">
        <v>425</v>
      </c>
      <c r="C33" s="69">
        <v>16699.560000000001</v>
      </c>
      <c r="D33" s="69">
        <v>688.93</v>
      </c>
      <c r="E33" s="69"/>
      <c r="F33" s="69"/>
      <c r="J33" s="39"/>
      <c r="K33" s="39"/>
      <c r="L33" s="167"/>
    </row>
    <row r="34" spans="1:12">
      <c r="A34" s="43">
        <f t="shared" si="0"/>
        <v>25</v>
      </c>
      <c r="B34" s="37" t="s">
        <v>426</v>
      </c>
      <c r="C34" s="69">
        <v>12944.52</v>
      </c>
      <c r="D34" s="69">
        <v>531.11</v>
      </c>
      <c r="E34" s="69"/>
      <c r="F34" s="69"/>
      <c r="J34" s="39"/>
      <c r="K34" s="39"/>
      <c r="L34" s="167"/>
    </row>
    <row r="35" spans="1:12">
      <c r="A35" s="43">
        <f t="shared" si="0"/>
        <v>26</v>
      </c>
      <c r="B35" s="37" t="s">
        <v>427</v>
      </c>
      <c r="C35" s="69">
        <v>10541.28</v>
      </c>
      <c r="D35" s="69">
        <v>431.72</v>
      </c>
      <c r="E35" s="69"/>
      <c r="F35" s="69"/>
      <c r="J35" s="39"/>
      <c r="K35" s="39"/>
      <c r="L35" s="167"/>
    </row>
    <row r="36" spans="1:12">
      <c r="A36" s="43">
        <f t="shared" si="0"/>
        <v>27</v>
      </c>
      <c r="B36" s="37" t="s">
        <v>428</v>
      </c>
      <c r="C36" s="69">
        <v>16163.76</v>
      </c>
      <c r="D36" s="69">
        <v>662.66</v>
      </c>
      <c r="E36" s="69"/>
      <c r="F36" s="69"/>
      <c r="J36" s="39"/>
      <c r="K36" s="39"/>
      <c r="L36" s="167"/>
    </row>
    <row r="37" spans="1:12">
      <c r="A37" s="43">
        <f t="shared" si="0"/>
        <v>28</v>
      </c>
      <c r="B37" s="37" t="s">
        <v>429</v>
      </c>
      <c r="C37" s="69">
        <v>22148.880000000001</v>
      </c>
      <c r="D37" s="69">
        <v>893.88</v>
      </c>
      <c r="E37" s="69"/>
      <c r="F37" s="69"/>
      <c r="J37" s="39"/>
      <c r="K37" s="188"/>
      <c r="L37" s="167"/>
    </row>
    <row r="38" spans="1:12">
      <c r="A38" s="43">
        <f t="shared" si="0"/>
        <v>29</v>
      </c>
      <c r="B38" s="37" t="s">
        <v>430</v>
      </c>
      <c r="C38" s="69">
        <v>10617.84</v>
      </c>
      <c r="D38" s="69">
        <v>434.88</v>
      </c>
      <c r="E38" s="69"/>
      <c r="F38" s="69"/>
      <c r="J38" s="39"/>
      <c r="K38" s="39"/>
      <c r="L38" s="167"/>
    </row>
    <row r="39" spans="1:12">
      <c r="A39" s="43">
        <f t="shared" si="0"/>
        <v>30</v>
      </c>
      <c r="B39" s="37" t="s">
        <v>431</v>
      </c>
      <c r="C39" s="69">
        <v>20852.88</v>
      </c>
      <c r="D39" s="69">
        <v>853.47</v>
      </c>
      <c r="E39" s="69"/>
      <c r="F39" s="69"/>
      <c r="J39" s="39"/>
      <c r="K39" s="188"/>
      <c r="L39" s="167"/>
    </row>
    <row r="40" spans="1:12">
      <c r="A40" s="43">
        <f t="shared" si="0"/>
        <v>31</v>
      </c>
      <c r="B40" s="37" t="s">
        <v>432</v>
      </c>
      <c r="C40" s="69">
        <v>16311.96</v>
      </c>
      <c r="D40" s="69">
        <v>672.89</v>
      </c>
      <c r="E40" s="69"/>
      <c r="F40" s="69"/>
      <c r="J40" s="39"/>
      <c r="K40" s="188"/>
      <c r="L40" s="167"/>
    </row>
    <row r="41" spans="1:12">
      <c r="A41" s="43">
        <f t="shared" si="0"/>
        <v>32</v>
      </c>
      <c r="B41" s="37" t="s">
        <v>433</v>
      </c>
      <c r="C41" s="69"/>
      <c r="D41" s="69"/>
      <c r="E41" s="69"/>
      <c r="F41" s="69">
        <v>8533.98</v>
      </c>
      <c r="J41" s="39"/>
      <c r="K41" s="188"/>
      <c r="L41" s="167"/>
    </row>
    <row r="42" spans="1:12">
      <c r="A42" s="43">
        <f t="shared" si="0"/>
        <v>33</v>
      </c>
      <c r="B42" s="37" t="s">
        <v>434</v>
      </c>
      <c r="C42" s="69"/>
      <c r="D42" s="69"/>
      <c r="E42" s="69"/>
      <c r="F42" s="69">
        <v>8403.1299999999992</v>
      </c>
      <c r="J42" s="39"/>
      <c r="K42" s="39"/>
      <c r="L42" s="167"/>
    </row>
    <row r="43" spans="1:12">
      <c r="A43" s="43">
        <f t="shared" si="0"/>
        <v>34</v>
      </c>
      <c r="B43" s="37" t="s">
        <v>435</v>
      </c>
      <c r="C43" s="69"/>
      <c r="D43" s="69"/>
      <c r="E43" s="69"/>
      <c r="F43" s="69">
        <v>4326.24</v>
      </c>
      <c r="J43" s="39"/>
      <c r="K43" s="39"/>
      <c r="L43" s="167"/>
    </row>
    <row r="44" spans="1:12">
      <c r="A44" s="43">
        <f t="shared" si="0"/>
        <v>35</v>
      </c>
      <c r="B44" s="37" t="s">
        <v>436</v>
      </c>
      <c r="C44" s="69"/>
      <c r="D44" s="69"/>
      <c r="E44" s="69"/>
      <c r="F44" s="69">
        <v>8533.94</v>
      </c>
      <c r="J44" s="39"/>
      <c r="K44" s="39"/>
      <c r="L44" s="167"/>
    </row>
    <row r="45" spans="1:12">
      <c r="A45" s="43">
        <f t="shared" si="0"/>
        <v>36</v>
      </c>
      <c r="B45" s="37" t="s">
        <v>437</v>
      </c>
      <c r="C45" s="69"/>
      <c r="D45" s="69"/>
      <c r="E45" s="69"/>
      <c r="F45" s="69">
        <v>8533.91</v>
      </c>
      <c r="J45" s="39"/>
      <c r="K45" s="188"/>
      <c r="L45" s="167"/>
    </row>
    <row r="46" spans="1:12">
      <c r="A46" s="43">
        <f t="shared" si="0"/>
        <v>37</v>
      </c>
      <c r="B46" s="37" t="s">
        <v>438</v>
      </c>
      <c r="C46" s="69"/>
      <c r="D46" s="69"/>
      <c r="E46" s="69"/>
      <c r="F46" s="69">
        <v>8533.9699999999993</v>
      </c>
      <c r="J46" s="39"/>
      <c r="K46" s="188"/>
      <c r="L46" s="167"/>
    </row>
    <row r="47" spans="1:12">
      <c r="A47" s="43">
        <f t="shared" si="0"/>
        <v>38</v>
      </c>
      <c r="B47" s="37" t="s">
        <v>439</v>
      </c>
      <c r="C47" s="69"/>
      <c r="D47" s="69"/>
      <c r="E47" s="69"/>
      <c r="F47" s="69">
        <v>8534.0299999999988</v>
      </c>
      <c r="J47" s="39"/>
      <c r="K47" s="188"/>
      <c r="L47" s="167"/>
    </row>
    <row r="48" spans="1:12">
      <c r="A48" s="43">
        <f t="shared" si="0"/>
        <v>39</v>
      </c>
      <c r="B48" s="37" t="s">
        <v>440</v>
      </c>
      <c r="C48" s="69"/>
      <c r="D48" s="69"/>
      <c r="E48" s="69"/>
      <c r="F48" s="69">
        <v>8415.35</v>
      </c>
    </row>
    <row r="49" spans="1:6">
      <c r="A49" s="43">
        <f t="shared" si="0"/>
        <v>40</v>
      </c>
      <c r="B49" s="37" t="s">
        <v>441</v>
      </c>
      <c r="C49" s="69"/>
      <c r="D49" s="69"/>
      <c r="E49" s="69"/>
      <c r="F49" s="69">
        <v>4827.45</v>
      </c>
    </row>
    <row r="50" spans="1:6">
      <c r="A50" s="43">
        <f t="shared" si="0"/>
        <v>41</v>
      </c>
      <c r="B50" s="37" t="s">
        <v>442</v>
      </c>
      <c r="C50" s="69"/>
      <c r="D50" s="69"/>
      <c r="E50" s="69"/>
      <c r="F50" s="69">
        <v>5994.4</v>
      </c>
    </row>
    <row r="51" spans="1:6">
      <c r="A51" s="43">
        <f t="shared" si="0"/>
        <v>42</v>
      </c>
      <c r="B51" s="37" t="s">
        <v>443</v>
      </c>
      <c r="C51" s="69"/>
      <c r="D51" s="69"/>
      <c r="E51" s="69"/>
      <c r="F51" s="69">
        <v>8433.5400000000009</v>
      </c>
    </row>
    <row r="52" spans="1:6">
      <c r="A52" s="43">
        <f t="shared" si="0"/>
        <v>43</v>
      </c>
      <c r="B52" s="37" t="s">
        <v>444</v>
      </c>
      <c r="C52" s="69"/>
      <c r="D52" s="69"/>
      <c r="E52" s="69"/>
      <c r="F52" s="69">
        <v>5058.43</v>
      </c>
    </row>
    <row r="53" spans="1:6">
      <c r="A53" s="43">
        <f t="shared" si="0"/>
        <v>44</v>
      </c>
      <c r="B53" s="37" t="s">
        <v>445</v>
      </c>
      <c r="C53" s="69"/>
      <c r="D53" s="69"/>
      <c r="E53" s="69"/>
      <c r="F53" s="69">
        <v>4552.51</v>
      </c>
    </row>
    <row r="54" spans="1:6">
      <c r="A54" s="43">
        <f t="shared" si="0"/>
        <v>45</v>
      </c>
      <c r="B54" s="37" t="s">
        <v>446</v>
      </c>
      <c r="C54" s="69"/>
      <c r="D54" s="69"/>
      <c r="E54" s="69"/>
      <c r="F54" s="69">
        <v>4727.16</v>
      </c>
    </row>
    <row r="55" spans="1:6">
      <c r="A55" s="43">
        <f t="shared" si="0"/>
        <v>46</v>
      </c>
      <c r="B55" s="37" t="s">
        <v>447</v>
      </c>
      <c r="C55" s="69"/>
      <c r="D55" s="69"/>
      <c r="E55" s="69"/>
      <c r="F55" s="69">
        <v>6422.4699999999993</v>
      </c>
    </row>
    <row r="56" spans="1:6">
      <c r="A56" s="43">
        <f t="shared" si="0"/>
        <v>47</v>
      </c>
      <c r="B56" s="37" t="s">
        <v>448</v>
      </c>
      <c r="C56" s="69"/>
      <c r="D56" s="69"/>
      <c r="E56" s="69"/>
      <c r="F56" s="69">
        <v>6032.4400000000005</v>
      </c>
    </row>
    <row r="57" spans="1:6">
      <c r="A57" s="43">
        <f t="shared" si="0"/>
        <v>48</v>
      </c>
      <c r="B57" s="37" t="s">
        <v>449</v>
      </c>
      <c r="C57" s="69"/>
      <c r="D57" s="69"/>
      <c r="E57" s="69"/>
      <c r="F57" s="69">
        <v>6497.1900000000005</v>
      </c>
    </row>
    <row r="58" spans="1:6">
      <c r="A58" s="43">
        <f t="shared" si="0"/>
        <v>49</v>
      </c>
      <c r="B58" s="37" t="s">
        <v>450</v>
      </c>
      <c r="C58" s="69"/>
      <c r="D58" s="69"/>
      <c r="E58" s="69"/>
      <c r="F58" s="69">
        <v>4054.76</v>
      </c>
    </row>
    <row r="59" spans="1:6">
      <c r="A59" s="43">
        <f t="shared" si="0"/>
        <v>50</v>
      </c>
      <c r="B59" s="37" t="s">
        <v>451</v>
      </c>
      <c r="C59" s="69"/>
      <c r="D59" s="69"/>
      <c r="E59" s="69"/>
      <c r="F59" s="69">
        <v>4054.76</v>
      </c>
    </row>
    <row r="60" spans="1:6">
      <c r="A60" s="43">
        <f t="shared" si="0"/>
        <v>51</v>
      </c>
      <c r="B60" s="37" t="s">
        <v>452</v>
      </c>
      <c r="C60" s="69"/>
      <c r="D60" s="69"/>
      <c r="E60" s="69"/>
      <c r="F60" s="69">
        <v>4054.76</v>
      </c>
    </row>
    <row r="61" spans="1:6">
      <c r="A61" s="43">
        <f t="shared" si="0"/>
        <v>52</v>
      </c>
      <c r="B61" s="37" t="s">
        <v>453</v>
      </c>
      <c r="C61" s="69"/>
      <c r="D61" s="69"/>
      <c r="E61" s="69"/>
      <c r="F61" s="69">
        <v>6041.24</v>
      </c>
    </row>
    <row r="62" spans="1:6">
      <c r="A62" s="43">
        <f t="shared" si="0"/>
        <v>53</v>
      </c>
      <c r="B62" s="37" t="s">
        <v>454</v>
      </c>
      <c r="C62" s="69"/>
      <c r="D62" s="69"/>
      <c r="E62" s="69"/>
      <c r="F62" s="69">
        <v>5602.72</v>
      </c>
    </row>
    <row r="63" spans="1:6">
      <c r="A63" s="43">
        <f t="shared" si="0"/>
        <v>54</v>
      </c>
      <c r="B63" s="37" t="s">
        <v>455</v>
      </c>
      <c r="C63" s="69"/>
      <c r="D63" s="69"/>
      <c r="E63" s="69"/>
      <c r="F63" s="69">
        <v>5689.9</v>
      </c>
    </row>
    <row r="64" spans="1:6">
      <c r="A64" s="43">
        <f t="shared" si="0"/>
        <v>55</v>
      </c>
      <c r="B64" s="37" t="s">
        <v>456</v>
      </c>
      <c r="C64" s="69"/>
      <c r="D64" s="69"/>
      <c r="E64" s="69"/>
      <c r="F64" s="69">
        <v>2960.8</v>
      </c>
    </row>
    <row r="65" spans="1:11">
      <c r="A65" s="43">
        <f t="shared" si="0"/>
        <v>56</v>
      </c>
      <c r="B65" s="37" t="s">
        <v>457</v>
      </c>
      <c r="C65" s="69"/>
      <c r="D65" s="69"/>
      <c r="E65" s="69"/>
      <c r="F65" s="69">
        <v>3557.86</v>
      </c>
    </row>
    <row r="66" spans="1:11">
      <c r="A66" s="43">
        <f t="shared" si="0"/>
        <v>57</v>
      </c>
      <c r="B66" s="37" t="s">
        <v>458</v>
      </c>
      <c r="C66" s="69"/>
      <c r="D66" s="69"/>
      <c r="E66" s="69"/>
      <c r="F66" s="69">
        <v>3241.42</v>
      </c>
    </row>
    <row r="67" spans="1:11">
      <c r="A67" s="43">
        <f t="shared" si="0"/>
        <v>58</v>
      </c>
      <c r="B67" s="37" t="s">
        <v>459</v>
      </c>
      <c r="C67" s="69"/>
      <c r="D67" s="69"/>
      <c r="E67" s="69"/>
      <c r="F67" s="69">
        <v>973.16</v>
      </c>
    </row>
    <row r="68" spans="1:11">
      <c r="A68" s="43">
        <f t="shared" si="0"/>
        <v>59</v>
      </c>
      <c r="B68" s="37" t="s">
        <v>460</v>
      </c>
      <c r="C68" s="69"/>
      <c r="D68" s="69"/>
      <c r="E68" s="69"/>
      <c r="F68" s="69">
        <v>594.18999999999994</v>
      </c>
    </row>
    <row r="69" spans="1:11">
      <c r="A69" s="43">
        <f t="shared" si="0"/>
        <v>60</v>
      </c>
      <c r="B69" s="37" t="s">
        <v>461</v>
      </c>
      <c r="C69" s="69"/>
      <c r="D69" s="69"/>
      <c r="E69" s="69"/>
      <c r="F69" s="69"/>
    </row>
    <row r="70" spans="1:11">
      <c r="A70" s="43">
        <f t="shared" si="0"/>
        <v>61</v>
      </c>
      <c r="B70" s="37" t="s">
        <v>559</v>
      </c>
      <c r="C70" s="69"/>
      <c r="D70" s="69"/>
      <c r="E70" s="69"/>
      <c r="F70" s="69"/>
    </row>
    <row r="71" spans="1:11">
      <c r="A71" s="43">
        <f t="shared" si="0"/>
        <v>62</v>
      </c>
      <c r="B71" s="37" t="s">
        <v>560</v>
      </c>
      <c r="C71" s="69"/>
      <c r="D71" s="69"/>
      <c r="E71" s="69"/>
      <c r="F71" s="69"/>
    </row>
    <row r="72" spans="1:11">
      <c r="A72" s="43">
        <f t="shared" si="0"/>
        <v>63</v>
      </c>
      <c r="B72" s="37" t="s">
        <v>462</v>
      </c>
      <c r="C72" s="69">
        <v>3139.8</v>
      </c>
      <c r="D72" s="69"/>
      <c r="E72" s="69"/>
      <c r="F72" s="69"/>
    </row>
    <row r="73" spans="1:11">
      <c r="A73" s="43">
        <f t="shared" si="0"/>
        <v>64</v>
      </c>
      <c r="B73" s="37" t="s">
        <v>463</v>
      </c>
      <c r="C73" s="69">
        <v>1105.32</v>
      </c>
      <c r="D73" s="69"/>
      <c r="E73" s="69"/>
      <c r="F73" s="69"/>
    </row>
    <row r="74" spans="1:11">
      <c r="A74" s="43">
        <f t="shared" si="0"/>
        <v>65</v>
      </c>
      <c r="B74" s="37" t="s">
        <v>464</v>
      </c>
      <c r="C74" s="69"/>
      <c r="D74" s="69"/>
      <c r="E74" s="69"/>
      <c r="F74" s="69"/>
      <c r="J74" s="39"/>
      <c r="K74" s="39"/>
    </row>
    <row r="75" spans="1:11">
      <c r="A75" s="43">
        <f t="shared" si="0"/>
        <v>66</v>
      </c>
      <c r="B75" s="37" t="s">
        <v>465</v>
      </c>
      <c r="C75" s="69">
        <v>1149.7</v>
      </c>
      <c r="D75" s="69">
        <v>15.14</v>
      </c>
      <c r="E75" s="69"/>
      <c r="F75" s="69"/>
      <c r="J75" s="39"/>
      <c r="K75" s="39"/>
    </row>
    <row r="76" spans="1:11">
      <c r="A76" s="43">
        <f t="shared" ref="A76:A92" si="1">A75+1</f>
        <v>67</v>
      </c>
      <c r="B76" s="37" t="s">
        <v>466</v>
      </c>
      <c r="C76" s="173">
        <v>3437.24</v>
      </c>
      <c r="D76" s="173">
        <v>148.76</v>
      </c>
      <c r="E76" s="69"/>
      <c r="F76" s="173"/>
      <c r="J76" s="39"/>
      <c r="K76" s="188"/>
    </row>
    <row r="77" spans="1:11">
      <c r="A77" s="43">
        <f t="shared" si="1"/>
        <v>68</v>
      </c>
      <c r="B77" s="37" t="s">
        <v>561</v>
      </c>
      <c r="C77" s="69">
        <f>SUM(C10:C76)</f>
        <v>552149.57999999996</v>
      </c>
      <c r="D77" s="252">
        <f>SUM(D10:D76)</f>
        <v>22370.67</v>
      </c>
      <c r="E77" s="69"/>
      <c r="F77" s="69">
        <f>SUM(F10:F76)</f>
        <v>201417.71000000002</v>
      </c>
      <c r="J77" s="39"/>
      <c r="K77" s="188"/>
    </row>
    <row r="78" spans="1:11">
      <c r="A78" s="43">
        <f t="shared" si="1"/>
        <v>69</v>
      </c>
      <c r="J78" s="39"/>
      <c r="K78" s="39"/>
    </row>
    <row r="79" spans="1:11">
      <c r="A79" s="43">
        <f t="shared" si="1"/>
        <v>70</v>
      </c>
      <c r="J79" s="39"/>
      <c r="K79" s="188"/>
    </row>
    <row r="80" spans="1:11">
      <c r="A80" s="43">
        <f t="shared" si="1"/>
        <v>71</v>
      </c>
      <c r="B80" s="210" t="s">
        <v>536</v>
      </c>
      <c r="C80" s="5"/>
      <c r="D80" s="229" t="s">
        <v>382</v>
      </c>
      <c r="E80" s="229" t="s">
        <v>383</v>
      </c>
      <c r="F80" s="229" t="s">
        <v>8</v>
      </c>
      <c r="J80" s="39"/>
      <c r="K80" s="39"/>
    </row>
    <row r="81" spans="1:6">
      <c r="A81" s="43">
        <f t="shared" si="1"/>
        <v>72</v>
      </c>
      <c r="B81" s="5" t="s">
        <v>384</v>
      </c>
      <c r="C81" s="2" t="s">
        <v>385</v>
      </c>
      <c r="D81" s="230">
        <v>624896</v>
      </c>
      <c r="E81" s="224">
        <f>D81/$D$92</f>
        <v>0.12259540588971797</v>
      </c>
      <c r="F81" s="32">
        <f>-($D$77*E81)</f>
        <v>-2742.5413686749371</v>
      </c>
    </row>
    <row r="82" spans="1:6">
      <c r="A82" s="43">
        <f t="shared" si="1"/>
        <v>73</v>
      </c>
      <c r="B82" s="5" t="s">
        <v>386</v>
      </c>
      <c r="C82" s="2" t="s">
        <v>387</v>
      </c>
      <c r="D82" s="230">
        <v>1030686</v>
      </c>
      <c r="E82" s="224">
        <f>D82/$D$92</f>
        <v>0.20220543660841139</v>
      </c>
      <c r="F82" s="32">
        <f>-($D$77*E82)</f>
        <v>-4523.4710945726902</v>
      </c>
    </row>
    <row r="83" spans="1:6">
      <c r="A83" s="43">
        <f t="shared" si="1"/>
        <v>74</v>
      </c>
      <c r="B83" s="5" t="s">
        <v>388</v>
      </c>
      <c r="C83" s="2" t="s">
        <v>233</v>
      </c>
      <c r="D83" s="230">
        <v>511742</v>
      </c>
      <c r="E83" s="224">
        <f>D83/$D$92</f>
        <v>0.10039625505814737</v>
      </c>
      <c r="F83" s="32">
        <f>-($D$77*E83)</f>
        <v>-2245.9314911416454</v>
      </c>
    </row>
    <row r="84" spans="1:6">
      <c r="A84" s="43">
        <f t="shared" si="1"/>
        <v>75</v>
      </c>
      <c r="B84" s="5" t="s">
        <v>505</v>
      </c>
      <c r="C84" s="2" t="s">
        <v>22</v>
      </c>
      <c r="D84" s="230">
        <v>103754</v>
      </c>
      <c r="E84" s="224">
        <f>D84/$D$92</f>
        <v>2.0355009061798761E-2</v>
      </c>
      <c r="F84" s="32">
        <f>-($D$77*E84)</f>
        <v>-455.35519056850967</v>
      </c>
    </row>
    <row r="85" spans="1:6">
      <c r="A85" s="43">
        <f t="shared" si="1"/>
        <v>76</v>
      </c>
      <c r="B85" s="5" t="s">
        <v>389</v>
      </c>
      <c r="C85" s="2" t="s">
        <v>390</v>
      </c>
      <c r="D85" s="230">
        <v>617070</v>
      </c>
      <c r="E85" s="224">
        <f>D85/$D$92</f>
        <v>0.12106005977373557</v>
      </c>
      <c r="F85" s="32">
        <f>-($D$77*E85)</f>
        <v>-2708.1946473785129</v>
      </c>
    </row>
    <row r="86" spans="1:6">
      <c r="A86" s="43">
        <f t="shared" si="1"/>
        <v>77</v>
      </c>
      <c r="B86" s="165" t="s">
        <v>506</v>
      </c>
      <c r="C86" s="214"/>
      <c r="D86" s="231">
        <f>SUM(D81:D85)</f>
        <v>2888148</v>
      </c>
      <c r="E86" s="232">
        <f>SUM(E81:E85)</f>
        <v>0.56661216639181111</v>
      </c>
      <c r="F86" s="313">
        <f>SUM(F81:F85)</f>
        <v>-12675.493792336296</v>
      </c>
    </row>
    <row r="87" spans="1:6">
      <c r="A87" s="43">
        <f t="shared" si="1"/>
        <v>78</v>
      </c>
      <c r="B87" s="5"/>
      <c r="C87" s="2"/>
      <c r="D87" s="233"/>
      <c r="E87" s="224"/>
      <c r="F87" s="32"/>
    </row>
    <row r="88" spans="1:6">
      <c r="A88" s="43">
        <f t="shared" si="1"/>
        <v>79</v>
      </c>
      <c r="B88" s="5" t="s">
        <v>507</v>
      </c>
      <c r="C88" s="2" t="s">
        <v>537</v>
      </c>
      <c r="D88" s="230">
        <v>1579790</v>
      </c>
      <c r="E88" s="224">
        <f>D88/$D$92</f>
        <v>0.30993156664551791</v>
      </c>
      <c r="F88" s="32">
        <f>-($D$77*E88)</f>
        <v>-6933.3768000098871</v>
      </c>
    </row>
    <row r="89" spans="1:6">
      <c r="A89" s="43">
        <f t="shared" si="1"/>
        <v>80</v>
      </c>
      <c r="B89" s="5" t="s">
        <v>508</v>
      </c>
      <c r="C89" s="2" t="s">
        <v>538</v>
      </c>
      <c r="D89" s="230">
        <v>629284</v>
      </c>
      <c r="E89" s="224">
        <f>D89/$D$92</f>
        <v>0.12345626696267104</v>
      </c>
      <c r="F89" s="32">
        <f>-($D$77*E89)</f>
        <v>-2761.7994076538157</v>
      </c>
    </row>
    <row r="90" spans="1:6">
      <c r="A90" s="43">
        <f t="shared" si="1"/>
        <v>81</v>
      </c>
      <c r="B90" s="55"/>
      <c r="C90" s="11"/>
      <c r="D90" s="231">
        <f>SUM(D88:D89)</f>
        <v>2209074</v>
      </c>
      <c r="E90" s="232">
        <f>SUM(E88:E89)</f>
        <v>0.43338783360818894</v>
      </c>
      <c r="F90" s="56">
        <f>SUM(F88:F89)</f>
        <v>-9695.1762076637024</v>
      </c>
    </row>
    <row r="91" spans="1:6">
      <c r="A91" s="43">
        <f t="shared" si="1"/>
        <v>82</v>
      </c>
      <c r="B91" s="5"/>
      <c r="C91" s="2"/>
      <c r="D91" s="233"/>
      <c r="E91" s="224"/>
      <c r="F91" s="32"/>
    </row>
    <row r="92" spans="1:6" ht="13.5" thickBot="1">
      <c r="A92" s="43">
        <f t="shared" si="1"/>
        <v>83</v>
      </c>
      <c r="B92" s="225"/>
      <c r="C92" s="16" t="s">
        <v>62</v>
      </c>
      <c r="D92" s="234">
        <f>D86+D90</f>
        <v>5097222</v>
      </c>
      <c r="E92" s="226">
        <f>E86+E90</f>
        <v>1</v>
      </c>
      <c r="F92" s="235">
        <f>F86+F90</f>
        <v>-22370.67</v>
      </c>
    </row>
    <row r="93" spans="1:6" ht="13.5" thickTop="1"/>
  </sheetData>
  <mergeCells count="4">
    <mergeCell ref="A3:F3"/>
    <mergeCell ref="A2:F2"/>
    <mergeCell ref="A5:F5"/>
    <mergeCell ref="C7:D7"/>
  </mergeCells>
  <printOptions horizontalCentered="1"/>
  <pageMargins left="0.7" right="0.7" top="0.75" bottom="0.75" header="0.3" footer="0.3"/>
  <pageSetup scale="73" orientation="portrait" r:id="rId1"/>
  <headerFooter>
    <oddFooter>&amp;RExhibit  JW-2
Page &amp;P of &amp;N</oddFooter>
  </headerFooter>
  <rowBreaks count="1" manualBreakCount="1">
    <brk id="7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8"/>
  <sheetViews>
    <sheetView view="pageBreakPreview" topLeftCell="A56" zoomScaleNormal="100" zoomScaleSheetLayoutView="100" workbookViewId="0">
      <selection activeCell="E87" sqref="E87"/>
    </sheetView>
  </sheetViews>
  <sheetFormatPr defaultColWidth="8.85546875" defaultRowHeight="12.75"/>
  <cols>
    <col min="1" max="1" width="4.42578125" style="43" customWidth="1"/>
    <col min="2" max="2" width="8" style="37" customWidth="1"/>
    <col min="3" max="3" width="10.7109375" style="76" customWidth="1"/>
    <col min="4" max="4" width="12.140625" style="37" customWidth="1"/>
    <col min="5" max="8" width="16.7109375" style="37" customWidth="1"/>
    <col min="9" max="9" width="8.42578125" style="37" bestFit="1" customWidth="1"/>
    <col min="10" max="10" width="15.85546875" style="37" customWidth="1"/>
    <col min="11" max="11" width="10.5703125" style="37" bestFit="1" customWidth="1"/>
    <col min="12" max="16384" width="8.85546875" style="37"/>
  </cols>
  <sheetData>
    <row r="1" spans="1:9">
      <c r="D1" s="26"/>
      <c r="H1" s="26" t="s">
        <v>70</v>
      </c>
    </row>
    <row r="2" spans="1:9">
      <c r="E2" s="26"/>
    </row>
    <row r="3" spans="1:9">
      <c r="B3" s="299" t="str">
        <f>RevReq!A1</f>
        <v>FARMERS RECC</v>
      </c>
      <c r="C3" s="299"/>
      <c r="D3" s="299"/>
      <c r="E3" s="299"/>
      <c r="F3" s="299"/>
      <c r="G3" s="299"/>
      <c r="H3" s="299"/>
    </row>
    <row r="4" spans="1:9">
      <c r="B4" s="299" t="str">
        <f>RevReq!A3</f>
        <v>For the 12 Months Ended December 31, 2024</v>
      </c>
      <c r="C4" s="299"/>
      <c r="D4" s="299"/>
      <c r="E4" s="299"/>
      <c r="F4" s="299"/>
      <c r="G4" s="299"/>
      <c r="H4" s="299"/>
    </row>
    <row r="6" spans="1:9">
      <c r="B6" s="296" t="s">
        <v>480</v>
      </c>
      <c r="C6" s="296"/>
      <c r="D6" s="296"/>
      <c r="E6" s="296"/>
      <c r="F6" s="296"/>
      <c r="G6" s="296"/>
      <c r="H6" s="296"/>
    </row>
    <row r="7" spans="1:9">
      <c r="C7" s="36"/>
      <c r="D7" s="36"/>
      <c r="E7" s="36"/>
      <c r="F7" s="35"/>
      <c r="G7" s="160"/>
    </row>
    <row r="8" spans="1:9">
      <c r="B8" s="49" t="s">
        <v>66</v>
      </c>
      <c r="C8" s="49" t="s">
        <v>68</v>
      </c>
      <c r="D8" s="49" t="s">
        <v>65</v>
      </c>
      <c r="E8" s="49" t="s">
        <v>67</v>
      </c>
      <c r="F8" s="49" t="s">
        <v>63</v>
      </c>
      <c r="G8" s="49" t="s">
        <v>481</v>
      </c>
      <c r="H8" s="49" t="s">
        <v>482</v>
      </c>
      <c r="I8" s="76"/>
    </row>
    <row r="9" spans="1:9" ht="15" customHeight="1">
      <c r="B9" s="39"/>
      <c r="C9" s="49"/>
      <c r="D9" s="49"/>
      <c r="E9" s="49"/>
      <c r="F9" s="49"/>
      <c r="G9" s="49" t="s">
        <v>483</v>
      </c>
      <c r="H9" s="49" t="s">
        <v>484</v>
      </c>
    </row>
    <row r="10" spans="1:9" ht="25.5">
      <c r="A10" s="253" t="s">
        <v>10</v>
      </c>
      <c r="B10" s="243" t="s">
        <v>479</v>
      </c>
      <c r="C10" s="243" t="s">
        <v>485</v>
      </c>
      <c r="D10" s="243" t="s">
        <v>563</v>
      </c>
      <c r="E10" s="243" t="s">
        <v>564</v>
      </c>
      <c r="F10" s="243" t="s">
        <v>486</v>
      </c>
      <c r="G10" s="243" t="s">
        <v>487</v>
      </c>
      <c r="H10" s="243" t="s">
        <v>488</v>
      </c>
    </row>
    <row r="11" spans="1:9">
      <c r="A11" s="43">
        <v>1</v>
      </c>
      <c r="B11" s="37" t="s">
        <v>558</v>
      </c>
      <c r="C11" s="69">
        <v>979.2</v>
      </c>
      <c r="D11" s="44">
        <v>111.89700000000001</v>
      </c>
      <c r="E11" s="69">
        <v>232745.76</v>
      </c>
      <c r="F11" s="69">
        <v>50000</v>
      </c>
      <c r="G11" s="69">
        <f>E11*2</f>
        <v>465491.52</v>
      </c>
      <c r="H11" s="21">
        <f>((G11-F11)/G11)*C11</f>
        <v>874.02085516831755</v>
      </c>
    </row>
    <row r="12" spans="1:9">
      <c r="A12" s="43">
        <f>A11+1</f>
        <v>2</v>
      </c>
      <c r="B12" s="37" t="s">
        <v>403</v>
      </c>
      <c r="C12" s="69">
        <v>680.52</v>
      </c>
      <c r="D12" s="44">
        <v>69.099999999999994</v>
      </c>
      <c r="E12" s="69">
        <v>143728</v>
      </c>
      <c r="F12" s="69">
        <v>50000</v>
      </c>
      <c r="G12" s="69">
        <f t="shared" ref="G12:G72" si="0">E12*2</f>
        <v>287456</v>
      </c>
      <c r="H12" s="21">
        <f t="shared" ref="H12:H72" si="1">((G12-F12)/G12)*C12</f>
        <v>562.150579984415</v>
      </c>
    </row>
    <row r="13" spans="1:9">
      <c r="A13" s="43">
        <f t="shared" ref="A13:A76" si="2">A12+1</f>
        <v>3</v>
      </c>
      <c r="B13" s="37" t="s">
        <v>404</v>
      </c>
      <c r="C13" s="69">
        <v>675.6</v>
      </c>
      <c r="D13" s="44">
        <v>68.5</v>
      </c>
      <c r="E13" s="69">
        <v>142480</v>
      </c>
      <c r="F13" s="69">
        <v>50000</v>
      </c>
      <c r="G13" s="69">
        <f t="shared" si="0"/>
        <v>284960</v>
      </c>
      <c r="H13" s="21">
        <f t="shared" si="1"/>
        <v>557.05704660303206</v>
      </c>
    </row>
    <row r="14" spans="1:9">
      <c r="A14" s="43">
        <f t="shared" si="2"/>
        <v>4</v>
      </c>
      <c r="B14" s="37" t="s">
        <v>405</v>
      </c>
      <c r="C14" s="69">
        <v>680.52</v>
      </c>
      <c r="D14" s="44">
        <v>69.05</v>
      </c>
      <c r="E14" s="69">
        <v>143624</v>
      </c>
      <c r="F14" s="69">
        <v>50000</v>
      </c>
      <c r="G14" s="69">
        <f t="shared" si="0"/>
        <v>287248</v>
      </c>
      <c r="H14" s="21">
        <f t="shared" si="1"/>
        <v>562.06486715312201</v>
      </c>
    </row>
    <row r="15" spans="1:9">
      <c r="A15" s="43">
        <f t="shared" si="2"/>
        <v>5</v>
      </c>
      <c r="B15" s="37" t="s">
        <v>406</v>
      </c>
      <c r="C15" s="69">
        <v>587.52</v>
      </c>
      <c r="D15" s="44">
        <v>59.4</v>
      </c>
      <c r="E15" s="69">
        <v>123552</v>
      </c>
      <c r="F15" s="69">
        <v>50000</v>
      </c>
      <c r="G15" s="69">
        <f t="shared" si="0"/>
        <v>247104</v>
      </c>
      <c r="H15" s="21">
        <f t="shared" si="1"/>
        <v>468.6388811188811</v>
      </c>
    </row>
    <row r="16" spans="1:9">
      <c r="A16" s="43">
        <f t="shared" si="2"/>
        <v>6</v>
      </c>
      <c r="B16" s="37" t="s">
        <v>407</v>
      </c>
      <c r="C16" s="69">
        <v>470.04</v>
      </c>
      <c r="D16" s="44">
        <v>47.27</v>
      </c>
      <c r="E16" s="69">
        <v>98321.600000000006</v>
      </c>
      <c r="F16" s="69">
        <v>50000</v>
      </c>
      <c r="G16" s="69">
        <f t="shared" si="0"/>
        <v>196643.20000000001</v>
      </c>
      <c r="H16" s="21">
        <f t="shared" si="1"/>
        <v>350.52404419781618</v>
      </c>
    </row>
    <row r="17" spans="1:8">
      <c r="A17" s="43">
        <f t="shared" si="2"/>
        <v>7</v>
      </c>
      <c r="B17" s="37" t="s">
        <v>408</v>
      </c>
      <c r="C17" s="69">
        <v>602.16</v>
      </c>
      <c r="D17" s="44">
        <v>62.43</v>
      </c>
      <c r="E17" s="69">
        <v>129854.39999999999</v>
      </c>
      <c r="F17" s="69">
        <v>50000</v>
      </c>
      <c r="G17" s="69">
        <f t="shared" si="0"/>
        <v>259708.79999999999</v>
      </c>
      <c r="H17" s="21">
        <f t="shared" si="1"/>
        <v>486.23015857760686</v>
      </c>
    </row>
    <row r="18" spans="1:8">
      <c r="A18" s="43">
        <f t="shared" si="2"/>
        <v>8</v>
      </c>
      <c r="B18" s="37" t="s">
        <v>409</v>
      </c>
      <c r="C18" s="69">
        <v>367.2</v>
      </c>
      <c r="D18" s="44">
        <v>37.090000000000003</v>
      </c>
      <c r="E18" s="69">
        <v>77147.200000000012</v>
      </c>
      <c r="F18" s="69">
        <v>50000</v>
      </c>
      <c r="G18" s="69">
        <f t="shared" si="0"/>
        <v>154294.40000000002</v>
      </c>
      <c r="H18" s="21">
        <f t="shared" si="1"/>
        <v>248.206698882137</v>
      </c>
    </row>
    <row r="19" spans="1:8">
      <c r="A19" s="43">
        <f t="shared" si="2"/>
        <v>9</v>
      </c>
      <c r="B19" s="37" t="s">
        <v>410</v>
      </c>
      <c r="C19" s="69">
        <v>244.8</v>
      </c>
      <c r="D19" s="44">
        <v>23.7</v>
      </c>
      <c r="E19" s="69">
        <v>49296</v>
      </c>
      <c r="F19" s="69">
        <v>50000</v>
      </c>
      <c r="G19" s="69">
        <f t="shared" si="0"/>
        <v>98592</v>
      </c>
      <c r="H19" s="21">
        <f t="shared" si="1"/>
        <v>120.65199610516066</v>
      </c>
    </row>
    <row r="20" spans="1:8">
      <c r="A20" s="43">
        <f t="shared" si="2"/>
        <v>10</v>
      </c>
      <c r="B20" s="37" t="s">
        <v>411</v>
      </c>
      <c r="C20" s="69">
        <v>347.64</v>
      </c>
      <c r="D20" s="44">
        <v>33.700000000000003</v>
      </c>
      <c r="E20" s="69">
        <v>70096</v>
      </c>
      <c r="F20" s="69">
        <v>50000</v>
      </c>
      <c r="G20" s="69">
        <f t="shared" si="0"/>
        <v>140192</v>
      </c>
      <c r="H20" s="21">
        <f t="shared" si="1"/>
        <v>223.65289659895001</v>
      </c>
    </row>
    <row r="21" spans="1:8">
      <c r="A21" s="43">
        <f t="shared" si="2"/>
        <v>11</v>
      </c>
      <c r="B21" s="37" t="s">
        <v>412</v>
      </c>
      <c r="C21" s="69">
        <v>470.04</v>
      </c>
      <c r="D21" s="44">
        <v>47.54</v>
      </c>
      <c r="E21" s="69">
        <v>98883.199999999997</v>
      </c>
      <c r="F21" s="69">
        <v>50000</v>
      </c>
      <c r="G21" s="69">
        <f t="shared" si="0"/>
        <v>197766.39999999999</v>
      </c>
      <c r="H21" s="21">
        <f t="shared" si="1"/>
        <v>351.2028264457461</v>
      </c>
    </row>
    <row r="22" spans="1:8">
      <c r="A22" s="43">
        <f t="shared" si="2"/>
        <v>12</v>
      </c>
      <c r="B22" s="37" t="s">
        <v>413</v>
      </c>
      <c r="C22" s="69">
        <v>445.56</v>
      </c>
      <c r="D22" s="44">
        <v>44.63</v>
      </c>
      <c r="E22" s="69">
        <v>92830.400000000009</v>
      </c>
      <c r="F22" s="69">
        <v>50000</v>
      </c>
      <c r="G22" s="69">
        <f t="shared" si="0"/>
        <v>185660.80000000002</v>
      </c>
      <c r="H22" s="21">
        <f t="shared" si="1"/>
        <v>325.56698047191441</v>
      </c>
    </row>
    <row r="23" spans="1:8">
      <c r="A23" s="43">
        <f t="shared" si="2"/>
        <v>13</v>
      </c>
      <c r="B23" s="37" t="s">
        <v>414</v>
      </c>
      <c r="C23" s="69">
        <v>298.68</v>
      </c>
      <c r="D23" s="44">
        <v>29.74</v>
      </c>
      <c r="E23" s="69">
        <v>61859.199999999997</v>
      </c>
      <c r="F23" s="69">
        <v>50000</v>
      </c>
      <c r="G23" s="69">
        <f t="shared" si="0"/>
        <v>123718.39999999999</v>
      </c>
      <c r="H23" s="21">
        <f t="shared" si="1"/>
        <v>177.97038849516321</v>
      </c>
    </row>
    <row r="24" spans="1:8">
      <c r="A24" s="43">
        <f t="shared" si="2"/>
        <v>14</v>
      </c>
      <c r="B24" s="37" t="s">
        <v>415</v>
      </c>
      <c r="C24" s="69">
        <v>259.44</v>
      </c>
      <c r="D24" s="44">
        <v>25.87</v>
      </c>
      <c r="E24" s="69">
        <v>53809.599999999999</v>
      </c>
      <c r="F24" s="69">
        <v>50000</v>
      </c>
      <c r="G24" s="69">
        <f t="shared" si="0"/>
        <v>107619.2</v>
      </c>
      <c r="H24" s="21">
        <f t="shared" si="1"/>
        <v>138.9038874847611</v>
      </c>
    </row>
    <row r="25" spans="1:8">
      <c r="A25" s="43">
        <f t="shared" si="2"/>
        <v>15</v>
      </c>
      <c r="B25" s="37" t="s">
        <v>416</v>
      </c>
      <c r="C25" s="69">
        <v>313.32</v>
      </c>
      <c r="D25" s="44">
        <v>32.119999999999997</v>
      </c>
      <c r="E25" s="69">
        <v>66809.599999999991</v>
      </c>
      <c r="F25" s="69">
        <v>50000</v>
      </c>
      <c r="G25" s="69">
        <f t="shared" si="0"/>
        <v>133619.19999999998</v>
      </c>
      <c r="H25" s="21">
        <f t="shared" si="1"/>
        <v>196.07637034198675</v>
      </c>
    </row>
    <row r="26" spans="1:8">
      <c r="A26" s="43">
        <f t="shared" si="2"/>
        <v>16</v>
      </c>
      <c r="B26" s="37" t="s">
        <v>417</v>
      </c>
      <c r="C26" s="69">
        <v>421.08</v>
      </c>
      <c r="D26" s="44">
        <v>42.01</v>
      </c>
      <c r="E26" s="69">
        <v>87380.800000000003</v>
      </c>
      <c r="F26" s="69">
        <v>50000</v>
      </c>
      <c r="G26" s="69">
        <f t="shared" si="0"/>
        <v>174761.60000000001</v>
      </c>
      <c r="H26" s="21">
        <f t="shared" si="1"/>
        <v>300.60731034735323</v>
      </c>
    </row>
    <row r="27" spans="1:8">
      <c r="A27" s="43">
        <f t="shared" si="2"/>
        <v>17</v>
      </c>
      <c r="B27" s="37" t="s">
        <v>418</v>
      </c>
      <c r="C27" s="69">
        <v>313.32</v>
      </c>
      <c r="D27" s="44">
        <v>32.119999999999997</v>
      </c>
      <c r="E27" s="69">
        <v>66809.599999999991</v>
      </c>
      <c r="F27" s="69">
        <v>50000</v>
      </c>
      <c r="G27" s="69">
        <f t="shared" si="0"/>
        <v>133619.19999999998</v>
      </c>
      <c r="H27" s="21">
        <f t="shared" si="1"/>
        <v>196.07637034198675</v>
      </c>
    </row>
    <row r="28" spans="1:8">
      <c r="A28" s="43">
        <f t="shared" si="2"/>
        <v>18</v>
      </c>
      <c r="B28" s="37" t="s">
        <v>419</v>
      </c>
      <c r="C28" s="69">
        <v>445.56</v>
      </c>
      <c r="D28" s="44">
        <v>44.63</v>
      </c>
      <c r="E28" s="69">
        <v>92830.400000000009</v>
      </c>
      <c r="F28" s="69">
        <v>50000</v>
      </c>
      <c r="G28" s="69">
        <f t="shared" si="0"/>
        <v>185660.80000000002</v>
      </c>
      <c r="H28" s="21">
        <f t="shared" si="1"/>
        <v>325.56698047191441</v>
      </c>
    </row>
    <row r="29" spans="1:8">
      <c r="A29" s="43">
        <f t="shared" si="2"/>
        <v>19</v>
      </c>
      <c r="B29" s="37" t="s">
        <v>420</v>
      </c>
      <c r="C29" s="69">
        <v>445.56</v>
      </c>
      <c r="D29" s="44">
        <v>44.63</v>
      </c>
      <c r="E29" s="69">
        <v>92830.400000000009</v>
      </c>
      <c r="F29" s="69">
        <v>50000</v>
      </c>
      <c r="G29" s="69">
        <f t="shared" si="0"/>
        <v>185660.80000000002</v>
      </c>
      <c r="H29" s="21">
        <f t="shared" si="1"/>
        <v>325.56698047191441</v>
      </c>
    </row>
    <row r="30" spans="1:8">
      <c r="A30" s="43">
        <f t="shared" si="2"/>
        <v>20</v>
      </c>
      <c r="B30" s="37" t="s">
        <v>421</v>
      </c>
      <c r="C30" s="69">
        <v>470.04</v>
      </c>
      <c r="D30" s="44">
        <v>47.54</v>
      </c>
      <c r="E30" s="69">
        <v>98883.199999999997</v>
      </c>
      <c r="F30" s="69">
        <v>50000</v>
      </c>
      <c r="G30" s="69">
        <f t="shared" si="0"/>
        <v>197766.39999999999</v>
      </c>
      <c r="H30" s="21">
        <f t="shared" si="1"/>
        <v>351.2028264457461</v>
      </c>
    </row>
    <row r="31" spans="1:8">
      <c r="A31" s="43">
        <f t="shared" si="2"/>
        <v>21</v>
      </c>
      <c r="B31" s="37" t="s">
        <v>422</v>
      </c>
      <c r="C31" s="69">
        <v>259.44</v>
      </c>
      <c r="D31" s="44">
        <v>25.29</v>
      </c>
      <c r="E31" s="69">
        <v>52603.199999999997</v>
      </c>
      <c r="F31" s="69">
        <v>50000</v>
      </c>
      <c r="G31" s="69">
        <f t="shared" si="0"/>
        <v>105206.39999999999</v>
      </c>
      <c r="H31" s="21">
        <f t="shared" si="1"/>
        <v>136.13951637923168</v>
      </c>
    </row>
    <row r="32" spans="1:8">
      <c r="A32" s="43">
        <f t="shared" si="2"/>
        <v>22</v>
      </c>
      <c r="B32" s="37" t="s">
        <v>423</v>
      </c>
      <c r="C32" s="69">
        <v>421.08</v>
      </c>
      <c r="D32" s="44">
        <v>42.01</v>
      </c>
      <c r="E32" s="69">
        <v>87380.800000000003</v>
      </c>
      <c r="F32" s="69">
        <v>50000</v>
      </c>
      <c r="G32" s="69">
        <f t="shared" si="0"/>
        <v>174761.60000000001</v>
      </c>
      <c r="H32" s="21">
        <f t="shared" si="1"/>
        <v>300.60731034735323</v>
      </c>
    </row>
    <row r="33" spans="1:8">
      <c r="A33" s="43">
        <f t="shared" si="2"/>
        <v>23</v>
      </c>
      <c r="B33" s="37" t="s">
        <v>424</v>
      </c>
      <c r="C33" s="69">
        <v>244.8</v>
      </c>
      <c r="D33" s="44">
        <v>24.48</v>
      </c>
      <c r="E33" s="69">
        <v>50918.400000000001</v>
      </c>
      <c r="F33" s="69">
        <v>50000</v>
      </c>
      <c r="G33" s="69">
        <f t="shared" si="0"/>
        <v>101836.8</v>
      </c>
      <c r="H33" s="21">
        <f t="shared" si="1"/>
        <v>124.6076923076923</v>
      </c>
    </row>
    <row r="34" spans="1:8">
      <c r="A34" s="43">
        <f t="shared" si="2"/>
        <v>24</v>
      </c>
      <c r="B34" s="37" t="s">
        <v>425</v>
      </c>
      <c r="C34" s="69">
        <v>337.8</v>
      </c>
      <c r="D34" s="44">
        <v>35.590000000000003</v>
      </c>
      <c r="E34" s="69">
        <v>74027.200000000012</v>
      </c>
      <c r="F34" s="69">
        <v>50000</v>
      </c>
      <c r="G34" s="69">
        <f t="shared" si="0"/>
        <v>148054.40000000002</v>
      </c>
      <c r="H34" s="21">
        <f t="shared" si="1"/>
        <v>223.72031037240367</v>
      </c>
    </row>
    <row r="35" spans="1:8">
      <c r="A35" s="43">
        <f t="shared" si="2"/>
        <v>25</v>
      </c>
      <c r="B35" s="37" t="s">
        <v>426</v>
      </c>
      <c r="C35" s="69">
        <v>259.44</v>
      </c>
      <c r="D35" s="44">
        <v>26.53</v>
      </c>
      <c r="E35" s="69">
        <v>55182.400000000001</v>
      </c>
      <c r="F35" s="69">
        <v>50000</v>
      </c>
      <c r="G35" s="69">
        <f t="shared" si="0"/>
        <v>110364.8</v>
      </c>
      <c r="H35" s="21">
        <f t="shared" si="1"/>
        <v>141.90252428310478</v>
      </c>
    </row>
    <row r="36" spans="1:8">
      <c r="A36" s="43">
        <f t="shared" si="2"/>
        <v>26</v>
      </c>
      <c r="B36" s="37" t="s">
        <v>427</v>
      </c>
      <c r="C36" s="69">
        <v>210.48</v>
      </c>
      <c r="D36" s="44">
        <v>21.34</v>
      </c>
      <c r="E36" s="69">
        <v>44387.199999999997</v>
      </c>
      <c r="F36" s="69">
        <v>50000</v>
      </c>
      <c r="G36" s="69">
        <f t="shared" si="0"/>
        <v>88774.399999999994</v>
      </c>
      <c r="H36" s="21">
        <f t="shared" si="1"/>
        <v>91.932310576021905</v>
      </c>
    </row>
    <row r="37" spans="1:8">
      <c r="A37" s="43">
        <f t="shared" si="2"/>
        <v>27</v>
      </c>
      <c r="B37" s="37" t="s">
        <v>428</v>
      </c>
      <c r="C37" s="69">
        <v>323.16000000000003</v>
      </c>
      <c r="D37" s="44">
        <v>33</v>
      </c>
      <c r="E37" s="69">
        <v>68640</v>
      </c>
      <c r="F37" s="69">
        <v>50000</v>
      </c>
      <c r="G37" s="69">
        <f t="shared" si="0"/>
        <v>137280</v>
      </c>
      <c r="H37" s="21">
        <f t="shared" si="1"/>
        <v>205.45895104895106</v>
      </c>
    </row>
    <row r="38" spans="1:8">
      <c r="A38" s="43">
        <f t="shared" si="2"/>
        <v>28</v>
      </c>
      <c r="B38" s="37" t="s">
        <v>429</v>
      </c>
      <c r="C38" s="69">
        <v>445.56</v>
      </c>
      <c r="D38" s="44">
        <v>44.63</v>
      </c>
      <c r="E38" s="69">
        <v>92830.400000000009</v>
      </c>
      <c r="F38" s="69">
        <v>50000</v>
      </c>
      <c r="G38" s="69">
        <f t="shared" si="0"/>
        <v>185660.80000000002</v>
      </c>
      <c r="H38" s="21">
        <f t="shared" si="1"/>
        <v>325.56698047191441</v>
      </c>
    </row>
    <row r="39" spans="1:8">
      <c r="A39" s="43">
        <f t="shared" si="2"/>
        <v>29</v>
      </c>
      <c r="B39" s="37" t="s">
        <v>430</v>
      </c>
      <c r="C39" s="69">
        <v>215.4</v>
      </c>
      <c r="D39" s="44">
        <v>21.5</v>
      </c>
      <c r="E39" s="69">
        <v>44720</v>
      </c>
      <c r="F39" s="69">
        <v>50000</v>
      </c>
      <c r="G39" s="69">
        <f t="shared" si="0"/>
        <v>89440</v>
      </c>
      <c r="H39" s="21">
        <f t="shared" si="1"/>
        <v>94.984078711985688</v>
      </c>
    </row>
    <row r="40" spans="1:8">
      <c r="A40" s="43">
        <f t="shared" si="2"/>
        <v>30</v>
      </c>
      <c r="B40" s="37" t="s">
        <v>431</v>
      </c>
      <c r="C40" s="69">
        <v>421.08</v>
      </c>
      <c r="D40" s="44">
        <v>42.01</v>
      </c>
      <c r="E40" s="69">
        <v>87380.800000000003</v>
      </c>
      <c r="F40" s="69">
        <v>50000</v>
      </c>
      <c r="G40" s="69">
        <f t="shared" si="0"/>
        <v>174761.60000000001</v>
      </c>
      <c r="H40" s="21">
        <f t="shared" si="1"/>
        <v>300.60731034735323</v>
      </c>
    </row>
    <row r="41" spans="1:8">
      <c r="A41" s="43">
        <f t="shared" si="2"/>
        <v>31</v>
      </c>
      <c r="B41" s="37" t="s">
        <v>432</v>
      </c>
      <c r="C41" s="69">
        <v>328.08</v>
      </c>
      <c r="D41" s="44">
        <v>34.69</v>
      </c>
      <c r="E41" s="69">
        <v>72155.199999999997</v>
      </c>
      <c r="F41" s="69">
        <v>50000</v>
      </c>
      <c r="G41" s="69">
        <f t="shared" si="0"/>
        <v>144310.39999999999</v>
      </c>
      <c r="H41" s="21">
        <f t="shared" si="1"/>
        <v>214.40835887087832</v>
      </c>
    </row>
    <row r="42" spans="1:8">
      <c r="A42" s="43">
        <f t="shared" si="2"/>
        <v>32</v>
      </c>
      <c r="B42" s="37" t="s">
        <v>433</v>
      </c>
      <c r="C42" s="69">
        <v>421.08</v>
      </c>
      <c r="D42" s="44">
        <v>42.01</v>
      </c>
      <c r="E42" s="69">
        <v>87380.800000000003</v>
      </c>
      <c r="F42" s="69">
        <v>50000</v>
      </c>
      <c r="G42" s="69">
        <f t="shared" si="0"/>
        <v>174761.60000000001</v>
      </c>
      <c r="H42" s="21">
        <f t="shared" si="1"/>
        <v>300.60731034735323</v>
      </c>
    </row>
    <row r="43" spans="1:8">
      <c r="A43" s="43">
        <f t="shared" si="2"/>
        <v>33</v>
      </c>
      <c r="B43" s="37" t="s">
        <v>434</v>
      </c>
      <c r="C43" s="69">
        <v>421.08</v>
      </c>
      <c r="D43" s="44">
        <v>42.01</v>
      </c>
      <c r="E43" s="69">
        <v>87380.800000000003</v>
      </c>
      <c r="F43" s="69">
        <v>50000</v>
      </c>
      <c r="G43" s="69">
        <f t="shared" si="0"/>
        <v>174761.60000000001</v>
      </c>
      <c r="H43" s="21">
        <f t="shared" si="1"/>
        <v>300.60731034735323</v>
      </c>
    </row>
    <row r="44" spans="1:8">
      <c r="A44" s="43">
        <f t="shared" si="2"/>
        <v>34</v>
      </c>
      <c r="B44" s="37" t="s">
        <v>435</v>
      </c>
      <c r="C44" s="69">
        <v>210.48</v>
      </c>
      <c r="D44" s="44">
        <v>22.35</v>
      </c>
      <c r="E44" s="69">
        <v>46488</v>
      </c>
      <c r="F44" s="69">
        <v>50000</v>
      </c>
      <c r="G44" s="69">
        <f t="shared" si="0"/>
        <v>92976</v>
      </c>
      <c r="H44" s="21">
        <f t="shared" si="1"/>
        <v>97.289499225606605</v>
      </c>
    </row>
    <row r="45" spans="1:8">
      <c r="A45" s="43">
        <f t="shared" si="2"/>
        <v>35</v>
      </c>
      <c r="B45" s="37" t="s">
        <v>436</v>
      </c>
      <c r="C45" s="69">
        <v>421.08</v>
      </c>
      <c r="D45" s="44">
        <v>42.01</v>
      </c>
      <c r="E45" s="69">
        <v>87380.800000000003</v>
      </c>
      <c r="F45" s="69">
        <v>50000</v>
      </c>
      <c r="G45" s="69">
        <f t="shared" si="0"/>
        <v>174761.60000000001</v>
      </c>
      <c r="H45" s="21">
        <f t="shared" si="1"/>
        <v>300.60731034735323</v>
      </c>
    </row>
    <row r="46" spans="1:8">
      <c r="A46" s="43">
        <f t="shared" si="2"/>
        <v>36</v>
      </c>
      <c r="B46" s="37" t="s">
        <v>437</v>
      </c>
      <c r="C46" s="69">
        <v>421.08</v>
      </c>
      <c r="D46" s="44">
        <v>42.01</v>
      </c>
      <c r="E46" s="69">
        <v>87380.800000000003</v>
      </c>
      <c r="F46" s="69">
        <v>50000</v>
      </c>
      <c r="G46" s="69">
        <f t="shared" si="0"/>
        <v>174761.60000000001</v>
      </c>
      <c r="H46" s="21">
        <f t="shared" si="1"/>
        <v>300.60731034735323</v>
      </c>
    </row>
    <row r="47" spans="1:8">
      <c r="A47" s="43">
        <f t="shared" si="2"/>
        <v>37</v>
      </c>
      <c r="B47" s="37" t="s">
        <v>438</v>
      </c>
      <c r="C47" s="69">
        <v>421.08</v>
      </c>
      <c r="D47" s="44">
        <v>42.01</v>
      </c>
      <c r="E47" s="69">
        <v>87380.800000000003</v>
      </c>
      <c r="F47" s="69">
        <v>50000</v>
      </c>
      <c r="G47" s="69">
        <f t="shared" si="0"/>
        <v>174761.60000000001</v>
      </c>
      <c r="H47" s="21">
        <f t="shared" si="1"/>
        <v>300.60731034735323</v>
      </c>
    </row>
    <row r="48" spans="1:8">
      <c r="A48" s="43">
        <f t="shared" si="2"/>
        <v>38</v>
      </c>
      <c r="B48" s="37" t="s">
        <v>439</v>
      </c>
      <c r="C48" s="69">
        <v>421.08</v>
      </c>
      <c r="D48" s="44">
        <v>42.01</v>
      </c>
      <c r="E48" s="69">
        <v>87380.800000000003</v>
      </c>
      <c r="F48" s="69">
        <v>50000</v>
      </c>
      <c r="G48" s="69">
        <f t="shared" si="0"/>
        <v>174761.60000000001</v>
      </c>
      <c r="H48" s="21">
        <f t="shared" si="1"/>
        <v>300.60731034735323</v>
      </c>
    </row>
    <row r="49" spans="1:8">
      <c r="A49" s="43">
        <f t="shared" si="2"/>
        <v>39</v>
      </c>
      <c r="B49" s="37" t="s">
        <v>440</v>
      </c>
      <c r="C49" s="69">
        <v>421.08</v>
      </c>
      <c r="D49" s="44">
        <v>42.01</v>
      </c>
      <c r="E49" s="69">
        <v>87380.800000000003</v>
      </c>
      <c r="F49" s="69">
        <v>50000</v>
      </c>
      <c r="G49" s="69">
        <f t="shared" si="0"/>
        <v>174761.60000000001</v>
      </c>
      <c r="H49" s="21">
        <f t="shared" si="1"/>
        <v>300.60731034735323</v>
      </c>
    </row>
    <row r="50" spans="1:8">
      <c r="A50" s="43">
        <f t="shared" si="2"/>
        <v>40</v>
      </c>
      <c r="B50" s="37" t="s">
        <v>441</v>
      </c>
      <c r="C50" s="69">
        <v>264.36</v>
      </c>
      <c r="D50" s="44">
        <v>26.45</v>
      </c>
      <c r="E50" s="69">
        <v>55016</v>
      </c>
      <c r="F50" s="69">
        <v>50000</v>
      </c>
      <c r="G50" s="69">
        <f t="shared" si="0"/>
        <v>110032</v>
      </c>
      <c r="H50" s="21">
        <f t="shared" si="1"/>
        <v>144.23131016431586</v>
      </c>
    </row>
    <row r="51" spans="1:8">
      <c r="A51" s="43">
        <f t="shared" si="2"/>
        <v>41</v>
      </c>
      <c r="B51" s="37" t="s">
        <v>442</v>
      </c>
      <c r="C51" s="69">
        <v>293.76</v>
      </c>
      <c r="D51" s="44">
        <v>29.81</v>
      </c>
      <c r="E51" s="69">
        <v>62004.799999999996</v>
      </c>
      <c r="F51" s="69">
        <v>50000</v>
      </c>
      <c r="G51" s="69">
        <f t="shared" si="0"/>
        <v>124009.59999999999</v>
      </c>
      <c r="H51" s="21">
        <f t="shared" si="1"/>
        <v>175.31755683430961</v>
      </c>
    </row>
    <row r="52" spans="1:8">
      <c r="A52" s="43">
        <f t="shared" si="2"/>
        <v>42</v>
      </c>
      <c r="B52" s="37" t="s">
        <v>443</v>
      </c>
      <c r="C52" s="69">
        <v>386.76</v>
      </c>
      <c r="D52" s="44">
        <v>42.01</v>
      </c>
      <c r="E52" s="69">
        <v>87380.800000000003</v>
      </c>
      <c r="F52" s="69">
        <v>50000</v>
      </c>
      <c r="G52" s="69">
        <f t="shared" si="0"/>
        <v>174761.60000000001</v>
      </c>
      <c r="H52" s="21">
        <f t="shared" si="1"/>
        <v>276.10640104004545</v>
      </c>
    </row>
    <row r="53" spans="1:8">
      <c r="A53" s="43">
        <f t="shared" si="2"/>
        <v>43</v>
      </c>
      <c r="B53" s="37" t="s">
        <v>444</v>
      </c>
      <c r="C53" s="69">
        <v>249.72</v>
      </c>
      <c r="D53" s="44">
        <v>25</v>
      </c>
      <c r="E53" s="69">
        <v>52000</v>
      </c>
      <c r="F53" s="69">
        <v>50000</v>
      </c>
      <c r="G53" s="69">
        <f t="shared" si="0"/>
        <v>104000</v>
      </c>
      <c r="H53" s="21">
        <f t="shared" si="1"/>
        <v>129.66230769230771</v>
      </c>
    </row>
    <row r="54" spans="1:8">
      <c r="A54" s="43">
        <f t="shared" si="2"/>
        <v>44</v>
      </c>
      <c r="B54" s="37" t="s">
        <v>445</v>
      </c>
      <c r="C54" s="69">
        <v>225.24</v>
      </c>
      <c r="D54" s="44">
        <v>22.74</v>
      </c>
      <c r="E54" s="69">
        <v>47299.199999999997</v>
      </c>
      <c r="F54" s="69">
        <v>50000</v>
      </c>
      <c r="G54" s="69">
        <f t="shared" si="0"/>
        <v>94598.399999999994</v>
      </c>
      <c r="H54" s="21">
        <f t="shared" si="1"/>
        <v>106.18936066571951</v>
      </c>
    </row>
    <row r="55" spans="1:8">
      <c r="A55" s="43">
        <f t="shared" si="2"/>
        <v>45</v>
      </c>
      <c r="B55" s="37" t="s">
        <v>446</v>
      </c>
      <c r="C55" s="69">
        <v>332.88</v>
      </c>
      <c r="D55" s="44">
        <v>38.79</v>
      </c>
      <c r="E55" s="69">
        <v>80683.199999999997</v>
      </c>
      <c r="F55" s="69">
        <v>50000</v>
      </c>
      <c r="G55" s="69">
        <f t="shared" si="0"/>
        <v>161366.39999999999</v>
      </c>
      <c r="H55" s="21">
        <f t="shared" si="1"/>
        <v>229.73585103218514</v>
      </c>
    </row>
    <row r="56" spans="1:8">
      <c r="A56" s="43">
        <f t="shared" si="2"/>
        <v>46</v>
      </c>
      <c r="B56" s="37" t="s">
        <v>447</v>
      </c>
      <c r="C56" s="69">
        <v>313.32</v>
      </c>
      <c r="D56" s="44">
        <v>32.54</v>
      </c>
      <c r="E56" s="69">
        <v>67683.199999999997</v>
      </c>
      <c r="F56" s="69">
        <v>50000</v>
      </c>
      <c r="G56" s="69">
        <f t="shared" si="0"/>
        <v>135366.39999999999</v>
      </c>
      <c r="H56" s="21">
        <f t="shared" si="1"/>
        <v>197.58965628102692</v>
      </c>
    </row>
    <row r="57" spans="1:8">
      <c r="A57" s="43">
        <f t="shared" si="2"/>
        <v>47</v>
      </c>
      <c r="B57" s="37" t="s">
        <v>448</v>
      </c>
      <c r="C57" s="69">
        <v>303.60000000000002</v>
      </c>
      <c r="D57" s="44">
        <v>32.159999999999997</v>
      </c>
      <c r="E57" s="69">
        <v>66892.799999999988</v>
      </c>
      <c r="F57" s="69">
        <v>50000</v>
      </c>
      <c r="G57" s="69">
        <f t="shared" si="0"/>
        <v>133785.59999999998</v>
      </c>
      <c r="H57" s="21">
        <f t="shared" si="1"/>
        <v>190.13487370838115</v>
      </c>
    </row>
    <row r="58" spans="1:8">
      <c r="A58" s="43">
        <f t="shared" si="2"/>
        <v>48</v>
      </c>
      <c r="B58" s="37" t="s">
        <v>449</v>
      </c>
      <c r="C58" s="69">
        <v>318.24</v>
      </c>
      <c r="D58" s="44">
        <v>33.89</v>
      </c>
      <c r="E58" s="69">
        <v>70491.199999999997</v>
      </c>
      <c r="F58" s="69">
        <v>50000</v>
      </c>
      <c r="G58" s="69">
        <f t="shared" si="0"/>
        <v>140982.39999999999</v>
      </c>
      <c r="H58" s="21">
        <f t="shared" si="1"/>
        <v>205.37484803776925</v>
      </c>
    </row>
    <row r="59" spans="1:8">
      <c r="A59" s="43">
        <f t="shared" si="2"/>
        <v>49</v>
      </c>
      <c r="B59" s="37" t="s">
        <v>450</v>
      </c>
      <c r="C59" s="69">
        <v>200.76</v>
      </c>
      <c r="D59" s="44">
        <v>20.95</v>
      </c>
      <c r="E59" s="69">
        <v>43576</v>
      </c>
      <c r="F59" s="69">
        <v>50000</v>
      </c>
      <c r="G59" s="69">
        <f t="shared" si="0"/>
        <v>87152</v>
      </c>
      <c r="H59" s="21">
        <f t="shared" si="1"/>
        <v>85.581920323113636</v>
      </c>
    </row>
    <row r="60" spans="1:8">
      <c r="A60" s="43">
        <f t="shared" si="2"/>
        <v>50</v>
      </c>
      <c r="B60" s="37" t="s">
        <v>451</v>
      </c>
      <c r="C60" s="69">
        <v>200.76</v>
      </c>
      <c r="D60" s="44">
        <v>20.95</v>
      </c>
      <c r="E60" s="69">
        <v>43576</v>
      </c>
      <c r="F60" s="69">
        <v>50000</v>
      </c>
      <c r="G60" s="69">
        <f t="shared" si="0"/>
        <v>87152</v>
      </c>
      <c r="H60" s="21">
        <f t="shared" si="1"/>
        <v>85.581920323113636</v>
      </c>
    </row>
    <row r="61" spans="1:8">
      <c r="A61" s="43">
        <f t="shared" si="2"/>
        <v>51</v>
      </c>
      <c r="B61" s="37" t="s">
        <v>452</v>
      </c>
      <c r="C61" s="69">
        <v>200.76</v>
      </c>
      <c r="D61" s="44">
        <v>20.95</v>
      </c>
      <c r="E61" s="69">
        <v>43576</v>
      </c>
      <c r="F61" s="69">
        <v>50000</v>
      </c>
      <c r="G61" s="69">
        <f t="shared" si="0"/>
        <v>87152</v>
      </c>
      <c r="H61" s="21">
        <f t="shared" si="1"/>
        <v>85.581920323113636</v>
      </c>
    </row>
    <row r="62" spans="1:8">
      <c r="A62" s="43">
        <f t="shared" si="2"/>
        <v>52</v>
      </c>
      <c r="B62" s="37" t="s">
        <v>453</v>
      </c>
      <c r="C62" s="69">
        <v>303.60000000000002</v>
      </c>
      <c r="D62" s="44">
        <v>32.159999999999997</v>
      </c>
      <c r="E62" s="69">
        <v>66892.799999999988</v>
      </c>
      <c r="F62" s="69">
        <v>50000</v>
      </c>
      <c r="G62" s="69">
        <f t="shared" si="0"/>
        <v>133785.59999999998</v>
      </c>
      <c r="H62" s="21">
        <f t="shared" si="1"/>
        <v>190.13487370838115</v>
      </c>
    </row>
    <row r="63" spans="1:8">
      <c r="A63" s="43">
        <f t="shared" si="2"/>
        <v>53</v>
      </c>
      <c r="B63" s="37" t="s">
        <v>454</v>
      </c>
      <c r="C63" s="69">
        <v>279.12</v>
      </c>
      <c r="D63" s="44">
        <v>30.02</v>
      </c>
      <c r="E63" s="69">
        <v>62441.599999999999</v>
      </c>
      <c r="F63" s="69">
        <v>50000</v>
      </c>
      <c r="G63" s="69">
        <f t="shared" si="0"/>
        <v>124883.2</v>
      </c>
      <c r="H63" s="21">
        <f t="shared" si="1"/>
        <v>167.36757853738533</v>
      </c>
    </row>
    <row r="64" spans="1:8">
      <c r="A64" s="43">
        <f t="shared" si="2"/>
        <v>54</v>
      </c>
      <c r="B64" s="37" t="s">
        <v>455</v>
      </c>
      <c r="C64" s="69">
        <v>279.12</v>
      </c>
      <c r="D64" s="44">
        <v>30.02</v>
      </c>
      <c r="E64" s="69">
        <v>62441.599999999999</v>
      </c>
      <c r="F64" s="69">
        <v>50000</v>
      </c>
      <c r="G64" s="69">
        <f t="shared" si="0"/>
        <v>124883.2</v>
      </c>
      <c r="H64" s="21">
        <f t="shared" si="1"/>
        <v>167.36757853738533</v>
      </c>
    </row>
    <row r="65" spans="1:8">
      <c r="A65" s="43">
        <f t="shared" si="2"/>
        <v>55</v>
      </c>
      <c r="B65" s="37" t="s">
        <v>456</v>
      </c>
      <c r="C65" s="69">
        <v>200.76</v>
      </c>
      <c r="D65" s="44">
        <v>20.95</v>
      </c>
      <c r="E65" s="69">
        <v>43576</v>
      </c>
      <c r="F65" s="69">
        <v>50000</v>
      </c>
      <c r="G65" s="69">
        <f t="shared" si="0"/>
        <v>87152</v>
      </c>
      <c r="H65" s="21">
        <f t="shared" si="1"/>
        <v>85.581920323113636</v>
      </c>
    </row>
    <row r="66" spans="1:8">
      <c r="A66" s="43">
        <f t="shared" si="2"/>
        <v>56</v>
      </c>
      <c r="B66" s="37" t="s">
        <v>457</v>
      </c>
      <c r="C66" s="69">
        <v>264.36</v>
      </c>
      <c r="D66" s="44">
        <v>27.28</v>
      </c>
      <c r="E66" s="69">
        <v>56742.400000000001</v>
      </c>
      <c r="F66" s="69">
        <v>50000</v>
      </c>
      <c r="G66" s="69">
        <f t="shared" si="0"/>
        <v>113484.8</v>
      </c>
      <c r="H66" s="21">
        <f t="shared" si="1"/>
        <v>147.88625197383263</v>
      </c>
    </row>
    <row r="67" spans="1:8">
      <c r="A67" s="43">
        <f t="shared" si="2"/>
        <v>57</v>
      </c>
      <c r="B67" s="37" t="s">
        <v>458</v>
      </c>
      <c r="C67" s="69">
        <v>386.76</v>
      </c>
      <c r="D67" s="44">
        <v>38.79</v>
      </c>
      <c r="E67" s="69">
        <v>80683.199999999997</v>
      </c>
      <c r="F67" s="69">
        <v>50000</v>
      </c>
      <c r="G67" s="69">
        <f t="shared" si="0"/>
        <v>161366.39999999999</v>
      </c>
      <c r="H67" s="21">
        <f t="shared" si="1"/>
        <v>266.92092569456838</v>
      </c>
    </row>
    <row r="68" spans="1:8">
      <c r="A68" s="43">
        <f t="shared" si="2"/>
        <v>58</v>
      </c>
      <c r="B68" s="37" t="s">
        <v>459</v>
      </c>
      <c r="C68" s="69">
        <v>200.76</v>
      </c>
      <c r="D68" s="44">
        <v>20.95</v>
      </c>
      <c r="E68" s="69">
        <v>43576</v>
      </c>
      <c r="F68" s="69">
        <v>50000</v>
      </c>
      <c r="G68" s="69">
        <f t="shared" si="0"/>
        <v>87152</v>
      </c>
      <c r="H68" s="21">
        <f t="shared" si="1"/>
        <v>85.581920323113636</v>
      </c>
    </row>
    <row r="69" spans="1:8">
      <c r="A69" s="43">
        <f t="shared" si="2"/>
        <v>59</v>
      </c>
      <c r="B69" s="37" t="s">
        <v>460</v>
      </c>
      <c r="C69" s="69">
        <v>230.16</v>
      </c>
      <c r="D69" s="44">
        <v>23.29</v>
      </c>
      <c r="E69" s="69">
        <v>48443.199999999997</v>
      </c>
      <c r="F69" s="69">
        <v>50000</v>
      </c>
      <c r="G69" s="69">
        <f t="shared" si="0"/>
        <v>96886.399999999994</v>
      </c>
      <c r="H69" s="21">
        <f t="shared" si="1"/>
        <v>111.38171945701356</v>
      </c>
    </row>
    <row r="70" spans="1:8">
      <c r="A70" s="43">
        <f t="shared" si="2"/>
        <v>60</v>
      </c>
      <c r="B70" s="37" t="s">
        <v>461</v>
      </c>
      <c r="C70" s="69">
        <v>167.3</v>
      </c>
      <c r="D70" s="44">
        <v>20.95</v>
      </c>
      <c r="E70" s="69">
        <v>43576</v>
      </c>
      <c r="F70" s="69">
        <v>50000</v>
      </c>
      <c r="G70" s="69">
        <f t="shared" si="0"/>
        <v>87152</v>
      </c>
      <c r="H70" s="21">
        <f t="shared" si="1"/>
        <v>71.318266935928037</v>
      </c>
    </row>
    <row r="71" spans="1:8">
      <c r="A71" s="43">
        <f t="shared" si="2"/>
        <v>61</v>
      </c>
      <c r="B71" s="37" t="s">
        <v>559</v>
      </c>
      <c r="C71" s="69">
        <v>195.84</v>
      </c>
      <c r="D71" s="44">
        <v>39</v>
      </c>
      <c r="E71" s="69">
        <v>81120</v>
      </c>
      <c r="F71" s="69">
        <v>50000</v>
      </c>
      <c r="G71" s="69">
        <f t="shared" si="0"/>
        <v>162240</v>
      </c>
      <c r="H71" s="21">
        <f t="shared" si="1"/>
        <v>135.4849704142012</v>
      </c>
    </row>
    <row r="72" spans="1:8">
      <c r="A72" s="43">
        <f t="shared" si="2"/>
        <v>62</v>
      </c>
      <c r="B72" s="37" t="s">
        <v>560</v>
      </c>
      <c r="C72" s="69">
        <v>100.38</v>
      </c>
      <c r="D72" s="44">
        <v>20.95</v>
      </c>
      <c r="E72" s="69">
        <v>43576</v>
      </c>
      <c r="F72" s="69">
        <v>50000</v>
      </c>
      <c r="G72" s="69">
        <f t="shared" si="0"/>
        <v>87152</v>
      </c>
      <c r="H72" s="21">
        <f t="shared" si="1"/>
        <v>42.790960161556818</v>
      </c>
    </row>
    <row r="73" spans="1:8">
      <c r="A73" s="43">
        <f t="shared" si="2"/>
        <v>63</v>
      </c>
      <c r="B73" s="37" t="s">
        <v>462</v>
      </c>
      <c r="C73" s="69"/>
      <c r="D73" s="44"/>
      <c r="E73" s="254" t="s">
        <v>565</v>
      </c>
      <c r="F73" s="254"/>
      <c r="G73" s="69"/>
      <c r="H73" s="21">
        <v>0</v>
      </c>
    </row>
    <row r="74" spans="1:8">
      <c r="A74" s="43">
        <f t="shared" si="2"/>
        <v>64</v>
      </c>
      <c r="B74" s="37" t="s">
        <v>463</v>
      </c>
      <c r="C74" s="69"/>
      <c r="D74" s="44"/>
      <c r="E74" s="254" t="s">
        <v>565</v>
      </c>
      <c r="F74" s="254"/>
      <c r="G74" s="69"/>
      <c r="H74" s="21">
        <v>0</v>
      </c>
    </row>
    <row r="75" spans="1:8">
      <c r="A75" s="43">
        <f t="shared" si="2"/>
        <v>65</v>
      </c>
      <c r="B75" s="37" t="s">
        <v>464</v>
      </c>
      <c r="C75" s="69"/>
      <c r="D75" s="44"/>
      <c r="E75" s="254" t="s">
        <v>566</v>
      </c>
      <c r="F75" s="254"/>
      <c r="G75" s="69"/>
      <c r="H75" s="21">
        <v>0</v>
      </c>
    </row>
    <row r="76" spans="1:8">
      <c r="A76" s="43">
        <f t="shared" si="2"/>
        <v>66</v>
      </c>
      <c r="B76" s="37" t="s">
        <v>465</v>
      </c>
      <c r="C76" s="69">
        <v>23.26</v>
      </c>
      <c r="D76" s="44"/>
      <c r="E76" s="254" t="s">
        <v>566</v>
      </c>
      <c r="F76" s="254"/>
      <c r="G76" s="69"/>
      <c r="H76" s="21">
        <v>0</v>
      </c>
    </row>
    <row r="77" spans="1:8">
      <c r="A77" s="43">
        <f t="shared" ref="A77:A93" si="3">A76+1</f>
        <v>67</v>
      </c>
      <c r="B77" s="37" t="s">
        <v>466</v>
      </c>
      <c r="C77" s="173">
        <v>70.16</v>
      </c>
      <c r="D77" s="255"/>
      <c r="E77" s="256" t="s">
        <v>566</v>
      </c>
      <c r="F77" s="256"/>
      <c r="G77" s="173"/>
      <c r="H77" s="257">
        <v>0</v>
      </c>
    </row>
    <row r="78" spans="1:8">
      <c r="A78" s="43">
        <f t="shared" si="3"/>
        <v>68</v>
      </c>
      <c r="C78" s="69">
        <f>SUM(C11:C77)</f>
        <v>22133.899999999983</v>
      </c>
      <c r="D78" s="69"/>
      <c r="E78" s="69"/>
      <c r="F78" s="69"/>
      <c r="G78" s="69"/>
      <c r="H78" s="69">
        <f t="shared" ref="H78" si="4">SUM(H11:H77)</f>
        <v>14886.319853573777</v>
      </c>
    </row>
    <row r="79" spans="1:8">
      <c r="A79" s="43">
        <f t="shared" si="3"/>
        <v>69</v>
      </c>
      <c r="C79" s="37"/>
    </row>
    <row r="80" spans="1:8">
      <c r="A80" s="43">
        <f t="shared" si="3"/>
        <v>70</v>
      </c>
      <c r="C80" s="161"/>
      <c r="G80" s="22" t="s">
        <v>489</v>
      </c>
      <c r="H80" s="19">
        <f>C78-H78</f>
        <v>7247.5801464262058</v>
      </c>
    </row>
    <row r="81" spans="1:8">
      <c r="A81" s="43">
        <f t="shared" si="3"/>
        <v>71</v>
      </c>
      <c r="C81" s="4" t="s">
        <v>504</v>
      </c>
      <c r="D81" s="229" t="s">
        <v>383</v>
      </c>
      <c r="E81" s="229" t="s">
        <v>8</v>
      </c>
      <c r="F81" s="167"/>
      <c r="G81" s="22"/>
      <c r="H81" s="258"/>
    </row>
    <row r="82" spans="1:8">
      <c r="A82" s="43">
        <f t="shared" si="3"/>
        <v>72</v>
      </c>
      <c r="C82" s="5" t="s">
        <v>384</v>
      </c>
      <c r="D82" s="224">
        <v>0.12259540588971797</v>
      </c>
      <c r="E82" s="19">
        <f>$H$86*D82</f>
        <v>-1824.9944246530442</v>
      </c>
      <c r="G82" s="22" t="s">
        <v>110</v>
      </c>
      <c r="H82" s="19">
        <f>C78</f>
        <v>22133.899999999983</v>
      </c>
    </row>
    <row r="83" spans="1:8">
      <c r="A83" s="43">
        <f t="shared" si="3"/>
        <v>73</v>
      </c>
      <c r="C83" s="5" t="s">
        <v>386</v>
      </c>
      <c r="D83" s="224">
        <v>0.20220543660841139</v>
      </c>
      <c r="E83" s="19">
        <f t="shared" ref="E83:E86" si="5">$H$86*D83</f>
        <v>-3010.0948054843484</v>
      </c>
      <c r="G83" s="22"/>
      <c r="H83" s="19"/>
    </row>
    <row r="84" spans="1:8">
      <c r="A84" s="43">
        <f t="shared" si="3"/>
        <v>74</v>
      </c>
      <c r="C84" s="5" t="s">
        <v>388</v>
      </c>
      <c r="D84" s="224">
        <v>0.10039625505814737</v>
      </c>
      <c r="E84" s="19">
        <f t="shared" si="5"/>
        <v>-1494.5307648965559</v>
      </c>
      <c r="G84" s="22" t="s">
        <v>90</v>
      </c>
      <c r="H84" s="19">
        <f>H80</f>
        <v>7247.5801464262058</v>
      </c>
    </row>
    <row r="85" spans="1:8">
      <c r="A85" s="43">
        <f t="shared" si="3"/>
        <v>75</v>
      </c>
      <c r="C85" s="5" t="s">
        <v>505</v>
      </c>
      <c r="D85" s="224">
        <v>2.0355009061798761E-2</v>
      </c>
      <c r="E85" s="19">
        <f t="shared" si="5"/>
        <v>-303.01117551632905</v>
      </c>
      <c r="G85" s="22"/>
      <c r="H85" s="19"/>
    </row>
    <row r="86" spans="1:8" ht="13.5" thickBot="1">
      <c r="A86" s="43">
        <f t="shared" si="3"/>
        <v>76</v>
      </c>
      <c r="C86" s="5" t="s">
        <v>389</v>
      </c>
      <c r="D86" s="224">
        <v>0.12106005977373557</v>
      </c>
      <c r="E86" s="19">
        <f t="shared" si="5"/>
        <v>-1802.1387712845881</v>
      </c>
      <c r="G86" s="289" t="s">
        <v>8</v>
      </c>
      <c r="H86" s="59">
        <f>H84-H82</f>
        <v>-14886.319853573777</v>
      </c>
    </row>
    <row r="87" spans="1:8" ht="13.5" thickTop="1">
      <c r="A87" s="43">
        <f t="shared" si="3"/>
        <v>77</v>
      </c>
      <c r="C87" s="259" t="s">
        <v>506</v>
      </c>
      <c r="D87" s="232">
        <v>0.56661216639181111</v>
      </c>
      <c r="E87" s="314">
        <f>SUM(E82:E86)</f>
        <v>-8434.7699418348657</v>
      </c>
      <c r="F87" s="37" t="s">
        <v>531</v>
      </c>
    </row>
    <row r="88" spans="1:8">
      <c r="A88" s="43">
        <f t="shared" si="3"/>
        <v>78</v>
      </c>
      <c r="C88" s="5"/>
      <c r="D88" s="224"/>
      <c r="E88" s="2"/>
    </row>
    <row r="89" spans="1:8">
      <c r="A89" s="43">
        <f t="shared" si="3"/>
        <v>79</v>
      </c>
      <c r="C89" s="5" t="s">
        <v>507</v>
      </c>
      <c r="D89" s="224">
        <v>0.30993156664551791</v>
      </c>
      <c r="E89" s="19">
        <f t="shared" ref="E89:E90" si="6">$H$86*D89</f>
        <v>-4613.740433804398</v>
      </c>
    </row>
    <row r="90" spans="1:8">
      <c r="A90" s="43">
        <f t="shared" si="3"/>
        <v>80</v>
      </c>
      <c r="C90" s="5" t="s">
        <v>508</v>
      </c>
      <c r="D90" s="224">
        <v>0.12345626696267104</v>
      </c>
      <c r="E90" s="19">
        <f t="shared" si="6"/>
        <v>-1837.8094779345142</v>
      </c>
    </row>
    <row r="91" spans="1:8">
      <c r="A91" s="43">
        <f t="shared" si="3"/>
        <v>81</v>
      </c>
      <c r="C91" s="55"/>
      <c r="D91" s="232">
        <v>0.43338783360818894</v>
      </c>
      <c r="E91" s="260">
        <f>SUM(E89:E90)</f>
        <v>-6451.5499117389118</v>
      </c>
    </row>
    <row r="92" spans="1:8">
      <c r="A92" s="43">
        <f t="shared" si="3"/>
        <v>82</v>
      </c>
      <c r="C92" s="5"/>
      <c r="D92" s="224"/>
      <c r="E92" s="2"/>
    </row>
    <row r="93" spans="1:8" ht="13.5" thickBot="1">
      <c r="A93" s="43">
        <f t="shared" si="3"/>
        <v>83</v>
      </c>
      <c r="C93" s="225"/>
      <c r="D93" s="226">
        <v>1</v>
      </c>
      <c r="E93" s="235">
        <f>E87+E91</f>
        <v>-14886.319853573777</v>
      </c>
    </row>
    <row r="94" spans="1:8" ht="13.5" thickTop="1">
      <c r="A94" s="37"/>
    </row>
    <row r="95" spans="1:8">
      <c r="A95" s="37"/>
    </row>
    <row r="96" spans="1:8">
      <c r="A96" s="37"/>
      <c r="B96" s="37" t="s">
        <v>490</v>
      </c>
    </row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</sheetData>
  <mergeCells count="3">
    <mergeCell ref="B3:H3"/>
    <mergeCell ref="B4:H4"/>
    <mergeCell ref="B6:H6"/>
  </mergeCells>
  <printOptions horizontalCentered="1"/>
  <pageMargins left="0.7" right="0.7" top="0.75" bottom="0.75" header="0.3" footer="0.3"/>
  <pageSetup scale="74" orientation="portrait" r:id="rId1"/>
  <headerFooter>
    <oddFooter>&amp;RExhibit  JW-2
Page &amp;P of &amp;N</oddFooter>
  </headerFooter>
  <rowBreaks count="1" manualBreakCount="1">
    <brk id="7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6"/>
  <sheetViews>
    <sheetView view="pageBreakPreview" zoomScaleNormal="100" zoomScaleSheetLayoutView="100" workbookViewId="0">
      <selection activeCell="C44" sqref="C44"/>
    </sheetView>
  </sheetViews>
  <sheetFormatPr defaultColWidth="9.140625" defaultRowHeight="14.25"/>
  <cols>
    <col min="1" max="1" width="6.5703125" style="40" customWidth="1"/>
    <col min="2" max="2" width="37.140625" style="40" customWidth="1"/>
    <col min="3" max="3" width="9.28515625" style="40" customWidth="1"/>
    <col min="4" max="10" width="18.140625" style="40" customWidth="1"/>
    <col min="11" max="11" width="10.5703125" style="40" bestFit="1" customWidth="1"/>
    <col min="12" max="16384" width="9.140625" style="40"/>
  </cols>
  <sheetData>
    <row r="1" spans="1:14" s="37" customFormat="1" ht="12.75">
      <c r="D1" s="26" t="s">
        <v>162</v>
      </c>
      <c r="F1" s="26"/>
    </row>
    <row r="2" spans="1:14" s="37" customFormat="1" ht="12.75">
      <c r="D2" s="48"/>
      <c r="F2" s="26"/>
      <c r="G2" s="26"/>
    </row>
    <row r="3" spans="1:14" s="37" customFormat="1" ht="12.75">
      <c r="F3" s="26"/>
      <c r="G3" s="26"/>
    </row>
    <row r="4" spans="1:14" s="37" customFormat="1" ht="12.75">
      <c r="A4" s="299" t="str">
        <f>RevReq!A1</f>
        <v>FARMERS RECC</v>
      </c>
      <c r="B4" s="299"/>
      <c r="C4" s="299"/>
      <c r="D4" s="299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37" customFormat="1" ht="12.75">
      <c r="A5" s="299" t="str">
        <f>RevReq!A3</f>
        <v>For the 12 Months Ended December 31, 2024</v>
      </c>
      <c r="B5" s="299"/>
      <c r="C5" s="299"/>
      <c r="D5" s="299"/>
      <c r="E5" s="34"/>
      <c r="F5" s="34"/>
      <c r="G5" s="34"/>
      <c r="H5" s="34"/>
      <c r="I5" s="34"/>
      <c r="J5" s="34"/>
      <c r="K5" s="34"/>
    </row>
    <row r="6" spans="1:14" s="37" customFormat="1" ht="12.75"/>
    <row r="7" spans="1:14" s="35" customFormat="1" ht="12.75">
      <c r="A7" s="296" t="s">
        <v>155</v>
      </c>
      <c r="B7" s="296"/>
      <c r="C7" s="296"/>
      <c r="D7" s="296"/>
      <c r="E7" s="36"/>
      <c r="F7" s="36"/>
      <c r="G7" s="36"/>
      <c r="H7" s="36"/>
      <c r="I7" s="36"/>
      <c r="J7" s="36"/>
      <c r="K7" s="36"/>
    </row>
    <row r="8" spans="1:14" s="37" customFormat="1" ht="12.75"/>
    <row r="9" spans="1:14">
      <c r="A9" s="39" t="s">
        <v>5</v>
      </c>
      <c r="B9" s="39" t="s">
        <v>92</v>
      </c>
      <c r="C9" s="39"/>
      <c r="D9" s="39" t="s">
        <v>108</v>
      </c>
    </row>
    <row r="10" spans="1:14" ht="15">
      <c r="A10" s="70" t="s">
        <v>10</v>
      </c>
      <c r="B10" s="51" t="s">
        <v>71</v>
      </c>
      <c r="C10" s="51"/>
      <c r="D10" s="51" t="s">
        <v>72</v>
      </c>
      <c r="E10" s="50"/>
      <c r="F10" s="50"/>
      <c r="G10" s="50"/>
      <c r="H10" s="50"/>
      <c r="I10" s="50"/>
      <c r="J10" s="50"/>
      <c r="K10" s="50"/>
    </row>
    <row r="11" spans="1:14" ht="15">
      <c r="A11" s="39"/>
      <c r="B11" s="37"/>
      <c r="C11" s="37"/>
      <c r="D11" s="37"/>
      <c r="E11" s="91"/>
      <c r="F11" s="91"/>
      <c r="G11" s="50"/>
      <c r="H11" s="91"/>
      <c r="I11" s="91"/>
      <c r="J11" s="91"/>
      <c r="K11" s="91"/>
    </row>
    <row r="12" spans="1:14" ht="15">
      <c r="A12" s="39">
        <v>1</v>
      </c>
      <c r="B12" s="43" t="s">
        <v>163</v>
      </c>
      <c r="C12" s="37"/>
      <c r="D12" s="280">
        <v>155000</v>
      </c>
      <c r="E12" s="92"/>
      <c r="F12" s="92"/>
      <c r="G12" s="50"/>
      <c r="H12" s="92"/>
      <c r="I12" s="92"/>
      <c r="J12" s="92"/>
      <c r="K12" s="92"/>
      <c r="L12" s="92"/>
    </row>
    <row r="13" spans="1:14">
      <c r="A13" s="39">
        <f>A12+1</f>
        <v>2</v>
      </c>
      <c r="B13" s="43" t="s">
        <v>156</v>
      </c>
      <c r="C13" s="37"/>
      <c r="D13" s="71">
        <v>45000</v>
      </c>
      <c r="E13" s="92"/>
      <c r="F13" s="92"/>
      <c r="G13" s="92"/>
      <c r="H13" s="92"/>
      <c r="I13" s="92"/>
      <c r="J13" s="92"/>
      <c r="K13" s="92"/>
    </row>
    <row r="14" spans="1:14">
      <c r="A14" s="39">
        <f t="shared" ref="A14:A25" si="0">A13+1</f>
        <v>3</v>
      </c>
      <c r="B14" s="43" t="s">
        <v>157</v>
      </c>
      <c r="C14" s="37"/>
      <c r="D14" s="71">
        <v>0</v>
      </c>
      <c r="E14" s="92"/>
      <c r="F14" s="92"/>
      <c r="G14" s="92"/>
      <c r="H14" s="92"/>
      <c r="I14" s="92"/>
      <c r="J14" s="92"/>
      <c r="K14" s="92"/>
    </row>
    <row r="15" spans="1:14">
      <c r="A15" s="39">
        <f t="shared" si="0"/>
        <v>4</v>
      </c>
      <c r="B15" s="47" t="s">
        <v>130</v>
      </c>
      <c r="C15" s="55"/>
      <c r="D15" s="93">
        <f>SUM(D12:D14)</f>
        <v>200000</v>
      </c>
      <c r="E15" s="92"/>
      <c r="F15" s="92"/>
      <c r="G15" s="92"/>
      <c r="H15" s="92"/>
      <c r="I15" s="92"/>
      <c r="J15" s="92"/>
      <c r="K15" s="92"/>
    </row>
    <row r="16" spans="1:14">
      <c r="A16" s="39">
        <f t="shared" si="0"/>
        <v>5</v>
      </c>
      <c r="B16" s="37"/>
      <c r="C16" s="2"/>
      <c r="D16" s="37"/>
      <c r="E16" s="92"/>
      <c r="F16" s="92"/>
      <c r="G16" s="92"/>
      <c r="H16" s="92"/>
      <c r="I16" s="92"/>
      <c r="J16" s="92"/>
      <c r="K16" s="92"/>
    </row>
    <row r="17" spans="1:12">
      <c r="A17" s="39">
        <f t="shared" si="0"/>
        <v>6</v>
      </c>
      <c r="B17" s="2" t="s">
        <v>158</v>
      </c>
      <c r="C17" s="2"/>
      <c r="D17" s="94">
        <f>D15</f>
        <v>200000</v>
      </c>
      <c r="E17" s="92"/>
      <c r="F17" s="92"/>
      <c r="G17" s="92"/>
      <c r="H17" s="92"/>
      <c r="I17" s="92"/>
      <c r="J17" s="92"/>
      <c r="K17" s="92"/>
    </row>
    <row r="18" spans="1:12">
      <c r="A18" s="39">
        <f t="shared" si="0"/>
        <v>7</v>
      </c>
      <c r="B18" s="2" t="s">
        <v>159</v>
      </c>
      <c r="C18" s="2"/>
      <c r="D18" s="94">
        <v>3</v>
      </c>
      <c r="E18" s="92"/>
      <c r="F18" s="92"/>
      <c r="G18" s="92"/>
      <c r="H18" s="92"/>
      <c r="I18" s="92"/>
      <c r="J18" s="92"/>
      <c r="K18" s="92"/>
    </row>
    <row r="19" spans="1:12">
      <c r="A19" s="39">
        <f t="shared" si="0"/>
        <v>8</v>
      </c>
      <c r="B19" s="2" t="s">
        <v>160</v>
      </c>
      <c r="C19" s="2"/>
      <c r="D19" s="94">
        <f>D17/D18</f>
        <v>66666.666666666672</v>
      </c>
      <c r="E19" s="92"/>
      <c r="F19" s="92"/>
      <c r="G19" s="92"/>
      <c r="H19" s="92"/>
      <c r="I19" s="92"/>
      <c r="J19" s="92"/>
      <c r="K19" s="92"/>
    </row>
    <row r="20" spans="1:12">
      <c r="A20" s="39">
        <f t="shared" si="0"/>
        <v>9</v>
      </c>
      <c r="B20" s="2"/>
      <c r="C20" s="2"/>
      <c r="D20" s="94"/>
      <c r="E20" s="92"/>
      <c r="F20" s="92"/>
      <c r="G20" s="92"/>
      <c r="H20" s="92"/>
      <c r="I20" s="92"/>
      <c r="J20" s="92"/>
      <c r="K20" s="92"/>
    </row>
    <row r="21" spans="1:12">
      <c r="A21" s="39">
        <f t="shared" si="0"/>
        <v>10</v>
      </c>
      <c r="B21" s="2" t="s">
        <v>110</v>
      </c>
      <c r="C21" s="2"/>
      <c r="D21" s="94">
        <v>0</v>
      </c>
      <c r="E21" s="100"/>
      <c r="F21" s="100"/>
      <c r="G21" s="100"/>
      <c r="H21" s="100"/>
      <c r="I21" s="100"/>
      <c r="J21" s="100"/>
      <c r="K21" s="100"/>
    </row>
    <row r="22" spans="1:12">
      <c r="A22" s="39">
        <f t="shared" si="0"/>
        <v>11</v>
      </c>
      <c r="B22" s="2"/>
      <c r="C22" s="2"/>
      <c r="D22" s="37"/>
      <c r="E22" s="92"/>
      <c r="F22" s="92"/>
      <c r="G22" s="92"/>
      <c r="H22" s="92"/>
      <c r="I22" s="92"/>
      <c r="J22" s="92"/>
      <c r="K22" s="92"/>
    </row>
    <row r="23" spans="1:12">
      <c r="A23" s="39">
        <f t="shared" si="0"/>
        <v>12</v>
      </c>
      <c r="B23" s="2" t="s">
        <v>111</v>
      </c>
      <c r="C23" s="37"/>
      <c r="D23" s="95">
        <f>D19</f>
        <v>66666.666666666672</v>
      </c>
      <c r="E23" s="92"/>
      <c r="F23" s="92"/>
      <c r="G23" s="92"/>
      <c r="H23" s="92"/>
      <c r="I23" s="92"/>
      <c r="J23" s="92"/>
      <c r="K23" s="92"/>
    </row>
    <row r="24" spans="1:12">
      <c r="A24" s="39">
        <f t="shared" si="0"/>
        <v>13</v>
      </c>
      <c r="B24" s="2"/>
      <c r="C24" s="37"/>
      <c r="D24" s="37"/>
      <c r="E24" s="96"/>
      <c r="F24" s="96"/>
      <c r="G24" s="96"/>
      <c r="H24" s="96"/>
      <c r="I24" s="92"/>
      <c r="J24" s="92"/>
      <c r="K24" s="92"/>
      <c r="L24" s="92"/>
    </row>
    <row r="25" spans="1:12" ht="15" thickBot="1">
      <c r="A25" s="39">
        <f t="shared" si="0"/>
        <v>14</v>
      </c>
      <c r="B25" s="16" t="s">
        <v>8</v>
      </c>
      <c r="C25" s="45"/>
      <c r="D25" s="97">
        <f>ROUND(D23-D21,2)</f>
        <v>66666.67</v>
      </c>
      <c r="E25" s="96"/>
      <c r="F25" s="96"/>
      <c r="G25" s="96"/>
      <c r="H25" s="96"/>
      <c r="I25" s="92"/>
      <c r="J25" s="92"/>
      <c r="K25" s="92"/>
    </row>
    <row r="26" spans="1:12" ht="15" thickTop="1">
      <c r="A26" s="39"/>
      <c r="B26" s="37"/>
      <c r="C26" s="37"/>
      <c r="D26" s="37"/>
      <c r="E26" s="96"/>
      <c r="F26" s="96"/>
      <c r="G26" s="96"/>
      <c r="H26" s="96"/>
      <c r="I26" s="92"/>
      <c r="J26" s="92"/>
      <c r="K26" s="92"/>
    </row>
    <row r="27" spans="1:12">
      <c r="A27" s="39"/>
      <c r="B27" s="37"/>
      <c r="C27" s="37"/>
      <c r="D27" s="37"/>
      <c r="E27" s="98"/>
      <c r="F27" s="98"/>
      <c r="G27" s="98"/>
      <c r="H27" s="98"/>
      <c r="I27" s="98"/>
      <c r="J27" s="98"/>
      <c r="K27" s="98"/>
    </row>
    <row r="28" spans="1:12" ht="31.9" customHeight="1">
      <c r="A28" s="39"/>
      <c r="B28" s="301" t="s">
        <v>161</v>
      </c>
      <c r="C28" s="301"/>
      <c r="D28" s="301"/>
      <c r="E28" s="99"/>
      <c r="F28" s="99"/>
      <c r="G28" s="99"/>
    </row>
    <row r="29" spans="1:12">
      <c r="A29" s="37"/>
      <c r="B29" s="41"/>
      <c r="C29" s="41"/>
      <c r="D29" s="41"/>
      <c r="E29" s="41"/>
      <c r="F29" s="41"/>
    </row>
    <row r="30" spans="1:12">
      <c r="A30" s="37"/>
      <c r="B30" s="41"/>
      <c r="C30" s="41"/>
      <c r="D30" s="41"/>
      <c r="E30" s="41"/>
      <c r="F30" s="41"/>
    </row>
    <row r="31" spans="1:12">
      <c r="A31" s="37"/>
      <c r="B31" s="41"/>
      <c r="C31" s="41"/>
      <c r="D31" s="41"/>
      <c r="E31" s="41"/>
      <c r="F31" s="41"/>
    </row>
    <row r="32" spans="1:12">
      <c r="B32" s="41"/>
      <c r="C32" s="41"/>
      <c r="D32" s="41"/>
      <c r="E32" s="41"/>
      <c r="F32" s="46"/>
    </row>
    <row r="33" spans="5:6">
      <c r="E33" s="41"/>
      <c r="F33" s="41"/>
    </row>
    <row r="34" spans="5:6">
      <c r="E34" s="41"/>
      <c r="F34" s="41"/>
    </row>
    <row r="35" spans="5:6">
      <c r="E35" s="41"/>
      <c r="F35" s="41"/>
    </row>
    <row r="36" spans="5:6">
      <c r="E36" s="41"/>
      <c r="F36" s="41"/>
    </row>
  </sheetData>
  <mergeCells count="4">
    <mergeCell ref="A4:D4"/>
    <mergeCell ref="A5:D5"/>
    <mergeCell ref="A7:D7"/>
    <mergeCell ref="B28:D28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0:D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30"/>
  <sheetViews>
    <sheetView view="pageBreakPreview" zoomScaleNormal="100" zoomScaleSheetLayoutView="100" workbookViewId="0">
      <selection activeCell="G23" sqref="G23"/>
    </sheetView>
  </sheetViews>
  <sheetFormatPr defaultColWidth="8.85546875" defaultRowHeight="12.75"/>
  <cols>
    <col min="1" max="1" width="5.42578125" style="37" customWidth="1"/>
    <col min="2" max="2" width="52.42578125" style="37" bestFit="1" customWidth="1"/>
    <col min="3" max="3" width="12.28515625" style="37" customWidth="1"/>
    <col min="4" max="4" width="13.28515625" style="37" customWidth="1"/>
    <col min="5" max="5" width="15.28515625" style="37" customWidth="1"/>
    <col min="6" max="6" width="15.85546875" style="39" customWidth="1"/>
    <col min="7" max="8" width="8.85546875" style="37"/>
    <col min="9" max="9" width="9.42578125" style="37" bestFit="1" customWidth="1"/>
    <col min="10" max="16384" width="8.85546875" style="37"/>
  </cols>
  <sheetData>
    <row r="1" spans="1:6">
      <c r="F1" s="192" t="s">
        <v>249</v>
      </c>
    </row>
    <row r="2" spans="1:6">
      <c r="C2" s="26"/>
    </row>
    <row r="3" spans="1:6">
      <c r="C3" s="26"/>
    </row>
    <row r="4" spans="1:6">
      <c r="A4" s="299" t="str">
        <f>RevReq!A1</f>
        <v>FARMERS RECC</v>
      </c>
      <c r="B4" s="299"/>
      <c r="C4" s="299"/>
      <c r="D4" s="299"/>
      <c r="E4" s="299"/>
      <c r="F4" s="299"/>
    </row>
    <row r="5" spans="1:6">
      <c r="A5" s="299" t="str">
        <f>RevReq!A3</f>
        <v>For the 12 Months Ended December 31, 2024</v>
      </c>
      <c r="B5" s="299"/>
      <c r="C5" s="299"/>
      <c r="D5" s="299"/>
      <c r="E5" s="299"/>
      <c r="F5" s="299"/>
    </row>
    <row r="6" spans="1:6">
      <c r="A6" s="34"/>
      <c r="B6" s="34"/>
      <c r="C6" s="34"/>
      <c r="D6" s="34"/>
    </row>
    <row r="7" spans="1:6">
      <c r="A7" s="296" t="s">
        <v>395</v>
      </c>
      <c r="B7" s="296"/>
      <c r="C7" s="296"/>
      <c r="D7" s="296"/>
      <c r="E7" s="296"/>
      <c r="F7" s="296"/>
    </row>
    <row r="9" spans="1:6">
      <c r="A9" s="43"/>
      <c r="B9" s="39"/>
    </row>
    <row r="10" spans="1:6" ht="40.9" customHeight="1">
      <c r="A10" s="162" t="s">
        <v>10</v>
      </c>
      <c r="B10" s="163" t="s">
        <v>92</v>
      </c>
      <c r="C10" s="162" t="s">
        <v>397</v>
      </c>
      <c r="D10" s="162" t="s">
        <v>398</v>
      </c>
      <c r="E10" s="162" t="s">
        <v>8</v>
      </c>
      <c r="F10" s="162" t="s">
        <v>514</v>
      </c>
    </row>
    <row r="11" spans="1:6">
      <c r="A11" s="5">
        <v>1</v>
      </c>
      <c r="B11" s="164" t="s">
        <v>580</v>
      </c>
      <c r="C11" s="136">
        <v>1225</v>
      </c>
      <c r="D11" s="68">
        <v>0</v>
      </c>
      <c r="E11" s="68">
        <f>-D11</f>
        <v>0</v>
      </c>
      <c r="F11" s="39" t="s">
        <v>592</v>
      </c>
    </row>
    <row r="12" spans="1:6">
      <c r="A12" s="5">
        <f>A11+1</f>
        <v>2</v>
      </c>
      <c r="B12" s="164" t="s">
        <v>581</v>
      </c>
      <c r="C12" s="136">
        <v>2542.5</v>
      </c>
      <c r="D12" s="68">
        <f>C12</f>
        <v>2542.5</v>
      </c>
      <c r="E12" s="68">
        <f t="shared" ref="E12:E23" si="0">-D12</f>
        <v>-2542.5</v>
      </c>
      <c r="F12" s="39" t="s">
        <v>593</v>
      </c>
    </row>
    <row r="13" spans="1:6">
      <c r="A13" s="5">
        <f t="shared" ref="A13:A24" si="1">A12+1</f>
        <v>3</v>
      </c>
      <c r="B13" s="164" t="s">
        <v>582</v>
      </c>
      <c r="C13" s="136">
        <v>200</v>
      </c>
      <c r="D13" s="68">
        <v>0</v>
      </c>
      <c r="E13" s="68">
        <f t="shared" si="0"/>
        <v>0</v>
      </c>
      <c r="F13" s="39" t="s">
        <v>592</v>
      </c>
    </row>
    <row r="14" spans="1:6">
      <c r="A14" s="5">
        <f t="shared" si="1"/>
        <v>4</v>
      </c>
      <c r="B14" s="164" t="s">
        <v>595</v>
      </c>
      <c r="C14" s="136">
        <v>805</v>
      </c>
      <c r="D14" s="68">
        <f>C14</f>
        <v>805</v>
      </c>
      <c r="E14" s="68">
        <f t="shared" si="0"/>
        <v>-805</v>
      </c>
      <c r="F14" s="39" t="s">
        <v>593</v>
      </c>
    </row>
    <row r="15" spans="1:6">
      <c r="A15" s="5">
        <f t="shared" si="1"/>
        <v>5</v>
      </c>
      <c r="B15" s="164" t="s">
        <v>583</v>
      </c>
      <c r="C15" s="136">
        <v>3150</v>
      </c>
      <c r="D15" s="68">
        <f>C15/2</f>
        <v>1575</v>
      </c>
      <c r="E15" s="68">
        <f t="shared" si="0"/>
        <v>-1575</v>
      </c>
      <c r="F15" s="39" t="s">
        <v>594</v>
      </c>
    </row>
    <row r="16" spans="1:6">
      <c r="A16" s="5">
        <f t="shared" si="1"/>
        <v>6</v>
      </c>
      <c r="B16" s="164" t="s">
        <v>584</v>
      </c>
      <c r="C16" s="136">
        <v>3000</v>
      </c>
      <c r="D16" s="68">
        <v>0</v>
      </c>
      <c r="E16" s="68">
        <f t="shared" si="0"/>
        <v>0</v>
      </c>
      <c r="F16" s="39" t="s">
        <v>592</v>
      </c>
    </row>
    <row r="17" spans="1:9">
      <c r="A17" s="5">
        <f t="shared" si="1"/>
        <v>7</v>
      </c>
      <c r="B17" s="164" t="s">
        <v>585</v>
      </c>
      <c r="C17" s="136">
        <v>1657.5</v>
      </c>
      <c r="D17" s="174">
        <v>0</v>
      </c>
      <c r="E17" s="68">
        <f t="shared" si="0"/>
        <v>0</v>
      </c>
      <c r="F17" s="39" t="s">
        <v>592</v>
      </c>
      <c r="I17" s="161"/>
    </row>
    <row r="18" spans="1:9">
      <c r="A18" s="5">
        <f t="shared" si="1"/>
        <v>8</v>
      </c>
      <c r="B18" s="164" t="s">
        <v>586</v>
      </c>
      <c r="C18" s="136">
        <v>5200</v>
      </c>
      <c r="D18" s="68">
        <f>C18</f>
        <v>5200</v>
      </c>
      <c r="E18" s="68">
        <f t="shared" si="0"/>
        <v>-5200</v>
      </c>
      <c r="F18" s="39" t="s">
        <v>593</v>
      </c>
    </row>
    <row r="19" spans="1:9">
      <c r="A19" s="5">
        <f t="shared" si="1"/>
        <v>9</v>
      </c>
      <c r="B19" s="164" t="s">
        <v>587</v>
      </c>
      <c r="C19" s="136">
        <v>531.36</v>
      </c>
      <c r="D19" s="68">
        <f>C19</f>
        <v>531.36</v>
      </c>
      <c r="E19" s="68">
        <f t="shared" si="0"/>
        <v>-531.36</v>
      </c>
      <c r="F19" s="39" t="s">
        <v>593</v>
      </c>
    </row>
    <row r="20" spans="1:9">
      <c r="A20" s="5">
        <f t="shared" si="1"/>
        <v>10</v>
      </c>
      <c r="B20" s="164" t="s">
        <v>588</v>
      </c>
      <c r="C20" s="136">
        <v>10.56</v>
      </c>
      <c r="D20" s="68">
        <f>C20</f>
        <v>10.56</v>
      </c>
      <c r="E20" s="68">
        <f t="shared" si="0"/>
        <v>-10.56</v>
      </c>
      <c r="F20" s="39" t="s">
        <v>593</v>
      </c>
    </row>
    <row r="21" spans="1:9">
      <c r="A21" s="5">
        <f t="shared" si="1"/>
        <v>11</v>
      </c>
      <c r="B21" s="164" t="s">
        <v>589</v>
      </c>
      <c r="C21" s="136">
        <v>19500</v>
      </c>
      <c r="D21" s="68">
        <v>0</v>
      </c>
      <c r="E21" s="68">
        <f t="shared" si="0"/>
        <v>0</v>
      </c>
      <c r="F21" s="39" t="s">
        <v>592</v>
      </c>
    </row>
    <row r="22" spans="1:9">
      <c r="A22" s="5">
        <f t="shared" si="1"/>
        <v>12</v>
      </c>
      <c r="B22" s="164" t="s">
        <v>590</v>
      </c>
      <c r="C22" s="136">
        <v>8680.4599999999991</v>
      </c>
      <c r="D22" s="68">
        <v>0</v>
      </c>
      <c r="E22" s="68">
        <f t="shared" si="0"/>
        <v>0</v>
      </c>
      <c r="F22" s="39" t="s">
        <v>592</v>
      </c>
    </row>
    <row r="23" spans="1:9">
      <c r="A23" s="5">
        <f t="shared" si="1"/>
        <v>13</v>
      </c>
      <c r="B23" s="164" t="s">
        <v>591</v>
      </c>
      <c r="C23" s="136">
        <v>1399.5</v>
      </c>
      <c r="D23" s="68">
        <f>C23</f>
        <v>1399.5</v>
      </c>
      <c r="E23" s="68">
        <f t="shared" si="0"/>
        <v>-1399.5</v>
      </c>
      <c r="F23" s="39" t="s">
        <v>593</v>
      </c>
    </row>
    <row r="24" spans="1:9">
      <c r="A24" s="5">
        <f t="shared" si="1"/>
        <v>14</v>
      </c>
      <c r="B24" s="165" t="s">
        <v>396</v>
      </c>
      <c r="C24" s="166">
        <f>SUM(C11:C23)</f>
        <v>47901.88</v>
      </c>
      <c r="D24" s="166">
        <f>SUM(D11:D23)</f>
        <v>12063.92</v>
      </c>
      <c r="E24" s="166">
        <f>SUM(E11:E23)</f>
        <v>-12063.92</v>
      </c>
    </row>
    <row r="25" spans="1:9">
      <c r="C25" s="88"/>
      <c r="D25" s="88"/>
      <c r="E25" s="88"/>
    </row>
    <row r="26" spans="1:9">
      <c r="B26" s="37" t="s">
        <v>513</v>
      </c>
    </row>
    <row r="28" spans="1:9">
      <c r="C28" s="88"/>
    </row>
    <row r="29" spans="1:9">
      <c r="C29" s="161"/>
    </row>
    <row r="30" spans="1:9">
      <c r="C30" s="161"/>
    </row>
  </sheetData>
  <mergeCells count="3">
    <mergeCell ref="A4:F4"/>
    <mergeCell ref="A5:F5"/>
    <mergeCell ref="A7:F7"/>
  </mergeCells>
  <pageMargins left="0.7" right="0.7" top="0.75" bottom="0.75" header="0.3" footer="0.3"/>
  <pageSetup scale="78" orientation="portrait" r:id="rId1"/>
  <headerFooter>
    <oddFooter>&amp;RExhibit  JW-2
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7F15-5DBF-4C15-80D9-D950FD62C7B5}">
  <dimension ref="A1:K28"/>
  <sheetViews>
    <sheetView view="pageBreakPreview" zoomScaleNormal="100" zoomScaleSheetLayoutView="100" workbookViewId="0">
      <selection activeCell="C44" sqref="C44"/>
    </sheetView>
  </sheetViews>
  <sheetFormatPr defaultColWidth="8.85546875" defaultRowHeight="12.75"/>
  <cols>
    <col min="1" max="1" width="5.42578125" style="37" customWidth="1"/>
    <col min="2" max="2" width="23.42578125" style="37" customWidth="1"/>
    <col min="3" max="3" width="7.7109375" style="37" customWidth="1"/>
    <col min="4" max="4" width="19.7109375" style="37" customWidth="1"/>
    <col min="5" max="10" width="18.140625" style="37" customWidth="1"/>
    <col min="11" max="11" width="10.5703125" style="37" bestFit="1" customWidth="1"/>
    <col min="12" max="16384" width="8.85546875" style="37"/>
  </cols>
  <sheetData>
    <row r="1" spans="1:11">
      <c r="D1" s="26" t="s">
        <v>274</v>
      </c>
    </row>
    <row r="2" spans="1:11">
      <c r="J2" s="26"/>
    </row>
    <row r="3" spans="1:11">
      <c r="J3" s="26"/>
    </row>
    <row r="4" spans="1:11">
      <c r="A4" s="299" t="str">
        <f>RevReq!A1</f>
        <v>FARMERS RECC</v>
      </c>
      <c r="B4" s="299"/>
      <c r="C4" s="299"/>
      <c r="D4" s="299"/>
      <c r="E4" s="34"/>
      <c r="F4" s="34"/>
      <c r="G4" s="34"/>
      <c r="H4" s="34"/>
      <c r="I4" s="34"/>
      <c r="J4" s="34"/>
    </row>
    <row r="5" spans="1:11">
      <c r="A5" s="299" t="str">
        <f>RevReq!A3</f>
        <v>For the 12 Months Ended December 31, 2024</v>
      </c>
      <c r="B5" s="299"/>
      <c r="C5" s="299"/>
      <c r="D5" s="299"/>
      <c r="E5" s="34"/>
      <c r="F5" s="34"/>
      <c r="G5" s="34"/>
      <c r="H5" s="34"/>
      <c r="I5" s="34"/>
      <c r="J5" s="34"/>
      <c r="K5" s="34"/>
    </row>
    <row r="6" spans="1:1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>
      <c r="A7" s="296" t="s">
        <v>37</v>
      </c>
      <c r="B7" s="296"/>
      <c r="C7" s="296"/>
      <c r="D7" s="296"/>
      <c r="E7" s="36"/>
      <c r="F7" s="36"/>
      <c r="G7" s="36"/>
      <c r="H7" s="36"/>
      <c r="I7" s="36"/>
      <c r="J7" s="36"/>
    </row>
    <row r="9" spans="1:11" ht="14.25">
      <c r="A9" s="43"/>
      <c r="B9" s="39"/>
      <c r="C9" s="39"/>
      <c r="D9" s="52"/>
      <c r="E9" s="63"/>
      <c r="F9" s="63"/>
      <c r="G9" s="63"/>
      <c r="H9" s="63"/>
      <c r="I9" s="63"/>
      <c r="J9" s="63"/>
    </row>
    <row r="10" spans="1:11">
      <c r="A10" s="79" t="s">
        <v>10</v>
      </c>
      <c r="B10" s="70" t="s">
        <v>92</v>
      </c>
      <c r="C10" s="70" t="s">
        <v>97</v>
      </c>
      <c r="D10" s="81" t="s">
        <v>96</v>
      </c>
      <c r="E10" s="64"/>
      <c r="F10" s="64"/>
      <c r="G10" s="64"/>
      <c r="H10" s="64"/>
      <c r="I10" s="64"/>
      <c r="J10" s="64"/>
    </row>
    <row r="11" spans="1:11">
      <c r="A11" s="43">
        <v>1</v>
      </c>
      <c r="B11" s="37" t="s">
        <v>37</v>
      </c>
      <c r="C11" s="39"/>
      <c r="D11" s="80">
        <f>RevReq!C38</f>
        <v>277928</v>
      </c>
      <c r="E11" s="62"/>
      <c r="F11" s="62"/>
      <c r="G11" s="62"/>
      <c r="H11" s="62"/>
      <c r="I11" s="62"/>
      <c r="J11" s="62"/>
      <c r="K11" s="62"/>
    </row>
    <row r="12" spans="1:11">
      <c r="A12" s="43">
        <f>+A11+1</f>
        <v>2</v>
      </c>
      <c r="C12" s="39"/>
      <c r="D12" s="80"/>
      <c r="E12" s="62"/>
      <c r="F12" s="62"/>
      <c r="G12" s="62"/>
      <c r="H12" s="62"/>
      <c r="I12" s="62"/>
      <c r="J12" s="62"/>
      <c r="K12" s="62"/>
    </row>
    <row r="13" spans="1:11">
      <c r="A13" s="43">
        <f t="shared" ref="A13:A15" si="0">+A12+1</f>
        <v>3</v>
      </c>
      <c r="B13" s="37" t="s">
        <v>90</v>
      </c>
      <c r="D13" s="80">
        <v>0</v>
      </c>
      <c r="E13" s="62"/>
      <c r="F13" s="62"/>
      <c r="G13" s="62"/>
      <c r="H13" s="62"/>
      <c r="I13" s="62"/>
      <c r="J13" s="62"/>
    </row>
    <row r="14" spans="1:11">
      <c r="A14" s="43">
        <f t="shared" si="0"/>
        <v>4</v>
      </c>
      <c r="D14" s="155"/>
      <c r="E14" s="62"/>
      <c r="F14" s="62"/>
      <c r="G14" s="62"/>
      <c r="H14" s="62"/>
      <c r="I14" s="62"/>
      <c r="J14" s="62"/>
    </row>
    <row r="15" spans="1:11">
      <c r="A15" s="43">
        <f t="shared" si="0"/>
        <v>5</v>
      </c>
      <c r="B15" s="37" t="s">
        <v>140</v>
      </c>
      <c r="D15" s="180">
        <f>D13-D11</f>
        <v>-277928</v>
      </c>
      <c r="E15" s="66"/>
      <c r="F15" s="66"/>
      <c r="G15" s="66"/>
      <c r="H15" s="62"/>
      <c r="I15" s="62"/>
      <c r="J15" s="62"/>
      <c r="K15" s="62"/>
    </row>
    <row r="16" spans="1:11">
      <c r="B16" s="66"/>
      <c r="C16" s="66"/>
      <c r="D16" s="175"/>
      <c r="E16" s="66"/>
      <c r="F16" s="66"/>
      <c r="G16" s="66"/>
      <c r="H16" s="62"/>
      <c r="I16" s="62"/>
      <c r="J16" s="62"/>
    </row>
    <row r="17" spans="1:10">
      <c r="B17" s="66"/>
      <c r="C17" s="66"/>
      <c r="D17" s="66"/>
      <c r="E17" s="66"/>
      <c r="F17" s="66"/>
      <c r="G17" s="66"/>
      <c r="H17" s="62"/>
      <c r="I17" s="62"/>
      <c r="J17" s="62"/>
    </row>
    <row r="18" spans="1:10">
      <c r="A18" s="37" t="s">
        <v>275</v>
      </c>
      <c r="B18" s="67"/>
      <c r="C18" s="67"/>
      <c r="D18" s="67"/>
      <c r="E18" s="67"/>
      <c r="F18" s="67"/>
      <c r="G18" s="67"/>
      <c r="H18" s="67"/>
      <c r="I18" s="67"/>
      <c r="J18" s="67"/>
    </row>
    <row r="19" spans="1:10">
      <c r="A19" s="37" t="s">
        <v>276</v>
      </c>
      <c r="B19" s="68"/>
      <c r="C19" s="68"/>
      <c r="D19" s="68"/>
      <c r="E19" s="68"/>
      <c r="F19" s="68"/>
    </row>
    <row r="20" spans="1:10">
      <c r="B20" s="68"/>
      <c r="C20" s="68"/>
      <c r="D20" s="68"/>
      <c r="E20" s="68"/>
      <c r="F20" s="68"/>
    </row>
    <row r="21" spans="1:10">
      <c r="A21" s="48"/>
      <c r="B21" s="69"/>
      <c r="C21" s="69"/>
      <c r="D21" s="69"/>
      <c r="E21" s="69"/>
      <c r="F21" s="69"/>
    </row>
    <row r="22" spans="1:10">
      <c r="B22" s="69"/>
      <c r="C22" s="69"/>
      <c r="D22" s="69"/>
      <c r="E22" s="69"/>
      <c r="F22" s="69"/>
    </row>
    <row r="23" spans="1:10">
      <c r="B23" s="69"/>
      <c r="C23" s="69"/>
      <c r="D23" s="69"/>
      <c r="E23" s="69"/>
      <c r="F23" s="69"/>
    </row>
    <row r="24" spans="1:10">
      <c r="B24" s="69"/>
      <c r="C24" s="69"/>
      <c r="D24" s="69"/>
      <c r="E24" s="69"/>
      <c r="F24" s="44"/>
    </row>
    <row r="25" spans="1:10">
      <c r="B25" s="69"/>
      <c r="C25" s="69"/>
      <c r="D25" s="69"/>
      <c r="E25" s="69"/>
      <c r="F25" s="69"/>
    </row>
    <row r="26" spans="1:10">
      <c r="B26" s="69"/>
      <c r="C26" s="69"/>
      <c r="D26" s="69"/>
      <c r="E26" s="69"/>
      <c r="F26" s="69"/>
    </row>
    <row r="27" spans="1:10">
      <c r="B27" s="69"/>
      <c r="C27" s="69"/>
      <c r="D27" s="69"/>
      <c r="E27" s="69"/>
      <c r="F27" s="69"/>
    </row>
    <row r="28" spans="1:10">
      <c r="B28" s="69"/>
      <c r="C28" s="69"/>
      <c r="D28" s="69"/>
      <c r="E28" s="69"/>
      <c r="F28" s="69"/>
    </row>
  </sheetData>
  <mergeCells count="3">
    <mergeCell ref="A4:D4"/>
    <mergeCell ref="A5:D5"/>
    <mergeCell ref="A7:D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11 D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view="pageBreakPreview" zoomScaleNormal="130" zoomScaleSheetLayoutView="100" workbookViewId="0">
      <selection activeCell="C44" sqref="C44"/>
    </sheetView>
  </sheetViews>
  <sheetFormatPr defaultColWidth="9.140625" defaultRowHeight="12.75"/>
  <cols>
    <col min="1" max="1" width="3.5703125" style="37" customWidth="1"/>
    <col min="2" max="2" width="9.85546875" style="39" customWidth="1"/>
    <col min="3" max="3" width="27.140625" style="37" bestFit="1" customWidth="1"/>
    <col min="4" max="5" width="12.5703125" style="37" bestFit="1" customWidth="1"/>
    <col min="6" max="6" width="11.140625" style="37" customWidth="1"/>
    <col min="7" max="7" width="11.42578125" style="37" bestFit="1" customWidth="1"/>
    <col min="8" max="8" width="17.28515625" style="37" customWidth="1"/>
    <col min="9" max="9" width="37.42578125" style="37" bestFit="1" customWidth="1"/>
    <col min="10" max="10" width="11.140625" style="37" bestFit="1" customWidth="1"/>
    <col min="11" max="11" width="12" style="37" bestFit="1" customWidth="1"/>
    <col min="12" max="16384" width="9.140625" style="37"/>
  </cols>
  <sheetData>
    <row r="1" spans="1:12">
      <c r="A1" s="294" t="str">
        <f>RevReq!A1</f>
        <v>FARMERS RECC</v>
      </c>
      <c r="B1" s="294"/>
      <c r="C1" s="294"/>
      <c r="D1" s="294"/>
      <c r="E1" s="294"/>
      <c r="F1" s="294"/>
      <c r="G1" s="294"/>
    </row>
    <row r="2" spans="1:12">
      <c r="A2" s="294" t="s">
        <v>142</v>
      </c>
      <c r="B2" s="294"/>
      <c r="C2" s="294"/>
      <c r="D2" s="294"/>
      <c r="E2" s="294"/>
      <c r="F2" s="294"/>
      <c r="G2" s="294"/>
    </row>
    <row r="4" spans="1:12" ht="47.25" customHeight="1">
      <c r="B4" s="29" t="s">
        <v>283</v>
      </c>
      <c r="C4" s="74" t="s">
        <v>92</v>
      </c>
      <c r="D4" s="74" t="s">
        <v>107</v>
      </c>
      <c r="E4" s="74" t="s">
        <v>108</v>
      </c>
      <c r="F4" s="74" t="s">
        <v>143</v>
      </c>
      <c r="G4" s="74" t="s">
        <v>144</v>
      </c>
    </row>
    <row r="5" spans="1:12">
      <c r="B5" s="30" t="s">
        <v>10</v>
      </c>
      <c r="C5" s="31">
        <v>1</v>
      </c>
      <c r="D5" s="31">
        <f>C5+1</f>
        <v>2</v>
      </c>
      <c r="E5" s="31">
        <f>D5+1</f>
        <v>3</v>
      </c>
      <c r="F5" s="31">
        <f>E5+1</f>
        <v>4</v>
      </c>
      <c r="G5" s="31">
        <f>F5+1</f>
        <v>5</v>
      </c>
    </row>
    <row r="6" spans="1:12">
      <c r="B6" s="37"/>
      <c r="C6" s="82"/>
      <c r="D6" s="82"/>
      <c r="E6" s="82"/>
      <c r="F6" s="82"/>
      <c r="G6" s="82"/>
      <c r="J6" s="10"/>
      <c r="K6" s="10"/>
    </row>
    <row r="7" spans="1:12">
      <c r="B7" s="39">
        <v>1.01</v>
      </c>
      <c r="C7" s="37" t="s">
        <v>246</v>
      </c>
      <c r="D7" s="10">
        <f>'1.01 FAC'!F32</f>
        <v>-2488284</v>
      </c>
      <c r="E7" s="10">
        <f>'1.01 FAC'!H32</f>
        <v>-2488284</v>
      </c>
      <c r="F7" s="10"/>
      <c r="G7" s="69">
        <f>D7-E7+F7</f>
        <v>0</v>
      </c>
      <c r="J7" s="10"/>
      <c r="K7" s="10"/>
      <c r="L7" s="88"/>
    </row>
    <row r="8" spans="1:12">
      <c r="B8" s="39">
        <v>1.02</v>
      </c>
      <c r="C8" s="37" t="s">
        <v>114</v>
      </c>
      <c r="D8" s="10">
        <f>'1.02 ES'!F32</f>
        <v>-6354826</v>
      </c>
      <c r="E8" s="10">
        <f>'1.02 ES'!H32</f>
        <v>-6354826</v>
      </c>
      <c r="F8" s="10"/>
      <c r="G8" s="69">
        <f t="shared" ref="G8:G29" si="0">D8-E8+F8</f>
        <v>0</v>
      </c>
      <c r="J8" s="10"/>
      <c r="K8" s="10"/>
      <c r="L8" s="88"/>
    </row>
    <row r="9" spans="1:12" ht="14.25" customHeight="1">
      <c r="B9" s="39">
        <v>1.03</v>
      </c>
      <c r="C9" s="37" t="s">
        <v>116</v>
      </c>
      <c r="D9" s="10"/>
      <c r="E9" s="10">
        <f>'1.03 Int Exp'!E80</f>
        <v>252698.89300999884</v>
      </c>
      <c r="F9" s="10"/>
      <c r="G9" s="69">
        <f t="shared" si="0"/>
        <v>-252698.89300999884</v>
      </c>
      <c r="J9" s="10"/>
      <c r="K9" s="10"/>
      <c r="L9" s="88"/>
    </row>
    <row r="10" spans="1:12">
      <c r="B10" s="39">
        <v>1.04</v>
      </c>
      <c r="C10" s="37" t="s">
        <v>149</v>
      </c>
      <c r="D10" s="10"/>
      <c r="E10" s="10">
        <f>'1.04 Depr'!G73</f>
        <v>75417.476972552642</v>
      </c>
      <c r="F10" s="10"/>
      <c r="G10" s="69">
        <f t="shared" si="0"/>
        <v>-75417.476972552642</v>
      </c>
      <c r="J10" s="10"/>
      <c r="K10" s="10"/>
      <c r="L10" s="88"/>
    </row>
    <row r="11" spans="1:12">
      <c r="B11" s="39">
        <v>1.05</v>
      </c>
      <c r="C11" s="37" t="s">
        <v>151</v>
      </c>
      <c r="D11" s="10"/>
      <c r="E11" s="10">
        <f>'1.05 ROW'!C14</f>
        <v>393820</v>
      </c>
      <c r="F11" s="10"/>
      <c r="G11" s="69">
        <f t="shared" si="0"/>
        <v>-393820</v>
      </c>
      <c r="J11" s="10"/>
      <c r="K11" s="10"/>
      <c r="L11" s="88"/>
    </row>
    <row r="12" spans="1:12">
      <c r="B12" s="39">
        <v>1.06</v>
      </c>
      <c r="C12" s="37" t="s">
        <v>148</v>
      </c>
      <c r="D12" s="10">
        <f>'1.06 YearEndCust'!F49</f>
        <v>272502.88</v>
      </c>
      <c r="E12" s="10">
        <f>'1.06 YearEndCust'!G49</f>
        <v>179743.74</v>
      </c>
      <c r="F12" s="10"/>
      <c r="G12" s="69">
        <f t="shared" si="0"/>
        <v>92759.140000000014</v>
      </c>
      <c r="J12" s="10"/>
      <c r="K12" s="10"/>
      <c r="L12" s="88"/>
    </row>
    <row r="13" spans="1:12">
      <c r="B13" s="39">
        <v>1.07</v>
      </c>
      <c r="C13" s="37" t="s">
        <v>579</v>
      </c>
      <c r="D13" s="10"/>
      <c r="E13" s="10">
        <f>'1.07 Health Insur'!D37</f>
        <v>-11188.709133845812</v>
      </c>
      <c r="F13" s="10"/>
      <c r="G13" s="69">
        <f t="shared" si="0"/>
        <v>11188.709133845812</v>
      </c>
      <c r="J13" s="10"/>
      <c r="K13" s="10"/>
      <c r="L13" s="88"/>
    </row>
    <row r="14" spans="1:12">
      <c r="B14" s="39">
        <v>1.08</v>
      </c>
      <c r="C14" s="37" t="s">
        <v>145</v>
      </c>
      <c r="D14" s="10"/>
      <c r="E14" s="10">
        <f>'1.08 DonAdsDues'!E24</f>
        <v>-300622.99</v>
      </c>
      <c r="F14" s="10"/>
      <c r="G14" s="69">
        <f t="shared" si="0"/>
        <v>300622.99</v>
      </c>
      <c r="J14" s="10"/>
      <c r="K14" s="10"/>
      <c r="L14" s="88"/>
    </row>
    <row r="15" spans="1:12">
      <c r="B15" s="39">
        <v>1.0900000000000001</v>
      </c>
      <c r="C15" s="2" t="s">
        <v>150</v>
      </c>
      <c r="D15" s="10"/>
      <c r="E15" s="10">
        <f>'1.09 Directors'!H35</f>
        <v>-7150</v>
      </c>
      <c r="F15" s="10"/>
      <c r="G15" s="69">
        <f t="shared" si="0"/>
        <v>7150</v>
      </c>
      <c r="J15" s="10"/>
      <c r="K15" s="10"/>
      <c r="L15" s="88"/>
    </row>
    <row r="16" spans="1:12">
      <c r="B16" s="90">
        <v>1.1000000000000001</v>
      </c>
      <c r="C16" s="37" t="s">
        <v>54</v>
      </c>
      <c r="D16" s="10"/>
      <c r="E16" s="10">
        <f>'1.10 Wages &amp; Salaries'!I90</f>
        <v>96903.223829833179</v>
      </c>
      <c r="F16" s="10"/>
      <c r="G16" s="69">
        <f>D16-E16+F16</f>
        <v>-96903.223829833179</v>
      </c>
      <c r="J16" s="10"/>
      <c r="K16" s="10"/>
      <c r="L16" s="88"/>
    </row>
    <row r="17" spans="2:12">
      <c r="B17" s="39">
        <v>1.1100000000000001</v>
      </c>
      <c r="C17" s="37" t="s">
        <v>146</v>
      </c>
      <c r="D17" s="10"/>
      <c r="E17" s="10">
        <f>'1.11 401K'!F86</f>
        <v>-12675.493792336296</v>
      </c>
      <c r="F17" s="10"/>
      <c r="G17" s="69">
        <f t="shared" si="0"/>
        <v>12675.493792336296</v>
      </c>
      <c r="J17" s="10"/>
      <c r="K17" s="10"/>
      <c r="L17" s="88"/>
    </row>
    <row r="18" spans="2:12">
      <c r="B18" s="39">
        <v>1.1200000000000001</v>
      </c>
      <c r="C18" s="37" t="s">
        <v>480</v>
      </c>
      <c r="D18" s="10"/>
      <c r="E18" s="10">
        <f>'1.12 Life Insur'!E87</f>
        <v>-8434.7699418348657</v>
      </c>
      <c r="F18" s="10"/>
      <c r="G18" s="69">
        <f t="shared" si="0"/>
        <v>8434.7699418348657</v>
      </c>
      <c r="J18" s="10"/>
      <c r="K18" s="10"/>
      <c r="L18" s="88"/>
    </row>
    <row r="19" spans="2:12">
      <c r="B19" s="39">
        <v>1.1299999999999999</v>
      </c>
      <c r="C19" s="37" t="s">
        <v>147</v>
      </c>
      <c r="D19" s="10"/>
      <c r="E19" s="10">
        <f>'1.13 RateCase'!D25</f>
        <v>66666.67</v>
      </c>
      <c r="F19" s="10"/>
      <c r="G19" s="69">
        <f t="shared" si="0"/>
        <v>-66666.67</v>
      </c>
      <c r="J19" s="10"/>
      <c r="K19" s="10"/>
      <c r="L19" s="88"/>
    </row>
    <row r="20" spans="2:12">
      <c r="B20" s="39">
        <v>1.1399999999999999</v>
      </c>
      <c r="C20" s="37" t="s">
        <v>395</v>
      </c>
      <c r="D20" s="10"/>
      <c r="E20" s="10">
        <f>'1.14 Outside'!E24</f>
        <v>-12063.92</v>
      </c>
      <c r="F20" s="10"/>
      <c r="G20" s="69">
        <f t="shared" si="0"/>
        <v>12063.92</v>
      </c>
      <c r="J20" s="10"/>
      <c r="K20" s="10"/>
      <c r="L20" s="88"/>
    </row>
    <row r="21" spans="2:12">
      <c r="B21" s="39">
        <v>1.1499999999999999</v>
      </c>
      <c r="C21" s="37" t="s">
        <v>37</v>
      </c>
      <c r="D21" s="10"/>
      <c r="E21" s="10"/>
      <c r="F21" s="10">
        <f>'1.15 GTCC'!D15</f>
        <v>-277928</v>
      </c>
      <c r="G21" s="69">
        <f t="shared" si="0"/>
        <v>-277928</v>
      </c>
      <c r="J21" s="10"/>
      <c r="K21" s="10"/>
      <c r="L21" s="88"/>
    </row>
    <row r="22" spans="2:12">
      <c r="B22" s="39">
        <v>1.1599999999999999</v>
      </c>
      <c r="C22" s="37" t="s">
        <v>491</v>
      </c>
      <c r="D22" s="10"/>
      <c r="E22" s="10">
        <f>'1.16 Payroll Tx'!M95</f>
        <v>13285.72411105522</v>
      </c>
      <c r="F22" s="10"/>
      <c r="G22" s="69">
        <f t="shared" si="0"/>
        <v>-13285.72411105522</v>
      </c>
      <c r="L22" s="88"/>
    </row>
    <row r="23" spans="2:12">
      <c r="B23" s="39">
        <v>1.17</v>
      </c>
      <c r="C23" s="37" t="s">
        <v>601</v>
      </c>
      <c r="D23" s="10"/>
      <c r="E23" s="10"/>
      <c r="F23" s="10">
        <f>'1.17 NonRecur'!D15</f>
        <v>-410199.37</v>
      </c>
      <c r="G23" s="89">
        <f t="shared" si="0"/>
        <v>-410199.37</v>
      </c>
    </row>
    <row r="24" spans="2:12" hidden="1">
      <c r="B24" s="39">
        <v>1.18</v>
      </c>
      <c r="C24" s="37" t="s">
        <v>152</v>
      </c>
      <c r="D24" s="10"/>
      <c r="E24" s="10"/>
      <c r="F24" s="10"/>
      <c r="G24" s="89">
        <f t="shared" si="0"/>
        <v>0</v>
      </c>
      <c r="I24" s="88"/>
    </row>
    <row r="25" spans="2:12" hidden="1">
      <c r="B25" s="39">
        <v>1.19</v>
      </c>
      <c r="C25" s="37" t="s">
        <v>152</v>
      </c>
      <c r="D25" s="10"/>
      <c r="E25" s="10"/>
      <c r="F25" s="10"/>
      <c r="G25" s="89">
        <f t="shared" si="0"/>
        <v>0</v>
      </c>
      <c r="I25" s="88"/>
    </row>
    <row r="26" spans="2:12" hidden="1">
      <c r="B26" s="90">
        <v>1.2</v>
      </c>
      <c r="C26" s="37" t="s">
        <v>152</v>
      </c>
      <c r="D26" s="10"/>
      <c r="E26" s="10"/>
      <c r="F26" s="10"/>
      <c r="G26" s="89">
        <f t="shared" si="0"/>
        <v>0</v>
      </c>
    </row>
    <row r="27" spans="2:12" hidden="1">
      <c r="B27" s="39">
        <v>1.21</v>
      </c>
      <c r="C27" s="37" t="s">
        <v>152</v>
      </c>
      <c r="D27" s="10"/>
      <c r="E27" s="10"/>
      <c r="F27" s="10"/>
      <c r="G27" s="69">
        <f t="shared" si="0"/>
        <v>0</v>
      </c>
    </row>
    <row r="28" spans="2:12" hidden="1">
      <c r="B28" s="39">
        <v>1.22</v>
      </c>
      <c r="C28" s="37" t="s">
        <v>152</v>
      </c>
      <c r="D28" s="10"/>
      <c r="E28" s="10"/>
      <c r="F28" s="10"/>
      <c r="G28" s="69">
        <f t="shared" si="0"/>
        <v>0</v>
      </c>
    </row>
    <row r="29" spans="2:12" hidden="1">
      <c r="B29" s="39">
        <v>1.23</v>
      </c>
      <c r="C29" s="37" t="s">
        <v>152</v>
      </c>
      <c r="D29" s="10"/>
      <c r="E29" s="10"/>
      <c r="F29" s="10"/>
      <c r="G29" s="69">
        <f t="shared" si="0"/>
        <v>0</v>
      </c>
    </row>
    <row r="30" spans="2:12" s="86" customFormat="1" ht="21.75" customHeight="1" thickBot="1">
      <c r="B30" s="83"/>
      <c r="C30" s="84" t="s">
        <v>62</v>
      </c>
      <c r="D30" s="85">
        <f>SUM(D7:D29)</f>
        <v>-8570607.1199999992</v>
      </c>
      <c r="E30" s="85">
        <f>SUM(E7:E29)</f>
        <v>-8116710.1549445791</v>
      </c>
      <c r="F30" s="85">
        <f>SUM(F7:F29)</f>
        <v>-688127.37</v>
      </c>
      <c r="G30" s="85">
        <f>SUM(G7:G29)</f>
        <v>-1142024.335055423</v>
      </c>
      <c r="I30" s="87"/>
    </row>
    <row r="31" spans="2:12" ht="13.5" thickTop="1">
      <c r="D31" s="68"/>
      <c r="E31" s="68"/>
      <c r="F31" s="68"/>
      <c r="G31" s="69"/>
    </row>
    <row r="32" spans="2:12">
      <c r="D32" s="69"/>
      <c r="E32" s="69"/>
      <c r="F32" s="69"/>
      <c r="G32" s="69"/>
    </row>
    <row r="33" spans="2:7">
      <c r="D33" s="69"/>
      <c r="E33" s="69"/>
      <c r="F33" s="69"/>
      <c r="G33" s="69"/>
    </row>
    <row r="34" spans="2:7">
      <c r="B34" s="39" t="s">
        <v>153</v>
      </c>
    </row>
    <row r="35" spans="2:7">
      <c r="C35" s="37" t="s">
        <v>247</v>
      </c>
      <c r="D35" s="69">
        <f>RevReq!D12</f>
        <v>-8570607.1199999992</v>
      </c>
      <c r="E35" s="69">
        <f>RevReq!D31</f>
        <v>-8116710.1549445763</v>
      </c>
      <c r="F35" s="69">
        <f>RevReq!D35+RevReq!D36+RevReq!D37+RevReq!D38+RevReq!D39</f>
        <v>-688127.37</v>
      </c>
      <c r="G35" s="69">
        <f>RevReq!D41</f>
        <v>-1142024.335055423</v>
      </c>
    </row>
    <row r="36" spans="2:7" ht="14.25">
      <c r="C36" s="37" t="s">
        <v>154</v>
      </c>
      <c r="D36" s="126">
        <f>D35-D30</f>
        <v>0</v>
      </c>
      <c r="E36" s="126">
        <f>E35-E30</f>
        <v>0</v>
      </c>
      <c r="F36" s="126">
        <f>F35-F30</f>
        <v>0</v>
      </c>
      <c r="G36" s="126">
        <f>G35-G30</f>
        <v>0</v>
      </c>
    </row>
    <row r="38" spans="2:7">
      <c r="C38" s="37" t="s">
        <v>248</v>
      </c>
      <c r="D38" s="131">
        <f>'Adj IS'!V12</f>
        <v>-8570607.1199999992</v>
      </c>
      <c r="E38" s="131">
        <f>'Adj IS'!V31</f>
        <v>-8116710.1549445791</v>
      </c>
      <c r="F38" s="131">
        <f>'Adj IS'!V40</f>
        <v>-688127.37</v>
      </c>
      <c r="G38" s="131">
        <f>'Adj IS'!V42</f>
        <v>-1142024.335055423</v>
      </c>
    </row>
    <row r="39" spans="2:7" ht="14.25">
      <c r="C39" s="37" t="s">
        <v>154</v>
      </c>
      <c r="D39" s="126">
        <f>D38-D30</f>
        <v>0</v>
      </c>
      <c r="E39" s="126">
        <f t="shared" ref="E39:G39" si="1">E38-E30</f>
        <v>0</v>
      </c>
      <c r="F39" s="126">
        <f t="shared" si="1"/>
        <v>0</v>
      </c>
      <c r="G39" s="126">
        <f t="shared" si="1"/>
        <v>0</v>
      </c>
    </row>
    <row r="47" spans="2:7">
      <c r="F47" s="88"/>
    </row>
    <row r="49" spans="4:6">
      <c r="D49" s="88"/>
      <c r="E49" s="88"/>
      <c r="F49" s="88"/>
    </row>
    <row r="50" spans="4:6">
      <c r="D50" s="88"/>
      <c r="E50" s="88"/>
      <c r="F50" s="88"/>
    </row>
  </sheetData>
  <mergeCells count="2">
    <mergeCell ref="A1:G1"/>
    <mergeCell ref="A2:G2"/>
  </mergeCells>
  <conditionalFormatting sqref="D36:G36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39:G39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D693-C6E8-4B81-BC95-CB80354E3673}">
  <dimension ref="A1:M307"/>
  <sheetViews>
    <sheetView view="pageBreakPreview" topLeftCell="A60" zoomScaleNormal="100" zoomScaleSheetLayoutView="100" workbookViewId="0">
      <selection activeCell="L86" sqref="L86"/>
    </sheetView>
  </sheetViews>
  <sheetFormatPr defaultColWidth="8.85546875" defaultRowHeight="12.75"/>
  <cols>
    <col min="1" max="1" width="4.42578125" style="43" customWidth="1"/>
    <col min="2" max="2" width="8.5703125" style="37" customWidth="1"/>
    <col min="3" max="3" width="5.42578125" style="76" customWidth="1"/>
    <col min="4" max="4" width="10.42578125" style="37" bestFit="1" customWidth="1"/>
    <col min="5" max="5" width="10" style="37" bestFit="1" customWidth="1"/>
    <col min="6" max="6" width="10.5703125" style="37" customWidth="1"/>
    <col min="7" max="7" width="9.85546875" style="37" bestFit="1" customWidth="1"/>
    <col min="8" max="8" width="9.5703125" style="37" customWidth="1"/>
    <col min="9" max="9" width="11.42578125" style="37" customWidth="1"/>
    <col min="10" max="10" width="8.7109375" style="37" customWidth="1"/>
    <col min="11" max="11" width="10.7109375" style="37" bestFit="1" customWidth="1"/>
    <col min="12" max="12" width="9" style="37" bestFit="1" customWidth="1"/>
    <col min="13" max="13" width="11.140625" style="37" customWidth="1"/>
    <col min="14" max="16384" width="8.85546875" style="37"/>
  </cols>
  <sheetData>
    <row r="1" spans="1:13">
      <c r="D1" s="26"/>
      <c r="M1" s="26" t="s">
        <v>543</v>
      </c>
    </row>
    <row r="2" spans="1:13">
      <c r="E2" s="26"/>
    </row>
    <row r="3" spans="1:13">
      <c r="B3" s="299" t="str">
        <f>RevReq!A1</f>
        <v>FARMERS RECC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3">
      <c r="B4" s="299" t="str">
        <f>RevReq!A3</f>
        <v>For the 12 Months Ended December 31, 2024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6" spans="1:13">
      <c r="B6" s="296" t="s">
        <v>491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13">
      <c r="B7" s="38"/>
      <c r="C7" s="38"/>
      <c r="D7" s="38"/>
      <c r="E7" s="38"/>
      <c r="F7" s="38"/>
      <c r="G7" s="38"/>
      <c r="H7" s="38"/>
    </row>
    <row r="8" spans="1:13">
      <c r="B8" s="307" t="s">
        <v>74</v>
      </c>
      <c r="C8" s="309"/>
      <c r="D8" s="308"/>
      <c r="E8" s="307" t="s">
        <v>492</v>
      </c>
      <c r="F8" s="308"/>
      <c r="G8" s="307" t="s">
        <v>493</v>
      </c>
      <c r="H8" s="308"/>
      <c r="I8" s="307" t="s">
        <v>494</v>
      </c>
      <c r="J8" s="308"/>
      <c r="K8" s="307" t="s">
        <v>495</v>
      </c>
      <c r="L8" s="309"/>
      <c r="M8" s="261" t="s">
        <v>62</v>
      </c>
    </row>
    <row r="9" spans="1:13">
      <c r="B9" s="262"/>
      <c r="C9" s="55"/>
      <c r="D9" s="263" t="s">
        <v>496</v>
      </c>
      <c r="E9" s="264" t="s">
        <v>497</v>
      </c>
      <c r="F9" s="265" t="s">
        <v>498</v>
      </c>
      <c r="G9" s="266" t="s">
        <v>499</v>
      </c>
      <c r="H9" s="265" t="s">
        <v>498</v>
      </c>
      <c r="I9" s="265" t="s">
        <v>497</v>
      </c>
      <c r="J9" s="266" t="s">
        <v>498</v>
      </c>
      <c r="K9" s="265" t="s">
        <v>497</v>
      </c>
      <c r="L9" s="264" t="s">
        <v>498</v>
      </c>
      <c r="M9" s="267" t="s">
        <v>500</v>
      </c>
    </row>
    <row r="10" spans="1:13" ht="15" customHeight="1">
      <c r="B10" s="268" t="s">
        <v>479</v>
      </c>
      <c r="C10" s="5" t="s">
        <v>59</v>
      </c>
      <c r="D10" s="269" t="s">
        <v>501</v>
      </c>
      <c r="E10" s="270">
        <v>176100</v>
      </c>
      <c r="F10" s="271">
        <v>6.2E-2</v>
      </c>
      <c r="G10" s="272" t="s">
        <v>501</v>
      </c>
      <c r="H10" s="271">
        <v>1.4500000000000001E-2</v>
      </c>
      <c r="I10" s="273">
        <v>7000</v>
      </c>
      <c r="J10" s="274">
        <v>6.0000000000000001E-3</v>
      </c>
      <c r="K10" s="273">
        <v>11700</v>
      </c>
      <c r="L10" s="275">
        <v>3.0000000000000001E-3</v>
      </c>
      <c r="M10" s="271" t="s">
        <v>502</v>
      </c>
    </row>
    <row r="11" spans="1:13">
      <c r="A11" s="253" t="s">
        <v>10</v>
      </c>
      <c r="B11" s="276">
        <f>1</f>
        <v>1</v>
      </c>
      <c r="C11" s="277">
        <f>B11+1</f>
        <v>2</v>
      </c>
      <c r="D11" s="278">
        <v>3</v>
      </c>
      <c r="E11" s="277">
        <f t="shared" ref="E11:M11" si="0">D11+1</f>
        <v>4</v>
      </c>
      <c r="F11" s="279">
        <f t="shared" si="0"/>
        <v>5</v>
      </c>
      <c r="G11" s="277">
        <f t="shared" si="0"/>
        <v>6</v>
      </c>
      <c r="H11" s="279">
        <f t="shared" si="0"/>
        <v>7</v>
      </c>
      <c r="I11" s="279">
        <f t="shared" si="0"/>
        <v>8</v>
      </c>
      <c r="J11" s="277">
        <f t="shared" si="0"/>
        <v>9</v>
      </c>
      <c r="K11" s="279">
        <f t="shared" si="0"/>
        <v>10</v>
      </c>
      <c r="L11" s="279">
        <f t="shared" si="0"/>
        <v>11</v>
      </c>
      <c r="M11" s="279">
        <f t="shared" si="0"/>
        <v>12</v>
      </c>
    </row>
    <row r="12" spans="1:13">
      <c r="A12" s="43">
        <v>1</v>
      </c>
      <c r="B12" s="37" t="s">
        <v>558</v>
      </c>
      <c r="C12" s="69"/>
      <c r="D12" s="69">
        <v>232745.76</v>
      </c>
      <c r="E12" s="69">
        <v>176100</v>
      </c>
      <c r="F12" s="68">
        <f>E12*$F$10</f>
        <v>10918.2</v>
      </c>
      <c r="G12" s="69">
        <v>232745.76</v>
      </c>
      <c r="H12" s="69">
        <f>G12*$H$10</f>
        <v>3374.8135200000002</v>
      </c>
      <c r="I12" s="69">
        <v>7000</v>
      </c>
      <c r="J12" s="69">
        <f>I12*$J$10</f>
        <v>42</v>
      </c>
      <c r="K12" s="69">
        <v>11700</v>
      </c>
      <c r="L12" s="69">
        <f>K12*$L$10</f>
        <v>35.1</v>
      </c>
      <c r="M12" s="69">
        <f>F12+H12+J12+L12</f>
        <v>14370.113520000001</v>
      </c>
    </row>
    <row r="13" spans="1:13">
      <c r="A13" s="43">
        <f>A12+1</f>
        <v>2</v>
      </c>
      <c r="B13" s="37" t="s">
        <v>403</v>
      </c>
      <c r="C13" s="69"/>
      <c r="D13" s="69">
        <v>143728</v>
      </c>
      <c r="E13" s="69">
        <v>143728</v>
      </c>
      <c r="F13" s="68">
        <f t="shared" ref="F13:F76" si="1">E13*$F$10</f>
        <v>8911.1360000000004</v>
      </c>
      <c r="G13" s="69">
        <v>143728</v>
      </c>
      <c r="H13" s="69">
        <f t="shared" ref="H13:H76" si="2">G13*$H$10</f>
        <v>2084.056</v>
      </c>
      <c r="I13" s="69">
        <v>7000</v>
      </c>
      <c r="J13" s="69">
        <f t="shared" ref="J13:J76" si="3">I13*$J$10</f>
        <v>42</v>
      </c>
      <c r="K13" s="69">
        <v>11700</v>
      </c>
      <c r="L13" s="69">
        <f t="shared" ref="L13:L76" si="4">K13*$L$10</f>
        <v>35.1</v>
      </c>
      <c r="M13" s="69">
        <f t="shared" ref="M13:M76" si="5">F13+H13+J13+L13</f>
        <v>11072.292000000001</v>
      </c>
    </row>
    <row r="14" spans="1:13">
      <c r="A14" s="43">
        <f t="shared" ref="A14:A77" si="6">A13+1</f>
        <v>3</v>
      </c>
      <c r="B14" s="37" t="s">
        <v>404</v>
      </c>
      <c r="C14" s="69"/>
      <c r="D14" s="69">
        <v>142480</v>
      </c>
      <c r="E14" s="69">
        <v>142480</v>
      </c>
      <c r="F14" s="68">
        <f t="shared" si="1"/>
        <v>8833.76</v>
      </c>
      <c r="G14" s="69">
        <v>142480</v>
      </c>
      <c r="H14" s="69">
        <f t="shared" si="2"/>
        <v>2065.96</v>
      </c>
      <c r="I14" s="69">
        <v>7000</v>
      </c>
      <c r="J14" s="69">
        <f t="shared" si="3"/>
        <v>42</v>
      </c>
      <c r="K14" s="69">
        <v>11700</v>
      </c>
      <c r="L14" s="69">
        <f t="shared" si="4"/>
        <v>35.1</v>
      </c>
      <c r="M14" s="69">
        <f t="shared" si="5"/>
        <v>10976.820000000002</v>
      </c>
    </row>
    <row r="15" spans="1:13">
      <c r="A15" s="43">
        <f t="shared" si="6"/>
        <v>4</v>
      </c>
      <c r="B15" s="37" t="s">
        <v>405</v>
      </c>
      <c r="C15" s="69"/>
      <c r="D15" s="69">
        <v>143624</v>
      </c>
      <c r="E15" s="69">
        <v>143624</v>
      </c>
      <c r="F15" s="68">
        <f t="shared" si="1"/>
        <v>8904.6880000000001</v>
      </c>
      <c r="G15" s="69">
        <v>143624</v>
      </c>
      <c r="H15" s="69">
        <f t="shared" si="2"/>
        <v>2082.5480000000002</v>
      </c>
      <c r="I15" s="69">
        <v>7000</v>
      </c>
      <c r="J15" s="69">
        <f t="shared" si="3"/>
        <v>42</v>
      </c>
      <c r="K15" s="69">
        <v>11700</v>
      </c>
      <c r="L15" s="69">
        <f t="shared" si="4"/>
        <v>35.1</v>
      </c>
      <c r="M15" s="69">
        <f t="shared" si="5"/>
        <v>11064.336000000001</v>
      </c>
    </row>
    <row r="16" spans="1:13">
      <c r="A16" s="43">
        <f t="shared" si="6"/>
        <v>5</v>
      </c>
      <c r="B16" s="37" t="s">
        <v>406</v>
      </c>
      <c r="C16" s="69"/>
      <c r="D16" s="69">
        <v>123552</v>
      </c>
      <c r="E16" s="69">
        <v>123552</v>
      </c>
      <c r="F16" s="68">
        <f t="shared" si="1"/>
        <v>7660.2240000000002</v>
      </c>
      <c r="G16" s="69">
        <v>123552</v>
      </c>
      <c r="H16" s="69">
        <f t="shared" si="2"/>
        <v>1791.5040000000001</v>
      </c>
      <c r="I16" s="69">
        <v>7000</v>
      </c>
      <c r="J16" s="69">
        <f t="shared" si="3"/>
        <v>42</v>
      </c>
      <c r="K16" s="69">
        <v>11700</v>
      </c>
      <c r="L16" s="69">
        <f t="shared" si="4"/>
        <v>35.1</v>
      </c>
      <c r="M16" s="69">
        <f t="shared" si="5"/>
        <v>9528.8280000000013</v>
      </c>
    </row>
    <row r="17" spans="1:13">
      <c r="A17" s="43">
        <f t="shared" si="6"/>
        <v>6</v>
      </c>
      <c r="B17" s="37" t="s">
        <v>407</v>
      </c>
      <c r="C17" s="69"/>
      <c r="D17" s="69">
        <v>98321.600000000006</v>
      </c>
      <c r="E17" s="69">
        <v>98321.600000000006</v>
      </c>
      <c r="F17" s="68">
        <f t="shared" si="1"/>
        <v>6095.9392000000007</v>
      </c>
      <c r="G17" s="69">
        <v>98321.600000000006</v>
      </c>
      <c r="H17" s="69">
        <f t="shared" si="2"/>
        <v>1425.6632000000002</v>
      </c>
      <c r="I17" s="69">
        <v>7000</v>
      </c>
      <c r="J17" s="69">
        <f t="shared" si="3"/>
        <v>42</v>
      </c>
      <c r="K17" s="69">
        <v>11700</v>
      </c>
      <c r="L17" s="69">
        <f t="shared" si="4"/>
        <v>35.1</v>
      </c>
      <c r="M17" s="69">
        <f t="shared" si="5"/>
        <v>7598.702400000001</v>
      </c>
    </row>
    <row r="18" spans="1:13">
      <c r="A18" s="43">
        <f t="shared" si="6"/>
        <v>7</v>
      </c>
      <c r="B18" s="37" t="s">
        <v>408</v>
      </c>
      <c r="C18" s="69"/>
      <c r="D18" s="69">
        <v>129854.39999999999</v>
      </c>
      <c r="E18" s="69">
        <v>129854.39999999999</v>
      </c>
      <c r="F18" s="68">
        <f t="shared" si="1"/>
        <v>8050.9727999999996</v>
      </c>
      <c r="G18" s="69">
        <v>129854.39999999999</v>
      </c>
      <c r="H18" s="69">
        <f t="shared" si="2"/>
        <v>1882.8887999999999</v>
      </c>
      <c r="I18" s="69">
        <v>7000</v>
      </c>
      <c r="J18" s="69">
        <f t="shared" si="3"/>
        <v>42</v>
      </c>
      <c r="K18" s="69">
        <v>11700</v>
      </c>
      <c r="L18" s="69">
        <f t="shared" si="4"/>
        <v>35.1</v>
      </c>
      <c r="M18" s="69">
        <f t="shared" si="5"/>
        <v>10010.961600000001</v>
      </c>
    </row>
    <row r="19" spans="1:13">
      <c r="A19" s="43">
        <f t="shared" si="6"/>
        <v>8</v>
      </c>
      <c r="B19" s="37" t="s">
        <v>409</v>
      </c>
      <c r="C19" s="69"/>
      <c r="D19" s="69">
        <v>77536.645000000019</v>
      </c>
      <c r="E19" s="69">
        <v>77536.645000000019</v>
      </c>
      <c r="F19" s="68">
        <f t="shared" si="1"/>
        <v>4807.2719900000011</v>
      </c>
      <c r="G19" s="69">
        <v>77536.645000000019</v>
      </c>
      <c r="H19" s="69">
        <f t="shared" si="2"/>
        <v>1124.2813525000004</v>
      </c>
      <c r="I19" s="69">
        <v>7000</v>
      </c>
      <c r="J19" s="69">
        <f t="shared" si="3"/>
        <v>42</v>
      </c>
      <c r="K19" s="69">
        <v>11700</v>
      </c>
      <c r="L19" s="69">
        <f t="shared" si="4"/>
        <v>35.1</v>
      </c>
      <c r="M19" s="69">
        <f t="shared" si="5"/>
        <v>6008.6533425000016</v>
      </c>
    </row>
    <row r="20" spans="1:13">
      <c r="A20" s="43">
        <f t="shared" si="6"/>
        <v>9</v>
      </c>
      <c r="B20" s="37" t="s">
        <v>410</v>
      </c>
      <c r="C20" s="69"/>
      <c r="D20" s="69">
        <v>49420.425000000003</v>
      </c>
      <c r="E20" s="69">
        <v>49420.425000000003</v>
      </c>
      <c r="F20" s="68">
        <f t="shared" si="1"/>
        <v>3064.0663500000001</v>
      </c>
      <c r="G20" s="69">
        <v>49420.425000000003</v>
      </c>
      <c r="H20" s="69">
        <f t="shared" si="2"/>
        <v>716.5961625000001</v>
      </c>
      <c r="I20" s="69">
        <v>7000</v>
      </c>
      <c r="J20" s="69">
        <f t="shared" si="3"/>
        <v>42</v>
      </c>
      <c r="K20" s="69">
        <v>11700</v>
      </c>
      <c r="L20" s="69">
        <f t="shared" si="4"/>
        <v>35.1</v>
      </c>
      <c r="M20" s="69">
        <f t="shared" si="5"/>
        <v>3857.7625125</v>
      </c>
    </row>
    <row r="21" spans="1:13">
      <c r="A21" s="43">
        <f t="shared" si="6"/>
        <v>10</v>
      </c>
      <c r="B21" s="37" t="s">
        <v>411</v>
      </c>
      <c r="C21" s="69"/>
      <c r="D21" s="69">
        <v>70096</v>
      </c>
      <c r="E21" s="69">
        <v>70096</v>
      </c>
      <c r="F21" s="68">
        <f t="shared" si="1"/>
        <v>4345.9520000000002</v>
      </c>
      <c r="G21" s="69">
        <v>70096</v>
      </c>
      <c r="H21" s="69">
        <f t="shared" si="2"/>
        <v>1016.3920000000001</v>
      </c>
      <c r="I21" s="69">
        <v>7000</v>
      </c>
      <c r="J21" s="69">
        <f t="shared" si="3"/>
        <v>42</v>
      </c>
      <c r="K21" s="69">
        <v>11700</v>
      </c>
      <c r="L21" s="69">
        <f t="shared" si="4"/>
        <v>35.1</v>
      </c>
      <c r="M21" s="69">
        <f t="shared" si="5"/>
        <v>5439.4440000000004</v>
      </c>
    </row>
    <row r="22" spans="1:13">
      <c r="A22" s="43">
        <f t="shared" si="6"/>
        <v>11</v>
      </c>
      <c r="B22" s="37" t="s">
        <v>412</v>
      </c>
      <c r="C22" s="69"/>
      <c r="D22" s="69">
        <v>103447.03999999999</v>
      </c>
      <c r="E22" s="69">
        <v>103447.03999999999</v>
      </c>
      <c r="F22" s="68">
        <f t="shared" si="1"/>
        <v>6413.7164799999991</v>
      </c>
      <c r="G22" s="69">
        <v>103447.03999999999</v>
      </c>
      <c r="H22" s="69">
        <f t="shared" si="2"/>
        <v>1499.98208</v>
      </c>
      <c r="I22" s="69">
        <v>7000</v>
      </c>
      <c r="J22" s="69">
        <f t="shared" si="3"/>
        <v>42</v>
      </c>
      <c r="K22" s="69">
        <v>11700</v>
      </c>
      <c r="L22" s="69">
        <f t="shared" si="4"/>
        <v>35.1</v>
      </c>
      <c r="M22" s="69">
        <f t="shared" si="5"/>
        <v>7990.7985599999993</v>
      </c>
    </row>
    <row r="23" spans="1:13">
      <c r="A23" s="43">
        <f t="shared" si="6"/>
        <v>12</v>
      </c>
      <c r="B23" s="37" t="s">
        <v>413</v>
      </c>
      <c r="C23" s="69"/>
      <c r="D23" s="69">
        <v>108662.89250000002</v>
      </c>
      <c r="E23" s="69">
        <v>108662.89250000002</v>
      </c>
      <c r="F23" s="68">
        <f t="shared" si="1"/>
        <v>6737.0993350000008</v>
      </c>
      <c r="G23" s="69">
        <v>108662.89250000002</v>
      </c>
      <c r="H23" s="69">
        <f t="shared" si="2"/>
        <v>1575.6119412500004</v>
      </c>
      <c r="I23" s="69">
        <v>7000</v>
      </c>
      <c r="J23" s="69">
        <f t="shared" si="3"/>
        <v>42</v>
      </c>
      <c r="K23" s="69">
        <v>11700</v>
      </c>
      <c r="L23" s="69">
        <f t="shared" si="4"/>
        <v>35.1</v>
      </c>
      <c r="M23" s="69">
        <f t="shared" si="5"/>
        <v>8389.8112762500023</v>
      </c>
    </row>
    <row r="24" spans="1:13">
      <c r="A24" s="43">
        <f t="shared" si="6"/>
        <v>13</v>
      </c>
      <c r="B24" s="37" t="s">
        <v>414</v>
      </c>
      <c r="C24" s="69"/>
      <c r="D24" s="69">
        <v>74216.17</v>
      </c>
      <c r="E24" s="69">
        <v>74216.17</v>
      </c>
      <c r="F24" s="68">
        <f t="shared" si="1"/>
        <v>4601.40254</v>
      </c>
      <c r="G24" s="69">
        <v>74216.17</v>
      </c>
      <c r="H24" s="69">
        <f t="shared" si="2"/>
        <v>1076.1344650000001</v>
      </c>
      <c r="I24" s="69">
        <v>7000</v>
      </c>
      <c r="J24" s="69">
        <f t="shared" si="3"/>
        <v>42</v>
      </c>
      <c r="K24" s="69">
        <v>11700</v>
      </c>
      <c r="L24" s="69">
        <f t="shared" si="4"/>
        <v>35.1</v>
      </c>
      <c r="M24" s="69">
        <f t="shared" si="5"/>
        <v>5754.6370050000005</v>
      </c>
    </row>
    <row r="25" spans="1:13">
      <c r="A25" s="43">
        <f t="shared" si="6"/>
        <v>14</v>
      </c>
      <c r="B25" s="37" t="s">
        <v>415</v>
      </c>
      <c r="C25" s="69"/>
      <c r="D25" s="69">
        <v>54217.052499999998</v>
      </c>
      <c r="E25" s="69">
        <v>54217.052499999998</v>
      </c>
      <c r="F25" s="68">
        <f t="shared" si="1"/>
        <v>3361.4572549999998</v>
      </c>
      <c r="G25" s="69">
        <v>54217.052499999998</v>
      </c>
      <c r="H25" s="69">
        <f t="shared" si="2"/>
        <v>786.14726125000004</v>
      </c>
      <c r="I25" s="69">
        <v>7000</v>
      </c>
      <c r="J25" s="69">
        <f t="shared" si="3"/>
        <v>42</v>
      </c>
      <c r="K25" s="69">
        <v>11700</v>
      </c>
      <c r="L25" s="69">
        <f t="shared" si="4"/>
        <v>35.1</v>
      </c>
      <c r="M25" s="69">
        <f t="shared" si="5"/>
        <v>4224.7045162499999</v>
      </c>
    </row>
    <row r="26" spans="1:13">
      <c r="A26" s="43">
        <f t="shared" si="6"/>
        <v>15</v>
      </c>
      <c r="B26" s="37" t="s">
        <v>416</v>
      </c>
      <c r="C26" s="69"/>
      <c r="D26" s="69">
        <v>68110.459999999992</v>
      </c>
      <c r="E26" s="69">
        <v>68110.459999999992</v>
      </c>
      <c r="F26" s="68">
        <f t="shared" si="1"/>
        <v>4222.8485199999996</v>
      </c>
      <c r="G26" s="69">
        <v>68110.459999999992</v>
      </c>
      <c r="H26" s="69">
        <f t="shared" si="2"/>
        <v>987.6016699999999</v>
      </c>
      <c r="I26" s="69">
        <v>7000</v>
      </c>
      <c r="J26" s="69">
        <f t="shared" si="3"/>
        <v>42</v>
      </c>
      <c r="K26" s="69">
        <v>11700</v>
      </c>
      <c r="L26" s="69">
        <f t="shared" si="4"/>
        <v>35.1</v>
      </c>
      <c r="M26" s="69">
        <f t="shared" si="5"/>
        <v>5287.5501899999999</v>
      </c>
    </row>
    <row r="27" spans="1:13">
      <c r="A27" s="43">
        <f t="shared" si="6"/>
        <v>16</v>
      </c>
      <c r="B27" s="37" t="s">
        <v>417</v>
      </c>
      <c r="C27" s="69"/>
      <c r="D27" s="69">
        <v>114225.19</v>
      </c>
      <c r="E27" s="69">
        <v>114225.19</v>
      </c>
      <c r="F27" s="68">
        <f t="shared" si="1"/>
        <v>7081.9617800000005</v>
      </c>
      <c r="G27" s="69">
        <v>114225.19</v>
      </c>
      <c r="H27" s="69">
        <f t="shared" si="2"/>
        <v>1656.265255</v>
      </c>
      <c r="I27" s="69">
        <v>7000</v>
      </c>
      <c r="J27" s="69">
        <f t="shared" si="3"/>
        <v>42</v>
      </c>
      <c r="K27" s="69">
        <v>11700</v>
      </c>
      <c r="L27" s="69">
        <f t="shared" si="4"/>
        <v>35.1</v>
      </c>
      <c r="M27" s="69">
        <f t="shared" si="5"/>
        <v>8815.3270350000003</v>
      </c>
    </row>
    <row r="28" spans="1:13">
      <c r="A28" s="43">
        <f t="shared" si="6"/>
        <v>17</v>
      </c>
      <c r="B28" s="37" t="s">
        <v>418</v>
      </c>
      <c r="C28" s="69"/>
      <c r="D28" s="69">
        <v>71266.249999999985</v>
      </c>
      <c r="E28" s="69">
        <v>71266.249999999985</v>
      </c>
      <c r="F28" s="68">
        <f t="shared" si="1"/>
        <v>4418.5074999999988</v>
      </c>
      <c r="G28" s="69">
        <v>71266.249999999985</v>
      </c>
      <c r="H28" s="69">
        <f t="shared" si="2"/>
        <v>1033.3606249999998</v>
      </c>
      <c r="I28" s="69">
        <v>7000</v>
      </c>
      <c r="J28" s="69">
        <f t="shared" si="3"/>
        <v>42</v>
      </c>
      <c r="K28" s="69">
        <v>11700</v>
      </c>
      <c r="L28" s="69">
        <f t="shared" si="4"/>
        <v>35.1</v>
      </c>
      <c r="M28" s="69">
        <f t="shared" si="5"/>
        <v>5528.9681249999994</v>
      </c>
    </row>
    <row r="29" spans="1:13">
      <c r="A29" s="43">
        <f t="shared" si="6"/>
        <v>18</v>
      </c>
      <c r="B29" s="37" t="s">
        <v>419</v>
      </c>
      <c r="C29" s="69"/>
      <c r="D29" s="69">
        <v>105248.69750000001</v>
      </c>
      <c r="E29" s="69">
        <v>105248.69750000001</v>
      </c>
      <c r="F29" s="68">
        <f t="shared" si="1"/>
        <v>6525.419245000001</v>
      </c>
      <c r="G29" s="69">
        <v>105248.69750000001</v>
      </c>
      <c r="H29" s="69">
        <f t="shared" si="2"/>
        <v>1526.1061137500003</v>
      </c>
      <c r="I29" s="69">
        <v>7000</v>
      </c>
      <c r="J29" s="69">
        <f t="shared" si="3"/>
        <v>42</v>
      </c>
      <c r="K29" s="69">
        <v>11700</v>
      </c>
      <c r="L29" s="69">
        <f t="shared" si="4"/>
        <v>35.1</v>
      </c>
      <c r="M29" s="69">
        <f t="shared" si="5"/>
        <v>8128.6253587500014</v>
      </c>
    </row>
    <row r="30" spans="1:13">
      <c r="A30" s="43">
        <f t="shared" si="6"/>
        <v>19</v>
      </c>
      <c r="B30" s="37" t="s">
        <v>420</v>
      </c>
      <c r="C30" s="69"/>
      <c r="D30" s="69">
        <v>104713.13750000001</v>
      </c>
      <c r="E30" s="69">
        <v>104713.13750000001</v>
      </c>
      <c r="F30" s="68">
        <f t="shared" si="1"/>
        <v>6492.2145250000003</v>
      </c>
      <c r="G30" s="69">
        <v>104713.13750000001</v>
      </c>
      <c r="H30" s="69">
        <f t="shared" si="2"/>
        <v>1518.3404937500002</v>
      </c>
      <c r="I30" s="69">
        <v>7000</v>
      </c>
      <c r="J30" s="69">
        <f t="shared" si="3"/>
        <v>42</v>
      </c>
      <c r="K30" s="69">
        <v>11700</v>
      </c>
      <c r="L30" s="69">
        <f t="shared" si="4"/>
        <v>35.1</v>
      </c>
      <c r="M30" s="69">
        <f t="shared" si="5"/>
        <v>8087.6550187500006</v>
      </c>
    </row>
    <row r="31" spans="1:13">
      <c r="A31" s="43">
        <f t="shared" si="6"/>
        <v>20</v>
      </c>
      <c r="B31" s="37" t="s">
        <v>421</v>
      </c>
      <c r="C31" s="69"/>
      <c r="D31" s="69">
        <v>108937.91</v>
      </c>
      <c r="E31" s="69">
        <v>108937.91</v>
      </c>
      <c r="F31" s="68">
        <f t="shared" si="1"/>
        <v>6754.1504199999999</v>
      </c>
      <c r="G31" s="69">
        <v>108937.91</v>
      </c>
      <c r="H31" s="69">
        <f t="shared" si="2"/>
        <v>1579.5996950000001</v>
      </c>
      <c r="I31" s="69">
        <v>7000</v>
      </c>
      <c r="J31" s="69">
        <f t="shared" si="3"/>
        <v>42</v>
      </c>
      <c r="K31" s="69">
        <v>11700</v>
      </c>
      <c r="L31" s="69">
        <f t="shared" si="4"/>
        <v>35.1</v>
      </c>
      <c r="M31" s="69">
        <f t="shared" si="5"/>
        <v>8410.8501150000011</v>
      </c>
    </row>
    <row r="32" spans="1:13">
      <c r="A32" s="43">
        <f t="shared" si="6"/>
        <v>21</v>
      </c>
      <c r="B32" s="37" t="s">
        <v>422</v>
      </c>
      <c r="C32" s="69"/>
      <c r="D32" s="69">
        <v>52811.842499999999</v>
      </c>
      <c r="E32" s="69">
        <v>52811.842499999999</v>
      </c>
      <c r="F32" s="68">
        <f t="shared" si="1"/>
        <v>3274.3342349999998</v>
      </c>
      <c r="G32" s="69">
        <v>52811.842499999999</v>
      </c>
      <c r="H32" s="69">
        <f t="shared" si="2"/>
        <v>765.77171625000005</v>
      </c>
      <c r="I32" s="69">
        <v>7000</v>
      </c>
      <c r="J32" s="69">
        <f t="shared" si="3"/>
        <v>42</v>
      </c>
      <c r="K32" s="69">
        <v>11700</v>
      </c>
      <c r="L32" s="69">
        <f t="shared" si="4"/>
        <v>35.1</v>
      </c>
      <c r="M32" s="69">
        <f t="shared" si="5"/>
        <v>4117.20595125</v>
      </c>
    </row>
    <row r="33" spans="1:13">
      <c r="A33" s="43">
        <f t="shared" si="6"/>
        <v>22</v>
      </c>
      <c r="B33" s="37" t="s">
        <v>423</v>
      </c>
      <c r="C33" s="69"/>
      <c r="D33" s="69">
        <v>101086.5625</v>
      </c>
      <c r="E33" s="69">
        <v>101086.5625</v>
      </c>
      <c r="F33" s="68">
        <f t="shared" si="1"/>
        <v>6267.3668749999997</v>
      </c>
      <c r="G33" s="69">
        <v>101086.5625</v>
      </c>
      <c r="H33" s="69">
        <f t="shared" si="2"/>
        <v>1465.75515625</v>
      </c>
      <c r="I33" s="69">
        <v>7000</v>
      </c>
      <c r="J33" s="69">
        <f t="shared" si="3"/>
        <v>42</v>
      </c>
      <c r="K33" s="69">
        <v>11700</v>
      </c>
      <c r="L33" s="69">
        <f t="shared" si="4"/>
        <v>35.1</v>
      </c>
      <c r="M33" s="69">
        <f t="shared" si="5"/>
        <v>7810.2220312500003</v>
      </c>
    </row>
    <row r="34" spans="1:13">
      <c r="A34" s="43">
        <f t="shared" si="6"/>
        <v>23</v>
      </c>
      <c r="B34" s="37" t="s">
        <v>424</v>
      </c>
      <c r="C34" s="69"/>
      <c r="D34" s="69">
        <v>51248.880000000005</v>
      </c>
      <c r="E34" s="69">
        <v>51248.880000000005</v>
      </c>
      <c r="F34" s="68">
        <f t="shared" si="1"/>
        <v>3177.4305600000002</v>
      </c>
      <c r="G34" s="69">
        <v>51248.880000000005</v>
      </c>
      <c r="H34" s="69">
        <f t="shared" si="2"/>
        <v>743.10876000000007</v>
      </c>
      <c r="I34" s="69">
        <v>7000</v>
      </c>
      <c r="J34" s="69">
        <f t="shared" si="3"/>
        <v>42</v>
      </c>
      <c r="K34" s="69">
        <v>11700</v>
      </c>
      <c r="L34" s="69">
        <f t="shared" si="4"/>
        <v>35.1</v>
      </c>
      <c r="M34" s="69">
        <f t="shared" si="5"/>
        <v>3997.6393200000002</v>
      </c>
    </row>
    <row r="35" spans="1:13">
      <c r="A35" s="43">
        <f t="shared" si="6"/>
        <v>24</v>
      </c>
      <c r="B35" s="37" t="s">
        <v>425</v>
      </c>
      <c r="C35" s="69"/>
      <c r="D35" s="69">
        <v>75401.863750000019</v>
      </c>
      <c r="E35" s="69">
        <v>75401.863750000019</v>
      </c>
      <c r="F35" s="68">
        <f t="shared" si="1"/>
        <v>4674.9155525000015</v>
      </c>
      <c r="G35" s="69">
        <v>75401.863750000019</v>
      </c>
      <c r="H35" s="69">
        <f t="shared" si="2"/>
        <v>1093.3270243750003</v>
      </c>
      <c r="I35" s="69">
        <v>7000</v>
      </c>
      <c r="J35" s="69">
        <f t="shared" si="3"/>
        <v>42</v>
      </c>
      <c r="K35" s="69">
        <v>11700</v>
      </c>
      <c r="L35" s="69">
        <f t="shared" si="4"/>
        <v>35.1</v>
      </c>
      <c r="M35" s="69">
        <f t="shared" si="5"/>
        <v>5845.3425768750021</v>
      </c>
    </row>
    <row r="36" spans="1:13">
      <c r="A36" s="43">
        <f t="shared" si="6"/>
        <v>25</v>
      </c>
      <c r="B36" s="37" t="s">
        <v>426</v>
      </c>
      <c r="C36" s="69"/>
      <c r="D36" s="69">
        <v>55411.221250000002</v>
      </c>
      <c r="E36" s="69">
        <v>55411.221250000002</v>
      </c>
      <c r="F36" s="68">
        <f t="shared" si="1"/>
        <v>3435.4957175</v>
      </c>
      <c r="G36" s="69">
        <v>55411.221250000002</v>
      </c>
      <c r="H36" s="69">
        <f t="shared" si="2"/>
        <v>803.46270812500006</v>
      </c>
      <c r="I36" s="69">
        <v>7000</v>
      </c>
      <c r="J36" s="69">
        <f t="shared" si="3"/>
        <v>42</v>
      </c>
      <c r="K36" s="69">
        <v>11700</v>
      </c>
      <c r="L36" s="69">
        <f t="shared" si="4"/>
        <v>35.1</v>
      </c>
      <c r="M36" s="69">
        <f t="shared" si="5"/>
        <v>4316.0584256250004</v>
      </c>
    </row>
    <row r="37" spans="1:13">
      <c r="A37" s="43">
        <f t="shared" si="6"/>
        <v>26</v>
      </c>
      <c r="B37" s="37" t="s">
        <v>427</v>
      </c>
      <c r="C37" s="69"/>
      <c r="D37" s="69">
        <v>46867.974999999999</v>
      </c>
      <c r="E37" s="69">
        <v>46867.974999999999</v>
      </c>
      <c r="F37" s="68">
        <f t="shared" si="1"/>
        <v>2905.8144499999999</v>
      </c>
      <c r="G37" s="69">
        <v>46867.974999999999</v>
      </c>
      <c r="H37" s="69">
        <f t="shared" si="2"/>
        <v>679.58563749999996</v>
      </c>
      <c r="I37" s="69">
        <v>7000</v>
      </c>
      <c r="J37" s="69">
        <f t="shared" si="3"/>
        <v>42</v>
      </c>
      <c r="K37" s="69">
        <v>11700</v>
      </c>
      <c r="L37" s="69">
        <f t="shared" si="4"/>
        <v>35.1</v>
      </c>
      <c r="M37" s="69">
        <f t="shared" si="5"/>
        <v>3662.5000874999996</v>
      </c>
    </row>
    <row r="38" spans="1:13">
      <c r="A38" s="43">
        <f t="shared" si="6"/>
        <v>27</v>
      </c>
      <c r="B38" s="37" t="s">
        <v>428</v>
      </c>
      <c r="C38" s="69"/>
      <c r="D38" s="69">
        <v>71127.375</v>
      </c>
      <c r="E38" s="69">
        <v>71127.375</v>
      </c>
      <c r="F38" s="68">
        <f t="shared" si="1"/>
        <v>4409.89725</v>
      </c>
      <c r="G38" s="69">
        <v>71127.375</v>
      </c>
      <c r="H38" s="69">
        <f t="shared" si="2"/>
        <v>1031.3469375</v>
      </c>
      <c r="I38" s="69">
        <v>7000</v>
      </c>
      <c r="J38" s="69">
        <f t="shared" si="3"/>
        <v>42</v>
      </c>
      <c r="K38" s="69">
        <v>11700</v>
      </c>
      <c r="L38" s="69">
        <f t="shared" si="4"/>
        <v>35.1</v>
      </c>
      <c r="M38" s="69">
        <f t="shared" si="5"/>
        <v>5518.3441875000008</v>
      </c>
    </row>
    <row r="39" spans="1:13">
      <c r="A39" s="43">
        <f t="shared" si="6"/>
        <v>28</v>
      </c>
      <c r="B39" s="37" t="s">
        <v>429</v>
      </c>
      <c r="C39" s="69"/>
      <c r="D39" s="69">
        <v>121884.53000000001</v>
      </c>
      <c r="E39" s="69">
        <v>121884.53000000001</v>
      </c>
      <c r="F39" s="68">
        <f t="shared" si="1"/>
        <v>7556.8408600000012</v>
      </c>
      <c r="G39" s="69">
        <v>121884.53000000001</v>
      </c>
      <c r="H39" s="69">
        <f t="shared" si="2"/>
        <v>1767.3256850000002</v>
      </c>
      <c r="I39" s="69">
        <v>7000</v>
      </c>
      <c r="J39" s="69">
        <f t="shared" si="3"/>
        <v>42</v>
      </c>
      <c r="K39" s="69">
        <v>11700</v>
      </c>
      <c r="L39" s="69">
        <f t="shared" si="4"/>
        <v>35.1</v>
      </c>
      <c r="M39" s="69">
        <f t="shared" si="5"/>
        <v>9401.2665450000022</v>
      </c>
    </row>
    <row r="40" spans="1:13">
      <c r="A40" s="43">
        <f t="shared" si="6"/>
        <v>29</v>
      </c>
      <c r="B40" s="37" t="s">
        <v>430</v>
      </c>
      <c r="C40" s="69"/>
      <c r="D40" s="69">
        <v>44961.875</v>
      </c>
      <c r="E40" s="69">
        <v>44961.875</v>
      </c>
      <c r="F40" s="68">
        <f t="shared" si="1"/>
        <v>2787.63625</v>
      </c>
      <c r="G40" s="69">
        <v>44961.875</v>
      </c>
      <c r="H40" s="69">
        <f t="shared" si="2"/>
        <v>651.94718750000004</v>
      </c>
      <c r="I40" s="69">
        <v>7000</v>
      </c>
      <c r="J40" s="69">
        <f t="shared" si="3"/>
        <v>42</v>
      </c>
      <c r="K40" s="69">
        <v>11700</v>
      </c>
      <c r="L40" s="69">
        <f t="shared" si="4"/>
        <v>35.1</v>
      </c>
      <c r="M40" s="69">
        <f t="shared" si="5"/>
        <v>3516.6834374999999</v>
      </c>
    </row>
    <row r="41" spans="1:13">
      <c r="A41" s="43">
        <f t="shared" si="6"/>
        <v>30</v>
      </c>
      <c r="B41" s="37" t="s">
        <v>431</v>
      </c>
      <c r="C41" s="69"/>
      <c r="D41" s="69">
        <v>100897.5175</v>
      </c>
      <c r="E41" s="69">
        <v>100897.5175</v>
      </c>
      <c r="F41" s="68">
        <f t="shared" si="1"/>
        <v>6255.6460850000003</v>
      </c>
      <c r="G41" s="69">
        <v>100897.5175</v>
      </c>
      <c r="H41" s="69">
        <f t="shared" si="2"/>
        <v>1463.01400375</v>
      </c>
      <c r="I41" s="69">
        <v>7000</v>
      </c>
      <c r="J41" s="69">
        <f t="shared" si="3"/>
        <v>42</v>
      </c>
      <c r="K41" s="69">
        <v>11700</v>
      </c>
      <c r="L41" s="69">
        <f t="shared" si="4"/>
        <v>35.1</v>
      </c>
      <c r="M41" s="69">
        <f t="shared" si="5"/>
        <v>7795.7600887500012</v>
      </c>
    </row>
    <row r="42" spans="1:13">
      <c r="A42" s="43">
        <f t="shared" si="6"/>
        <v>31</v>
      </c>
      <c r="B42" s="37" t="s">
        <v>432</v>
      </c>
      <c r="C42" s="69"/>
      <c r="D42" s="69">
        <v>79804.345000000001</v>
      </c>
      <c r="E42" s="69">
        <v>79804.345000000001</v>
      </c>
      <c r="F42" s="68">
        <f t="shared" si="1"/>
        <v>4947.8693899999998</v>
      </c>
      <c r="G42" s="69">
        <v>79804.345000000001</v>
      </c>
      <c r="H42" s="69">
        <f t="shared" si="2"/>
        <v>1157.1630025000002</v>
      </c>
      <c r="I42" s="69">
        <v>7000</v>
      </c>
      <c r="J42" s="69">
        <f t="shared" si="3"/>
        <v>42</v>
      </c>
      <c r="K42" s="69">
        <v>11700</v>
      </c>
      <c r="L42" s="69">
        <f t="shared" si="4"/>
        <v>35.1</v>
      </c>
      <c r="M42" s="69">
        <f t="shared" si="5"/>
        <v>6182.1323925000006</v>
      </c>
    </row>
    <row r="43" spans="1:13">
      <c r="A43" s="43">
        <f t="shared" si="6"/>
        <v>32</v>
      </c>
      <c r="B43" s="37" t="s">
        <v>433</v>
      </c>
      <c r="C43" s="69"/>
      <c r="D43" s="69">
        <v>116903.3275</v>
      </c>
      <c r="E43" s="69">
        <v>116903.3275</v>
      </c>
      <c r="F43" s="68">
        <f t="shared" si="1"/>
        <v>7248.0063049999999</v>
      </c>
      <c r="G43" s="69">
        <v>116903.3275</v>
      </c>
      <c r="H43" s="69">
        <f t="shared" si="2"/>
        <v>1695.09824875</v>
      </c>
      <c r="I43" s="69">
        <v>7000</v>
      </c>
      <c r="J43" s="69">
        <f t="shared" si="3"/>
        <v>42</v>
      </c>
      <c r="K43" s="69">
        <v>11700</v>
      </c>
      <c r="L43" s="69">
        <f t="shared" si="4"/>
        <v>35.1</v>
      </c>
      <c r="M43" s="69">
        <f t="shared" si="5"/>
        <v>9020.2045537499998</v>
      </c>
    </row>
    <row r="44" spans="1:13">
      <c r="A44" s="43">
        <f t="shared" si="6"/>
        <v>33</v>
      </c>
      <c r="B44" s="37" t="s">
        <v>434</v>
      </c>
      <c r="C44" s="69"/>
      <c r="D44" s="69">
        <v>110003.185</v>
      </c>
      <c r="E44" s="69">
        <v>110003.185</v>
      </c>
      <c r="F44" s="68">
        <f t="shared" si="1"/>
        <v>6820.1974700000001</v>
      </c>
      <c r="G44" s="69">
        <v>110003.185</v>
      </c>
      <c r="H44" s="69">
        <f t="shared" si="2"/>
        <v>1595.0461825</v>
      </c>
      <c r="I44" s="69">
        <v>7000</v>
      </c>
      <c r="J44" s="69">
        <f t="shared" si="3"/>
        <v>42</v>
      </c>
      <c r="K44" s="69">
        <v>11700</v>
      </c>
      <c r="L44" s="69">
        <f t="shared" si="4"/>
        <v>35.1</v>
      </c>
      <c r="M44" s="69">
        <f t="shared" si="5"/>
        <v>8492.3436524999997</v>
      </c>
    </row>
    <row r="45" spans="1:13">
      <c r="A45" s="43">
        <f t="shared" si="6"/>
        <v>34</v>
      </c>
      <c r="B45" s="37" t="s">
        <v>435</v>
      </c>
      <c r="C45" s="69"/>
      <c r="D45" s="69">
        <v>48533.025000000001</v>
      </c>
      <c r="E45" s="69">
        <v>48533.025000000001</v>
      </c>
      <c r="F45" s="68">
        <f t="shared" si="1"/>
        <v>3009.0475500000002</v>
      </c>
      <c r="G45" s="69">
        <v>48533.025000000001</v>
      </c>
      <c r="H45" s="69">
        <f t="shared" si="2"/>
        <v>703.7288625000001</v>
      </c>
      <c r="I45" s="69">
        <v>7000</v>
      </c>
      <c r="J45" s="69">
        <f t="shared" si="3"/>
        <v>42</v>
      </c>
      <c r="K45" s="69">
        <v>11700</v>
      </c>
      <c r="L45" s="69">
        <f t="shared" si="4"/>
        <v>35.1</v>
      </c>
      <c r="M45" s="69">
        <f t="shared" si="5"/>
        <v>3789.8764125000002</v>
      </c>
    </row>
    <row r="46" spans="1:13">
      <c r="A46" s="43">
        <f t="shared" si="6"/>
        <v>35</v>
      </c>
      <c r="B46" s="37" t="s">
        <v>436</v>
      </c>
      <c r="C46" s="69"/>
      <c r="D46" s="69">
        <v>102031.78750000001</v>
      </c>
      <c r="E46" s="69">
        <v>102031.78750000001</v>
      </c>
      <c r="F46" s="68">
        <f t="shared" si="1"/>
        <v>6325.9708250000003</v>
      </c>
      <c r="G46" s="69">
        <v>102031.78750000001</v>
      </c>
      <c r="H46" s="69">
        <f t="shared" si="2"/>
        <v>1479.4609187500002</v>
      </c>
      <c r="I46" s="69">
        <v>7000</v>
      </c>
      <c r="J46" s="69">
        <f t="shared" si="3"/>
        <v>42</v>
      </c>
      <c r="K46" s="69">
        <v>11700</v>
      </c>
      <c r="L46" s="69">
        <f t="shared" si="4"/>
        <v>35.1</v>
      </c>
      <c r="M46" s="69">
        <f t="shared" si="5"/>
        <v>7882.5317437500007</v>
      </c>
    </row>
    <row r="47" spans="1:13">
      <c r="A47" s="43">
        <f t="shared" si="6"/>
        <v>36</v>
      </c>
      <c r="B47" s="37" t="s">
        <v>437</v>
      </c>
      <c r="C47" s="69"/>
      <c r="D47" s="69">
        <v>105025</v>
      </c>
      <c r="E47" s="69">
        <v>105025</v>
      </c>
      <c r="F47" s="68">
        <f t="shared" si="1"/>
        <v>6511.55</v>
      </c>
      <c r="G47" s="69">
        <v>105025</v>
      </c>
      <c r="H47" s="69">
        <f t="shared" si="2"/>
        <v>1522.8625000000002</v>
      </c>
      <c r="I47" s="69">
        <v>7000</v>
      </c>
      <c r="J47" s="69">
        <f t="shared" si="3"/>
        <v>42</v>
      </c>
      <c r="K47" s="69">
        <v>11700</v>
      </c>
      <c r="L47" s="69">
        <f t="shared" si="4"/>
        <v>35.1</v>
      </c>
      <c r="M47" s="69">
        <f t="shared" si="5"/>
        <v>8111.5125000000007</v>
      </c>
    </row>
    <row r="48" spans="1:13">
      <c r="A48" s="43">
        <f t="shared" si="6"/>
        <v>37</v>
      </c>
      <c r="B48" s="37" t="s">
        <v>438</v>
      </c>
      <c r="C48" s="69"/>
      <c r="D48" s="69">
        <v>109310.02</v>
      </c>
      <c r="E48" s="69">
        <v>109310.02</v>
      </c>
      <c r="F48" s="68">
        <f t="shared" si="1"/>
        <v>6777.2212399999999</v>
      </c>
      <c r="G48" s="69">
        <v>109310.02</v>
      </c>
      <c r="H48" s="69">
        <f t="shared" si="2"/>
        <v>1584.9952900000001</v>
      </c>
      <c r="I48" s="69">
        <v>7000</v>
      </c>
      <c r="J48" s="69">
        <f t="shared" si="3"/>
        <v>42</v>
      </c>
      <c r="K48" s="69">
        <v>11700</v>
      </c>
      <c r="L48" s="69">
        <f t="shared" si="4"/>
        <v>35.1</v>
      </c>
      <c r="M48" s="69">
        <f t="shared" si="5"/>
        <v>8439.3165300000001</v>
      </c>
    </row>
    <row r="49" spans="1:13">
      <c r="A49" s="43">
        <f t="shared" si="6"/>
        <v>38</v>
      </c>
      <c r="B49" s="37" t="s">
        <v>439</v>
      </c>
      <c r="C49" s="69"/>
      <c r="D49" s="69">
        <v>100015.3075</v>
      </c>
      <c r="E49" s="69">
        <v>100015.3075</v>
      </c>
      <c r="F49" s="68">
        <f t="shared" si="1"/>
        <v>6200.9490649999998</v>
      </c>
      <c r="G49" s="69">
        <v>100015.3075</v>
      </c>
      <c r="H49" s="69">
        <f t="shared" si="2"/>
        <v>1450.2219587500001</v>
      </c>
      <c r="I49" s="69">
        <v>7000</v>
      </c>
      <c r="J49" s="69">
        <f t="shared" si="3"/>
        <v>42</v>
      </c>
      <c r="K49" s="69">
        <v>11700</v>
      </c>
      <c r="L49" s="69">
        <f t="shared" si="4"/>
        <v>35.1</v>
      </c>
      <c r="M49" s="69">
        <f t="shared" si="5"/>
        <v>7728.2710237500005</v>
      </c>
    </row>
    <row r="50" spans="1:13">
      <c r="A50" s="43">
        <f t="shared" si="6"/>
        <v>39</v>
      </c>
      <c r="B50" s="37" t="s">
        <v>440</v>
      </c>
      <c r="C50" s="69"/>
      <c r="D50" s="69">
        <v>105088.015</v>
      </c>
      <c r="E50" s="69">
        <v>105088.015</v>
      </c>
      <c r="F50" s="68">
        <f t="shared" si="1"/>
        <v>6515.4569300000003</v>
      </c>
      <c r="G50" s="69">
        <v>105088.015</v>
      </c>
      <c r="H50" s="69">
        <f t="shared" si="2"/>
        <v>1523.7762175</v>
      </c>
      <c r="I50" s="69">
        <v>7000</v>
      </c>
      <c r="J50" s="69">
        <f t="shared" si="3"/>
        <v>42</v>
      </c>
      <c r="K50" s="69">
        <v>11700</v>
      </c>
      <c r="L50" s="69">
        <f t="shared" si="4"/>
        <v>35.1</v>
      </c>
      <c r="M50" s="69">
        <f t="shared" si="5"/>
        <v>8116.3331475000005</v>
      </c>
    </row>
    <row r="51" spans="1:13">
      <c r="A51" s="43">
        <f t="shared" si="6"/>
        <v>40</v>
      </c>
      <c r="B51" s="37" t="s">
        <v>441</v>
      </c>
      <c r="C51" s="69"/>
      <c r="D51" s="69">
        <v>55849.175000000003</v>
      </c>
      <c r="E51" s="69">
        <v>55849.175000000003</v>
      </c>
      <c r="F51" s="68">
        <f t="shared" si="1"/>
        <v>3462.64885</v>
      </c>
      <c r="G51" s="69">
        <v>55849.175000000003</v>
      </c>
      <c r="H51" s="69">
        <f t="shared" si="2"/>
        <v>809.81303750000006</v>
      </c>
      <c r="I51" s="69">
        <v>7000</v>
      </c>
      <c r="J51" s="69">
        <f t="shared" si="3"/>
        <v>42</v>
      </c>
      <c r="K51" s="69">
        <v>11700</v>
      </c>
      <c r="L51" s="69">
        <f t="shared" si="4"/>
        <v>35.1</v>
      </c>
      <c r="M51" s="69">
        <f t="shared" si="5"/>
        <v>4349.5618875</v>
      </c>
    </row>
    <row r="52" spans="1:13">
      <c r="A52" s="43">
        <f t="shared" si="6"/>
        <v>41</v>
      </c>
      <c r="B52" s="37" t="s">
        <v>442</v>
      </c>
      <c r="C52" s="69"/>
      <c r="D52" s="69">
        <v>65190.743749999994</v>
      </c>
      <c r="E52" s="69">
        <v>65190.743749999994</v>
      </c>
      <c r="F52" s="68">
        <f t="shared" si="1"/>
        <v>4041.8261124999995</v>
      </c>
      <c r="G52" s="69">
        <v>65190.743749999994</v>
      </c>
      <c r="H52" s="69">
        <f t="shared" si="2"/>
        <v>945.26578437499995</v>
      </c>
      <c r="I52" s="69">
        <v>7000</v>
      </c>
      <c r="J52" s="69">
        <f t="shared" si="3"/>
        <v>42</v>
      </c>
      <c r="K52" s="69">
        <v>11700</v>
      </c>
      <c r="L52" s="69">
        <f t="shared" si="4"/>
        <v>35.1</v>
      </c>
      <c r="M52" s="69">
        <f t="shared" si="5"/>
        <v>5064.1918968749997</v>
      </c>
    </row>
    <row r="53" spans="1:13">
      <c r="A53" s="43">
        <f t="shared" si="6"/>
        <v>42</v>
      </c>
      <c r="B53" s="37" t="s">
        <v>443</v>
      </c>
      <c r="C53" s="69"/>
      <c r="D53" s="69">
        <v>107325.0475</v>
      </c>
      <c r="E53" s="69">
        <v>107325.0475</v>
      </c>
      <c r="F53" s="68">
        <f t="shared" si="1"/>
        <v>6654.1529449999998</v>
      </c>
      <c r="G53" s="69">
        <v>107325.0475</v>
      </c>
      <c r="H53" s="69">
        <f t="shared" si="2"/>
        <v>1556.2131887500002</v>
      </c>
      <c r="I53" s="69">
        <v>7000</v>
      </c>
      <c r="J53" s="69">
        <f t="shared" si="3"/>
        <v>42</v>
      </c>
      <c r="K53" s="69">
        <v>11700</v>
      </c>
      <c r="L53" s="69">
        <f t="shared" si="4"/>
        <v>35.1</v>
      </c>
      <c r="M53" s="69">
        <f t="shared" si="5"/>
        <v>8287.4661337500002</v>
      </c>
    </row>
    <row r="54" spans="1:13">
      <c r="A54" s="43">
        <f t="shared" si="6"/>
        <v>43</v>
      </c>
      <c r="B54" s="37" t="s">
        <v>444</v>
      </c>
      <c r="C54" s="69"/>
      <c r="D54" s="69">
        <v>56762.5</v>
      </c>
      <c r="E54" s="69">
        <v>56762.5</v>
      </c>
      <c r="F54" s="68">
        <f t="shared" si="1"/>
        <v>3519.2750000000001</v>
      </c>
      <c r="G54" s="69">
        <v>56762.5</v>
      </c>
      <c r="H54" s="69">
        <f t="shared" si="2"/>
        <v>823.05625000000009</v>
      </c>
      <c r="I54" s="69">
        <v>7000</v>
      </c>
      <c r="J54" s="69">
        <f t="shared" si="3"/>
        <v>42</v>
      </c>
      <c r="K54" s="69">
        <v>11700</v>
      </c>
      <c r="L54" s="69">
        <f t="shared" si="4"/>
        <v>35.1</v>
      </c>
      <c r="M54" s="69">
        <f t="shared" si="5"/>
        <v>4419.4312500000005</v>
      </c>
    </row>
    <row r="55" spans="1:13">
      <c r="A55" s="43">
        <f t="shared" si="6"/>
        <v>44</v>
      </c>
      <c r="B55" s="37" t="s">
        <v>445</v>
      </c>
      <c r="C55" s="69"/>
      <c r="D55" s="69">
        <v>47614.717499999999</v>
      </c>
      <c r="E55" s="69">
        <v>47614.717499999999</v>
      </c>
      <c r="F55" s="68">
        <f t="shared" si="1"/>
        <v>2952.1124850000001</v>
      </c>
      <c r="G55" s="69">
        <v>47614.717499999999</v>
      </c>
      <c r="H55" s="69">
        <f t="shared" si="2"/>
        <v>690.41340375000004</v>
      </c>
      <c r="I55" s="69">
        <v>7000</v>
      </c>
      <c r="J55" s="69">
        <f t="shared" si="3"/>
        <v>42</v>
      </c>
      <c r="K55" s="69">
        <v>11700</v>
      </c>
      <c r="L55" s="69">
        <f t="shared" si="4"/>
        <v>35.1</v>
      </c>
      <c r="M55" s="69">
        <f t="shared" si="5"/>
        <v>3719.6258887500003</v>
      </c>
    </row>
    <row r="56" spans="1:13">
      <c r="A56" s="43">
        <f t="shared" si="6"/>
        <v>45</v>
      </c>
      <c r="B56" s="37" t="s">
        <v>446</v>
      </c>
      <c r="C56" s="69"/>
      <c r="D56" s="69">
        <v>106022.76749999999</v>
      </c>
      <c r="E56" s="69">
        <v>106022.76749999999</v>
      </c>
      <c r="F56" s="68">
        <f t="shared" si="1"/>
        <v>6573.4115849999989</v>
      </c>
      <c r="G56" s="69">
        <v>106022.76749999999</v>
      </c>
      <c r="H56" s="69">
        <f t="shared" si="2"/>
        <v>1537.3301287499999</v>
      </c>
      <c r="I56" s="69">
        <v>7000</v>
      </c>
      <c r="J56" s="69">
        <f t="shared" si="3"/>
        <v>42</v>
      </c>
      <c r="K56" s="69">
        <v>11700</v>
      </c>
      <c r="L56" s="69">
        <f t="shared" si="4"/>
        <v>35.1</v>
      </c>
      <c r="M56" s="69">
        <f t="shared" si="5"/>
        <v>8187.8417137499991</v>
      </c>
    </row>
    <row r="57" spans="1:13">
      <c r="A57" s="43">
        <f t="shared" si="6"/>
        <v>46</v>
      </c>
      <c r="B57" s="37" t="s">
        <v>447</v>
      </c>
      <c r="C57" s="69"/>
      <c r="D57" s="69">
        <v>82814.299999999988</v>
      </c>
      <c r="E57" s="69">
        <v>82814.299999999988</v>
      </c>
      <c r="F57" s="68">
        <f t="shared" si="1"/>
        <v>5134.4865999999993</v>
      </c>
      <c r="G57" s="69">
        <v>82814.299999999988</v>
      </c>
      <c r="H57" s="69">
        <f t="shared" si="2"/>
        <v>1200.8073499999998</v>
      </c>
      <c r="I57" s="69">
        <v>7000</v>
      </c>
      <c r="J57" s="69">
        <f t="shared" si="3"/>
        <v>42</v>
      </c>
      <c r="K57" s="69">
        <v>11700</v>
      </c>
      <c r="L57" s="69">
        <f t="shared" si="4"/>
        <v>35.1</v>
      </c>
      <c r="M57" s="69">
        <f t="shared" si="5"/>
        <v>6412.3939499999997</v>
      </c>
    </row>
    <row r="58" spans="1:13">
      <c r="A58" s="43">
        <f t="shared" si="6"/>
        <v>47</v>
      </c>
      <c r="B58" s="37" t="s">
        <v>448</v>
      </c>
      <c r="C58" s="69"/>
      <c r="D58" s="69">
        <v>81388.919999999984</v>
      </c>
      <c r="E58" s="69">
        <v>81388.919999999984</v>
      </c>
      <c r="F58" s="68">
        <f t="shared" si="1"/>
        <v>5046.1130399999993</v>
      </c>
      <c r="G58" s="69">
        <v>81388.919999999984</v>
      </c>
      <c r="H58" s="69">
        <f t="shared" si="2"/>
        <v>1180.1393399999997</v>
      </c>
      <c r="I58" s="69">
        <v>7000</v>
      </c>
      <c r="J58" s="69">
        <f t="shared" si="3"/>
        <v>42</v>
      </c>
      <c r="K58" s="69">
        <v>11700</v>
      </c>
      <c r="L58" s="69">
        <f t="shared" si="4"/>
        <v>35.1</v>
      </c>
      <c r="M58" s="69">
        <f t="shared" si="5"/>
        <v>6303.3523799999994</v>
      </c>
    </row>
    <row r="59" spans="1:13">
      <c r="A59" s="43">
        <f t="shared" si="6"/>
        <v>48</v>
      </c>
      <c r="B59" s="37" t="s">
        <v>449</v>
      </c>
      <c r="C59" s="69"/>
      <c r="D59" s="69">
        <v>71533.31749999999</v>
      </c>
      <c r="E59" s="69">
        <v>71533.31749999999</v>
      </c>
      <c r="F59" s="68">
        <f t="shared" si="1"/>
        <v>4435.0656849999996</v>
      </c>
      <c r="G59" s="69">
        <v>71533.31749999999</v>
      </c>
      <c r="H59" s="69">
        <f t="shared" si="2"/>
        <v>1037.2331037499998</v>
      </c>
      <c r="I59" s="69">
        <v>7000</v>
      </c>
      <c r="J59" s="69">
        <f t="shared" si="3"/>
        <v>42</v>
      </c>
      <c r="K59" s="69">
        <v>11700</v>
      </c>
      <c r="L59" s="69">
        <f t="shared" si="4"/>
        <v>35.1</v>
      </c>
      <c r="M59" s="69">
        <f t="shared" si="5"/>
        <v>5549.3987887499998</v>
      </c>
    </row>
    <row r="60" spans="1:13">
      <c r="A60" s="43">
        <f t="shared" si="6"/>
        <v>49</v>
      </c>
      <c r="B60" s="37" t="s">
        <v>450</v>
      </c>
      <c r="C60" s="69"/>
      <c r="D60" s="69">
        <v>43960.956250000003</v>
      </c>
      <c r="E60" s="69">
        <v>43960.956250000003</v>
      </c>
      <c r="F60" s="68">
        <f t="shared" si="1"/>
        <v>2725.5792875000002</v>
      </c>
      <c r="G60" s="69">
        <v>43960.956250000003</v>
      </c>
      <c r="H60" s="69">
        <f t="shared" si="2"/>
        <v>637.43386562500007</v>
      </c>
      <c r="I60" s="69">
        <v>7000</v>
      </c>
      <c r="J60" s="69">
        <f t="shared" si="3"/>
        <v>42</v>
      </c>
      <c r="K60" s="69">
        <v>11700</v>
      </c>
      <c r="L60" s="69">
        <f t="shared" si="4"/>
        <v>35.1</v>
      </c>
      <c r="M60" s="69">
        <f t="shared" si="5"/>
        <v>3440.1131531250003</v>
      </c>
    </row>
    <row r="61" spans="1:13">
      <c r="A61" s="43">
        <f t="shared" si="6"/>
        <v>50</v>
      </c>
      <c r="B61" s="37" t="s">
        <v>451</v>
      </c>
      <c r="C61" s="69"/>
      <c r="D61" s="69">
        <v>44825.143750000003</v>
      </c>
      <c r="E61" s="69">
        <v>44825.143750000003</v>
      </c>
      <c r="F61" s="68">
        <f t="shared" si="1"/>
        <v>2779.1589125</v>
      </c>
      <c r="G61" s="69">
        <v>44825.143750000003</v>
      </c>
      <c r="H61" s="69">
        <f t="shared" si="2"/>
        <v>649.96458437500007</v>
      </c>
      <c r="I61" s="69">
        <v>7000</v>
      </c>
      <c r="J61" s="69">
        <f t="shared" si="3"/>
        <v>42</v>
      </c>
      <c r="K61" s="69">
        <v>11700</v>
      </c>
      <c r="L61" s="69">
        <f t="shared" si="4"/>
        <v>35.1</v>
      </c>
      <c r="M61" s="69">
        <f t="shared" si="5"/>
        <v>3506.2234968749999</v>
      </c>
    </row>
    <row r="62" spans="1:13">
      <c r="A62" s="43">
        <f t="shared" si="6"/>
        <v>51</v>
      </c>
      <c r="B62" s="37" t="s">
        <v>452</v>
      </c>
      <c r="C62" s="69"/>
      <c r="D62" s="69">
        <v>44479.46875</v>
      </c>
      <c r="E62" s="69">
        <v>44479.46875</v>
      </c>
      <c r="F62" s="68">
        <f t="shared" si="1"/>
        <v>2757.7270625000001</v>
      </c>
      <c r="G62" s="69">
        <v>44479.46875</v>
      </c>
      <c r="H62" s="69">
        <f t="shared" si="2"/>
        <v>644.952296875</v>
      </c>
      <c r="I62" s="69">
        <v>7000</v>
      </c>
      <c r="J62" s="69">
        <f t="shared" si="3"/>
        <v>42</v>
      </c>
      <c r="K62" s="69">
        <v>11700</v>
      </c>
      <c r="L62" s="69">
        <f t="shared" si="4"/>
        <v>35.1</v>
      </c>
      <c r="M62" s="69">
        <f t="shared" si="5"/>
        <v>3479.7793593749998</v>
      </c>
    </row>
    <row r="63" spans="1:13">
      <c r="A63" s="43">
        <f t="shared" si="6"/>
        <v>52</v>
      </c>
      <c r="B63" s="37" t="s">
        <v>453</v>
      </c>
      <c r="C63" s="69"/>
      <c r="D63" s="69">
        <v>87346.559999999983</v>
      </c>
      <c r="E63" s="69">
        <v>87346.559999999983</v>
      </c>
      <c r="F63" s="68">
        <f t="shared" si="1"/>
        <v>5415.486719999999</v>
      </c>
      <c r="G63" s="69">
        <v>87346.559999999983</v>
      </c>
      <c r="H63" s="69">
        <f t="shared" si="2"/>
        <v>1266.5251199999998</v>
      </c>
      <c r="I63" s="69">
        <v>7000</v>
      </c>
      <c r="J63" s="69">
        <f t="shared" si="3"/>
        <v>42</v>
      </c>
      <c r="K63" s="69">
        <v>11700</v>
      </c>
      <c r="L63" s="69">
        <f t="shared" si="4"/>
        <v>35.1</v>
      </c>
      <c r="M63" s="69">
        <f t="shared" si="5"/>
        <v>6759.1118399999996</v>
      </c>
    </row>
    <row r="64" spans="1:13">
      <c r="A64" s="43">
        <f t="shared" si="6"/>
        <v>53</v>
      </c>
      <c r="B64" s="37" t="s">
        <v>454</v>
      </c>
      <c r="C64" s="69"/>
      <c r="D64" s="69">
        <v>81691.924999999988</v>
      </c>
      <c r="E64" s="69">
        <v>81691.924999999988</v>
      </c>
      <c r="F64" s="68">
        <f t="shared" si="1"/>
        <v>5064.8993499999997</v>
      </c>
      <c r="G64" s="69">
        <v>81691.924999999988</v>
      </c>
      <c r="H64" s="69">
        <f t="shared" si="2"/>
        <v>1184.5329124999998</v>
      </c>
      <c r="I64" s="69">
        <v>7000</v>
      </c>
      <c r="J64" s="69">
        <f t="shared" si="3"/>
        <v>42</v>
      </c>
      <c r="K64" s="69">
        <v>11700</v>
      </c>
      <c r="L64" s="69">
        <f t="shared" si="4"/>
        <v>35.1</v>
      </c>
      <c r="M64" s="69">
        <f t="shared" si="5"/>
        <v>6326.5322624999999</v>
      </c>
    </row>
    <row r="65" spans="1:13">
      <c r="A65" s="43">
        <f t="shared" si="6"/>
        <v>54</v>
      </c>
      <c r="B65" s="37" t="s">
        <v>455</v>
      </c>
      <c r="C65" s="69"/>
      <c r="D65" s="69">
        <v>76761.14</v>
      </c>
      <c r="E65" s="69">
        <v>76761.14</v>
      </c>
      <c r="F65" s="68">
        <f t="shared" si="1"/>
        <v>4759.1906799999997</v>
      </c>
      <c r="G65" s="69">
        <v>76761.14</v>
      </c>
      <c r="H65" s="69">
        <f t="shared" si="2"/>
        <v>1113.0365300000001</v>
      </c>
      <c r="I65" s="69">
        <v>7000</v>
      </c>
      <c r="J65" s="69">
        <f t="shared" si="3"/>
        <v>42</v>
      </c>
      <c r="K65" s="69">
        <v>11700</v>
      </c>
      <c r="L65" s="69">
        <f t="shared" si="4"/>
        <v>35.1</v>
      </c>
      <c r="M65" s="69">
        <f t="shared" si="5"/>
        <v>5949.3272100000004</v>
      </c>
    </row>
    <row r="66" spans="1:13">
      <c r="A66" s="43">
        <f t="shared" si="6"/>
        <v>55</v>
      </c>
      <c r="B66" s="37" t="s">
        <v>456</v>
      </c>
      <c r="C66" s="69"/>
      <c r="D66" s="69">
        <v>43693.84375</v>
      </c>
      <c r="E66" s="69">
        <v>43693.84375</v>
      </c>
      <c r="F66" s="68">
        <f t="shared" si="1"/>
        <v>2709.0183124999999</v>
      </c>
      <c r="G66" s="69">
        <v>43693.84375</v>
      </c>
      <c r="H66" s="69">
        <f t="shared" si="2"/>
        <v>633.56073437500004</v>
      </c>
      <c r="I66" s="69">
        <v>7000</v>
      </c>
      <c r="J66" s="69">
        <f t="shared" si="3"/>
        <v>42</v>
      </c>
      <c r="K66" s="69">
        <v>11700</v>
      </c>
      <c r="L66" s="69">
        <f t="shared" si="4"/>
        <v>35.1</v>
      </c>
      <c r="M66" s="69">
        <f t="shared" si="5"/>
        <v>3419.679046875</v>
      </c>
    </row>
    <row r="67" spans="1:13">
      <c r="A67" s="43">
        <f t="shared" si="6"/>
        <v>56</v>
      </c>
      <c r="B67" s="37" t="s">
        <v>457</v>
      </c>
      <c r="C67" s="69"/>
      <c r="D67" s="69">
        <v>65059.39</v>
      </c>
      <c r="E67" s="69">
        <v>65059.39</v>
      </c>
      <c r="F67" s="68">
        <f t="shared" si="1"/>
        <v>4033.6821799999998</v>
      </c>
      <c r="G67" s="69">
        <v>65059.39</v>
      </c>
      <c r="H67" s="69">
        <f t="shared" si="2"/>
        <v>943.36115500000005</v>
      </c>
      <c r="I67" s="69">
        <v>7000</v>
      </c>
      <c r="J67" s="69">
        <f t="shared" si="3"/>
        <v>42</v>
      </c>
      <c r="K67" s="69">
        <v>11700</v>
      </c>
      <c r="L67" s="69">
        <f t="shared" si="4"/>
        <v>35.1</v>
      </c>
      <c r="M67" s="69">
        <f t="shared" si="5"/>
        <v>5054.1433350000007</v>
      </c>
    </row>
    <row r="68" spans="1:13">
      <c r="A68" s="43">
        <f t="shared" si="6"/>
        <v>57</v>
      </c>
      <c r="B68" s="37" t="s">
        <v>458</v>
      </c>
      <c r="C68" s="69"/>
      <c r="D68" s="69">
        <v>95520.375</v>
      </c>
      <c r="E68" s="69">
        <v>95520.375</v>
      </c>
      <c r="F68" s="68">
        <f t="shared" si="1"/>
        <v>5922.26325</v>
      </c>
      <c r="G68" s="69">
        <v>95520.375</v>
      </c>
      <c r="H68" s="69">
        <f t="shared" si="2"/>
        <v>1385.0454375000002</v>
      </c>
      <c r="I68" s="69">
        <v>7000</v>
      </c>
      <c r="J68" s="69">
        <f t="shared" si="3"/>
        <v>42</v>
      </c>
      <c r="K68" s="69">
        <v>11700</v>
      </c>
      <c r="L68" s="69">
        <f t="shared" si="4"/>
        <v>35.1</v>
      </c>
      <c r="M68" s="69">
        <f t="shared" si="5"/>
        <v>7384.4086875000003</v>
      </c>
    </row>
    <row r="69" spans="1:13">
      <c r="A69" s="43">
        <f t="shared" si="6"/>
        <v>58</v>
      </c>
      <c r="B69" s="37" t="s">
        <v>459</v>
      </c>
      <c r="C69" s="69"/>
      <c r="D69" s="69">
        <v>43984.525000000001</v>
      </c>
      <c r="E69" s="69">
        <v>43984.525000000001</v>
      </c>
      <c r="F69" s="68">
        <f t="shared" si="1"/>
        <v>2727.0405500000002</v>
      </c>
      <c r="G69" s="69">
        <v>43984.525000000001</v>
      </c>
      <c r="H69" s="69">
        <f t="shared" si="2"/>
        <v>637.77561250000008</v>
      </c>
      <c r="I69" s="69">
        <v>7000</v>
      </c>
      <c r="J69" s="69">
        <f t="shared" si="3"/>
        <v>42</v>
      </c>
      <c r="K69" s="69">
        <v>11700</v>
      </c>
      <c r="L69" s="69">
        <f t="shared" si="4"/>
        <v>35.1</v>
      </c>
      <c r="M69" s="69">
        <f t="shared" si="5"/>
        <v>3441.9161625000002</v>
      </c>
    </row>
    <row r="70" spans="1:13">
      <c r="A70" s="43">
        <f t="shared" si="6"/>
        <v>59</v>
      </c>
      <c r="B70" s="37" t="s">
        <v>460</v>
      </c>
      <c r="C70" s="69"/>
      <c r="D70" s="69">
        <v>51098.259999999995</v>
      </c>
      <c r="E70" s="69">
        <v>51098.259999999995</v>
      </c>
      <c r="F70" s="68">
        <f t="shared" si="1"/>
        <v>3168.0921199999998</v>
      </c>
      <c r="G70" s="69">
        <v>51098.259999999995</v>
      </c>
      <c r="H70" s="69">
        <f t="shared" si="2"/>
        <v>740.92476999999997</v>
      </c>
      <c r="I70" s="69">
        <v>7000</v>
      </c>
      <c r="J70" s="69">
        <f t="shared" si="3"/>
        <v>42</v>
      </c>
      <c r="K70" s="69">
        <v>11700</v>
      </c>
      <c r="L70" s="69">
        <f t="shared" si="4"/>
        <v>35.1</v>
      </c>
      <c r="M70" s="69">
        <f t="shared" si="5"/>
        <v>3986.1168899999998</v>
      </c>
    </row>
    <row r="71" spans="1:13">
      <c r="A71" s="43">
        <f t="shared" si="6"/>
        <v>60</v>
      </c>
      <c r="B71" s="37" t="s">
        <v>461</v>
      </c>
      <c r="C71" s="69"/>
      <c r="D71" s="69">
        <v>45115.824999999997</v>
      </c>
      <c r="E71" s="69">
        <v>45115.824999999997</v>
      </c>
      <c r="F71" s="68">
        <f t="shared" si="1"/>
        <v>2797.1811499999999</v>
      </c>
      <c r="G71" s="69">
        <v>45115.824999999997</v>
      </c>
      <c r="H71" s="69">
        <f t="shared" si="2"/>
        <v>654.1794625</v>
      </c>
      <c r="I71" s="69">
        <v>7000</v>
      </c>
      <c r="J71" s="69">
        <f t="shared" si="3"/>
        <v>42</v>
      </c>
      <c r="K71" s="69">
        <v>11700</v>
      </c>
      <c r="L71" s="69">
        <f t="shared" si="4"/>
        <v>35.1</v>
      </c>
      <c r="M71" s="69">
        <f t="shared" si="5"/>
        <v>3528.4606124999996</v>
      </c>
    </row>
    <row r="72" spans="1:13">
      <c r="A72" s="43">
        <f t="shared" si="6"/>
        <v>61</v>
      </c>
      <c r="B72" s="37" t="s">
        <v>559</v>
      </c>
      <c r="C72" s="69"/>
      <c r="D72" s="69">
        <v>84995.625</v>
      </c>
      <c r="E72" s="69">
        <v>84995.625</v>
      </c>
      <c r="F72" s="68">
        <f t="shared" si="1"/>
        <v>5269.7287500000002</v>
      </c>
      <c r="G72" s="69">
        <v>84995.625</v>
      </c>
      <c r="H72" s="69">
        <f t="shared" si="2"/>
        <v>1232.4365625</v>
      </c>
      <c r="I72" s="69">
        <v>7000</v>
      </c>
      <c r="J72" s="69">
        <f t="shared" si="3"/>
        <v>42</v>
      </c>
      <c r="K72" s="69">
        <v>11700</v>
      </c>
      <c r="L72" s="69">
        <f t="shared" si="4"/>
        <v>35.1</v>
      </c>
      <c r="M72" s="69">
        <f t="shared" si="5"/>
        <v>6579.2653125000006</v>
      </c>
    </row>
    <row r="73" spans="1:13">
      <c r="A73" s="43">
        <f t="shared" si="6"/>
        <v>62</v>
      </c>
      <c r="B73" s="37" t="s">
        <v>560</v>
      </c>
      <c r="C73" s="69"/>
      <c r="D73" s="69">
        <v>44463.756249999999</v>
      </c>
      <c r="E73" s="69">
        <v>44463.756249999999</v>
      </c>
      <c r="F73" s="68">
        <f t="shared" si="1"/>
        <v>2756.7528874999998</v>
      </c>
      <c r="G73" s="69">
        <v>44463.756249999999</v>
      </c>
      <c r="H73" s="69">
        <f t="shared" si="2"/>
        <v>644.72446562499999</v>
      </c>
      <c r="I73" s="69">
        <v>7000</v>
      </c>
      <c r="J73" s="69">
        <f t="shared" si="3"/>
        <v>42</v>
      </c>
      <c r="K73" s="69">
        <v>11700</v>
      </c>
      <c r="L73" s="69">
        <f t="shared" si="4"/>
        <v>35.1</v>
      </c>
      <c r="M73" s="69">
        <f t="shared" si="5"/>
        <v>3478.5773531249997</v>
      </c>
    </row>
    <row r="74" spans="1:13">
      <c r="A74" s="43">
        <f t="shared" si="6"/>
        <v>63</v>
      </c>
      <c r="B74" s="37" t="s">
        <v>462</v>
      </c>
      <c r="C74" s="69"/>
      <c r="D74" s="69">
        <v>16369.56</v>
      </c>
      <c r="E74" s="69">
        <v>16369.56</v>
      </c>
      <c r="F74" s="68">
        <f t="shared" si="1"/>
        <v>1014.9127199999999</v>
      </c>
      <c r="G74" s="69">
        <v>16369.56</v>
      </c>
      <c r="H74" s="69">
        <f t="shared" si="2"/>
        <v>237.35862</v>
      </c>
      <c r="I74" s="69">
        <v>7000</v>
      </c>
      <c r="J74" s="69">
        <f t="shared" si="3"/>
        <v>42</v>
      </c>
      <c r="K74" s="69">
        <v>11700</v>
      </c>
      <c r="L74" s="69">
        <f t="shared" si="4"/>
        <v>35.1</v>
      </c>
      <c r="M74" s="69">
        <f t="shared" si="5"/>
        <v>1329.3713399999999</v>
      </c>
    </row>
    <row r="75" spans="1:13">
      <c r="A75" s="43">
        <f t="shared" si="6"/>
        <v>64</v>
      </c>
      <c r="B75" s="37" t="s">
        <v>463</v>
      </c>
      <c r="C75" s="69"/>
      <c r="D75" s="69">
        <v>1559.44</v>
      </c>
      <c r="E75" s="69">
        <v>1559.44</v>
      </c>
      <c r="F75" s="68">
        <f t="shared" si="1"/>
        <v>96.685280000000006</v>
      </c>
      <c r="G75" s="69">
        <v>1559.44</v>
      </c>
      <c r="H75" s="69">
        <f t="shared" si="2"/>
        <v>22.611880000000003</v>
      </c>
      <c r="I75" s="69">
        <v>7000</v>
      </c>
      <c r="J75" s="69">
        <f t="shared" si="3"/>
        <v>42</v>
      </c>
      <c r="K75" s="69">
        <v>1559.44</v>
      </c>
      <c r="L75" s="69">
        <f t="shared" si="4"/>
        <v>4.6783200000000003</v>
      </c>
      <c r="M75" s="69">
        <f t="shared" si="5"/>
        <v>165.97548000000003</v>
      </c>
    </row>
    <row r="76" spans="1:13">
      <c r="A76" s="43">
        <f t="shared" si="6"/>
        <v>65</v>
      </c>
      <c r="B76" s="37" t="s">
        <v>464</v>
      </c>
      <c r="C76" s="69"/>
      <c r="D76" s="69">
        <v>0</v>
      </c>
      <c r="E76" s="69">
        <v>0</v>
      </c>
      <c r="F76" s="68">
        <f t="shared" si="1"/>
        <v>0</v>
      </c>
      <c r="G76" s="69">
        <v>0</v>
      </c>
      <c r="H76" s="69">
        <f t="shared" si="2"/>
        <v>0</v>
      </c>
      <c r="I76" s="69">
        <v>0</v>
      </c>
      <c r="J76" s="69">
        <f t="shared" si="3"/>
        <v>0</v>
      </c>
      <c r="K76" s="69">
        <v>0</v>
      </c>
      <c r="L76" s="69">
        <f t="shared" si="4"/>
        <v>0</v>
      </c>
      <c r="M76" s="69">
        <f t="shared" si="5"/>
        <v>0</v>
      </c>
    </row>
    <row r="77" spans="1:13">
      <c r="A77" s="43">
        <f t="shared" si="6"/>
        <v>66</v>
      </c>
      <c r="B77" s="37" t="s">
        <v>465</v>
      </c>
      <c r="C77" s="69"/>
      <c r="D77" s="69">
        <v>0</v>
      </c>
      <c r="E77" s="69">
        <v>0</v>
      </c>
      <c r="F77" s="68">
        <f t="shared" ref="F77:F78" si="7">E77*$F$10</f>
        <v>0</v>
      </c>
      <c r="G77" s="69">
        <v>0</v>
      </c>
      <c r="H77" s="69">
        <f t="shared" ref="H77:H78" si="8">G77*$H$10</f>
        <v>0</v>
      </c>
      <c r="I77" s="69">
        <v>0</v>
      </c>
      <c r="J77" s="69">
        <f t="shared" ref="J77:J78" si="9">I77*$J$10</f>
        <v>0</v>
      </c>
      <c r="K77" s="69">
        <v>0</v>
      </c>
      <c r="L77" s="69">
        <f t="shared" ref="L77:L78" si="10">K77*$L$10</f>
        <v>0</v>
      </c>
      <c r="M77" s="69">
        <f t="shared" ref="M77:M78" si="11">F77+H77+J77+L77</f>
        <v>0</v>
      </c>
    </row>
    <row r="78" spans="1:13">
      <c r="A78" s="43">
        <f t="shared" ref="A78:A101" si="12">A77+1</f>
        <v>67</v>
      </c>
      <c r="B78" s="37" t="s">
        <v>466</v>
      </c>
      <c r="C78" s="69"/>
      <c r="D78" s="173">
        <v>0</v>
      </c>
      <c r="E78" s="173">
        <v>0</v>
      </c>
      <c r="F78" s="173">
        <f t="shared" si="7"/>
        <v>0</v>
      </c>
      <c r="G78" s="173">
        <v>0</v>
      </c>
      <c r="H78" s="173">
        <f t="shared" si="8"/>
        <v>0</v>
      </c>
      <c r="I78" s="173">
        <v>0</v>
      </c>
      <c r="J78" s="173">
        <f t="shared" si="9"/>
        <v>0</v>
      </c>
      <c r="K78" s="173">
        <v>0</v>
      </c>
      <c r="L78" s="173">
        <f t="shared" si="10"/>
        <v>0</v>
      </c>
      <c r="M78" s="173">
        <f t="shared" si="11"/>
        <v>0</v>
      </c>
    </row>
    <row r="79" spans="1:13">
      <c r="A79" s="43">
        <f t="shared" si="12"/>
        <v>68</v>
      </c>
      <c r="B79" s="37" t="s">
        <v>109</v>
      </c>
      <c r="C79" s="37"/>
      <c r="E79" s="69"/>
      <c r="F79" s="88">
        <f>SUM(F12:F78)</f>
        <v>323119.12606500002</v>
      </c>
      <c r="H79" s="88">
        <f>SUM(H12:H78)</f>
        <v>76389.546228750027</v>
      </c>
      <c r="J79" s="88">
        <f>SUM(J12:J78)</f>
        <v>2688</v>
      </c>
      <c r="L79" s="88">
        <f>SUM(L12:L78)</f>
        <v>2215.9783199999974</v>
      </c>
      <c r="M79" s="88">
        <f>SUM(M12:M78)</f>
        <v>404412.6506137501</v>
      </c>
    </row>
    <row r="80" spans="1:13">
      <c r="A80" s="43">
        <f t="shared" si="12"/>
        <v>69</v>
      </c>
      <c r="C80" s="37"/>
    </row>
    <row r="81" spans="1:13">
      <c r="A81" s="43">
        <f t="shared" si="12"/>
        <v>70</v>
      </c>
      <c r="B81" s="37" t="s">
        <v>110</v>
      </c>
      <c r="C81" s="37"/>
      <c r="F81" s="89">
        <v>303912</v>
      </c>
      <c r="G81" s="89"/>
      <c r="H81" s="89">
        <v>72009</v>
      </c>
      <c r="I81" s="89"/>
      <c r="J81" s="89">
        <v>2781</v>
      </c>
      <c r="K81" s="89"/>
      <c r="L81" s="89">
        <v>2263</v>
      </c>
      <c r="M81" s="89">
        <f>F81+H81+J81+L81</f>
        <v>380965</v>
      </c>
    </row>
    <row r="82" spans="1:13">
      <c r="A82" s="43">
        <f t="shared" si="12"/>
        <v>71</v>
      </c>
      <c r="C82" s="37"/>
      <c r="F82" s="69"/>
      <c r="G82" s="69"/>
      <c r="H82" s="69"/>
      <c r="I82" s="69"/>
      <c r="J82" s="69"/>
      <c r="K82" s="69"/>
      <c r="L82" s="69"/>
      <c r="M82" s="69"/>
    </row>
    <row r="83" spans="1:13">
      <c r="A83" s="43">
        <f t="shared" si="12"/>
        <v>72</v>
      </c>
      <c r="B83" s="37" t="s">
        <v>90</v>
      </c>
      <c r="C83" s="37"/>
      <c r="F83" s="69">
        <f>F79</f>
        <v>323119.12606500002</v>
      </c>
      <c r="G83" s="69"/>
      <c r="H83" s="69">
        <f>H79</f>
        <v>76389.546228750027</v>
      </c>
      <c r="I83" s="69"/>
      <c r="J83" s="69">
        <f>J79</f>
        <v>2688</v>
      </c>
      <c r="K83" s="69"/>
      <c r="L83" s="69">
        <f>L79</f>
        <v>2215.9783199999974</v>
      </c>
      <c r="M83" s="69">
        <f>M79</f>
        <v>404412.6506137501</v>
      </c>
    </row>
    <row r="84" spans="1:13">
      <c r="A84" s="43">
        <f t="shared" si="12"/>
        <v>73</v>
      </c>
      <c r="C84" s="37"/>
      <c r="F84" s="69"/>
      <c r="G84" s="69"/>
      <c r="H84" s="69"/>
      <c r="I84" s="69"/>
      <c r="J84" s="69"/>
      <c r="K84" s="69"/>
      <c r="L84" s="69"/>
      <c r="M84" s="69"/>
    </row>
    <row r="85" spans="1:13">
      <c r="A85" s="43">
        <f t="shared" si="12"/>
        <v>74</v>
      </c>
      <c r="B85" s="37" t="s">
        <v>503</v>
      </c>
      <c r="C85" s="37"/>
      <c r="F85" s="69">
        <f>F83-F81</f>
        <v>19207.126065000019</v>
      </c>
      <c r="G85" s="69"/>
      <c r="H85" s="69">
        <f t="shared" ref="H85:M85" si="13">H83-H81</f>
        <v>4380.5462287500268</v>
      </c>
      <c r="I85" s="69"/>
      <c r="J85" s="69">
        <f t="shared" si="13"/>
        <v>-93</v>
      </c>
      <c r="K85" s="69"/>
      <c r="L85" s="69">
        <f t="shared" si="13"/>
        <v>-47.021680000002561</v>
      </c>
      <c r="M85" s="69">
        <f t="shared" si="13"/>
        <v>23447.650613750098</v>
      </c>
    </row>
    <row r="86" spans="1:13">
      <c r="A86" s="43">
        <f t="shared" si="12"/>
        <v>75</v>
      </c>
      <c r="C86" s="37"/>
      <c r="F86" s="69"/>
      <c r="G86" s="69"/>
      <c r="H86" s="69"/>
      <c r="I86" s="69"/>
      <c r="J86" s="69"/>
      <c r="K86" s="69"/>
      <c r="L86" s="69"/>
      <c r="M86" s="69"/>
    </row>
    <row r="87" spans="1:13">
      <c r="A87" s="43">
        <f t="shared" si="12"/>
        <v>76</v>
      </c>
      <c r="C87" s="37"/>
      <c r="F87" s="69"/>
      <c r="G87" s="69"/>
      <c r="H87" s="69"/>
      <c r="I87" s="69"/>
      <c r="J87" s="69"/>
      <c r="K87" s="69"/>
      <c r="L87" s="69"/>
      <c r="M87" s="69"/>
    </row>
    <row r="88" spans="1:13">
      <c r="A88" s="43">
        <f t="shared" si="12"/>
        <v>77</v>
      </c>
      <c r="B88" s="37" t="s">
        <v>509</v>
      </c>
      <c r="C88" s="37"/>
    </row>
    <row r="89" spans="1:13">
      <c r="A89" s="43">
        <f t="shared" si="12"/>
        <v>78</v>
      </c>
      <c r="C89" s="37"/>
      <c r="D89" s="42"/>
      <c r="E89" s="42"/>
      <c r="K89" s="4" t="s">
        <v>504</v>
      </c>
      <c r="L89" s="229" t="s">
        <v>383</v>
      </c>
      <c r="M89" s="229" t="s">
        <v>8</v>
      </c>
    </row>
    <row r="90" spans="1:13">
      <c r="A90" s="43">
        <f t="shared" si="12"/>
        <v>79</v>
      </c>
      <c r="C90" s="37"/>
      <c r="K90" s="5" t="s">
        <v>384</v>
      </c>
      <c r="L90" s="224">
        <v>0.12259540588971797</v>
      </c>
      <c r="M90" s="19">
        <f>$M$85*L90</f>
        <v>2874.5742441529878</v>
      </c>
    </row>
    <row r="91" spans="1:13">
      <c r="A91" s="43">
        <f t="shared" si="12"/>
        <v>80</v>
      </c>
      <c r="C91" s="37"/>
      <c r="K91" s="5" t="s">
        <v>386</v>
      </c>
      <c r="L91" s="224">
        <v>0.20220543660841139</v>
      </c>
      <c r="M91" s="19">
        <f>$M$85*L91</f>
        <v>4741.2424297948237</v>
      </c>
    </row>
    <row r="92" spans="1:13">
      <c r="A92" s="43">
        <f t="shared" si="12"/>
        <v>81</v>
      </c>
      <c r="C92" s="37"/>
      <c r="K92" s="5" t="s">
        <v>388</v>
      </c>
      <c r="L92" s="224">
        <v>0.10039625505814737</v>
      </c>
      <c r="M92" s="19">
        <f>$M$85*L92</f>
        <v>2354.0563115323803</v>
      </c>
    </row>
    <row r="93" spans="1:13">
      <c r="A93" s="43">
        <f t="shared" si="12"/>
        <v>82</v>
      </c>
      <c r="C93" s="37"/>
      <c r="K93" s="5" t="s">
        <v>505</v>
      </c>
      <c r="L93" s="224">
        <v>2.0355009061798761E-2</v>
      </c>
      <c r="M93" s="19">
        <f>$M$85*L93</f>
        <v>477.27714072077453</v>
      </c>
    </row>
    <row r="94" spans="1:13">
      <c r="A94" s="43">
        <f t="shared" si="12"/>
        <v>83</v>
      </c>
      <c r="C94" s="37"/>
      <c r="K94" s="5" t="s">
        <v>389</v>
      </c>
      <c r="L94" s="224">
        <v>0.12106005977373557</v>
      </c>
      <c r="M94" s="19">
        <f>$M$85*L94</f>
        <v>2838.5739848542544</v>
      </c>
    </row>
    <row r="95" spans="1:13">
      <c r="A95" s="43">
        <f t="shared" si="12"/>
        <v>84</v>
      </c>
      <c r="C95" s="37"/>
      <c r="K95" s="259" t="s">
        <v>506</v>
      </c>
      <c r="L95" s="232">
        <v>0.56661216639181111</v>
      </c>
      <c r="M95" s="314">
        <f>SUM(M90:M94)</f>
        <v>13285.72411105522</v>
      </c>
    </row>
    <row r="96" spans="1:13">
      <c r="A96" s="43">
        <f t="shared" si="12"/>
        <v>85</v>
      </c>
      <c r="C96" s="37"/>
      <c r="K96" s="5"/>
      <c r="L96" s="224"/>
      <c r="M96" s="2"/>
    </row>
    <row r="97" spans="1:13">
      <c r="A97" s="43">
        <f t="shared" si="12"/>
        <v>86</v>
      </c>
      <c r="C97" s="37"/>
      <c r="K97" s="5" t="s">
        <v>507</v>
      </c>
      <c r="L97" s="224">
        <v>0.30993156664551791</v>
      </c>
      <c r="M97" s="19">
        <f>$M$85*L97</f>
        <v>7267.1670888763074</v>
      </c>
    </row>
    <row r="98" spans="1:13">
      <c r="A98" s="43">
        <f t="shared" si="12"/>
        <v>87</v>
      </c>
      <c r="C98" s="37"/>
      <c r="K98" s="5" t="s">
        <v>508</v>
      </c>
      <c r="L98" s="224">
        <v>0.12345626696267104</v>
      </c>
      <c r="M98" s="19">
        <f>$M$85*L98</f>
        <v>2894.7594138185696</v>
      </c>
    </row>
    <row r="99" spans="1:13">
      <c r="A99" s="43">
        <f t="shared" si="12"/>
        <v>88</v>
      </c>
      <c r="C99" s="37"/>
      <c r="K99" s="55"/>
      <c r="L99" s="232">
        <v>0.43338783360818894</v>
      </c>
      <c r="M99" s="260">
        <f>SUM(M97:M98)</f>
        <v>10161.926502694878</v>
      </c>
    </row>
    <row r="100" spans="1:13">
      <c r="A100" s="43">
        <f t="shared" si="12"/>
        <v>89</v>
      </c>
      <c r="C100" s="37"/>
      <c r="K100" s="5"/>
      <c r="L100" s="224"/>
      <c r="M100" s="2"/>
    </row>
    <row r="101" spans="1:13" ht="13.5" thickBot="1">
      <c r="A101" s="43">
        <f t="shared" si="12"/>
        <v>90</v>
      </c>
      <c r="C101" s="37"/>
      <c r="K101" s="225"/>
      <c r="L101" s="226">
        <v>1</v>
      </c>
      <c r="M101" s="235">
        <f>M95+M99</f>
        <v>23447.650613750098</v>
      </c>
    </row>
    <row r="102" spans="1:13" ht="13.5" thickTop="1">
      <c r="A102" s="37"/>
      <c r="C102" s="37"/>
      <c r="L102" s="245"/>
    </row>
    <row r="103" spans="1:13">
      <c r="A103" s="37"/>
      <c r="C103" s="37"/>
    </row>
    <row r="104" spans="1:13">
      <c r="A104" s="37"/>
      <c r="C104" s="37"/>
    </row>
    <row r="105" spans="1:13">
      <c r="A105" s="37"/>
      <c r="C105" s="37"/>
    </row>
    <row r="106" spans="1:13">
      <c r="A106" s="37"/>
      <c r="C106" s="37"/>
    </row>
    <row r="107" spans="1:13">
      <c r="A107" s="37"/>
      <c r="C107" s="37"/>
    </row>
    <row r="108" spans="1:13">
      <c r="A108" s="37"/>
      <c r="C108" s="37"/>
    </row>
    <row r="109" spans="1:13">
      <c r="A109" s="37"/>
      <c r="C109" s="37"/>
    </row>
    <row r="110" spans="1:13">
      <c r="A110" s="37"/>
      <c r="C110" s="37"/>
    </row>
    <row r="111" spans="1:13">
      <c r="A111" s="37"/>
      <c r="C111" s="37"/>
    </row>
    <row r="112" spans="1:13">
      <c r="A112" s="37"/>
      <c r="C112" s="37"/>
    </row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</sheetData>
  <mergeCells count="8">
    <mergeCell ref="B3:M3"/>
    <mergeCell ref="B4:M4"/>
    <mergeCell ref="B6:M6"/>
    <mergeCell ref="I8:J8"/>
    <mergeCell ref="K8:L8"/>
    <mergeCell ref="B8:D8"/>
    <mergeCell ref="E8:F8"/>
    <mergeCell ref="G8:H8"/>
  </mergeCells>
  <printOptions horizontalCentered="1"/>
  <pageMargins left="0.7" right="0.7" top="0.75" bottom="0.75" header="0.3" footer="0.3"/>
  <pageSetup scale="74" orientation="portrait" r:id="rId1"/>
  <headerFooter>
    <oddFooter>&amp;R&amp;"Times New Roman,Regular"Exhibit  JW-2
Page &amp;P of &amp;N</oddFooter>
  </headerFooter>
  <rowBreaks count="1" manualBreakCount="1">
    <brk id="71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6EA6-E5D9-4759-94F6-426C2B7992B2}">
  <dimension ref="A1:K28"/>
  <sheetViews>
    <sheetView tabSelected="1" view="pageBreakPreview" zoomScaleNormal="100" zoomScaleSheetLayoutView="100" workbookViewId="0">
      <selection activeCell="C9" sqref="C9"/>
    </sheetView>
  </sheetViews>
  <sheetFormatPr defaultColWidth="8.85546875" defaultRowHeight="12.75"/>
  <cols>
    <col min="1" max="1" width="5.42578125" style="37" customWidth="1"/>
    <col min="2" max="2" width="23.42578125" style="37" customWidth="1"/>
    <col min="3" max="3" width="7.7109375" style="37" customWidth="1"/>
    <col min="4" max="4" width="19.7109375" style="37" customWidth="1"/>
    <col min="5" max="10" width="18.140625" style="37" customWidth="1"/>
    <col min="11" max="11" width="10.5703125" style="37" bestFit="1" customWidth="1"/>
    <col min="12" max="16384" width="8.85546875" style="37"/>
  </cols>
  <sheetData>
    <row r="1" spans="1:11">
      <c r="D1" s="26" t="s">
        <v>602</v>
      </c>
    </row>
    <row r="2" spans="1:11">
      <c r="J2" s="26"/>
    </row>
    <row r="3" spans="1:11">
      <c r="J3" s="26"/>
    </row>
    <row r="4" spans="1:11">
      <c r="A4" s="299" t="str">
        <f>RevReq!A1</f>
        <v>FARMERS RECC</v>
      </c>
      <c r="B4" s="299"/>
      <c r="C4" s="299"/>
      <c r="D4" s="299"/>
      <c r="E4" s="34"/>
      <c r="F4" s="34"/>
      <c r="G4" s="34"/>
      <c r="H4" s="34"/>
      <c r="I4" s="34"/>
      <c r="J4" s="34"/>
    </row>
    <row r="5" spans="1:11">
      <c r="A5" s="299" t="str">
        <f>RevReq!A3</f>
        <v>For the 12 Months Ended December 31, 2024</v>
      </c>
      <c r="B5" s="299"/>
      <c r="C5" s="299"/>
      <c r="D5" s="299"/>
      <c r="E5" s="34"/>
      <c r="F5" s="34"/>
      <c r="G5" s="34"/>
      <c r="H5" s="34"/>
      <c r="I5" s="34"/>
      <c r="J5" s="34"/>
      <c r="K5" s="34"/>
    </row>
    <row r="6" spans="1:1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>
      <c r="A7" s="296" t="s">
        <v>601</v>
      </c>
      <c r="B7" s="296"/>
      <c r="C7" s="296"/>
      <c r="D7" s="296"/>
      <c r="E7" s="36"/>
      <c r="F7" s="36"/>
      <c r="G7" s="36"/>
      <c r="H7" s="36"/>
      <c r="I7" s="36"/>
      <c r="J7" s="36"/>
    </row>
    <row r="9" spans="1:11" ht="14.25">
      <c r="A9" s="43"/>
      <c r="B9" s="39"/>
      <c r="C9" s="39"/>
      <c r="D9" s="52"/>
      <c r="E9" s="63"/>
      <c r="F9" s="63"/>
      <c r="G9" s="63"/>
      <c r="H9" s="63"/>
      <c r="I9" s="63"/>
      <c r="J9" s="63"/>
    </row>
    <row r="10" spans="1:11">
      <c r="A10" s="79" t="s">
        <v>10</v>
      </c>
      <c r="B10" s="70" t="s">
        <v>92</v>
      </c>
      <c r="C10" s="70" t="s">
        <v>97</v>
      </c>
      <c r="D10" s="81" t="s">
        <v>96</v>
      </c>
      <c r="E10" s="64"/>
      <c r="F10" s="64"/>
      <c r="G10" s="64"/>
      <c r="H10" s="64"/>
      <c r="I10" s="64"/>
      <c r="J10" s="64"/>
    </row>
    <row r="11" spans="1:11">
      <c r="A11" s="43">
        <v>1</v>
      </c>
      <c r="B11" s="37" t="s">
        <v>603</v>
      </c>
      <c r="C11" s="39">
        <v>421.01</v>
      </c>
      <c r="D11" s="80">
        <v>410199.37</v>
      </c>
      <c r="E11" s="62"/>
      <c r="F11" s="62"/>
      <c r="G11" s="62"/>
      <c r="H11" s="62"/>
      <c r="I11" s="62"/>
      <c r="J11" s="62"/>
      <c r="K11" s="62"/>
    </row>
    <row r="12" spans="1:11">
      <c r="A12" s="43">
        <f>+A11+1</f>
        <v>2</v>
      </c>
      <c r="C12" s="39"/>
      <c r="D12" s="80"/>
      <c r="E12" s="62"/>
      <c r="F12" s="62"/>
      <c r="G12" s="62"/>
      <c r="H12" s="62"/>
      <c r="I12" s="62"/>
      <c r="J12" s="62"/>
      <c r="K12" s="62"/>
    </row>
    <row r="13" spans="1:11">
      <c r="A13" s="43">
        <f t="shared" ref="A13:A15" si="0">+A12+1</f>
        <v>3</v>
      </c>
      <c r="B13" s="37" t="s">
        <v>90</v>
      </c>
      <c r="D13" s="80">
        <v>0</v>
      </c>
      <c r="E13" s="62"/>
      <c r="F13" s="62"/>
      <c r="G13" s="62"/>
      <c r="H13" s="62"/>
      <c r="I13" s="62"/>
      <c r="J13" s="62"/>
    </row>
    <row r="14" spans="1:11">
      <c r="A14" s="43">
        <f t="shared" si="0"/>
        <v>4</v>
      </c>
      <c r="D14" s="155"/>
      <c r="E14" s="62"/>
      <c r="F14" s="62"/>
      <c r="G14" s="62"/>
      <c r="H14" s="62"/>
      <c r="I14" s="62"/>
      <c r="J14" s="62"/>
    </row>
    <row r="15" spans="1:11">
      <c r="A15" s="43">
        <f t="shared" si="0"/>
        <v>5</v>
      </c>
      <c r="B15" s="37" t="s">
        <v>140</v>
      </c>
      <c r="D15" s="180">
        <f>D13-D11</f>
        <v>-410199.37</v>
      </c>
      <c r="E15" s="66"/>
      <c r="F15" s="66"/>
      <c r="G15" s="66"/>
      <c r="H15" s="62"/>
      <c r="I15" s="62"/>
      <c r="J15" s="62"/>
      <c r="K15" s="62"/>
    </row>
    <row r="16" spans="1:11">
      <c r="B16" s="66"/>
      <c r="C16" s="66"/>
      <c r="D16" s="175"/>
      <c r="E16" s="66"/>
      <c r="F16" s="66"/>
      <c r="G16" s="66"/>
      <c r="H16" s="62"/>
      <c r="I16" s="62"/>
      <c r="J16" s="62"/>
    </row>
    <row r="17" spans="1:10">
      <c r="B17" s="66"/>
      <c r="C17" s="66"/>
      <c r="D17" s="66"/>
      <c r="E17" s="66"/>
      <c r="F17" s="66"/>
      <c r="G17" s="66"/>
      <c r="H17" s="62"/>
      <c r="I17" s="62"/>
      <c r="J17" s="62"/>
    </row>
    <row r="18" spans="1:10" ht="34.9" customHeight="1">
      <c r="A18" s="301" t="s">
        <v>604</v>
      </c>
      <c r="B18" s="301"/>
      <c r="C18" s="301"/>
      <c r="D18" s="301"/>
      <c r="E18" s="67"/>
      <c r="F18" s="67"/>
      <c r="G18" s="67"/>
      <c r="H18" s="67"/>
      <c r="I18" s="67"/>
      <c r="J18" s="67"/>
    </row>
    <row r="19" spans="1:10">
      <c r="B19" s="68"/>
      <c r="C19" s="68"/>
      <c r="D19" s="68"/>
      <c r="E19" s="68"/>
      <c r="F19" s="68"/>
    </row>
    <row r="20" spans="1:10">
      <c r="B20" s="68"/>
      <c r="C20" s="68"/>
      <c r="D20" s="68"/>
      <c r="E20" s="68"/>
      <c r="F20" s="68"/>
    </row>
    <row r="21" spans="1:10">
      <c r="A21" s="48"/>
      <c r="B21" s="69"/>
      <c r="C21" s="69"/>
      <c r="D21" s="69"/>
      <c r="E21" s="69"/>
      <c r="F21" s="69"/>
    </row>
    <row r="22" spans="1:10">
      <c r="B22" s="69"/>
      <c r="C22" s="69"/>
      <c r="D22" s="69"/>
      <c r="E22" s="69"/>
      <c r="F22" s="69"/>
    </row>
    <row r="23" spans="1:10">
      <c r="B23" s="69"/>
      <c r="C23" s="69"/>
      <c r="D23" s="69"/>
      <c r="E23" s="69"/>
      <c r="F23" s="69"/>
    </row>
    <row r="24" spans="1:10">
      <c r="B24" s="69"/>
      <c r="C24" s="69"/>
      <c r="D24" s="69"/>
      <c r="E24" s="69"/>
      <c r="F24" s="44"/>
    </row>
    <row r="25" spans="1:10">
      <c r="B25" s="69"/>
      <c r="C25" s="69"/>
      <c r="D25" s="69"/>
      <c r="E25" s="69"/>
      <c r="F25" s="69"/>
    </row>
    <row r="26" spans="1:10">
      <c r="B26" s="69"/>
      <c r="C26" s="69"/>
      <c r="D26" s="69"/>
      <c r="E26" s="69"/>
      <c r="F26" s="69"/>
    </row>
    <row r="27" spans="1:10">
      <c r="B27" s="69"/>
      <c r="C27" s="69"/>
      <c r="D27" s="69"/>
      <c r="E27" s="69"/>
      <c r="F27" s="69"/>
    </row>
    <row r="28" spans="1:10">
      <c r="B28" s="69"/>
      <c r="C28" s="69"/>
      <c r="D28" s="69"/>
      <c r="E28" s="69"/>
      <c r="F28" s="69"/>
    </row>
  </sheetData>
  <mergeCells count="4">
    <mergeCell ref="A4:D4"/>
    <mergeCell ref="A5:D5"/>
    <mergeCell ref="A7:D7"/>
    <mergeCell ref="A18:D18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topLeftCell="A10" zoomScaleNormal="100" zoomScaleSheetLayoutView="100" workbookViewId="0">
      <selection activeCell="C44" sqref="C44"/>
    </sheetView>
  </sheetViews>
  <sheetFormatPr defaultColWidth="9.140625" defaultRowHeight="15"/>
  <cols>
    <col min="1" max="1" width="9.140625" style="33"/>
    <col min="2" max="2" width="1.5703125" style="33" customWidth="1"/>
    <col min="3" max="3" width="40.28515625" bestFit="1" customWidth="1"/>
    <col min="4" max="4" width="16.28515625" style="111" bestFit="1" customWidth="1"/>
    <col min="5" max="5" width="15.5703125" style="112" customWidth="1"/>
    <col min="6" max="6" width="17.5703125" bestFit="1" customWidth="1"/>
    <col min="7" max="7" width="4.5703125" customWidth="1"/>
    <col min="8" max="8" width="13.42578125" bestFit="1" customWidth="1"/>
    <col min="9" max="9" width="5.85546875" customWidth="1"/>
    <col min="12" max="12" width="12.5703125" bestFit="1" customWidth="1"/>
  </cols>
  <sheetData>
    <row r="1" spans="1:7">
      <c r="A1" s="147" t="str">
        <f>RevReq!A1</f>
        <v>FARMERS RECC</v>
      </c>
      <c r="B1" s="147"/>
      <c r="C1" s="147"/>
      <c r="D1" s="147"/>
      <c r="E1" s="147"/>
      <c r="F1" s="147"/>
      <c r="G1" s="48"/>
    </row>
    <row r="2" spans="1:7">
      <c r="A2" s="147" t="s">
        <v>164</v>
      </c>
      <c r="B2" s="147"/>
      <c r="C2" s="147"/>
      <c r="D2" s="147"/>
      <c r="E2" s="147"/>
      <c r="F2" s="147"/>
      <c r="G2" s="48"/>
    </row>
    <row r="3" spans="1:7">
      <c r="A3" s="48"/>
      <c r="B3" s="48"/>
      <c r="C3" s="48"/>
      <c r="D3" s="1"/>
      <c r="E3" s="101"/>
      <c r="F3" s="48"/>
      <c r="G3" s="48"/>
    </row>
    <row r="4" spans="1:7">
      <c r="A4" s="39"/>
      <c r="B4" s="39"/>
      <c r="C4" s="37"/>
      <c r="D4" s="3"/>
      <c r="E4" s="49"/>
      <c r="F4" s="49"/>
      <c r="G4" s="102"/>
    </row>
    <row r="5" spans="1:7">
      <c r="A5" s="49" t="s">
        <v>5</v>
      </c>
      <c r="B5" s="49"/>
      <c r="C5" s="49" t="s">
        <v>6</v>
      </c>
      <c r="D5" s="3" t="s">
        <v>7</v>
      </c>
      <c r="E5" s="103" t="s">
        <v>165</v>
      </c>
      <c r="F5" s="49" t="s">
        <v>166</v>
      </c>
      <c r="G5" s="102"/>
    </row>
    <row r="6" spans="1:7" s="104" customFormat="1">
      <c r="A6" s="6" t="s">
        <v>10</v>
      </c>
      <c r="B6" s="6"/>
      <c r="C6" s="7">
        <v>1</v>
      </c>
      <c r="D6" s="7">
        <f>C6+1</f>
        <v>2</v>
      </c>
      <c r="E6" s="7">
        <f>D6+1</f>
        <v>3</v>
      </c>
      <c r="F6" s="7" t="s">
        <v>11</v>
      </c>
    </row>
    <row r="7" spans="1:7">
      <c r="A7" s="39">
        <v>1</v>
      </c>
      <c r="B7" s="105" t="s">
        <v>167</v>
      </c>
      <c r="C7" s="37"/>
      <c r="D7" s="2"/>
      <c r="E7" s="89"/>
      <c r="F7" s="37"/>
    </row>
    <row r="8" spans="1:7">
      <c r="A8" s="39">
        <f>A7+1</f>
        <v>2</v>
      </c>
      <c r="B8" s="39"/>
      <c r="C8" s="37" t="s">
        <v>168</v>
      </c>
      <c r="D8" s="106">
        <v>125567236</v>
      </c>
      <c r="E8" s="106">
        <f>'Adj List'!F20</f>
        <v>0</v>
      </c>
      <c r="F8" s="106">
        <f>D8+E8</f>
        <v>125567236</v>
      </c>
    </row>
    <row r="9" spans="1:7">
      <c r="A9" s="39">
        <f t="shared" ref="A9:A64" si="0">A8+1</f>
        <v>3</v>
      </c>
      <c r="B9" s="39"/>
      <c r="C9" s="37" t="s">
        <v>169</v>
      </c>
      <c r="D9" s="106">
        <v>206982</v>
      </c>
      <c r="E9" s="106">
        <v>0</v>
      </c>
      <c r="F9" s="106">
        <f>D9+E9</f>
        <v>206982</v>
      </c>
    </row>
    <row r="10" spans="1:7">
      <c r="A10" s="39">
        <f t="shared" si="0"/>
        <v>4</v>
      </c>
      <c r="B10" s="39"/>
      <c r="C10" s="37" t="s">
        <v>170</v>
      </c>
      <c r="D10" s="106">
        <f>SUM(D8:D9)</f>
        <v>125774218</v>
      </c>
      <c r="E10" s="106">
        <f>SUM(E8:E9)</f>
        <v>0</v>
      </c>
      <c r="F10" s="106">
        <f>D10+E10</f>
        <v>125774218</v>
      </c>
    </row>
    <row r="11" spans="1:7">
      <c r="A11" s="39">
        <f t="shared" si="0"/>
        <v>5</v>
      </c>
      <c r="B11" s="39"/>
      <c r="C11" s="37" t="s">
        <v>171</v>
      </c>
      <c r="D11" s="106">
        <v>38933594</v>
      </c>
      <c r="E11" s="106">
        <v>0</v>
      </c>
      <c r="F11" s="106">
        <f>D11+E11</f>
        <v>38933594</v>
      </c>
    </row>
    <row r="12" spans="1:7">
      <c r="A12" s="39">
        <f t="shared" si="0"/>
        <v>6</v>
      </c>
      <c r="B12" s="39"/>
      <c r="C12" s="310" t="s">
        <v>172</v>
      </c>
      <c r="D12" s="311">
        <f>SUM(D10:D10)-D11</f>
        <v>86840624</v>
      </c>
      <c r="E12" s="311">
        <f t="shared" ref="E12:F12" si="1">SUM(E10:E10)-E11</f>
        <v>0</v>
      </c>
      <c r="F12" s="311">
        <f t="shared" si="1"/>
        <v>86840624</v>
      </c>
    </row>
    <row r="13" spans="1:7">
      <c r="A13" s="39">
        <f t="shared" si="0"/>
        <v>7</v>
      </c>
      <c r="B13" s="39"/>
      <c r="C13" s="37" t="s">
        <v>173</v>
      </c>
      <c r="D13" s="106">
        <v>3571582</v>
      </c>
      <c r="E13" s="106">
        <v>0</v>
      </c>
      <c r="F13" s="106">
        <f t="shared" ref="F13:F19" si="2">D13+E13</f>
        <v>3571582</v>
      </c>
    </row>
    <row r="14" spans="1:7">
      <c r="A14" s="39">
        <f t="shared" si="0"/>
        <v>8</v>
      </c>
      <c r="B14" s="39"/>
      <c r="C14" s="37" t="s">
        <v>174</v>
      </c>
      <c r="D14" s="106">
        <v>34868193</v>
      </c>
      <c r="E14" s="106">
        <v>0</v>
      </c>
      <c r="F14" s="106">
        <f t="shared" si="2"/>
        <v>34868193</v>
      </c>
    </row>
    <row r="15" spans="1:7">
      <c r="A15" s="39">
        <f t="shared" si="0"/>
        <v>9</v>
      </c>
      <c r="B15" s="39"/>
      <c r="C15" s="37" t="s">
        <v>175</v>
      </c>
      <c r="D15" s="106">
        <v>0</v>
      </c>
      <c r="E15" s="106">
        <v>0</v>
      </c>
      <c r="F15" s="106">
        <f t="shared" si="2"/>
        <v>0</v>
      </c>
    </row>
    <row r="16" spans="1:7">
      <c r="A16" s="39">
        <f t="shared" si="0"/>
        <v>10</v>
      </c>
      <c r="B16" s="39"/>
      <c r="C16" s="37" t="s">
        <v>176</v>
      </c>
      <c r="D16" s="106">
        <v>1208098</v>
      </c>
      <c r="E16" s="106">
        <v>0</v>
      </c>
      <c r="F16" s="106">
        <f t="shared" si="2"/>
        <v>1208098</v>
      </c>
    </row>
    <row r="17" spans="1:6">
      <c r="A17" s="39">
        <f t="shared" si="0"/>
        <v>11</v>
      </c>
      <c r="B17" s="39"/>
      <c r="C17" s="37" t="s">
        <v>177</v>
      </c>
      <c r="D17" s="106">
        <v>1037012</v>
      </c>
      <c r="E17" s="106">
        <v>0</v>
      </c>
      <c r="F17" s="106">
        <f t="shared" si="2"/>
        <v>1037012</v>
      </c>
    </row>
    <row r="18" spans="1:6">
      <c r="A18" s="39">
        <f t="shared" si="0"/>
        <v>12</v>
      </c>
      <c r="B18" s="39"/>
      <c r="C18" s="37" t="s">
        <v>178</v>
      </c>
      <c r="D18" s="106">
        <v>0</v>
      </c>
      <c r="E18" s="106">
        <v>0</v>
      </c>
      <c r="F18" s="106">
        <f t="shared" si="2"/>
        <v>0</v>
      </c>
    </row>
    <row r="19" spans="1:6">
      <c r="A19" s="39">
        <f t="shared" si="0"/>
        <v>13</v>
      </c>
      <c r="B19" s="39"/>
      <c r="C19" s="37" t="s">
        <v>179</v>
      </c>
      <c r="D19" s="106">
        <v>0</v>
      </c>
      <c r="E19" s="106">
        <v>0</v>
      </c>
      <c r="F19" s="106">
        <f t="shared" si="2"/>
        <v>0</v>
      </c>
    </row>
    <row r="20" spans="1:6">
      <c r="A20" s="39">
        <f t="shared" si="0"/>
        <v>14</v>
      </c>
      <c r="B20" s="39"/>
      <c r="C20" s="310" t="s">
        <v>180</v>
      </c>
      <c r="D20" s="311">
        <f>SUM(D13:D19)</f>
        <v>40684885</v>
      </c>
      <c r="E20" s="311">
        <f t="shared" ref="E20:F20" si="3">SUM(E13:E19)</f>
        <v>0</v>
      </c>
      <c r="F20" s="311">
        <f t="shared" si="3"/>
        <v>40684885</v>
      </c>
    </row>
    <row r="21" spans="1:6">
      <c r="A21" s="39">
        <f t="shared" si="0"/>
        <v>15</v>
      </c>
      <c r="B21" s="39"/>
      <c r="C21" s="37" t="s">
        <v>181</v>
      </c>
      <c r="D21" s="106">
        <v>732570</v>
      </c>
      <c r="E21" s="106">
        <v>0</v>
      </c>
      <c r="F21" s="106">
        <f t="shared" ref="F21:F31" si="4">D21+E21</f>
        <v>732570</v>
      </c>
    </row>
    <row r="22" spans="1:6">
      <c r="A22" s="39">
        <f t="shared" si="0"/>
        <v>16</v>
      </c>
      <c r="B22" s="39"/>
      <c r="C22" s="37" t="s">
        <v>182</v>
      </c>
      <c r="D22" s="106">
        <v>0</v>
      </c>
      <c r="E22" s="106">
        <v>0</v>
      </c>
      <c r="F22" s="106">
        <f t="shared" si="4"/>
        <v>0</v>
      </c>
    </row>
    <row r="23" spans="1:6">
      <c r="A23" s="39">
        <f t="shared" si="0"/>
        <v>17</v>
      </c>
      <c r="B23" s="39"/>
      <c r="C23" s="37" t="s">
        <v>183</v>
      </c>
      <c r="D23" s="106">
        <v>0</v>
      </c>
      <c r="E23" s="106">
        <v>0</v>
      </c>
      <c r="F23" s="106">
        <f t="shared" si="4"/>
        <v>0</v>
      </c>
    </row>
    <row r="24" spans="1:6">
      <c r="A24" s="39">
        <f t="shared" si="0"/>
        <v>18</v>
      </c>
      <c r="B24" s="39"/>
      <c r="C24" s="37" t="s">
        <v>184</v>
      </c>
      <c r="D24" s="106">
        <v>1452681</v>
      </c>
      <c r="E24" s="106">
        <v>0</v>
      </c>
      <c r="F24" s="106">
        <f t="shared" si="4"/>
        <v>1452681</v>
      </c>
    </row>
    <row r="25" spans="1:6">
      <c r="A25" s="39">
        <f t="shared" si="0"/>
        <v>19</v>
      </c>
      <c r="B25" s="39"/>
      <c r="C25" s="37" t="s">
        <v>629</v>
      </c>
      <c r="D25" s="106">
        <v>87582</v>
      </c>
      <c r="E25" s="106"/>
      <c r="F25" s="106"/>
    </row>
    <row r="26" spans="1:6">
      <c r="A26" s="39">
        <f t="shared" si="0"/>
        <v>20</v>
      </c>
      <c r="B26" s="39"/>
      <c r="C26" s="37" t="s">
        <v>185</v>
      </c>
      <c r="D26" s="106">
        <v>2146575</v>
      </c>
      <c r="E26" s="106">
        <v>0</v>
      </c>
      <c r="F26" s="106">
        <f t="shared" si="4"/>
        <v>2146575</v>
      </c>
    </row>
    <row r="27" spans="1:6">
      <c r="A27" s="39">
        <f t="shared" si="0"/>
        <v>21</v>
      </c>
      <c r="B27" s="39"/>
      <c r="C27" s="37" t="s">
        <v>186</v>
      </c>
      <c r="D27" s="106">
        <v>133271</v>
      </c>
      <c r="E27" s="106">
        <v>0</v>
      </c>
      <c r="F27" s="106">
        <f t="shared" si="4"/>
        <v>133271</v>
      </c>
    </row>
    <row r="28" spans="1:6">
      <c r="A28" s="39">
        <f t="shared" si="0"/>
        <v>22</v>
      </c>
      <c r="B28" s="39"/>
      <c r="C28" s="37" t="s">
        <v>187</v>
      </c>
      <c r="D28" s="107">
        <v>0</v>
      </c>
      <c r="E28" s="106">
        <v>0</v>
      </c>
      <c r="F28" s="106">
        <f t="shared" si="4"/>
        <v>0</v>
      </c>
    </row>
    <row r="29" spans="1:6">
      <c r="A29" s="39">
        <f t="shared" si="0"/>
        <v>23</v>
      </c>
      <c r="B29" s="39"/>
      <c r="C29" s="37" t="s">
        <v>188</v>
      </c>
      <c r="D29" s="106">
        <v>1114433</v>
      </c>
      <c r="E29" s="106">
        <v>0</v>
      </c>
      <c r="F29" s="106">
        <f t="shared" si="4"/>
        <v>1114433</v>
      </c>
    </row>
    <row r="30" spans="1:6">
      <c r="A30" s="39">
        <f t="shared" si="0"/>
        <v>24</v>
      </c>
      <c r="B30" s="39"/>
      <c r="C30" s="37" t="s">
        <v>189</v>
      </c>
      <c r="D30" s="106">
        <v>258738</v>
      </c>
      <c r="E30" s="106">
        <v>0</v>
      </c>
      <c r="F30" s="106">
        <f t="shared" si="4"/>
        <v>258738</v>
      </c>
    </row>
    <row r="31" spans="1:6">
      <c r="A31" s="39">
        <f t="shared" si="0"/>
        <v>25</v>
      </c>
      <c r="B31" s="39"/>
      <c r="C31" s="37" t="s">
        <v>190</v>
      </c>
      <c r="D31" s="106">
        <v>2323448</v>
      </c>
      <c r="E31" s="106">
        <v>0</v>
      </c>
      <c r="F31" s="106">
        <f t="shared" si="4"/>
        <v>2323448</v>
      </c>
    </row>
    <row r="32" spans="1:6">
      <c r="A32" s="39">
        <f t="shared" si="0"/>
        <v>26</v>
      </c>
      <c r="B32" s="39"/>
      <c r="C32" s="310" t="s">
        <v>191</v>
      </c>
      <c r="D32" s="311">
        <f>SUM(D21:D31)</f>
        <v>8249298</v>
      </c>
      <c r="E32" s="311">
        <f>SUM(E21:E31)</f>
        <v>0</v>
      </c>
      <c r="F32" s="311">
        <f>SUM(F21:F31)</f>
        <v>8161716</v>
      </c>
    </row>
    <row r="33" spans="1:6">
      <c r="A33" s="39">
        <f t="shared" si="0"/>
        <v>27</v>
      </c>
      <c r="B33" s="39"/>
      <c r="C33" s="37" t="s">
        <v>192</v>
      </c>
      <c r="D33" s="106">
        <v>0</v>
      </c>
      <c r="E33" s="106">
        <v>0</v>
      </c>
      <c r="F33" s="106">
        <f>D33+E33</f>
        <v>0</v>
      </c>
    </row>
    <row r="34" spans="1:6">
      <c r="A34" s="39">
        <f t="shared" si="0"/>
        <v>28</v>
      </c>
      <c r="B34" s="39"/>
      <c r="C34" s="37" t="s">
        <v>193</v>
      </c>
      <c r="D34" s="106">
        <v>696293</v>
      </c>
      <c r="E34" s="106">
        <v>0</v>
      </c>
      <c r="F34" s="106">
        <f>D34+E34</f>
        <v>696293</v>
      </c>
    </row>
    <row r="35" spans="1:6" ht="15.75" thickBot="1">
      <c r="A35" s="39">
        <f t="shared" si="0"/>
        <v>29</v>
      </c>
      <c r="B35" s="39"/>
      <c r="C35" s="45" t="s">
        <v>194</v>
      </c>
      <c r="D35" s="108">
        <f>D34+D33+D32+D20+D12</f>
        <v>136471100</v>
      </c>
      <c r="E35" s="108">
        <f>E34+E33+E32+E20+E12</f>
        <v>0</v>
      </c>
      <c r="F35" s="108">
        <f>F34+F33+F32+F20+F12</f>
        <v>136383518</v>
      </c>
    </row>
    <row r="36" spans="1:6" ht="15.75" thickTop="1">
      <c r="A36" s="39">
        <f t="shared" si="0"/>
        <v>30</v>
      </c>
      <c r="B36" s="39"/>
      <c r="C36" s="37"/>
      <c r="D36" s="109"/>
      <c r="E36" s="106"/>
      <c r="F36" s="106"/>
    </row>
    <row r="37" spans="1:6">
      <c r="A37" s="39">
        <f t="shared" si="0"/>
        <v>31</v>
      </c>
      <c r="B37" s="110" t="s">
        <v>195</v>
      </c>
      <c r="C37" s="37"/>
      <c r="D37" s="106"/>
      <c r="E37" s="106"/>
      <c r="F37" s="106"/>
    </row>
    <row r="38" spans="1:6">
      <c r="A38" s="39">
        <f t="shared" si="0"/>
        <v>32</v>
      </c>
      <c r="B38" s="39"/>
      <c r="C38" s="37" t="s">
        <v>196</v>
      </c>
      <c r="D38" s="106">
        <v>597985</v>
      </c>
      <c r="E38" s="89">
        <v>0</v>
      </c>
      <c r="F38" s="106">
        <f>D38+E38</f>
        <v>597985</v>
      </c>
    </row>
    <row r="39" spans="1:6">
      <c r="A39" s="39">
        <f t="shared" si="0"/>
        <v>33</v>
      </c>
      <c r="B39" s="39"/>
      <c r="C39" s="37" t="s">
        <v>197</v>
      </c>
      <c r="D39" s="106">
        <v>49066153</v>
      </c>
      <c r="E39" s="106">
        <v>0</v>
      </c>
      <c r="F39" s="106">
        <f>D39+E39</f>
        <v>49066153</v>
      </c>
    </row>
    <row r="40" spans="1:6">
      <c r="A40" s="39">
        <f t="shared" si="0"/>
        <v>34</v>
      </c>
      <c r="B40" s="39"/>
      <c r="C40" s="37" t="s">
        <v>198</v>
      </c>
      <c r="D40" s="106">
        <v>0</v>
      </c>
      <c r="E40" s="106"/>
      <c r="F40" s="106"/>
    </row>
    <row r="41" spans="1:6">
      <c r="A41" s="39">
        <f t="shared" si="0"/>
        <v>35</v>
      </c>
      <c r="B41" s="39"/>
      <c r="C41" s="37" t="s">
        <v>199</v>
      </c>
      <c r="D41" s="106">
        <v>343845</v>
      </c>
      <c r="E41" s="106">
        <f>E8</f>
        <v>0</v>
      </c>
      <c r="F41" s="106">
        <f>D41+E41</f>
        <v>343845</v>
      </c>
    </row>
    <row r="42" spans="1:6">
      <c r="A42" s="39">
        <f t="shared" si="0"/>
        <v>36</v>
      </c>
      <c r="B42" s="39"/>
      <c r="C42" s="37" t="s">
        <v>200</v>
      </c>
      <c r="D42" s="106">
        <v>3901080</v>
      </c>
      <c r="E42" s="106">
        <v>0</v>
      </c>
      <c r="F42" s="106">
        <f>D42+E42</f>
        <v>3901080</v>
      </c>
    </row>
    <row r="43" spans="1:6">
      <c r="A43" s="39">
        <f t="shared" si="0"/>
        <v>37</v>
      </c>
      <c r="B43" s="39"/>
      <c r="C43" s="37" t="s">
        <v>201</v>
      </c>
      <c r="D43" s="106">
        <v>2124491</v>
      </c>
      <c r="E43" s="106">
        <v>0</v>
      </c>
      <c r="F43" s="106">
        <f>D43+E43</f>
        <v>2124491</v>
      </c>
    </row>
    <row r="44" spans="1:6">
      <c r="A44" s="39">
        <f t="shared" si="0"/>
        <v>38</v>
      </c>
      <c r="B44" s="39"/>
      <c r="C44" s="310" t="s">
        <v>202</v>
      </c>
      <c r="D44" s="311">
        <f>SUM(D38:D43)</f>
        <v>56033554</v>
      </c>
      <c r="E44" s="311">
        <f>SUM(E38:E43)</f>
        <v>0</v>
      </c>
      <c r="F44" s="311">
        <f>SUM(F38:F43)</f>
        <v>56033554</v>
      </c>
    </row>
    <row r="45" spans="1:6">
      <c r="A45" s="39">
        <f t="shared" si="0"/>
        <v>39</v>
      </c>
      <c r="B45" s="39"/>
      <c r="C45" s="37" t="s">
        <v>630</v>
      </c>
      <c r="D45" s="109">
        <v>0</v>
      </c>
      <c r="E45" s="106">
        <v>0</v>
      </c>
      <c r="F45" s="106">
        <f>D45+E45</f>
        <v>0</v>
      </c>
    </row>
    <row r="46" spans="1:6">
      <c r="A46" s="39">
        <f t="shared" si="0"/>
        <v>40</v>
      </c>
      <c r="B46" s="39"/>
      <c r="C46" s="37" t="s">
        <v>203</v>
      </c>
      <c r="D46" s="109">
        <v>65297326</v>
      </c>
      <c r="E46" s="106">
        <v>0</v>
      </c>
      <c r="F46" s="106">
        <f>D46+E46</f>
        <v>65297326</v>
      </c>
    </row>
    <row r="47" spans="1:6">
      <c r="A47" s="39">
        <f t="shared" si="0"/>
        <v>41</v>
      </c>
      <c r="B47" s="39"/>
      <c r="C47" s="37" t="s">
        <v>204</v>
      </c>
      <c r="D47" s="109">
        <v>0</v>
      </c>
      <c r="E47" s="106">
        <v>0</v>
      </c>
      <c r="F47" s="106">
        <f>D47+E47</f>
        <v>0</v>
      </c>
    </row>
    <row r="48" spans="1:6">
      <c r="A48" s="39">
        <f t="shared" si="0"/>
        <v>42</v>
      </c>
      <c r="B48" s="39"/>
      <c r="C48" s="37" t="s">
        <v>205</v>
      </c>
      <c r="D48" s="109">
        <v>1887000</v>
      </c>
      <c r="E48" s="106">
        <v>0</v>
      </c>
      <c r="F48" s="106">
        <f>D48+E48</f>
        <v>1887000</v>
      </c>
    </row>
    <row r="49" spans="1:12">
      <c r="A49" s="39">
        <f t="shared" si="0"/>
        <v>43</v>
      </c>
      <c r="B49" s="39"/>
      <c r="C49" s="37" t="s">
        <v>631</v>
      </c>
      <c r="D49" s="109">
        <v>814784</v>
      </c>
      <c r="E49" s="106"/>
      <c r="F49" s="106"/>
    </row>
    <row r="50" spans="1:12">
      <c r="A50" s="39">
        <f t="shared" si="0"/>
        <v>44</v>
      </c>
      <c r="B50" s="39"/>
      <c r="C50" s="37" t="s">
        <v>218</v>
      </c>
      <c r="D50" s="109">
        <v>0</v>
      </c>
      <c r="E50" s="106">
        <v>0</v>
      </c>
      <c r="F50" s="106">
        <f>D50+E50</f>
        <v>0</v>
      </c>
    </row>
    <row r="51" spans="1:12">
      <c r="A51" s="39">
        <f t="shared" si="0"/>
        <v>45</v>
      </c>
      <c r="B51" s="39"/>
      <c r="C51" s="310" t="s">
        <v>206</v>
      </c>
      <c r="D51" s="311">
        <f>SUM(D45:D50)</f>
        <v>67999110</v>
      </c>
      <c r="E51" s="311">
        <f>SUM(E45:E50)</f>
        <v>0</v>
      </c>
      <c r="F51" s="311">
        <f>SUM(F45:F50)</f>
        <v>67184326</v>
      </c>
    </row>
    <row r="52" spans="1:12">
      <c r="A52" s="39">
        <f t="shared" si="0"/>
        <v>46</v>
      </c>
      <c r="B52" s="39"/>
      <c r="C52" s="37" t="s">
        <v>219</v>
      </c>
      <c r="D52" s="106">
        <v>0</v>
      </c>
      <c r="E52" s="106">
        <v>0</v>
      </c>
      <c r="F52" s="106">
        <f>D52+E52</f>
        <v>0</v>
      </c>
    </row>
    <row r="53" spans="1:12">
      <c r="A53" s="39">
        <f t="shared" si="0"/>
        <v>47</v>
      </c>
      <c r="B53" s="39"/>
      <c r="C53" s="61" t="s">
        <v>207</v>
      </c>
      <c r="D53" s="113">
        <v>791038</v>
      </c>
      <c r="E53" s="113">
        <v>0</v>
      </c>
      <c r="F53" s="113">
        <f>D53+E53</f>
        <v>791038</v>
      </c>
    </row>
    <row r="54" spans="1:12">
      <c r="A54" s="39">
        <f t="shared" si="0"/>
        <v>48</v>
      </c>
      <c r="B54" s="39"/>
      <c r="C54" s="37" t="s">
        <v>220</v>
      </c>
      <c r="D54" s="106">
        <f>SUM(D52:D53)</f>
        <v>791038</v>
      </c>
      <c r="E54" s="106">
        <f t="shared" ref="E54:F54" si="5">SUM(E52:E53)</f>
        <v>0</v>
      </c>
      <c r="F54" s="106">
        <f t="shared" si="5"/>
        <v>791038</v>
      </c>
    </row>
    <row r="55" spans="1:12">
      <c r="A55" s="39">
        <f t="shared" si="0"/>
        <v>49</v>
      </c>
      <c r="B55" s="39"/>
      <c r="C55" s="37" t="s">
        <v>208</v>
      </c>
      <c r="D55" s="106">
        <v>0</v>
      </c>
      <c r="E55" s="106">
        <v>0</v>
      </c>
      <c r="F55" s="106">
        <f t="shared" ref="F55:F60" si="6">D55+E55</f>
        <v>0</v>
      </c>
    </row>
    <row r="56" spans="1:12">
      <c r="A56" s="39">
        <f t="shared" si="0"/>
        <v>50</v>
      </c>
      <c r="B56" s="39"/>
      <c r="C56" s="37" t="s">
        <v>209</v>
      </c>
      <c r="D56" s="106">
        <v>5462736</v>
      </c>
      <c r="E56" s="106">
        <v>0</v>
      </c>
      <c r="F56" s="106">
        <f t="shared" si="6"/>
        <v>5462736</v>
      </c>
    </row>
    <row r="57" spans="1:12">
      <c r="A57" s="39">
        <f t="shared" si="0"/>
        <v>51</v>
      </c>
      <c r="B57" s="39"/>
      <c r="C57" s="37" t="s">
        <v>210</v>
      </c>
      <c r="D57" s="106">
        <v>1343487</v>
      </c>
      <c r="E57" s="106">
        <v>0</v>
      </c>
      <c r="F57" s="106">
        <f t="shared" si="6"/>
        <v>1343487</v>
      </c>
    </row>
    <row r="58" spans="1:12">
      <c r="A58" s="39">
        <f t="shared" si="0"/>
        <v>52</v>
      </c>
      <c r="B58" s="39"/>
      <c r="C58" s="37" t="s">
        <v>211</v>
      </c>
      <c r="D58" s="106">
        <v>2565000</v>
      </c>
      <c r="E58" s="106">
        <v>0</v>
      </c>
      <c r="F58" s="106">
        <f t="shared" si="6"/>
        <v>2565000</v>
      </c>
    </row>
    <row r="59" spans="1:12">
      <c r="A59" s="39">
        <f t="shared" si="0"/>
        <v>53</v>
      </c>
      <c r="B59" s="39"/>
      <c r="C59" s="37" t="s">
        <v>212</v>
      </c>
      <c r="D59" s="106">
        <v>222228</v>
      </c>
      <c r="E59" s="106">
        <v>0</v>
      </c>
      <c r="F59" s="106">
        <f t="shared" si="6"/>
        <v>222228</v>
      </c>
    </row>
    <row r="60" spans="1:12">
      <c r="A60" s="39">
        <f t="shared" si="0"/>
        <v>54</v>
      </c>
      <c r="B60" s="39"/>
      <c r="C60" s="37" t="s">
        <v>213</v>
      </c>
      <c r="D60" s="106">
        <v>1586086</v>
      </c>
      <c r="E60" s="106">
        <v>0</v>
      </c>
      <c r="F60" s="106">
        <f t="shared" si="6"/>
        <v>1586086</v>
      </c>
    </row>
    <row r="61" spans="1:12">
      <c r="A61" s="39">
        <f t="shared" si="0"/>
        <v>55</v>
      </c>
      <c r="B61" s="39"/>
      <c r="C61" s="310" t="s">
        <v>214</v>
      </c>
      <c r="D61" s="311">
        <f>SUM(D55:D60)</f>
        <v>11179537</v>
      </c>
      <c r="E61" s="311">
        <f>SUM(E55:E60)</f>
        <v>0</v>
      </c>
      <c r="F61" s="311">
        <f>SUM(F55:F60)</f>
        <v>11179537</v>
      </c>
    </row>
    <row r="62" spans="1:12">
      <c r="A62" s="39">
        <f t="shared" si="0"/>
        <v>56</v>
      </c>
      <c r="B62" s="39"/>
      <c r="C62" s="37" t="s">
        <v>215</v>
      </c>
      <c r="D62" s="106">
        <v>0</v>
      </c>
      <c r="E62" s="106">
        <v>0</v>
      </c>
      <c r="F62" s="106">
        <f>D62+E62</f>
        <v>0</v>
      </c>
      <c r="K62" s="145" t="s">
        <v>280</v>
      </c>
      <c r="L62" s="146">
        <f>D35</f>
        <v>136471100</v>
      </c>
    </row>
    <row r="63" spans="1:12">
      <c r="A63" s="39">
        <f t="shared" si="0"/>
        <v>57</v>
      </c>
      <c r="B63" s="39"/>
      <c r="C63" s="37" t="s">
        <v>216</v>
      </c>
      <c r="D63" s="106">
        <v>467861</v>
      </c>
      <c r="E63" s="106">
        <v>0</v>
      </c>
      <c r="F63" s="106">
        <f>D63+E63</f>
        <v>467861</v>
      </c>
      <c r="K63" s="145" t="s">
        <v>281</v>
      </c>
      <c r="L63" s="146">
        <f>D64</f>
        <v>136471100</v>
      </c>
    </row>
    <row r="64" spans="1:12" ht="15.75" thickBot="1">
      <c r="A64" s="39">
        <f t="shared" si="0"/>
        <v>58</v>
      </c>
      <c r="B64" s="39"/>
      <c r="C64" s="45" t="s">
        <v>217</v>
      </c>
      <c r="D64" s="108">
        <f>D63+D62+D61+D54+D51+D44</f>
        <v>136471100</v>
      </c>
      <c r="E64" s="108">
        <f>E63+E62+E61+E54+E51+E44</f>
        <v>0</v>
      </c>
      <c r="F64" s="108">
        <f>F63+F62+F61+F54+F51+F44</f>
        <v>135656316</v>
      </c>
      <c r="K64" s="145" t="s">
        <v>282</v>
      </c>
      <c r="L64" s="146">
        <f>L63-L62</f>
        <v>0</v>
      </c>
    </row>
    <row r="65" spans="1:6" ht="15.75" thickTop="1">
      <c r="A65" s="39"/>
      <c r="B65" s="39"/>
      <c r="C65" s="37"/>
      <c r="D65" s="106"/>
      <c r="E65" s="106"/>
      <c r="F65" s="106"/>
    </row>
    <row r="66" spans="1:6">
      <c r="A66" s="39"/>
      <c r="B66" s="39"/>
      <c r="C66" s="37"/>
      <c r="D66" s="10"/>
      <c r="E66" s="106"/>
      <c r="F66" s="106"/>
    </row>
    <row r="67" spans="1:6">
      <c r="A67" s="39"/>
      <c r="B67" s="39"/>
      <c r="C67" s="37"/>
      <c r="D67" s="10"/>
      <c r="E67" s="106"/>
      <c r="F67" s="106"/>
    </row>
    <row r="68" spans="1:6">
      <c r="A68" s="39"/>
      <c r="B68" s="39"/>
      <c r="C68" s="37"/>
      <c r="D68" s="10"/>
      <c r="E68" s="106"/>
      <c r="F68" s="106"/>
    </row>
    <row r="69" spans="1:6">
      <c r="A69" s="39"/>
      <c r="B69" s="39"/>
      <c r="C69" s="37"/>
      <c r="D69" s="10"/>
      <c r="E69" s="106"/>
      <c r="F69" s="106"/>
    </row>
    <row r="70" spans="1:6">
      <c r="C70" s="37"/>
      <c r="D70" s="10"/>
      <c r="E70" s="106"/>
      <c r="F70" s="106"/>
    </row>
  </sheetData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F6" numberStoredAsText="1"/>
    <ignoredError sqref="F12 F20 F32 F44 F54 F51 F6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1"/>
  <sheetViews>
    <sheetView view="pageBreakPreview" zoomScale="60" zoomScaleNormal="100" workbookViewId="0">
      <pane xSplit="2" ySplit="6" topLeftCell="C16" activePane="bottomRight" state="frozen"/>
      <selection activeCell="C44" sqref="C44"/>
      <selection pane="topRight" activeCell="C44" sqref="C44"/>
      <selection pane="bottomLeft" activeCell="C44" sqref="C44"/>
      <selection pane="bottomRight" activeCell="C44" sqref="C44"/>
    </sheetView>
  </sheetViews>
  <sheetFormatPr defaultColWidth="12.5703125" defaultRowHeight="14.25"/>
  <cols>
    <col min="1" max="1" width="6.140625" style="120" customWidth="1"/>
    <col min="2" max="2" width="33.140625" style="119" customWidth="1"/>
    <col min="3" max="3" width="12.28515625" style="119" customWidth="1"/>
    <col min="4" max="4" width="14.28515625" style="119" customWidth="1"/>
    <col min="5" max="5" width="10.5703125" style="119" customWidth="1"/>
    <col min="6" max="6" width="14.28515625" style="119" customWidth="1"/>
    <col min="7" max="7" width="12" style="119" bestFit="1" customWidth="1"/>
    <col min="8" max="8" width="13.85546875" style="119" customWidth="1"/>
    <col min="9" max="9" width="10.5703125" style="119" customWidth="1"/>
    <col min="10" max="10" width="13.140625" style="119" bestFit="1" customWidth="1"/>
    <col min="11" max="11" width="10.85546875" style="119" bestFit="1" customWidth="1"/>
    <col min="12" max="12" width="10.7109375" style="119" customWidth="1"/>
    <col min="13" max="13" width="14" style="119" customWidth="1"/>
    <col min="14" max="14" width="11.85546875" style="119" customWidth="1"/>
    <col min="15" max="15" width="11.5703125" style="119" customWidth="1"/>
    <col min="16" max="16" width="11.140625" style="119" customWidth="1"/>
    <col min="17" max="17" width="11.85546875" style="119" bestFit="1" customWidth="1"/>
    <col min="18" max="18" width="9.5703125" style="119" customWidth="1"/>
    <col min="19" max="19" width="14.7109375" style="119" bestFit="1" customWidth="1"/>
    <col min="20" max="20" width="13.28515625" style="119" hidden="1" customWidth="1"/>
    <col min="21" max="21" width="1.85546875" style="119" hidden="1" customWidth="1"/>
    <col min="22" max="22" width="12.28515625" style="119" bestFit="1" customWidth="1"/>
    <col min="23" max="23" width="3.5703125" style="119" customWidth="1"/>
    <col min="24" max="24" width="15.5703125" style="119" bestFit="1" customWidth="1"/>
    <col min="25" max="25" width="12.7109375" style="119" bestFit="1" customWidth="1"/>
    <col min="26" max="16384" width="12.5703125" style="119"/>
  </cols>
  <sheetData>
    <row r="1" spans="1:35" ht="15">
      <c r="A1" s="147" t="str">
        <f>RevReq!A1</f>
        <v>FARMERS RECC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7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5" ht="15">
      <c r="A2" s="148" t="s">
        <v>221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7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3" spans="1:35" s="120" customFormat="1" ht="29.45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>
      <c r="A4" s="114"/>
      <c r="B4" s="117" t="s">
        <v>222</v>
      </c>
      <c r="C4" s="114">
        <f>'Adj List'!B7</f>
        <v>1.01</v>
      </c>
      <c r="D4" s="114">
        <f>'Adj List'!B8</f>
        <v>1.02</v>
      </c>
      <c r="E4" s="114">
        <f>'Adj List'!B9</f>
        <v>1.03</v>
      </c>
      <c r="F4" s="114">
        <f>'Adj List'!B10</f>
        <v>1.04</v>
      </c>
      <c r="G4" s="114">
        <f>'Adj List'!B11</f>
        <v>1.05</v>
      </c>
      <c r="H4" s="114">
        <f>'Adj List'!B12</f>
        <v>1.06</v>
      </c>
      <c r="I4" s="114">
        <f>'Adj List'!B13</f>
        <v>1.07</v>
      </c>
      <c r="J4" s="114">
        <f>'Adj List'!B14</f>
        <v>1.08</v>
      </c>
      <c r="K4" s="114">
        <f>'Adj List'!B15</f>
        <v>1.0900000000000001</v>
      </c>
      <c r="L4" s="121">
        <f>'Adj List'!B16</f>
        <v>1.1000000000000001</v>
      </c>
      <c r="M4" s="114">
        <f>'Adj List'!B17</f>
        <v>1.1100000000000001</v>
      </c>
      <c r="N4" s="114">
        <f>'Adj List'!B18</f>
        <v>1.1200000000000001</v>
      </c>
      <c r="O4" s="114">
        <f>'Adj List'!B19</f>
        <v>1.1299999999999999</v>
      </c>
      <c r="P4" s="114">
        <f>'Adj List'!B20</f>
        <v>1.1399999999999999</v>
      </c>
      <c r="Q4" s="114">
        <f>'Adj List'!B21</f>
        <v>1.1499999999999999</v>
      </c>
      <c r="R4" s="114">
        <f>'Adj List'!B22</f>
        <v>1.1599999999999999</v>
      </c>
      <c r="S4" s="114">
        <f>'Adj List'!B23</f>
        <v>1.17</v>
      </c>
      <c r="T4" s="114"/>
      <c r="U4" s="114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</row>
    <row r="5" spans="1:35" ht="9" customHeight="1">
      <c r="A5" s="114"/>
      <c r="B5" s="118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22"/>
      <c r="T5" s="114"/>
      <c r="U5" s="114"/>
      <c r="V5" s="114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</row>
    <row r="6" spans="1:35" s="125" customFormat="1" ht="59.25" customHeight="1">
      <c r="A6" s="123"/>
      <c r="B6" s="124" t="s">
        <v>223</v>
      </c>
      <c r="C6" s="123" t="str">
        <f>'Adj List'!C7</f>
        <v>Fuel Adjustment Clause</v>
      </c>
      <c r="D6" s="123" t="str">
        <f>'Adj List'!C8</f>
        <v>Environmental Surcharge</v>
      </c>
      <c r="E6" s="123" t="str">
        <f>'Adj List'!C9</f>
        <v>Interest Expense</v>
      </c>
      <c r="F6" s="123" t="str">
        <f>'Adj List'!C10</f>
        <v>Depreciation Normalization</v>
      </c>
      <c r="G6" s="123" t="str">
        <f>'Adj List'!C11</f>
        <v xml:space="preserve">Right of Way </v>
      </c>
      <c r="H6" s="123" t="str">
        <f>'Adj List'!C12</f>
        <v>Year End Customers</v>
      </c>
      <c r="I6" s="123" t="str">
        <f>'Adj List'!C13</f>
        <v>Health Insurance Premiums</v>
      </c>
      <c r="J6" s="123" t="str">
        <f>'Adj List'!C14</f>
        <v>Donations, Promo Ads &amp; Dues</v>
      </c>
      <c r="K6" s="123" t="str">
        <f>'Adj List'!C15</f>
        <v>Directors Expenses</v>
      </c>
      <c r="L6" s="123" t="str">
        <f>'Adj List'!C16</f>
        <v>Wages &amp; Salaries</v>
      </c>
      <c r="M6" s="123" t="str">
        <f>'Adj List'!C17</f>
        <v>401k Contributions</v>
      </c>
      <c r="N6" s="123" t="str">
        <f>'Adj List'!C18</f>
        <v>Life Insurance</v>
      </c>
      <c r="O6" s="123" t="str">
        <f>'Adj List'!C19</f>
        <v>Rate Case Costs</v>
      </c>
      <c r="P6" s="123" t="str">
        <f>'Adj List'!C20</f>
        <v>Outside Services</v>
      </c>
      <c r="Q6" s="123" t="str">
        <f>'Adj List'!C21</f>
        <v>G&amp;T Capital Credits</v>
      </c>
      <c r="R6" s="123" t="str">
        <f>'Adj List'!C22</f>
        <v>Payroll Taxes</v>
      </c>
      <c r="S6" s="123" t="str">
        <f>'Adj List'!C23</f>
        <v>Non-Recurring Items</v>
      </c>
      <c r="T6" s="123"/>
      <c r="U6" s="123"/>
      <c r="V6" s="123" t="s">
        <v>109</v>
      </c>
      <c r="W6" s="123"/>
      <c r="X6" s="123" t="s">
        <v>224</v>
      </c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</row>
    <row r="7" spans="1:35">
      <c r="A7" s="114">
        <v>1</v>
      </c>
      <c r="B7" s="118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18"/>
      <c r="X7" s="118"/>
      <c r="Y7" s="118"/>
      <c r="Z7" s="126"/>
      <c r="AA7" s="126"/>
      <c r="AB7" s="126"/>
      <c r="AC7" s="126"/>
      <c r="AD7" s="126"/>
      <c r="AE7" s="126"/>
      <c r="AF7" s="126"/>
      <c r="AG7" s="126"/>
      <c r="AH7" s="126"/>
      <c r="AI7" s="118"/>
    </row>
    <row r="8" spans="1:35">
      <c r="A8" s="114">
        <f t="shared" ref="A8:A42" si="0">(A7+1)</f>
        <v>2</v>
      </c>
      <c r="B8" s="127" t="s">
        <v>225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18"/>
      <c r="X8" s="118"/>
      <c r="Y8" s="118"/>
      <c r="Z8" s="126"/>
      <c r="AA8" s="126"/>
      <c r="AB8" s="126"/>
      <c r="AC8" s="126"/>
      <c r="AD8" s="126"/>
      <c r="AE8" s="126"/>
      <c r="AF8" s="126"/>
      <c r="AG8" s="126"/>
      <c r="AH8" s="126"/>
      <c r="AI8" s="118"/>
    </row>
    <row r="9" spans="1:35">
      <c r="A9" s="114">
        <f t="shared" si="0"/>
        <v>3</v>
      </c>
      <c r="B9" s="118" t="s">
        <v>226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>
        <f>'Adj List'!D22</f>
        <v>0</v>
      </c>
      <c r="S9" s="149"/>
      <c r="T9" s="149"/>
      <c r="U9" s="149"/>
      <c r="V9" s="149">
        <f>SUM(C9:U9)</f>
        <v>0</v>
      </c>
      <c r="W9" s="118"/>
      <c r="X9" s="118"/>
      <c r="Y9" s="118"/>
      <c r="Z9" s="126"/>
      <c r="AA9" s="126"/>
      <c r="AB9" s="126"/>
      <c r="AC9" s="126"/>
      <c r="AD9" s="126"/>
      <c r="AE9" s="126"/>
      <c r="AF9" s="126"/>
      <c r="AG9" s="126"/>
      <c r="AH9" s="126"/>
      <c r="AI9" s="118"/>
    </row>
    <row r="10" spans="1:35">
      <c r="A10" s="114">
        <f t="shared" si="0"/>
        <v>4</v>
      </c>
      <c r="B10" s="118" t="s">
        <v>227</v>
      </c>
      <c r="C10" s="149">
        <f>'Adj List'!D7</f>
        <v>-2488284</v>
      </c>
      <c r="D10" s="149">
        <f>'Adj List'!D8</f>
        <v>-6354826</v>
      </c>
      <c r="E10" s="149"/>
      <c r="F10" s="149"/>
      <c r="G10" s="149"/>
      <c r="H10" s="149">
        <f>'Adj List'!D12</f>
        <v>272502.88</v>
      </c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>
        <f>SUM(C10:U10)</f>
        <v>-8570607.1199999992</v>
      </c>
      <c r="W10" s="118"/>
      <c r="X10" s="128"/>
      <c r="Y10" s="128"/>
      <c r="Z10" s="126"/>
      <c r="AA10" s="126"/>
      <c r="AB10" s="126"/>
      <c r="AC10" s="126"/>
      <c r="AD10" s="126"/>
      <c r="AE10" s="126"/>
      <c r="AF10" s="126"/>
      <c r="AG10" s="126"/>
      <c r="AH10" s="126"/>
      <c r="AI10" s="118"/>
    </row>
    <row r="11" spans="1:35">
      <c r="A11" s="114">
        <f t="shared" si="0"/>
        <v>5</v>
      </c>
      <c r="B11" s="118" t="s">
        <v>15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50">
        <f>SUM(C11:U11)</f>
        <v>0</v>
      </c>
      <c r="W11" s="118"/>
      <c r="X11" s="118"/>
      <c r="Y11" s="118"/>
      <c r="Z11" s="126"/>
      <c r="AA11" s="126"/>
      <c r="AB11" s="126"/>
      <c r="AC11" s="126"/>
      <c r="AD11" s="126"/>
      <c r="AE11" s="126"/>
      <c r="AF11" s="126"/>
      <c r="AG11" s="126"/>
      <c r="AH11" s="126"/>
      <c r="AI11" s="118"/>
    </row>
    <row r="12" spans="1:35">
      <c r="A12" s="114">
        <f t="shared" si="0"/>
        <v>6</v>
      </c>
      <c r="B12" s="129" t="s">
        <v>228</v>
      </c>
      <c r="C12" s="151">
        <f t="shared" ref="C12:T12" si="1">SUM(C7:C11)</f>
        <v>-2488284</v>
      </c>
      <c r="D12" s="151">
        <f t="shared" si="1"/>
        <v>-6354826</v>
      </c>
      <c r="E12" s="151">
        <f t="shared" si="1"/>
        <v>0</v>
      </c>
      <c r="F12" s="151">
        <f t="shared" si="1"/>
        <v>0</v>
      </c>
      <c r="G12" s="151">
        <f t="shared" si="1"/>
        <v>0</v>
      </c>
      <c r="H12" s="151">
        <f t="shared" si="1"/>
        <v>272502.88</v>
      </c>
      <c r="I12" s="151">
        <f t="shared" si="1"/>
        <v>0</v>
      </c>
      <c r="J12" s="151">
        <f t="shared" si="1"/>
        <v>0</v>
      </c>
      <c r="K12" s="151">
        <f t="shared" si="1"/>
        <v>0</v>
      </c>
      <c r="L12" s="151">
        <f t="shared" si="1"/>
        <v>0</v>
      </c>
      <c r="M12" s="151">
        <f t="shared" si="1"/>
        <v>0</v>
      </c>
      <c r="N12" s="151">
        <f t="shared" si="1"/>
        <v>0</v>
      </c>
      <c r="O12" s="151">
        <f t="shared" si="1"/>
        <v>0</v>
      </c>
      <c r="P12" s="151">
        <f t="shared" si="1"/>
        <v>0</v>
      </c>
      <c r="Q12" s="151">
        <f t="shared" ref="Q12" si="2">SUM(Q7:Q11)</f>
        <v>0</v>
      </c>
      <c r="R12" s="151">
        <f t="shared" si="1"/>
        <v>0</v>
      </c>
      <c r="S12" s="151">
        <f t="shared" si="1"/>
        <v>0</v>
      </c>
      <c r="T12" s="151">
        <f t="shared" si="1"/>
        <v>0</v>
      </c>
      <c r="U12" s="151"/>
      <c r="V12" s="151">
        <f>SUM(C12:U12)</f>
        <v>-8570607.1199999992</v>
      </c>
      <c r="W12" s="118"/>
      <c r="X12" s="126">
        <f>'Adj List'!D30-V12</f>
        <v>0</v>
      </c>
      <c r="Y12" s="118"/>
      <c r="Z12" s="126"/>
      <c r="AA12" s="126"/>
      <c r="AB12" s="126"/>
      <c r="AC12" s="126"/>
      <c r="AD12" s="126"/>
      <c r="AE12" s="126"/>
      <c r="AF12" s="126"/>
      <c r="AG12" s="126"/>
      <c r="AH12" s="126"/>
      <c r="AI12" s="118"/>
    </row>
    <row r="13" spans="1:35">
      <c r="A13" s="114">
        <f t="shared" si="0"/>
        <v>7</v>
      </c>
      <c r="B13" s="118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18"/>
      <c r="X13" s="118"/>
      <c r="Y13" s="118"/>
      <c r="Z13" s="126"/>
      <c r="AA13" s="126"/>
      <c r="AB13" s="126"/>
      <c r="AC13" s="126"/>
      <c r="AD13" s="126"/>
      <c r="AE13" s="126"/>
      <c r="AF13" s="126"/>
      <c r="AG13" s="126"/>
      <c r="AH13" s="126"/>
      <c r="AI13" s="118"/>
    </row>
    <row r="14" spans="1:35">
      <c r="A14" s="114">
        <f t="shared" si="0"/>
        <v>8</v>
      </c>
      <c r="B14" s="127" t="s">
        <v>17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18"/>
      <c r="X14" s="118"/>
      <c r="Y14" s="118"/>
      <c r="Z14" s="126"/>
      <c r="AA14" s="126"/>
      <c r="AB14" s="126"/>
      <c r="AC14" s="126"/>
      <c r="AD14" s="126"/>
      <c r="AE14" s="126"/>
      <c r="AF14" s="126"/>
      <c r="AG14" s="126"/>
      <c r="AH14" s="126"/>
      <c r="AI14" s="118"/>
    </row>
    <row r="15" spans="1:35">
      <c r="A15" s="114">
        <f t="shared" si="0"/>
        <v>9</v>
      </c>
      <c r="B15" s="118" t="s">
        <v>18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>
        <f t="shared" ref="V15:V24" si="3">SUM(C15:U15)</f>
        <v>0</v>
      </c>
      <c r="W15" s="118"/>
      <c r="X15" s="118"/>
      <c r="Y15" s="118"/>
      <c r="Z15" s="126"/>
      <c r="AA15" s="126"/>
      <c r="AB15" s="126"/>
      <c r="AC15" s="126"/>
      <c r="AD15" s="126"/>
      <c r="AE15" s="126"/>
      <c r="AF15" s="126"/>
      <c r="AG15" s="126"/>
      <c r="AH15" s="126"/>
      <c r="AI15" s="118"/>
    </row>
    <row r="16" spans="1:35">
      <c r="A16" s="114">
        <f t="shared" si="0"/>
        <v>10</v>
      </c>
      <c r="B16" s="118" t="s">
        <v>229</v>
      </c>
      <c r="C16" s="149"/>
      <c r="D16" s="149"/>
      <c r="E16" s="149"/>
      <c r="F16" s="149"/>
      <c r="G16" s="149"/>
      <c r="H16" s="149">
        <f>'Adj List'!E12</f>
        <v>179743.74</v>
      </c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>
        <f t="shared" si="3"/>
        <v>179743.74</v>
      </c>
      <c r="W16" s="118"/>
      <c r="X16" s="118"/>
      <c r="Y16" s="118"/>
      <c r="Z16" s="126"/>
      <c r="AA16" s="126"/>
      <c r="AB16" s="126"/>
      <c r="AC16" s="126"/>
      <c r="AD16" s="126"/>
      <c r="AE16" s="126"/>
      <c r="AF16" s="126"/>
      <c r="AG16" s="126"/>
      <c r="AH16" s="126"/>
      <c r="AI16" s="118"/>
    </row>
    <row r="17" spans="1:35">
      <c r="A17" s="114">
        <f t="shared" si="0"/>
        <v>11</v>
      </c>
      <c r="B17" s="118" t="s">
        <v>230</v>
      </c>
      <c r="C17" s="149">
        <f>'Adj List'!E7</f>
        <v>-2488284</v>
      </c>
      <c r="D17" s="149">
        <f>'Adj List'!E8</f>
        <v>-6354826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>
        <f t="shared" si="3"/>
        <v>-8843110</v>
      </c>
      <c r="W17" s="118"/>
      <c r="X17" s="118"/>
      <c r="Y17" s="118"/>
      <c r="Z17" s="126"/>
      <c r="AA17" s="126"/>
      <c r="AB17" s="126"/>
      <c r="AC17" s="126"/>
      <c r="AD17" s="126"/>
      <c r="AE17" s="126"/>
      <c r="AF17" s="126"/>
      <c r="AG17" s="126"/>
      <c r="AH17" s="126"/>
      <c r="AI17" s="118"/>
    </row>
    <row r="18" spans="1:35">
      <c r="A18" s="114">
        <f t="shared" si="0"/>
        <v>12</v>
      </c>
      <c r="B18" s="118" t="s">
        <v>231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>
        <f t="shared" si="3"/>
        <v>0</v>
      </c>
      <c r="W18" s="118"/>
      <c r="X18" s="118"/>
      <c r="Y18" s="118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</row>
    <row r="19" spans="1:35">
      <c r="A19" s="114">
        <f t="shared" si="0"/>
        <v>13</v>
      </c>
      <c r="B19" s="118" t="s">
        <v>232</v>
      </c>
      <c r="C19" s="149"/>
      <c r="D19" s="149"/>
      <c r="E19" s="149"/>
      <c r="F19" s="149"/>
      <c r="G19" s="149">
        <f>'Adj List'!E11</f>
        <v>393820</v>
      </c>
      <c r="H19" s="149"/>
      <c r="I19" s="149">
        <f>'Adj List'!E13</f>
        <v>-11188.709133845812</v>
      </c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>
        <f t="shared" si="3"/>
        <v>382631.29086615419</v>
      </c>
      <c r="W19" s="118"/>
      <c r="X19" s="118"/>
      <c r="Y19" s="118"/>
      <c r="Z19" s="126"/>
      <c r="AA19" s="126"/>
      <c r="AB19" s="126"/>
      <c r="AC19" s="126"/>
      <c r="AD19" s="126"/>
      <c r="AE19" s="126"/>
      <c r="AF19" s="126"/>
      <c r="AG19" s="126"/>
      <c r="AH19" s="126"/>
      <c r="AI19" s="118"/>
    </row>
    <row r="20" spans="1:35">
      <c r="A20" s="114">
        <f t="shared" si="0"/>
        <v>14</v>
      </c>
      <c r="B20" s="118" t="s">
        <v>233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>
        <f t="shared" si="3"/>
        <v>0</v>
      </c>
      <c r="W20" s="118"/>
      <c r="X20" s="118"/>
      <c r="Y20" s="118"/>
      <c r="Z20" s="126"/>
      <c r="AA20" s="126"/>
      <c r="AB20" s="126"/>
      <c r="AC20" s="126"/>
      <c r="AD20" s="126"/>
      <c r="AE20" s="126"/>
      <c r="AF20" s="126"/>
      <c r="AG20" s="126"/>
      <c r="AH20" s="126"/>
      <c r="AI20" s="118"/>
    </row>
    <row r="21" spans="1:35">
      <c r="A21" s="114">
        <f t="shared" si="0"/>
        <v>15</v>
      </c>
      <c r="B21" s="118" t="s">
        <v>22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>
        <f t="shared" si="3"/>
        <v>0</v>
      </c>
      <c r="W21" s="118"/>
      <c r="X21" s="118"/>
      <c r="Y21" s="118"/>
      <c r="Z21" s="126"/>
      <c r="AA21" s="126"/>
      <c r="AB21" s="126"/>
      <c r="AC21" s="126"/>
      <c r="AD21" s="126"/>
      <c r="AE21" s="126"/>
      <c r="AF21" s="126"/>
      <c r="AG21" s="126"/>
      <c r="AH21" s="126"/>
      <c r="AI21" s="118"/>
    </row>
    <row r="22" spans="1:35">
      <c r="A22" s="114">
        <f t="shared" si="0"/>
        <v>16</v>
      </c>
      <c r="B22" s="118" t="s">
        <v>234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>
        <f t="shared" si="3"/>
        <v>0</v>
      </c>
      <c r="W22" s="118"/>
      <c r="X22" s="118"/>
      <c r="Y22" s="118"/>
      <c r="Z22" s="126"/>
      <c r="AA22" s="126"/>
      <c r="AB22" s="126"/>
      <c r="AC22" s="126"/>
      <c r="AD22" s="126"/>
      <c r="AE22" s="126"/>
      <c r="AF22" s="126"/>
      <c r="AG22" s="126"/>
      <c r="AH22" s="126"/>
      <c r="AI22" s="118"/>
    </row>
    <row r="23" spans="1:35">
      <c r="A23" s="114">
        <f t="shared" si="0"/>
        <v>17</v>
      </c>
      <c r="B23" s="118" t="s">
        <v>235</v>
      </c>
      <c r="C23" s="149"/>
      <c r="D23" s="149"/>
      <c r="E23" s="149"/>
      <c r="F23" s="149"/>
      <c r="G23" s="149"/>
      <c r="H23" s="149"/>
      <c r="I23" s="149"/>
      <c r="J23" s="149">
        <f>'Adj List'!E14</f>
        <v>-300622.99</v>
      </c>
      <c r="K23" s="149">
        <f>'Adj List'!E15</f>
        <v>-7150</v>
      </c>
      <c r="L23" s="149">
        <f>'Adj List'!E16</f>
        <v>96903.223829833179</v>
      </c>
      <c r="M23" s="149">
        <f>'Adj List'!E17</f>
        <v>-12675.493792336296</v>
      </c>
      <c r="N23" s="149">
        <f>'Adj List'!E18</f>
        <v>-8434.7699418348657</v>
      </c>
      <c r="O23" s="149">
        <f>'Adj List'!E19</f>
        <v>66666.67</v>
      </c>
      <c r="P23" s="149">
        <f>'Adj List'!E20</f>
        <v>-12063.92</v>
      </c>
      <c r="Q23" s="149"/>
      <c r="R23" s="149">
        <f>'Adj List'!E22</f>
        <v>13285.72411105522</v>
      </c>
      <c r="S23" s="149"/>
      <c r="T23" s="149"/>
      <c r="U23" s="149"/>
      <c r="V23" s="149">
        <f t="shared" si="3"/>
        <v>-164091.55579328275</v>
      </c>
      <c r="W23" s="118"/>
      <c r="X23" s="118"/>
      <c r="Y23" s="118"/>
      <c r="Z23" s="126"/>
      <c r="AA23" s="126"/>
      <c r="AB23" s="126"/>
      <c r="AC23" s="126"/>
      <c r="AD23" s="126"/>
      <c r="AE23" s="126"/>
      <c r="AF23" s="126"/>
      <c r="AG23" s="126"/>
      <c r="AH23" s="126"/>
      <c r="AI23" s="118"/>
    </row>
    <row r="24" spans="1:35">
      <c r="A24" s="114">
        <f t="shared" si="0"/>
        <v>18</v>
      </c>
      <c r="B24" s="129" t="s">
        <v>236</v>
      </c>
      <c r="C24" s="151">
        <f t="shared" ref="C24:T24" si="4">SUM(C15:C23)</f>
        <v>-2488284</v>
      </c>
      <c r="D24" s="151">
        <f t="shared" si="4"/>
        <v>-6354826</v>
      </c>
      <c r="E24" s="151">
        <f t="shared" si="4"/>
        <v>0</v>
      </c>
      <c r="F24" s="151">
        <f t="shared" si="4"/>
        <v>0</v>
      </c>
      <c r="G24" s="151">
        <f t="shared" si="4"/>
        <v>393820</v>
      </c>
      <c r="H24" s="151">
        <f t="shared" si="4"/>
        <v>179743.74</v>
      </c>
      <c r="I24" s="151">
        <f t="shared" si="4"/>
        <v>-11188.709133845812</v>
      </c>
      <c r="J24" s="151">
        <f t="shared" si="4"/>
        <v>-300622.99</v>
      </c>
      <c r="K24" s="151">
        <f t="shared" si="4"/>
        <v>-7150</v>
      </c>
      <c r="L24" s="151">
        <f t="shared" si="4"/>
        <v>96903.223829833179</v>
      </c>
      <c r="M24" s="151">
        <f t="shared" si="4"/>
        <v>-12675.493792336296</v>
      </c>
      <c r="N24" s="151">
        <f t="shared" si="4"/>
        <v>-8434.7699418348657</v>
      </c>
      <c r="O24" s="151">
        <f t="shared" si="4"/>
        <v>66666.67</v>
      </c>
      <c r="P24" s="151">
        <f t="shared" si="4"/>
        <v>-12063.92</v>
      </c>
      <c r="Q24" s="151">
        <f t="shared" ref="Q24" si="5">SUM(Q15:Q23)</f>
        <v>0</v>
      </c>
      <c r="R24" s="151">
        <f t="shared" si="4"/>
        <v>13285.72411105522</v>
      </c>
      <c r="S24" s="151">
        <f t="shared" si="4"/>
        <v>0</v>
      </c>
      <c r="T24" s="151">
        <f t="shared" si="4"/>
        <v>0</v>
      </c>
      <c r="U24" s="151"/>
      <c r="V24" s="151">
        <f t="shared" si="3"/>
        <v>-8444826.5249271262</v>
      </c>
      <c r="W24" s="118"/>
      <c r="X24" s="126"/>
      <c r="Y24" s="118"/>
      <c r="Z24" s="126"/>
      <c r="AA24" s="126"/>
      <c r="AB24" s="126"/>
      <c r="AC24" s="126"/>
      <c r="AD24" s="126"/>
      <c r="AE24" s="126"/>
      <c r="AF24" s="126"/>
      <c r="AG24" s="126"/>
      <c r="AH24" s="126"/>
      <c r="AI24" s="118"/>
    </row>
    <row r="25" spans="1:35">
      <c r="A25" s="114">
        <f t="shared" si="0"/>
        <v>19</v>
      </c>
      <c r="B25" s="118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18"/>
      <c r="X25" s="118"/>
      <c r="Y25" s="118"/>
      <c r="Z25" s="126"/>
      <c r="AA25" s="126"/>
      <c r="AB25" s="126"/>
      <c r="AC25" s="126"/>
      <c r="AD25" s="126"/>
      <c r="AE25" s="126"/>
      <c r="AF25" s="126"/>
      <c r="AG25" s="126"/>
      <c r="AH25" s="126"/>
      <c r="AI25" s="118"/>
    </row>
    <row r="26" spans="1:35">
      <c r="A26" s="114">
        <f t="shared" si="0"/>
        <v>20</v>
      </c>
      <c r="B26" s="118" t="s">
        <v>237</v>
      </c>
      <c r="C26" s="149"/>
      <c r="D26" s="149"/>
      <c r="E26" s="149"/>
      <c r="F26" s="149">
        <f>'Adj List'!E10</f>
        <v>75417.476972552642</v>
      </c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>
        <f t="shared" ref="V26:V31" si="6">SUM(C26:U26)</f>
        <v>75417.476972552642</v>
      </c>
      <c r="W26" s="118"/>
      <c r="X26" s="118"/>
      <c r="Y26" s="118"/>
      <c r="Z26" s="126"/>
      <c r="AA26" s="126"/>
      <c r="AB26" s="126"/>
      <c r="AC26" s="126"/>
      <c r="AD26" s="126"/>
      <c r="AE26" s="126"/>
      <c r="AF26" s="126"/>
      <c r="AG26" s="126"/>
      <c r="AH26" s="126"/>
      <c r="AI26" s="118"/>
    </row>
    <row r="27" spans="1:35">
      <c r="A27" s="114">
        <f t="shared" si="0"/>
        <v>21</v>
      </c>
      <c r="B27" s="118" t="s">
        <v>27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>
        <f t="shared" si="6"/>
        <v>0</v>
      </c>
      <c r="W27" s="118"/>
      <c r="X27" s="118"/>
      <c r="Y27" s="118"/>
      <c r="Z27" s="126"/>
      <c r="AA27" s="126"/>
      <c r="AB27" s="126"/>
      <c r="AC27" s="126"/>
      <c r="AD27" s="126"/>
      <c r="AE27" s="126"/>
      <c r="AF27" s="126"/>
      <c r="AG27" s="126"/>
      <c r="AH27" s="126"/>
      <c r="AI27" s="118"/>
    </row>
    <row r="28" spans="1:35">
      <c r="A28" s="114">
        <f t="shared" si="0"/>
        <v>22</v>
      </c>
      <c r="B28" s="118" t="s">
        <v>238</v>
      </c>
      <c r="C28" s="149"/>
      <c r="D28" s="149"/>
      <c r="E28" s="149">
        <f>'Adj List'!E9</f>
        <v>252698.89300999884</v>
      </c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>
        <f t="shared" si="6"/>
        <v>252698.89300999884</v>
      </c>
      <c r="W28" s="118"/>
      <c r="X28" s="118"/>
      <c r="Y28" s="118"/>
      <c r="Z28" s="126"/>
      <c r="AA28" s="126"/>
      <c r="AB28" s="126"/>
      <c r="AC28" s="126"/>
      <c r="AD28" s="126"/>
      <c r="AE28" s="126"/>
      <c r="AF28" s="126"/>
      <c r="AG28" s="126"/>
      <c r="AH28" s="126"/>
      <c r="AI28" s="118"/>
    </row>
    <row r="29" spans="1:35">
      <c r="A29" s="114">
        <f>(A28+1)</f>
        <v>23</v>
      </c>
      <c r="B29" s="118" t="s">
        <v>239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>
        <f t="shared" si="6"/>
        <v>0</v>
      </c>
      <c r="W29" s="118"/>
      <c r="X29" s="118"/>
      <c r="Y29" s="118"/>
      <c r="Z29" s="126"/>
      <c r="AA29" s="126"/>
      <c r="AB29" s="126"/>
      <c r="AC29" s="126"/>
      <c r="AD29" s="126"/>
      <c r="AE29" s="126"/>
      <c r="AF29" s="126"/>
      <c r="AG29" s="126"/>
      <c r="AH29" s="126"/>
      <c r="AI29" s="118"/>
    </row>
    <row r="30" spans="1:35">
      <c r="A30" s="114">
        <f>(A29+1)</f>
        <v>24</v>
      </c>
      <c r="B30" s="118" t="s">
        <v>30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>
        <f t="shared" si="6"/>
        <v>0</v>
      </c>
      <c r="W30" s="118"/>
      <c r="X30" s="118"/>
      <c r="Y30" s="118"/>
      <c r="Z30" s="126"/>
      <c r="AA30" s="126"/>
      <c r="AB30" s="126"/>
      <c r="AC30" s="126"/>
      <c r="AD30" s="126"/>
      <c r="AE30" s="126"/>
      <c r="AF30" s="126"/>
      <c r="AG30" s="126"/>
      <c r="AH30" s="126"/>
      <c r="AI30" s="118"/>
    </row>
    <row r="31" spans="1:35">
      <c r="A31" s="114">
        <f t="shared" si="0"/>
        <v>25</v>
      </c>
      <c r="B31" s="129" t="s">
        <v>31</v>
      </c>
      <c r="C31" s="151">
        <f t="shared" ref="C31:T31" si="7">SUM(C24:C30)</f>
        <v>-2488284</v>
      </c>
      <c r="D31" s="151">
        <f t="shared" si="7"/>
        <v>-6354826</v>
      </c>
      <c r="E31" s="151">
        <f t="shared" si="7"/>
        <v>252698.89300999884</v>
      </c>
      <c r="F31" s="151">
        <f t="shared" si="7"/>
        <v>75417.476972552642</v>
      </c>
      <c r="G31" s="151">
        <f t="shared" si="7"/>
        <v>393820</v>
      </c>
      <c r="H31" s="151">
        <f t="shared" si="7"/>
        <v>179743.74</v>
      </c>
      <c r="I31" s="151">
        <f t="shared" si="7"/>
        <v>-11188.709133845812</v>
      </c>
      <c r="J31" s="151">
        <f t="shared" si="7"/>
        <v>-300622.99</v>
      </c>
      <c r="K31" s="151">
        <f t="shared" si="7"/>
        <v>-7150</v>
      </c>
      <c r="L31" s="151">
        <f t="shared" si="7"/>
        <v>96903.223829833179</v>
      </c>
      <c r="M31" s="151">
        <f t="shared" si="7"/>
        <v>-12675.493792336296</v>
      </c>
      <c r="N31" s="151">
        <f t="shared" si="7"/>
        <v>-8434.7699418348657</v>
      </c>
      <c r="O31" s="151">
        <f t="shared" si="7"/>
        <v>66666.67</v>
      </c>
      <c r="P31" s="151">
        <f t="shared" si="7"/>
        <v>-12063.92</v>
      </c>
      <c r="Q31" s="151">
        <f t="shared" ref="Q31" si="8">SUM(Q24:Q30)</f>
        <v>0</v>
      </c>
      <c r="R31" s="151">
        <f t="shared" si="7"/>
        <v>13285.72411105522</v>
      </c>
      <c r="S31" s="151">
        <f t="shared" si="7"/>
        <v>0</v>
      </c>
      <c r="T31" s="151">
        <f t="shared" si="7"/>
        <v>0</v>
      </c>
      <c r="U31" s="151"/>
      <c r="V31" s="151">
        <f t="shared" si="6"/>
        <v>-8116710.1549445791</v>
      </c>
      <c r="W31" s="118"/>
      <c r="X31" s="126">
        <f>'Adj List'!E30-V31</f>
        <v>0</v>
      </c>
      <c r="Y31" s="118"/>
      <c r="Z31" s="126"/>
      <c r="AA31" s="126"/>
      <c r="AB31" s="126"/>
      <c r="AC31" s="126"/>
      <c r="AD31" s="126"/>
      <c r="AE31" s="126"/>
      <c r="AF31" s="126"/>
      <c r="AG31" s="126"/>
      <c r="AH31" s="126"/>
      <c r="AI31" s="118"/>
    </row>
    <row r="32" spans="1:35">
      <c r="A32" s="114">
        <f t="shared" si="0"/>
        <v>26</v>
      </c>
      <c r="B32" s="118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18"/>
      <c r="X32" s="118"/>
      <c r="Y32" s="118"/>
      <c r="Z32" s="126"/>
      <c r="AA32" s="126"/>
      <c r="AB32" s="126"/>
      <c r="AC32" s="126"/>
      <c r="AD32" s="126"/>
      <c r="AE32" s="126"/>
      <c r="AF32" s="126"/>
      <c r="AG32" s="126"/>
      <c r="AH32" s="126"/>
      <c r="AI32" s="118"/>
    </row>
    <row r="33" spans="1:35">
      <c r="A33" s="114">
        <f t="shared" si="0"/>
        <v>27</v>
      </c>
      <c r="B33" s="118" t="s">
        <v>32</v>
      </c>
      <c r="C33" s="149">
        <f t="shared" ref="C33:T33" si="9">(+C12-C31)</f>
        <v>0</v>
      </c>
      <c r="D33" s="149">
        <f t="shared" si="9"/>
        <v>0</v>
      </c>
      <c r="E33" s="149">
        <f t="shared" si="9"/>
        <v>-252698.89300999884</v>
      </c>
      <c r="F33" s="149">
        <f t="shared" si="9"/>
        <v>-75417.476972552642</v>
      </c>
      <c r="G33" s="149">
        <f t="shared" si="9"/>
        <v>-393820</v>
      </c>
      <c r="H33" s="149">
        <f t="shared" si="9"/>
        <v>92759.140000000014</v>
      </c>
      <c r="I33" s="149">
        <f t="shared" si="9"/>
        <v>11188.709133845812</v>
      </c>
      <c r="J33" s="149">
        <f t="shared" si="9"/>
        <v>300622.99</v>
      </c>
      <c r="K33" s="149">
        <f t="shared" si="9"/>
        <v>7150</v>
      </c>
      <c r="L33" s="149">
        <f t="shared" si="9"/>
        <v>-96903.223829833179</v>
      </c>
      <c r="M33" s="149">
        <f t="shared" si="9"/>
        <v>12675.493792336296</v>
      </c>
      <c r="N33" s="149">
        <f t="shared" si="9"/>
        <v>8434.7699418348657</v>
      </c>
      <c r="O33" s="149">
        <f t="shared" si="9"/>
        <v>-66666.67</v>
      </c>
      <c r="P33" s="149">
        <f t="shared" si="9"/>
        <v>12063.92</v>
      </c>
      <c r="Q33" s="149">
        <f t="shared" ref="Q33" si="10">(+Q12-Q31)</f>
        <v>0</v>
      </c>
      <c r="R33" s="149">
        <f t="shared" si="9"/>
        <v>-13285.72411105522</v>
      </c>
      <c r="S33" s="149">
        <f t="shared" si="9"/>
        <v>0</v>
      </c>
      <c r="T33" s="149">
        <f t="shared" si="9"/>
        <v>0</v>
      </c>
      <c r="U33" s="149"/>
      <c r="V33" s="149">
        <f>SUM(C33:U33)</f>
        <v>-453896.96505542292</v>
      </c>
      <c r="W33" s="118"/>
      <c r="X33" s="118"/>
      <c r="Y33" s="118"/>
      <c r="Z33" s="126"/>
      <c r="AA33" s="126"/>
      <c r="AB33" s="126"/>
      <c r="AC33" s="126"/>
      <c r="AD33" s="126"/>
      <c r="AE33" s="126"/>
      <c r="AF33" s="126"/>
      <c r="AG33" s="126"/>
      <c r="AH33" s="126"/>
      <c r="AI33" s="118"/>
    </row>
    <row r="34" spans="1:35">
      <c r="A34" s="114">
        <f t="shared" si="0"/>
        <v>28</v>
      </c>
      <c r="B34" s="118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18"/>
      <c r="X34" s="118"/>
      <c r="Y34" s="118"/>
      <c r="Z34" s="126"/>
      <c r="AA34" s="126"/>
      <c r="AB34" s="126"/>
      <c r="AC34" s="126"/>
      <c r="AD34" s="126"/>
      <c r="AE34" s="126"/>
      <c r="AF34" s="126"/>
      <c r="AG34" s="126"/>
      <c r="AH34" s="126"/>
      <c r="AI34" s="118"/>
    </row>
    <row r="35" spans="1:35">
      <c r="A35" s="114">
        <f t="shared" si="0"/>
        <v>29</v>
      </c>
      <c r="B35" s="118" t="s">
        <v>33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>
        <f>SUM(C35:U35)</f>
        <v>0</v>
      </c>
      <c r="W35" s="118"/>
      <c r="X35" s="118"/>
      <c r="Y35" s="118"/>
      <c r="Z35" s="126"/>
      <c r="AA35" s="126"/>
      <c r="AB35" s="126"/>
      <c r="AC35" s="126"/>
      <c r="AD35" s="126"/>
      <c r="AE35" s="126"/>
      <c r="AF35" s="126"/>
      <c r="AG35" s="126"/>
      <c r="AH35" s="126"/>
      <c r="AI35" s="118"/>
    </row>
    <row r="36" spans="1:35">
      <c r="A36" s="114">
        <f t="shared" si="0"/>
        <v>30</v>
      </c>
      <c r="B36" s="118" t="s">
        <v>240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18"/>
      <c r="X36" s="118"/>
      <c r="Y36" s="118"/>
      <c r="Z36" s="126"/>
      <c r="AA36" s="126"/>
      <c r="AB36" s="126"/>
      <c r="AC36" s="126"/>
      <c r="AD36" s="126"/>
      <c r="AE36" s="126"/>
      <c r="AF36" s="126"/>
      <c r="AG36" s="126"/>
      <c r="AH36" s="126"/>
      <c r="AI36" s="118"/>
    </row>
    <row r="37" spans="1:35">
      <c r="A37" s="114">
        <f t="shared" si="0"/>
        <v>31</v>
      </c>
      <c r="B37" s="118" t="s">
        <v>36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>
        <f>'Adj List'!F20</f>
        <v>0</v>
      </c>
      <c r="Q37" s="149">
        <f>'Adj List'!F21</f>
        <v>-277928</v>
      </c>
      <c r="R37" s="149"/>
      <c r="S37" s="149">
        <f>'Adj List'!F23</f>
        <v>-410199.37</v>
      </c>
      <c r="T37" s="149"/>
      <c r="U37" s="149"/>
      <c r="V37" s="149">
        <f>SUM(C37:U37)</f>
        <v>-688127.37</v>
      </c>
      <c r="W37" s="118"/>
      <c r="X37" s="118"/>
      <c r="Y37" s="118"/>
      <c r="Z37" s="126"/>
      <c r="AA37" s="126"/>
      <c r="AB37" s="126"/>
      <c r="AC37" s="126"/>
      <c r="AD37" s="126"/>
      <c r="AE37" s="126"/>
      <c r="AF37" s="126"/>
      <c r="AG37" s="126"/>
      <c r="AH37" s="126"/>
      <c r="AI37" s="118"/>
    </row>
    <row r="38" spans="1:35">
      <c r="A38" s="114">
        <f t="shared" si="0"/>
        <v>32</v>
      </c>
      <c r="B38" s="118" t="s">
        <v>37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>
        <f>SUM(C38:U38)</f>
        <v>0</v>
      </c>
      <c r="W38" s="118"/>
      <c r="X38" s="118"/>
      <c r="Y38" s="118"/>
      <c r="Z38" s="126"/>
      <c r="AA38" s="126"/>
      <c r="AB38" s="126"/>
      <c r="AC38" s="126"/>
      <c r="AD38" s="126"/>
      <c r="AE38" s="126"/>
      <c r="AF38" s="126"/>
      <c r="AG38" s="126"/>
      <c r="AH38" s="126"/>
      <c r="AI38" s="118"/>
    </row>
    <row r="39" spans="1:35">
      <c r="A39" s="114">
        <f t="shared" si="0"/>
        <v>33</v>
      </c>
      <c r="B39" s="118" t="s">
        <v>38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>
        <f>SUM(C39:U39)</f>
        <v>0</v>
      </c>
      <c r="W39" s="118"/>
      <c r="X39" s="118"/>
      <c r="Y39" s="118"/>
      <c r="Z39" s="126"/>
      <c r="AA39" s="126"/>
      <c r="AB39" s="126"/>
      <c r="AC39" s="126"/>
      <c r="AD39" s="126"/>
      <c r="AE39" s="126"/>
      <c r="AF39" s="126"/>
      <c r="AG39" s="126"/>
      <c r="AH39" s="126"/>
      <c r="AI39" s="118"/>
    </row>
    <row r="40" spans="1:35">
      <c r="A40" s="114">
        <f t="shared" si="0"/>
        <v>34</v>
      </c>
      <c r="B40" s="129" t="s">
        <v>241</v>
      </c>
      <c r="C40" s="151">
        <f t="shared" ref="C40:T40" si="11">SUM(C35:C39)</f>
        <v>0</v>
      </c>
      <c r="D40" s="151">
        <f t="shared" si="11"/>
        <v>0</v>
      </c>
      <c r="E40" s="151">
        <f t="shared" si="11"/>
        <v>0</v>
      </c>
      <c r="F40" s="151">
        <f t="shared" si="11"/>
        <v>0</v>
      </c>
      <c r="G40" s="151">
        <f t="shared" si="11"/>
        <v>0</v>
      </c>
      <c r="H40" s="151">
        <f t="shared" si="11"/>
        <v>0</v>
      </c>
      <c r="I40" s="151">
        <f t="shared" si="11"/>
        <v>0</v>
      </c>
      <c r="J40" s="151">
        <f t="shared" si="11"/>
        <v>0</v>
      </c>
      <c r="K40" s="151">
        <f t="shared" si="11"/>
        <v>0</v>
      </c>
      <c r="L40" s="151">
        <f t="shared" si="11"/>
        <v>0</v>
      </c>
      <c r="M40" s="151">
        <f t="shared" si="11"/>
        <v>0</v>
      </c>
      <c r="N40" s="151">
        <f t="shared" si="11"/>
        <v>0</v>
      </c>
      <c r="O40" s="151">
        <f t="shared" si="11"/>
        <v>0</v>
      </c>
      <c r="P40" s="151">
        <f t="shared" si="11"/>
        <v>0</v>
      </c>
      <c r="Q40" s="151">
        <f t="shared" ref="Q40" si="12">SUM(Q35:Q39)</f>
        <v>-277928</v>
      </c>
      <c r="R40" s="151">
        <f t="shared" si="11"/>
        <v>0</v>
      </c>
      <c r="S40" s="151">
        <f t="shared" si="11"/>
        <v>-410199.37</v>
      </c>
      <c r="T40" s="151">
        <f t="shared" si="11"/>
        <v>0</v>
      </c>
      <c r="U40" s="151"/>
      <c r="V40" s="151">
        <f>SUM(C40:U40)</f>
        <v>-688127.37</v>
      </c>
      <c r="W40" s="118"/>
      <c r="X40" s="126">
        <f>'Adj List'!F30-V40</f>
        <v>0</v>
      </c>
      <c r="Y40" s="118"/>
      <c r="Z40" s="126"/>
      <c r="AA40" s="126"/>
      <c r="AB40" s="126"/>
      <c r="AC40" s="126"/>
      <c r="AD40" s="126"/>
      <c r="AE40" s="126"/>
      <c r="AF40" s="126"/>
      <c r="AG40" s="126"/>
      <c r="AH40" s="126"/>
      <c r="AI40" s="118"/>
    </row>
    <row r="41" spans="1:35">
      <c r="A41" s="114">
        <f t="shared" si="0"/>
        <v>35</v>
      </c>
      <c r="B41" s="11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18"/>
      <c r="X41" s="118"/>
      <c r="Y41" s="118"/>
      <c r="Z41" s="126"/>
      <c r="AA41" s="126"/>
      <c r="AB41" s="126"/>
      <c r="AC41" s="126"/>
      <c r="AD41" s="126"/>
      <c r="AE41" s="126"/>
      <c r="AF41" s="126"/>
      <c r="AG41" s="126"/>
      <c r="AH41" s="126"/>
      <c r="AI41" s="118"/>
    </row>
    <row r="42" spans="1:35" ht="15" thickBot="1">
      <c r="A42" s="114">
        <f t="shared" si="0"/>
        <v>36</v>
      </c>
      <c r="B42" s="130" t="s">
        <v>39</v>
      </c>
      <c r="C42" s="153">
        <f t="shared" ref="C42:T42" si="13">+C33+C40</f>
        <v>0</v>
      </c>
      <c r="D42" s="153">
        <f t="shared" si="13"/>
        <v>0</v>
      </c>
      <c r="E42" s="153">
        <f t="shared" si="13"/>
        <v>-252698.89300999884</v>
      </c>
      <c r="F42" s="153">
        <f t="shared" si="13"/>
        <v>-75417.476972552642</v>
      </c>
      <c r="G42" s="153">
        <f t="shared" si="13"/>
        <v>-393820</v>
      </c>
      <c r="H42" s="153">
        <f t="shared" si="13"/>
        <v>92759.140000000014</v>
      </c>
      <c r="I42" s="153">
        <f t="shared" si="13"/>
        <v>11188.709133845812</v>
      </c>
      <c r="J42" s="153">
        <f t="shared" si="13"/>
        <v>300622.99</v>
      </c>
      <c r="K42" s="153">
        <f t="shared" si="13"/>
        <v>7150</v>
      </c>
      <c r="L42" s="153">
        <f t="shared" si="13"/>
        <v>-96903.223829833179</v>
      </c>
      <c r="M42" s="153">
        <f t="shared" si="13"/>
        <v>12675.493792336296</v>
      </c>
      <c r="N42" s="153">
        <f t="shared" si="13"/>
        <v>8434.7699418348657</v>
      </c>
      <c r="O42" s="153">
        <f t="shared" si="13"/>
        <v>-66666.67</v>
      </c>
      <c r="P42" s="153">
        <f t="shared" si="13"/>
        <v>12063.92</v>
      </c>
      <c r="Q42" s="153">
        <f t="shared" ref="Q42" si="14">+Q33+Q40</f>
        <v>-277928</v>
      </c>
      <c r="R42" s="153">
        <f t="shared" si="13"/>
        <v>-13285.72411105522</v>
      </c>
      <c r="S42" s="153">
        <f t="shared" si="13"/>
        <v>-410199.37</v>
      </c>
      <c r="T42" s="153">
        <f t="shared" si="13"/>
        <v>0</v>
      </c>
      <c r="U42" s="153"/>
      <c r="V42" s="153">
        <f>SUM(C42:U42)</f>
        <v>-1142024.335055423</v>
      </c>
      <c r="W42" s="118"/>
      <c r="X42" s="126">
        <f>'Adj List'!G30-V42</f>
        <v>0</v>
      </c>
      <c r="Y42" s="118"/>
      <c r="Z42" s="126"/>
      <c r="AA42" s="126"/>
      <c r="AB42" s="126"/>
      <c r="AC42" s="126"/>
      <c r="AD42" s="126"/>
      <c r="AE42" s="126"/>
      <c r="AF42" s="126"/>
      <c r="AG42" s="126"/>
      <c r="AH42" s="126"/>
      <c r="AI42" s="118"/>
    </row>
    <row r="43" spans="1:35" ht="37.15" customHeight="1" thickTop="1">
      <c r="A43" s="114"/>
      <c r="B43" s="118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</row>
    <row r="44" spans="1:35" ht="18" customHeight="1">
      <c r="A44" s="114"/>
      <c r="B44" s="118" t="s">
        <v>242</v>
      </c>
      <c r="C44" s="149">
        <f>C12</f>
        <v>-2488284</v>
      </c>
      <c r="D44" s="149">
        <f t="shared" ref="D44:U44" si="15">D12</f>
        <v>-6354826</v>
      </c>
      <c r="E44" s="149">
        <f t="shared" si="15"/>
        <v>0</v>
      </c>
      <c r="F44" s="149">
        <f t="shared" si="15"/>
        <v>0</v>
      </c>
      <c r="G44" s="149">
        <f t="shared" si="15"/>
        <v>0</v>
      </c>
      <c r="H44" s="149">
        <f t="shared" si="15"/>
        <v>272502.88</v>
      </c>
      <c r="I44" s="149">
        <f t="shared" si="15"/>
        <v>0</v>
      </c>
      <c r="J44" s="149">
        <f t="shared" si="15"/>
        <v>0</v>
      </c>
      <c r="K44" s="149">
        <f t="shared" si="15"/>
        <v>0</v>
      </c>
      <c r="L44" s="149">
        <f t="shared" si="15"/>
        <v>0</v>
      </c>
      <c r="M44" s="149">
        <f t="shared" si="15"/>
        <v>0</v>
      </c>
      <c r="N44" s="149">
        <f t="shared" si="15"/>
        <v>0</v>
      </c>
      <c r="O44" s="149">
        <f t="shared" si="15"/>
        <v>0</v>
      </c>
      <c r="P44" s="149">
        <f t="shared" si="15"/>
        <v>0</v>
      </c>
      <c r="Q44" s="149">
        <f t="shared" si="15"/>
        <v>0</v>
      </c>
      <c r="R44" s="149">
        <f t="shared" si="15"/>
        <v>0</v>
      </c>
      <c r="S44" s="149">
        <f t="shared" si="15"/>
        <v>0</v>
      </c>
      <c r="T44" s="149">
        <f t="shared" si="15"/>
        <v>0</v>
      </c>
      <c r="U44" s="149">
        <f t="shared" si="15"/>
        <v>0</v>
      </c>
      <c r="V44" s="149">
        <f>SUM(C44:U44)</f>
        <v>-8570607.1199999992</v>
      </c>
      <c r="W44" s="118"/>
      <c r="X44" s="126">
        <f>'Adj List'!D30-V44</f>
        <v>0</v>
      </c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</row>
    <row r="45" spans="1:35" ht="18" customHeight="1">
      <c r="A45" s="114"/>
      <c r="B45" s="118" t="s">
        <v>243</v>
      </c>
      <c r="C45" s="149">
        <f>C31</f>
        <v>-2488284</v>
      </c>
      <c r="D45" s="149">
        <f t="shared" ref="D45:U45" si="16">D31</f>
        <v>-6354826</v>
      </c>
      <c r="E45" s="149">
        <f t="shared" si="16"/>
        <v>252698.89300999884</v>
      </c>
      <c r="F45" s="149">
        <f t="shared" si="16"/>
        <v>75417.476972552642</v>
      </c>
      <c r="G45" s="149">
        <f t="shared" si="16"/>
        <v>393820</v>
      </c>
      <c r="H45" s="149">
        <f t="shared" si="16"/>
        <v>179743.74</v>
      </c>
      <c r="I45" s="149">
        <f t="shared" si="16"/>
        <v>-11188.709133845812</v>
      </c>
      <c r="J45" s="149">
        <f t="shared" si="16"/>
        <v>-300622.99</v>
      </c>
      <c r="K45" s="149">
        <f t="shared" si="16"/>
        <v>-7150</v>
      </c>
      <c r="L45" s="149">
        <f t="shared" si="16"/>
        <v>96903.223829833179</v>
      </c>
      <c r="M45" s="149">
        <f t="shared" si="16"/>
        <v>-12675.493792336296</v>
      </c>
      <c r="N45" s="149">
        <f t="shared" si="16"/>
        <v>-8434.7699418348657</v>
      </c>
      <c r="O45" s="149">
        <f t="shared" si="16"/>
        <v>66666.67</v>
      </c>
      <c r="P45" s="149">
        <f t="shared" si="16"/>
        <v>-12063.92</v>
      </c>
      <c r="Q45" s="149">
        <f t="shared" si="16"/>
        <v>0</v>
      </c>
      <c r="R45" s="149">
        <f t="shared" si="16"/>
        <v>13285.72411105522</v>
      </c>
      <c r="S45" s="149">
        <f t="shared" si="16"/>
        <v>0</v>
      </c>
      <c r="T45" s="149">
        <f t="shared" si="16"/>
        <v>0</v>
      </c>
      <c r="U45" s="149">
        <f t="shared" si="16"/>
        <v>0</v>
      </c>
      <c r="V45" s="149">
        <f>SUM(C45:U45)</f>
        <v>-8116710.1549445791</v>
      </c>
      <c r="W45" s="118"/>
      <c r="X45" s="126">
        <f>'Adj List'!E30-V45</f>
        <v>0</v>
      </c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</row>
    <row r="46" spans="1:35" ht="18" customHeight="1">
      <c r="A46" s="114"/>
      <c r="B46" s="118" t="s">
        <v>244</v>
      </c>
      <c r="C46" s="149">
        <f>C40</f>
        <v>0</v>
      </c>
      <c r="D46" s="149">
        <f t="shared" ref="D46:U46" si="17">D40</f>
        <v>0</v>
      </c>
      <c r="E46" s="149">
        <f t="shared" si="17"/>
        <v>0</v>
      </c>
      <c r="F46" s="149">
        <f t="shared" si="17"/>
        <v>0</v>
      </c>
      <c r="G46" s="149">
        <f t="shared" si="17"/>
        <v>0</v>
      </c>
      <c r="H46" s="149">
        <f t="shared" si="17"/>
        <v>0</v>
      </c>
      <c r="I46" s="149">
        <f t="shared" si="17"/>
        <v>0</v>
      </c>
      <c r="J46" s="149">
        <f t="shared" si="17"/>
        <v>0</v>
      </c>
      <c r="K46" s="149">
        <f t="shared" si="17"/>
        <v>0</v>
      </c>
      <c r="L46" s="149">
        <f t="shared" si="17"/>
        <v>0</v>
      </c>
      <c r="M46" s="149">
        <f t="shared" si="17"/>
        <v>0</v>
      </c>
      <c r="N46" s="149">
        <f t="shared" si="17"/>
        <v>0</v>
      </c>
      <c r="O46" s="149">
        <f t="shared" si="17"/>
        <v>0</v>
      </c>
      <c r="P46" s="149">
        <f t="shared" si="17"/>
        <v>0</v>
      </c>
      <c r="Q46" s="149">
        <f t="shared" si="17"/>
        <v>-277928</v>
      </c>
      <c r="R46" s="149">
        <f t="shared" si="17"/>
        <v>0</v>
      </c>
      <c r="S46" s="149">
        <f t="shared" si="17"/>
        <v>-410199.37</v>
      </c>
      <c r="T46" s="149">
        <f t="shared" si="17"/>
        <v>0</v>
      </c>
      <c r="U46" s="149">
        <f t="shared" si="17"/>
        <v>0</v>
      </c>
      <c r="V46" s="149">
        <f>SUM(C46:U46)</f>
        <v>-688127.37</v>
      </c>
      <c r="W46" s="118"/>
      <c r="X46" s="126">
        <f>'Adj List'!F30-V46</f>
        <v>0</v>
      </c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</row>
    <row r="47" spans="1:35" ht="18" customHeight="1">
      <c r="A47" s="114"/>
      <c r="B47" s="118" t="s">
        <v>245</v>
      </c>
      <c r="C47" s="149">
        <f>C44-C45+C46</f>
        <v>0</v>
      </c>
      <c r="D47" s="149">
        <f t="shared" ref="D47:U47" si="18">D44-D45+D46</f>
        <v>0</v>
      </c>
      <c r="E47" s="149">
        <f t="shared" si="18"/>
        <v>-252698.89300999884</v>
      </c>
      <c r="F47" s="149">
        <f t="shared" si="18"/>
        <v>-75417.476972552642</v>
      </c>
      <c r="G47" s="149">
        <f t="shared" si="18"/>
        <v>-393820</v>
      </c>
      <c r="H47" s="149">
        <f t="shared" si="18"/>
        <v>92759.140000000014</v>
      </c>
      <c r="I47" s="149">
        <f t="shared" si="18"/>
        <v>11188.709133845812</v>
      </c>
      <c r="J47" s="149">
        <f t="shared" si="18"/>
        <v>300622.99</v>
      </c>
      <c r="K47" s="149">
        <f t="shared" si="18"/>
        <v>7150</v>
      </c>
      <c r="L47" s="149">
        <f t="shared" si="18"/>
        <v>-96903.223829833179</v>
      </c>
      <c r="M47" s="149">
        <f t="shared" si="18"/>
        <v>12675.493792336296</v>
      </c>
      <c r="N47" s="149">
        <f t="shared" si="18"/>
        <v>8434.7699418348657</v>
      </c>
      <c r="O47" s="149">
        <f t="shared" si="18"/>
        <v>-66666.67</v>
      </c>
      <c r="P47" s="149">
        <f t="shared" si="18"/>
        <v>12063.92</v>
      </c>
      <c r="Q47" s="149">
        <f t="shared" si="18"/>
        <v>-277928</v>
      </c>
      <c r="R47" s="149">
        <f t="shared" si="18"/>
        <v>-13285.72411105522</v>
      </c>
      <c r="S47" s="149">
        <f t="shared" si="18"/>
        <v>-410199.37</v>
      </c>
      <c r="T47" s="149">
        <f t="shared" si="18"/>
        <v>0</v>
      </c>
      <c r="U47" s="149">
        <f t="shared" si="18"/>
        <v>0</v>
      </c>
      <c r="V47" s="149">
        <f>SUM(C47:U47)</f>
        <v>-1142024.335055423</v>
      </c>
      <c r="W47" s="118"/>
      <c r="X47" s="126">
        <f>'Adj List'!G30-V47</f>
        <v>0</v>
      </c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</row>
    <row r="48" spans="1:35" ht="18" customHeight="1">
      <c r="A48" s="114"/>
      <c r="B48" s="118" t="s">
        <v>154</v>
      </c>
      <c r="C48" s="149">
        <f t="shared" ref="C48:V48" si="19">C47-C42</f>
        <v>0</v>
      </c>
      <c r="D48" s="149">
        <f t="shared" ref="D48:U48" si="20">D47-D42</f>
        <v>0</v>
      </c>
      <c r="E48" s="149">
        <f t="shared" si="20"/>
        <v>0</v>
      </c>
      <c r="F48" s="149">
        <f t="shared" si="20"/>
        <v>0</v>
      </c>
      <c r="G48" s="149">
        <f t="shared" si="20"/>
        <v>0</v>
      </c>
      <c r="H48" s="149">
        <f t="shared" si="20"/>
        <v>0</v>
      </c>
      <c r="I48" s="149">
        <f t="shared" si="20"/>
        <v>0</v>
      </c>
      <c r="J48" s="149">
        <f t="shared" si="20"/>
        <v>0</v>
      </c>
      <c r="K48" s="149">
        <f t="shared" si="20"/>
        <v>0</v>
      </c>
      <c r="L48" s="149">
        <f t="shared" si="20"/>
        <v>0</v>
      </c>
      <c r="M48" s="149">
        <f t="shared" si="20"/>
        <v>0</v>
      </c>
      <c r="N48" s="149">
        <f t="shared" si="20"/>
        <v>0</v>
      </c>
      <c r="O48" s="149">
        <f t="shared" si="20"/>
        <v>0</v>
      </c>
      <c r="P48" s="149">
        <f t="shared" si="20"/>
        <v>0</v>
      </c>
      <c r="Q48" s="149">
        <f t="shared" si="20"/>
        <v>0</v>
      </c>
      <c r="R48" s="149">
        <f t="shared" si="20"/>
        <v>0</v>
      </c>
      <c r="S48" s="149">
        <f t="shared" si="20"/>
        <v>0</v>
      </c>
      <c r="T48" s="149">
        <f t="shared" si="20"/>
        <v>0</v>
      </c>
      <c r="U48" s="149">
        <f t="shared" si="20"/>
        <v>0</v>
      </c>
      <c r="V48" s="149">
        <f t="shared" si="19"/>
        <v>0</v>
      </c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</row>
    <row r="49" spans="1:35" ht="18" customHeight="1">
      <c r="A49" s="114"/>
      <c r="B49" s="11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</row>
    <row r="50" spans="1:35" ht="18" customHeight="1">
      <c r="A50" s="114"/>
      <c r="B50" s="11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</row>
    <row r="51" spans="1:35">
      <c r="A51" s="114"/>
      <c r="B51" s="11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</row>
    <row r="52" spans="1:35">
      <c r="A52" s="114"/>
      <c r="B52" s="11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</row>
    <row r="53" spans="1:35">
      <c r="A53" s="114"/>
      <c r="B53" s="118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</row>
    <row r="54" spans="1:35">
      <c r="A54" s="114"/>
      <c r="B54" s="11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</row>
    <row r="55" spans="1:35">
      <c r="A55" s="114"/>
      <c r="B55" s="118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</row>
    <row r="56" spans="1:35">
      <c r="A56" s="114"/>
      <c r="B56" s="118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</row>
    <row r="57" spans="1:35">
      <c r="A57" s="114"/>
      <c r="B57" s="11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</row>
    <row r="58" spans="1:35">
      <c r="A58" s="114"/>
      <c r="B58" s="118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</row>
    <row r="59" spans="1:35">
      <c r="A59" s="114"/>
      <c r="B59" s="118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</row>
    <row r="60" spans="1:35">
      <c r="A60" s="114"/>
      <c r="B60" s="11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</row>
    <row r="61" spans="1:35">
      <c r="A61" s="114"/>
      <c r="B61" s="118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</row>
    <row r="62" spans="1:35">
      <c r="A62" s="114"/>
      <c r="B62" s="118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</row>
    <row r="63" spans="1:35">
      <c r="A63" s="114"/>
      <c r="B63" s="118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</row>
    <row r="64" spans="1:35">
      <c r="A64" s="114"/>
      <c r="B64" s="118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</row>
    <row r="65" spans="1:35">
      <c r="A65" s="114"/>
      <c r="B65" s="11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</row>
    <row r="66" spans="1:35">
      <c r="A66" s="114"/>
      <c r="B66" s="118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</row>
    <row r="67" spans="1:35">
      <c r="A67" s="114"/>
      <c r="B67" s="118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</row>
    <row r="68" spans="1:35">
      <c r="A68" s="114"/>
      <c r="B68" s="118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</row>
    <row r="69" spans="1:35">
      <c r="A69" s="114"/>
      <c r="B69" s="118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</row>
    <row r="70" spans="1:35">
      <c r="A70" s="114"/>
      <c r="B70" s="118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</row>
    <row r="71" spans="1:35">
      <c r="A71" s="114"/>
      <c r="B71" s="118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</row>
    <row r="72" spans="1:35">
      <c r="A72" s="114"/>
      <c r="B72" s="118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</row>
    <row r="73" spans="1:35">
      <c r="A73" s="114"/>
      <c r="B73" s="118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</row>
    <row r="74" spans="1:35">
      <c r="A74" s="114"/>
      <c r="B74" s="118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</row>
    <row r="75" spans="1:35">
      <c r="A75" s="114"/>
      <c r="B75" s="118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</row>
    <row r="76" spans="1:35">
      <c r="A76" s="114"/>
      <c r="B76" s="118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</row>
    <row r="77" spans="1:35">
      <c r="A77" s="114"/>
      <c r="B77" s="118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</row>
    <row r="78" spans="1:35">
      <c r="A78" s="114"/>
      <c r="B78" s="11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</row>
    <row r="79" spans="1:35">
      <c r="A79" s="114"/>
      <c r="B79" s="11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</row>
    <row r="80" spans="1:35">
      <c r="A80" s="114"/>
      <c r="B80" s="118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</row>
    <row r="81" spans="1:35">
      <c r="A81" s="114"/>
      <c r="B81" s="118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</row>
    <row r="82" spans="1:35">
      <c r="A82" s="114"/>
      <c r="B82" s="118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</row>
    <row r="83" spans="1:35">
      <c r="A83" s="114"/>
      <c r="B83" s="118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</row>
    <row r="84" spans="1:35">
      <c r="A84" s="114"/>
      <c r="B84" s="118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</row>
    <row r="85" spans="1:35">
      <c r="A85" s="114"/>
      <c r="B85" s="118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</row>
    <row r="86" spans="1:35">
      <c r="A86" s="114"/>
      <c r="B86" s="118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</row>
    <row r="87" spans="1:35">
      <c r="A87" s="114"/>
      <c r="B87" s="11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</row>
    <row r="88" spans="1:35">
      <c r="A88" s="114"/>
      <c r="B88" s="11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</row>
    <row r="89" spans="1:35">
      <c r="A89" s="114"/>
      <c r="B89" s="118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</row>
    <row r="90" spans="1:35">
      <c r="A90" s="114"/>
      <c r="B90" s="11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</row>
    <row r="91" spans="1:35">
      <c r="A91" s="114"/>
      <c r="B91" s="11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</row>
    <row r="92" spans="1:35">
      <c r="A92" s="114"/>
      <c r="B92" s="118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</row>
    <row r="93" spans="1:35">
      <c r="A93" s="114"/>
      <c r="B93" s="118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</row>
    <row r="94" spans="1:35">
      <c r="A94" s="114"/>
      <c r="B94" s="118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</row>
    <row r="95" spans="1:35">
      <c r="A95" s="114"/>
      <c r="B95" s="118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</row>
    <row r="96" spans="1:35">
      <c r="A96" s="114"/>
      <c r="B96" s="118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</row>
    <row r="97" spans="1:35">
      <c r="A97" s="114"/>
      <c r="B97" s="118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</row>
    <row r="98" spans="1:35">
      <c r="A98" s="114"/>
      <c r="B98" s="118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</row>
    <row r="99" spans="1:35">
      <c r="A99" s="114"/>
      <c r="B99" s="11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</row>
    <row r="100" spans="1:35">
      <c r="A100" s="114"/>
      <c r="B100" s="118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</row>
    <row r="101" spans="1:35">
      <c r="A101" s="114"/>
      <c r="B101" s="118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</row>
    <row r="102" spans="1:35">
      <c r="B102" s="118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18"/>
      <c r="X102" s="118"/>
      <c r="Y102" s="118"/>
      <c r="Z102" s="118"/>
      <c r="AA102" s="118"/>
      <c r="AB102" s="118"/>
      <c r="AC102" s="118"/>
    </row>
    <row r="103" spans="1:35">
      <c r="B103" s="118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18"/>
      <c r="X103" s="118"/>
      <c r="Y103" s="118"/>
      <c r="Z103" s="118"/>
      <c r="AA103" s="118"/>
      <c r="AB103" s="118"/>
      <c r="AC103" s="118"/>
    </row>
    <row r="104" spans="1:35">
      <c r="B104" s="118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18"/>
      <c r="X104" s="118"/>
      <c r="Y104" s="118"/>
      <c r="Z104" s="118"/>
      <c r="AA104" s="118"/>
      <c r="AB104" s="118"/>
      <c r="AC104" s="118"/>
    </row>
    <row r="105" spans="1:35">
      <c r="B105" s="118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18"/>
      <c r="X105" s="118"/>
      <c r="Y105" s="118"/>
      <c r="Z105" s="118"/>
      <c r="AA105" s="118"/>
      <c r="AB105" s="118"/>
      <c r="AC105" s="118"/>
    </row>
    <row r="106" spans="1:35">
      <c r="B106" s="118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18"/>
      <c r="X106" s="118"/>
      <c r="Y106" s="118"/>
      <c r="Z106" s="118"/>
      <c r="AA106" s="118"/>
      <c r="AB106" s="118"/>
      <c r="AC106" s="118"/>
    </row>
    <row r="107" spans="1:35">
      <c r="B107" s="118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18"/>
      <c r="X107" s="118"/>
      <c r="Y107" s="118"/>
      <c r="Z107" s="118"/>
      <c r="AA107" s="118"/>
      <c r="AB107" s="118"/>
      <c r="AC107" s="118"/>
    </row>
    <row r="108" spans="1:35">
      <c r="B108" s="118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18"/>
      <c r="X108" s="118"/>
      <c r="Y108" s="118"/>
      <c r="Z108" s="118"/>
      <c r="AA108" s="118"/>
      <c r="AB108" s="118"/>
      <c r="AC108" s="118"/>
    </row>
    <row r="109" spans="1:35">
      <c r="B109" s="118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18"/>
      <c r="X109" s="118"/>
      <c r="Y109" s="118"/>
      <c r="Z109" s="118"/>
      <c r="AA109" s="118"/>
      <c r="AB109" s="118"/>
      <c r="AC109" s="118"/>
    </row>
    <row r="110" spans="1:35">
      <c r="B110" s="118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18"/>
      <c r="X110" s="118"/>
      <c r="Y110" s="118"/>
      <c r="Z110" s="118"/>
      <c r="AA110" s="118"/>
      <c r="AB110" s="118"/>
      <c r="AC110" s="118"/>
    </row>
    <row r="111" spans="1:35">
      <c r="B111" s="118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18"/>
      <c r="X111" s="118"/>
      <c r="Y111" s="118"/>
      <c r="Z111" s="118"/>
      <c r="AA111" s="118"/>
      <c r="AB111" s="118"/>
      <c r="AC111" s="118"/>
    </row>
    <row r="112" spans="1:35">
      <c r="B112" s="118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18"/>
      <c r="X112" s="118"/>
      <c r="Y112" s="118"/>
      <c r="Z112" s="118"/>
      <c r="AA112" s="118"/>
      <c r="AB112" s="118"/>
      <c r="AC112" s="118"/>
    </row>
    <row r="113" spans="2:29">
      <c r="B113" s="118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18"/>
      <c r="X113" s="118"/>
      <c r="Y113" s="118"/>
      <c r="Z113" s="118"/>
      <c r="AA113" s="118"/>
      <c r="AB113" s="118"/>
      <c r="AC113" s="118"/>
    </row>
    <row r="114" spans="2:29">
      <c r="B114" s="118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18"/>
      <c r="X114" s="118"/>
      <c r="Y114" s="118"/>
      <c r="Z114" s="118"/>
      <c r="AA114" s="118"/>
      <c r="AB114" s="118"/>
      <c r="AC114" s="118"/>
    </row>
    <row r="115" spans="2:29">
      <c r="B115" s="118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18"/>
      <c r="X115" s="118"/>
      <c r="Y115" s="118"/>
      <c r="Z115" s="118"/>
      <c r="AA115" s="118"/>
      <c r="AB115" s="118"/>
      <c r="AC115" s="118"/>
    </row>
    <row r="116" spans="2:29">
      <c r="B116" s="118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18"/>
      <c r="X116" s="118"/>
      <c r="Y116" s="118"/>
      <c r="Z116" s="118"/>
      <c r="AA116" s="118"/>
      <c r="AB116" s="118"/>
      <c r="AC116" s="118"/>
    </row>
    <row r="117" spans="2:29">
      <c r="B117" s="118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18"/>
      <c r="X117" s="118"/>
      <c r="Y117" s="118"/>
      <c r="Z117" s="118"/>
      <c r="AA117" s="118"/>
      <c r="AB117" s="118"/>
      <c r="AC117" s="118"/>
    </row>
    <row r="118" spans="2:29">
      <c r="B118" s="118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18"/>
      <c r="X118" s="118"/>
      <c r="Y118" s="118"/>
      <c r="Z118" s="118"/>
      <c r="AA118" s="118"/>
      <c r="AB118" s="118"/>
      <c r="AC118" s="118"/>
    </row>
    <row r="119" spans="2:29">
      <c r="B119" s="118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18"/>
      <c r="X119" s="118"/>
      <c r="Y119" s="118"/>
      <c r="Z119" s="118"/>
      <c r="AA119" s="118"/>
      <c r="AB119" s="118"/>
      <c r="AC119" s="118"/>
    </row>
    <row r="120" spans="2:29">
      <c r="B120" s="118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18"/>
      <c r="X120" s="118"/>
      <c r="Y120" s="118"/>
      <c r="Z120" s="118"/>
      <c r="AA120" s="118"/>
      <c r="AB120" s="118"/>
      <c r="AC120" s="118"/>
    </row>
    <row r="121" spans="2:29">
      <c r="B121" s="118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18"/>
      <c r="X121" s="118"/>
      <c r="Y121" s="118"/>
      <c r="Z121" s="118"/>
      <c r="AA121" s="118"/>
      <c r="AB121" s="118"/>
      <c r="AC121" s="118"/>
    </row>
    <row r="122" spans="2:29">
      <c r="B122" s="118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18"/>
      <c r="X122" s="118"/>
      <c r="Y122" s="118"/>
      <c r="Z122" s="118"/>
      <c r="AA122" s="118"/>
      <c r="AB122" s="118"/>
      <c r="AC122" s="118"/>
    </row>
    <row r="123" spans="2:29">
      <c r="B123" s="118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18"/>
      <c r="X123" s="118"/>
      <c r="Y123" s="118"/>
      <c r="Z123" s="118"/>
      <c r="AA123" s="118"/>
      <c r="AB123" s="118"/>
      <c r="AC123" s="118"/>
    </row>
    <row r="124" spans="2:29">
      <c r="B124" s="118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18"/>
      <c r="X124" s="118"/>
      <c r="Y124" s="118"/>
      <c r="Z124" s="118"/>
      <c r="AA124" s="118"/>
      <c r="AB124" s="118"/>
      <c r="AC124" s="118"/>
    </row>
    <row r="125" spans="2:29">
      <c r="B125" s="118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18"/>
      <c r="X125" s="118"/>
      <c r="Y125" s="118"/>
      <c r="Z125" s="118"/>
      <c r="AA125" s="118"/>
      <c r="AB125" s="118"/>
      <c r="AC125" s="118"/>
    </row>
    <row r="126" spans="2:29">
      <c r="B126" s="118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18"/>
      <c r="X126" s="118"/>
      <c r="Y126" s="118"/>
      <c r="Z126" s="118"/>
      <c r="AA126" s="118"/>
      <c r="AB126" s="118"/>
      <c r="AC126" s="118"/>
    </row>
    <row r="127" spans="2:29">
      <c r="B127" s="118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18"/>
      <c r="X127" s="118"/>
      <c r="Y127" s="118"/>
      <c r="Z127" s="118"/>
      <c r="AA127" s="118"/>
      <c r="AB127" s="118"/>
      <c r="AC127" s="118"/>
    </row>
    <row r="128" spans="2:29">
      <c r="B128" s="118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18"/>
      <c r="X128" s="118"/>
      <c r="Y128" s="118"/>
      <c r="Z128" s="118"/>
      <c r="AA128" s="118"/>
      <c r="AB128" s="118"/>
      <c r="AC128" s="118"/>
    </row>
    <row r="129" spans="2:29">
      <c r="B129" s="118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18"/>
      <c r="X129" s="118"/>
      <c r="Y129" s="118"/>
      <c r="Z129" s="118"/>
      <c r="AA129" s="118"/>
      <c r="AB129" s="118"/>
      <c r="AC129" s="118"/>
    </row>
    <row r="130" spans="2:29">
      <c r="B130" s="118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18"/>
      <c r="X130" s="118"/>
      <c r="Y130" s="118"/>
      <c r="Z130" s="118"/>
      <c r="AA130" s="118"/>
      <c r="AB130" s="118"/>
      <c r="AC130" s="118"/>
    </row>
    <row r="131" spans="2:29"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</row>
    <row r="132" spans="2:29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</row>
    <row r="133" spans="2:29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</row>
    <row r="134" spans="2:29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</row>
    <row r="135" spans="2:29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</row>
    <row r="136" spans="2:29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</row>
    <row r="137" spans="2:29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</row>
    <row r="138" spans="2:29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</row>
    <row r="139" spans="2:29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</row>
    <row r="140" spans="2:29"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</row>
    <row r="141" spans="2:29"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</row>
    <row r="142" spans="2:29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</row>
    <row r="143" spans="2:29"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</row>
    <row r="144" spans="2:29"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</row>
    <row r="145" spans="2:29"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</row>
    <row r="146" spans="2:29"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</row>
    <row r="147" spans="2:29">
      <c r="W147" s="118"/>
      <c r="X147" s="118"/>
      <c r="Y147" s="118"/>
      <c r="Z147" s="118"/>
      <c r="AA147" s="118"/>
      <c r="AB147" s="118"/>
      <c r="AC147" s="118"/>
    </row>
    <row r="148" spans="2:29">
      <c r="W148" s="118"/>
      <c r="X148" s="118"/>
      <c r="Y148" s="118"/>
      <c r="Z148" s="118"/>
      <c r="AA148" s="118"/>
      <c r="AB148" s="118"/>
      <c r="AC148" s="118"/>
    </row>
    <row r="149" spans="2:29">
      <c r="W149" s="118"/>
      <c r="X149" s="118"/>
      <c r="Y149" s="118"/>
      <c r="Z149" s="118"/>
      <c r="AA149" s="118"/>
      <c r="AB149" s="118"/>
      <c r="AC149" s="118"/>
    </row>
    <row r="150" spans="2:29">
      <c r="W150" s="118"/>
      <c r="X150" s="118"/>
      <c r="Y150" s="118"/>
      <c r="Z150" s="118"/>
      <c r="AA150" s="118"/>
      <c r="AB150" s="118"/>
      <c r="AC150" s="118"/>
    </row>
    <row r="151" spans="2:29">
      <c r="W151" s="118"/>
      <c r="X151" s="118"/>
      <c r="Y151" s="118"/>
      <c r="Z151" s="118"/>
      <c r="AA151" s="118"/>
      <c r="AB151" s="118"/>
      <c r="AC151" s="118"/>
    </row>
  </sheetData>
  <conditionalFormatting sqref="C48:V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X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X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X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X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X44:X47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scale="47" fitToHeight="0" orientation="landscape" r:id="rId1"/>
  <headerFooter>
    <oddFooter>&amp;RExhibit  JW-2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view="pageBreakPreview" topLeftCell="A5" zoomScaleNormal="100" zoomScaleSheetLayoutView="100" workbookViewId="0">
      <selection activeCell="I24" sqref="I24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1.7109375" style="2" customWidth="1"/>
    <col min="4" max="4" width="10.85546875" style="2" customWidth="1"/>
    <col min="5" max="5" width="3" style="2" customWidth="1"/>
    <col min="6" max="6" width="15.28515625" style="2" customWidth="1"/>
    <col min="7" max="7" width="3.28515625" style="2" customWidth="1"/>
    <col min="8" max="8" width="15.7109375" style="2" customWidth="1"/>
    <col min="9" max="9" width="15.140625" style="2" customWidth="1"/>
    <col min="10" max="10" width="9.5703125" style="2" bestFit="1" customWidth="1"/>
    <col min="11" max="16384" width="9.140625" style="2"/>
  </cols>
  <sheetData>
    <row r="1" spans="1:15">
      <c r="G1" s="27"/>
      <c r="H1" s="27" t="s">
        <v>103</v>
      </c>
    </row>
    <row r="2" spans="1:15">
      <c r="G2" s="27"/>
      <c r="H2" s="27"/>
    </row>
    <row r="3" spans="1:15">
      <c r="G3" s="27"/>
      <c r="H3" s="27"/>
    </row>
    <row r="4" spans="1:15">
      <c r="A4" s="295" t="str">
        <f>RevReq!A1</f>
        <v>FARMERS RECC</v>
      </c>
      <c r="B4" s="295"/>
      <c r="C4" s="295"/>
      <c r="D4" s="295"/>
      <c r="E4" s="295"/>
      <c r="F4" s="295"/>
      <c r="G4" s="295"/>
      <c r="H4" s="295"/>
      <c r="J4" s="53"/>
      <c r="K4" s="53"/>
      <c r="L4" s="53"/>
      <c r="M4" s="53"/>
      <c r="N4" s="53"/>
      <c r="O4" s="53"/>
    </row>
    <row r="5" spans="1:15">
      <c r="A5" s="295" t="str">
        <f>RevReq!A3</f>
        <v>For the 12 Months Ended December 31, 2024</v>
      </c>
      <c r="B5" s="295"/>
      <c r="C5" s="295"/>
      <c r="D5" s="295"/>
      <c r="E5" s="295"/>
      <c r="F5" s="295"/>
      <c r="G5" s="295"/>
      <c r="H5" s="295"/>
    </row>
    <row r="7" spans="1:15" s="28" customFormat="1">
      <c r="A7" s="296" t="s">
        <v>104</v>
      </c>
      <c r="B7" s="296"/>
      <c r="C7" s="296"/>
      <c r="D7" s="296"/>
      <c r="E7" s="296"/>
      <c r="F7" s="296"/>
      <c r="G7" s="296"/>
      <c r="H7" s="296"/>
    </row>
    <row r="9" spans="1:15">
      <c r="A9" s="5" t="s">
        <v>5</v>
      </c>
      <c r="C9" s="5" t="s">
        <v>105</v>
      </c>
      <c r="D9" s="5" t="s">
        <v>106</v>
      </c>
      <c r="E9" s="5"/>
      <c r="F9" s="5" t="s">
        <v>107</v>
      </c>
      <c r="G9" s="5"/>
      <c r="H9" s="5" t="s">
        <v>108</v>
      </c>
    </row>
    <row r="10" spans="1:15">
      <c r="A10" s="30" t="s">
        <v>10</v>
      </c>
      <c r="C10" s="54" t="s">
        <v>71</v>
      </c>
      <c r="D10" s="54" t="s">
        <v>72</v>
      </c>
      <c r="E10" s="5"/>
      <c r="F10" s="54" t="s">
        <v>73</v>
      </c>
      <c r="G10" s="54"/>
      <c r="H10" s="54" t="s">
        <v>11</v>
      </c>
    </row>
    <row r="11" spans="1:15">
      <c r="A11" s="5"/>
    </row>
    <row r="12" spans="1:15">
      <c r="A12" s="5">
        <v>1</v>
      </c>
      <c r="C12" s="2" t="s">
        <v>596</v>
      </c>
      <c r="F12" s="32">
        <v>-763561.02</v>
      </c>
    </row>
    <row r="13" spans="1:15">
      <c r="A13" s="5">
        <f>A12+1</f>
        <v>2</v>
      </c>
      <c r="C13" s="5">
        <v>2024</v>
      </c>
      <c r="D13" s="5" t="s">
        <v>78</v>
      </c>
      <c r="E13" s="32"/>
      <c r="F13" s="32">
        <v>421881.69000000006</v>
      </c>
      <c r="G13" s="32"/>
      <c r="H13" s="32">
        <v>513122</v>
      </c>
      <c r="L13" s="19"/>
    </row>
    <row r="14" spans="1:15">
      <c r="A14" s="5">
        <f t="shared" ref="A14:A32" si="0">A13+1</f>
        <v>3</v>
      </c>
      <c r="C14" s="5">
        <f>C13</f>
        <v>2024</v>
      </c>
      <c r="D14" s="5" t="s">
        <v>79</v>
      </c>
      <c r="E14" s="32"/>
      <c r="F14" s="32">
        <v>197741.06</v>
      </c>
      <c r="G14" s="32"/>
      <c r="H14" s="32">
        <v>608665</v>
      </c>
      <c r="L14" s="19"/>
    </row>
    <row r="15" spans="1:15">
      <c r="A15" s="5">
        <f t="shared" si="0"/>
        <v>4</v>
      </c>
      <c r="C15" s="5">
        <f t="shared" ref="C15:C24" si="1">C14</f>
        <v>2024</v>
      </c>
      <c r="D15" s="5" t="s">
        <v>80</v>
      </c>
      <c r="E15" s="32"/>
      <c r="F15" s="32">
        <v>280216.59999999998</v>
      </c>
      <c r="G15" s="32"/>
      <c r="H15" s="32">
        <v>403898</v>
      </c>
      <c r="L15" s="19"/>
    </row>
    <row r="16" spans="1:15">
      <c r="A16" s="5">
        <f t="shared" si="0"/>
        <v>5</v>
      </c>
      <c r="C16" s="5">
        <f t="shared" si="1"/>
        <v>2024</v>
      </c>
      <c r="D16" s="5" t="s">
        <v>81</v>
      </c>
      <c r="E16" s="32"/>
      <c r="F16" s="32">
        <v>497536.39999999997</v>
      </c>
      <c r="G16" s="32"/>
      <c r="H16" s="32">
        <v>85043</v>
      </c>
      <c r="L16" s="19"/>
    </row>
    <row r="17" spans="1:12">
      <c r="A17" s="5">
        <f t="shared" si="0"/>
        <v>6</v>
      </c>
      <c r="C17" s="5">
        <f t="shared" si="1"/>
        <v>2024</v>
      </c>
      <c r="D17" s="5" t="s">
        <v>82</v>
      </c>
      <c r="E17" s="32"/>
      <c r="F17" s="32">
        <v>491273.60999999993</v>
      </c>
      <c r="G17" s="32"/>
      <c r="H17" s="32">
        <v>316662</v>
      </c>
      <c r="L17" s="19"/>
    </row>
    <row r="18" spans="1:12">
      <c r="A18" s="5">
        <f t="shared" si="0"/>
        <v>7</v>
      </c>
      <c r="C18" s="5">
        <f t="shared" si="1"/>
        <v>2024</v>
      </c>
      <c r="D18" s="5" t="s">
        <v>83</v>
      </c>
      <c r="E18" s="32"/>
      <c r="F18" s="32">
        <v>191275.48000000007</v>
      </c>
      <c r="G18" s="32"/>
      <c r="H18" s="32">
        <v>347307</v>
      </c>
      <c r="L18" s="19"/>
    </row>
    <row r="19" spans="1:12">
      <c r="A19" s="5">
        <f t="shared" si="0"/>
        <v>8</v>
      </c>
      <c r="C19" s="5">
        <f t="shared" si="1"/>
        <v>2024</v>
      </c>
      <c r="D19" s="5" t="s">
        <v>84</v>
      </c>
      <c r="E19" s="32"/>
      <c r="F19" s="32">
        <v>477520.36999999988</v>
      </c>
      <c r="G19" s="32"/>
      <c r="H19" s="32">
        <v>286955</v>
      </c>
      <c r="L19" s="19"/>
    </row>
    <row r="20" spans="1:12">
      <c r="A20" s="5">
        <f t="shared" si="0"/>
        <v>9</v>
      </c>
      <c r="C20" s="5">
        <f t="shared" si="1"/>
        <v>2024</v>
      </c>
      <c r="D20" s="5" t="s">
        <v>85</v>
      </c>
      <c r="E20" s="32"/>
      <c r="F20" s="32">
        <v>340370.59</v>
      </c>
      <c r="G20" s="32"/>
      <c r="H20" s="32">
        <v>356066</v>
      </c>
      <c r="L20" s="19"/>
    </row>
    <row r="21" spans="1:12">
      <c r="A21" s="5">
        <f t="shared" si="0"/>
        <v>10</v>
      </c>
      <c r="C21" s="5">
        <f t="shared" si="1"/>
        <v>2024</v>
      </c>
      <c r="D21" s="5" t="s">
        <v>86</v>
      </c>
      <c r="E21" s="32"/>
      <c r="F21" s="32">
        <v>166054.31</v>
      </c>
      <c r="G21" s="32"/>
      <c r="H21" s="32">
        <v>249111</v>
      </c>
      <c r="L21" s="19"/>
    </row>
    <row r="22" spans="1:12">
      <c r="A22" s="5">
        <f t="shared" si="0"/>
        <v>11</v>
      </c>
      <c r="C22" s="5">
        <f t="shared" si="1"/>
        <v>2024</v>
      </c>
      <c r="D22" s="5" t="s">
        <v>87</v>
      </c>
      <c r="E22" s="32"/>
      <c r="F22" s="32">
        <v>262579.58</v>
      </c>
      <c r="G22" s="32"/>
      <c r="H22" s="32">
        <v>-158055</v>
      </c>
      <c r="L22" s="19"/>
    </row>
    <row r="23" spans="1:12">
      <c r="A23" s="5">
        <f t="shared" si="0"/>
        <v>12</v>
      </c>
      <c r="C23" s="5">
        <f t="shared" si="1"/>
        <v>2024</v>
      </c>
      <c r="D23" s="5" t="s">
        <v>88</v>
      </c>
      <c r="E23" s="32"/>
      <c r="F23" s="32">
        <v>247198.57</v>
      </c>
      <c r="G23" s="32"/>
      <c r="H23" s="32">
        <v>-213502</v>
      </c>
      <c r="L23" s="19"/>
    </row>
    <row r="24" spans="1:12">
      <c r="A24" s="5">
        <f t="shared" si="0"/>
        <v>13</v>
      </c>
      <c r="C24" s="5">
        <f t="shared" si="1"/>
        <v>2024</v>
      </c>
      <c r="D24" s="5" t="s">
        <v>89</v>
      </c>
      <c r="E24" s="32"/>
      <c r="F24" s="32">
        <v>-105446.25</v>
      </c>
      <c r="G24" s="32"/>
      <c r="H24" s="32">
        <v>-306988</v>
      </c>
      <c r="L24" s="19"/>
    </row>
    <row r="25" spans="1:12">
      <c r="A25" s="5">
        <f t="shared" si="0"/>
        <v>14</v>
      </c>
      <c r="C25" s="2" t="s">
        <v>597</v>
      </c>
      <c r="D25" s="5"/>
      <c r="E25" s="32"/>
      <c r="F25" s="32">
        <v>-216356.99</v>
      </c>
      <c r="G25" s="32"/>
      <c r="H25" s="32"/>
    </row>
    <row r="26" spans="1:12">
      <c r="A26" s="5">
        <f t="shared" si="0"/>
        <v>15</v>
      </c>
      <c r="C26" s="11"/>
      <c r="D26" s="55" t="s">
        <v>109</v>
      </c>
      <c r="E26" s="56"/>
      <c r="F26" s="56">
        <f>SUM(F12:F25)</f>
        <v>2488284</v>
      </c>
      <c r="G26" s="56"/>
      <c r="H26" s="56">
        <f>SUM(H13:H24)</f>
        <v>2488284</v>
      </c>
    </row>
    <row r="27" spans="1:12">
      <c r="A27" s="5">
        <f t="shared" si="0"/>
        <v>16</v>
      </c>
      <c r="E27" s="57"/>
      <c r="F27" s="57"/>
      <c r="G27" s="57"/>
    </row>
    <row r="28" spans="1:12">
      <c r="A28" s="5">
        <f t="shared" si="0"/>
        <v>17</v>
      </c>
      <c r="C28" s="2" t="s">
        <v>110</v>
      </c>
      <c r="E28" s="57"/>
      <c r="F28" s="58">
        <f>F26</f>
        <v>2488284</v>
      </c>
      <c r="G28" s="58"/>
      <c r="H28" s="58">
        <f>H26</f>
        <v>2488284</v>
      </c>
      <c r="I28" s="19"/>
      <c r="J28" s="19"/>
    </row>
    <row r="29" spans="1:12">
      <c r="A29" s="5">
        <f t="shared" si="0"/>
        <v>18</v>
      </c>
      <c r="E29" s="57"/>
      <c r="F29" s="57"/>
      <c r="G29" s="57"/>
    </row>
    <row r="30" spans="1:12">
      <c r="A30" s="5">
        <f t="shared" si="0"/>
        <v>19</v>
      </c>
      <c r="C30" s="2" t="s">
        <v>111</v>
      </c>
      <c r="E30" s="32"/>
      <c r="F30" s="32">
        <v>0</v>
      </c>
      <c r="G30" s="32"/>
      <c r="H30" s="32">
        <v>0</v>
      </c>
    </row>
    <row r="31" spans="1:12">
      <c r="A31" s="5">
        <f t="shared" si="0"/>
        <v>20</v>
      </c>
    </row>
    <row r="32" spans="1:12" ht="13.5" thickBot="1">
      <c r="A32" s="5">
        <f t="shared" si="0"/>
        <v>21</v>
      </c>
      <c r="C32" s="16" t="s">
        <v>8</v>
      </c>
      <c r="D32" s="16"/>
      <c r="E32" s="59"/>
      <c r="F32" s="60">
        <f>ROUND(F30-F28,2)</f>
        <v>-2488284</v>
      </c>
      <c r="G32" s="59"/>
      <c r="H32" s="60">
        <f>ROUND(H30-H28,2)</f>
        <v>-2488284</v>
      </c>
      <c r="I32" s="19">
        <f>F32-H32</f>
        <v>0</v>
      </c>
    </row>
    <row r="33" spans="3:8" ht="13.5" thickTop="1"/>
    <row r="35" spans="3:8" ht="30" customHeight="1">
      <c r="C35" s="297" t="s">
        <v>112</v>
      </c>
      <c r="D35" s="297"/>
      <c r="E35" s="297"/>
      <c r="F35" s="297"/>
      <c r="G35" s="297"/>
      <c r="H35" s="297"/>
    </row>
  </sheetData>
  <mergeCells count="4">
    <mergeCell ref="A4:H4"/>
    <mergeCell ref="A5:H5"/>
    <mergeCell ref="A7:H7"/>
    <mergeCell ref="C35:H35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view="pageBreakPreview" zoomScaleNormal="100" zoomScaleSheetLayoutView="100" workbookViewId="0">
      <selection activeCell="I23" sqref="I23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1.7109375" style="2" customWidth="1"/>
    <col min="4" max="4" width="10.85546875" style="2" customWidth="1"/>
    <col min="5" max="5" width="3.42578125" style="2" customWidth="1"/>
    <col min="6" max="6" width="15.28515625" style="2" customWidth="1"/>
    <col min="7" max="7" width="3.28515625" style="2" customWidth="1"/>
    <col min="8" max="8" width="14.42578125" style="2" customWidth="1"/>
    <col min="9" max="9" width="12.28515625" style="2" customWidth="1"/>
    <col min="10" max="16384" width="9.140625" style="2"/>
  </cols>
  <sheetData>
    <row r="1" spans="1:8">
      <c r="G1" s="27"/>
      <c r="H1" s="27" t="s">
        <v>113</v>
      </c>
    </row>
    <row r="2" spans="1:8">
      <c r="G2" s="27"/>
      <c r="H2" s="27"/>
    </row>
    <row r="3" spans="1:8">
      <c r="G3" s="27"/>
      <c r="H3" s="27"/>
    </row>
    <row r="4" spans="1:8">
      <c r="A4" s="295" t="str">
        <f>RevReq!A1</f>
        <v>FARMERS RECC</v>
      </c>
      <c r="B4" s="295"/>
      <c r="C4" s="295"/>
      <c r="D4" s="295"/>
      <c r="E4" s="295"/>
      <c r="F4" s="295"/>
      <c r="G4" s="295"/>
      <c r="H4" s="295"/>
    </row>
    <row r="5" spans="1:8">
      <c r="A5" s="295" t="str">
        <f>RevReq!A3</f>
        <v>For the 12 Months Ended December 31, 2024</v>
      </c>
      <c r="B5" s="295"/>
      <c r="C5" s="295"/>
      <c r="D5" s="295"/>
      <c r="E5" s="295"/>
      <c r="F5" s="295"/>
      <c r="G5" s="295"/>
      <c r="H5" s="295"/>
    </row>
    <row r="7" spans="1:8" s="28" customFormat="1">
      <c r="A7" s="296" t="s">
        <v>114</v>
      </c>
      <c r="B7" s="296"/>
      <c r="C7" s="296"/>
      <c r="D7" s="296"/>
      <c r="E7" s="296"/>
      <c r="F7" s="296"/>
      <c r="G7" s="296"/>
      <c r="H7" s="296"/>
    </row>
    <row r="9" spans="1:8">
      <c r="A9" s="5" t="s">
        <v>5</v>
      </c>
      <c r="C9" s="5" t="s">
        <v>105</v>
      </c>
      <c r="D9" s="5" t="s">
        <v>106</v>
      </c>
      <c r="E9" s="5"/>
      <c r="F9" s="5" t="s">
        <v>107</v>
      </c>
      <c r="G9" s="5"/>
      <c r="H9" s="5" t="s">
        <v>108</v>
      </c>
    </row>
    <row r="10" spans="1:8">
      <c r="A10" s="30" t="s">
        <v>10</v>
      </c>
      <c r="C10" s="54" t="s">
        <v>71</v>
      </c>
      <c r="D10" s="54" t="s">
        <v>72</v>
      </c>
      <c r="E10" s="5"/>
      <c r="F10" s="54" t="s">
        <v>73</v>
      </c>
      <c r="G10" s="54"/>
      <c r="H10" s="54" t="s">
        <v>11</v>
      </c>
    </row>
    <row r="11" spans="1:8">
      <c r="A11" s="5"/>
    </row>
    <row r="12" spans="1:8">
      <c r="A12" s="5">
        <v>1</v>
      </c>
      <c r="C12" s="2" t="s">
        <v>596</v>
      </c>
      <c r="F12" s="32">
        <v>-148889.35</v>
      </c>
    </row>
    <row r="13" spans="1:8">
      <c r="A13" s="5">
        <f>A12+1</f>
        <v>2</v>
      </c>
      <c r="C13" s="5">
        <v>2024</v>
      </c>
      <c r="D13" s="5" t="s">
        <v>78</v>
      </c>
      <c r="E13" s="32"/>
      <c r="F13" s="32">
        <v>660299.24999999988</v>
      </c>
      <c r="G13" s="32"/>
      <c r="H13" s="32">
        <v>704595</v>
      </c>
    </row>
    <row r="14" spans="1:8">
      <c r="A14" s="5">
        <f t="shared" ref="A14:A32" si="0">A13+1</f>
        <v>3</v>
      </c>
      <c r="C14" s="5">
        <f>C13</f>
        <v>2024</v>
      </c>
      <c r="D14" s="5" t="s">
        <v>79</v>
      </c>
      <c r="E14" s="32"/>
      <c r="F14" s="32">
        <v>584741.83000000007</v>
      </c>
      <c r="G14" s="32"/>
      <c r="H14" s="32">
        <v>496049</v>
      </c>
    </row>
    <row r="15" spans="1:8">
      <c r="A15" s="5">
        <f t="shared" si="0"/>
        <v>4</v>
      </c>
      <c r="C15" s="5">
        <f t="shared" ref="C15:C24" si="1">C14</f>
        <v>2024</v>
      </c>
      <c r="D15" s="5" t="s">
        <v>80</v>
      </c>
      <c r="E15" s="32"/>
      <c r="F15" s="32">
        <v>449222.23000000004</v>
      </c>
      <c r="G15" s="32"/>
      <c r="H15" s="32">
        <v>298229</v>
      </c>
    </row>
    <row r="16" spans="1:8">
      <c r="A16" s="5">
        <f t="shared" si="0"/>
        <v>5</v>
      </c>
      <c r="C16" s="5">
        <f t="shared" si="1"/>
        <v>2024</v>
      </c>
      <c r="D16" s="5" t="s">
        <v>81</v>
      </c>
      <c r="E16" s="32"/>
      <c r="F16" s="32">
        <v>302169.42</v>
      </c>
      <c r="G16" s="32"/>
      <c r="H16" s="32">
        <v>319161</v>
      </c>
    </row>
    <row r="17" spans="1:10">
      <c r="A17" s="5">
        <f t="shared" si="0"/>
        <v>6</v>
      </c>
      <c r="C17" s="5">
        <f t="shared" si="1"/>
        <v>2024</v>
      </c>
      <c r="D17" s="5" t="s">
        <v>82</v>
      </c>
      <c r="E17" s="32"/>
      <c r="F17" s="32">
        <v>449544.79000000004</v>
      </c>
      <c r="G17" s="32"/>
      <c r="H17" s="32">
        <v>462677</v>
      </c>
    </row>
    <row r="18" spans="1:10">
      <c r="A18" s="5">
        <f t="shared" si="0"/>
        <v>7</v>
      </c>
      <c r="C18" s="5">
        <f t="shared" si="1"/>
        <v>2024</v>
      </c>
      <c r="D18" s="5" t="s">
        <v>83</v>
      </c>
      <c r="E18" s="32"/>
      <c r="F18" s="32">
        <v>539894.80000000005</v>
      </c>
      <c r="G18" s="32"/>
      <c r="H18" s="32">
        <v>674819</v>
      </c>
    </row>
    <row r="19" spans="1:10">
      <c r="A19" s="5">
        <f t="shared" si="0"/>
        <v>8</v>
      </c>
      <c r="C19" s="5">
        <f t="shared" si="1"/>
        <v>2024</v>
      </c>
      <c r="D19" s="5" t="s">
        <v>84</v>
      </c>
      <c r="E19" s="32"/>
      <c r="F19" s="32">
        <v>790430.57</v>
      </c>
      <c r="G19" s="32"/>
      <c r="H19" s="32">
        <v>646438</v>
      </c>
    </row>
    <row r="20" spans="1:10">
      <c r="A20" s="5">
        <f t="shared" si="0"/>
        <v>9</v>
      </c>
      <c r="C20" s="5">
        <f t="shared" si="1"/>
        <v>2024</v>
      </c>
      <c r="D20" s="5" t="s">
        <v>85</v>
      </c>
      <c r="E20" s="32"/>
      <c r="F20" s="32">
        <v>707674.55999999994</v>
      </c>
      <c r="G20" s="32"/>
      <c r="H20" s="32">
        <v>571387</v>
      </c>
    </row>
    <row r="21" spans="1:10">
      <c r="A21" s="5">
        <f t="shared" si="0"/>
        <v>10</v>
      </c>
      <c r="C21" s="5">
        <f t="shared" si="1"/>
        <v>2024</v>
      </c>
      <c r="D21" s="5" t="s">
        <v>86</v>
      </c>
      <c r="E21" s="32"/>
      <c r="F21" s="32">
        <v>611485.71000000008</v>
      </c>
      <c r="G21" s="32"/>
      <c r="H21" s="32">
        <v>549748</v>
      </c>
    </row>
    <row r="22" spans="1:10">
      <c r="A22" s="5">
        <f t="shared" si="0"/>
        <v>11</v>
      </c>
      <c r="C22" s="5">
        <f t="shared" si="1"/>
        <v>2024</v>
      </c>
      <c r="D22" s="5" t="s">
        <v>87</v>
      </c>
      <c r="E22" s="32"/>
      <c r="F22" s="32">
        <v>558802.07999999984</v>
      </c>
      <c r="G22" s="32"/>
      <c r="H22" s="32">
        <v>425736</v>
      </c>
    </row>
    <row r="23" spans="1:10">
      <c r="A23" s="5">
        <f t="shared" si="0"/>
        <v>12</v>
      </c>
      <c r="C23" s="5">
        <f t="shared" si="1"/>
        <v>2024</v>
      </c>
      <c r="D23" s="5" t="s">
        <v>88</v>
      </c>
      <c r="E23" s="32"/>
      <c r="F23" s="32">
        <v>507496.72</v>
      </c>
      <c r="G23" s="32"/>
      <c r="H23" s="32">
        <v>473572</v>
      </c>
    </row>
    <row r="24" spans="1:10">
      <c r="A24" s="5">
        <f t="shared" si="0"/>
        <v>13</v>
      </c>
      <c r="C24" s="5">
        <f t="shared" si="1"/>
        <v>2024</v>
      </c>
      <c r="D24" s="5" t="s">
        <v>89</v>
      </c>
      <c r="E24" s="32"/>
      <c r="F24" s="32">
        <v>603614.81000000006</v>
      </c>
      <c r="G24" s="32"/>
      <c r="H24" s="32">
        <v>732415</v>
      </c>
    </row>
    <row r="25" spans="1:10">
      <c r="A25" s="5">
        <f t="shared" si="0"/>
        <v>14</v>
      </c>
      <c r="C25" s="5" t="s">
        <v>597</v>
      </c>
      <c r="D25" s="5"/>
      <c r="E25" s="32"/>
      <c r="F25" s="32">
        <v>-261661.41999999993</v>
      </c>
      <c r="G25" s="32"/>
      <c r="H25" s="32"/>
    </row>
    <row r="26" spans="1:10">
      <c r="A26" s="5">
        <f t="shared" si="0"/>
        <v>15</v>
      </c>
      <c r="C26" s="11"/>
      <c r="D26" s="55" t="s">
        <v>109</v>
      </c>
      <c r="E26" s="56"/>
      <c r="F26" s="56">
        <f>SUM(F12:F25)</f>
        <v>6354826</v>
      </c>
      <c r="G26" s="56"/>
      <c r="H26" s="56">
        <f>SUM(H13:H24)</f>
        <v>6354826</v>
      </c>
    </row>
    <row r="27" spans="1:10">
      <c r="A27" s="5">
        <f t="shared" si="0"/>
        <v>16</v>
      </c>
      <c r="E27" s="57"/>
      <c r="F27" s="57"/>
      <c r="G27" s="57"/>
    </row>
    <row r="28" spans="1:10">
      <c r="A28" s="5">
        <f t="shared" si="0"/>
        <v>17</v>
      </c>
      <c r="C28" s="2" t="s">
        <v>110</v>
      </c>
      <c r="E28" s="57"/>
      <c r="F28" s="58">
        <f>F26</f>
        <v>6354826</v>
      </c>
      <c r="G28" s="58"/>
      <c r="H28" s="58">
        <f>H26</f>
        <v>6354826</v>
      </c>
      <c r="J28" s="19"/>
    </row>
    <row r="29" spans="1:10">
      <c r="A29" s="5">
        <f t="shared" si="0"/>
        <v>18</v>
      </c>
      <c r="E29" s="57"/>
      <c r="F29" s="58"/>
      <c r="G29" s="58"/>
    </row>
    <row r="30" spans="1:10">
      <c r="A30" s="5">
        <f t="shared" si="0"/>
        <v>19</v>
      </c>
      <c r="C30" s="2" t="s">
        <v>111</v>
      </c>
      <c r="E30" s="32"/>
      <c r="F30" s="32">
        <v>0</v>
      </c>
      <c r="G30" s="32"/>
      <c r="H30" s="32">
        <v>0</v>
      </c>
    </row>
    <row r="31" spans="1:10">
      <c r="A31" s="5">
        <f t="shared" si="0"/>
        <v>20</v>
      </c>
    </row>
    <row r="32" spans="1:10" ht="13.5" thickBot="1">
      <c r="A32" s="5">
        <f t="shared" si="0"/>
        <v>21</v>
      </c>
      <c r="C32" s="16" t="s">
        <v>8</v>
      </c>
      <c r="D32" s="16"/>
      <c r="E32" s="59"/>
      <c r="F32" s="60">
        <f>ROUND(F30-F28,2)</f>
        <v>-6354826</v>
      </c>
      <c r="G32" s="59"/>
      <c r="H32" s="60">
        <f>ROUND(H30-H28,2)</f>
        <v>-6354826</v>
      </c>
      <c r="I32" s="19">
        <f>F32-H32</f>
        <v>0</v>
      </c>
    </row>
    <row r="33" spans="3:8" ht="13.5" thickTop="1"/>
    <row r="35" spans="3:8" ht="28.15" customHeight="1">
      <c r="C35" s="297" t="s">
        <v>115</v>
      </c>
      <c r="D35" s="297"/>
      <c r="E35" s="297"/>
      <c r="F35" s="297"/>
      <c r="G35" s="297"/>
      <c r="H35" s="297"/>
    </row>
  </sheetData>
  <mergeCells count="4">
    <mergeCell ref="A4:H4"/>
    <mergeCell ref="A5:H5"/>
    <mergeCell ref="A7:H7"/>
    <mergeCell ref="C35:H35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view="pageBreakPreview" topLeftCell="A59" zoomScaleNormal="100" zoomScaleSheetLayoutView="100" workbookViewId="0">
      <selection activeCell="G83" sqref="G83"/>
    </sheetView>
  </sheetViews>
  <sheetFormatPr defaultColWidth="9.140625" defaultRowHeight="12.75"/>
  <cols>
    <col min="1" max="1" width="8" style="43" customWidth="1"/>
    <col min="2" max="2" width="18.28515625" style="37" customWidth="1"/>
    <col min="3" max="3" width="12.42578125" style="37" bestFit="1" customWidth="1"/>
    <col min="4" max="4" width="11.5703125" style="37" bestFit="1" customWidth="1"/>
    <col min="5" max="5" width="14.7109375" style="39" customWidth="1"/>
    <col min="6" max="8" width="18.140625" style="37" customWidth="1"/>
    <col min="9" max="9" width="10.5703125" style="37" bestFit="1" customWidth="1"/>
    <col min="10" max="16384" width="9.140625" style="37"/>
  </cols>
  <sheetData>
    <row r="1" spans="1:11" ht="15" customHeight="1">
      <c r="E1" s="26" t="s">
        <v>121</v>
      </c>
    </row>
    <row r="2" spans="1:11" ht="15" customHeight="1">
      <c r="B2" s="208"/>
    </row>
    <row r="4" spans="1:11">
      <c r="B4" s="299" t="s">
        <v>533</v>
      </c>
      <c r="C4" s="299"/>
      <c r="D4" s="299"/>
      <c r="E4" s="299"/>
      <c r="F4" s="34"/>
      <c r="G4" s="34"/>
      <c r="H4" s="34"/>
      <c r="I4" s="34"/>
      <c r="J4" s="34"/>
      <c r="K4" s="34"/>
    </row>
    <row r="5" spans="1:11">
      <c r="B5" s="299" t="s">
        <v>546</v>
      </c>
      <c r="C5" s="299"/>
      <c r="D5" s="299"/>
      <c r="E5" s="299"/>
      <c r="F5" s="34"/>
      <c r="G5" s="34"/>
      <c r="H5" s="34"/>
    </row>
    <row r="7" spans="1:11" s="35" customFormat="1" ht="15" customHeight="1">
      <c r="A7" s="196"/>
      <c r="B7" s="296" t="s">
        <v>116</v>
      </c>
      <c r="C7" s="296"/>
      <c r="D7" s="296"/>
      <c r="E7" s="296"/>
      <c r="F7" s="36"/>
      <c r="G7" s="36"/>
      <c r="H7" s="36"/>
    </row>
    <row r="9" spans="1:11">
      <c r="A9" s="197" t="s">
        <v>10</v>
      </c>
      <c r="B9" s="198" t="s">
        <v>117</v>
      </c>
      <c r="C9" s="198" t="s">
        <v>118</v>
      </c>
      <c r="D9" s="198" t="s">
        <v>286</v>
      </c>
      <c r="E9" s="198" t="s">
        <v>119</v>
      </c>
      <c r="F9" s="63"/>
      <c r="G9" s="63"/>
      <c r="H9" s="63"/>
    </row>
    <row r="10" spans="1:11" ht="22.15" customHeight="1">
      <c r="E10" s="37"/>
      <c r="F10" s="63"/>
      <c r="G10" s="63"/>
      <c r="H10" s="63"/>
    </row>
    <row r="11" spans="1:11">
      <c r="A11" s="43">
        <v>1</v>
      </c>
      <c r="B11" s="2" t="s">
        <v>287</v>
      </c>
      <c r="C11" s="199">
        <v>4.7699999999999999E-2</v>
      </c>
      <c r="D11" s="69">
        <v>2918742</v>
      </c>
      <c r="E11" s="69">
        <f>D11*C11</f>
        <v>139223.99340000001</v>
      </c>
      <c r="F11" s="209"/>
      <c r="G11" s="63"/>
      <c r="H11" s="63"/>
    </row>
    <row r="12" spans="1:11">
      <c r="A12" s="43">
        <f>A11+1</f>
        <v>2</v>
      </c>
      <c r="B12" s="2" t="s">
        <v>288</v>
      </c>
      <c r="C12" s="199">
        <v>4.7699999999999999E-2</v>
      </c>
      <c r="D12" s="69">
        <v>583749</v>
      </c>
      <c r="E12" s="69">
        <f t="shared" ref="E12:E74" si="0">D12*C12</f>
        <v>27844.827300000001</v>
      </c>
      <c r="F12" s="209"/>
      <c r="G12" s="63"/>
      <c r="H12" s="63"/>
    </row>
    <row r="13" spans="1:11">
      <c r="A13" s="43">
        <f t="shared" ref="A13:A76" si="1">A12+1</f>
        <v>3</v>
      </c>
      <c r="B13" s="2" t="s">
        <v>289</v>
      </c>
      <c r="C13" s="199">
        <v>4.7699999999999999E-2</v>
      </c>
      <c r="D13" s="69">
        <v>583749</v>
      </c>
      <c r="E13" s="69">
        <f t="shared" si="0"/>
        <v>27844.827300000001</v>
      </c>
      <c r="F13" s="209"/>
      <c r="G13" s="63"/>
      <c r="H13" s="63"/>
    </row>
    <row r="14" spans="1:11">
      <c r="A14" s="43">
        <f t="shared" si="1"/>
        <v>4</v>
      </c>
      <c r="B14" s="2" t="s">
        <v>290</v>
      </c>
      <c r="C14" s="200">
        <v>4.7699999999999999E-2</v>
      </c>
      <c r="D14" s="69">
        <v>1167497</v>
      </c>
      <c r="E14" s="69">
        <f t="shared" si="0"/>
        <v>55689.606899999999</v>
      </c>
      <c r="F14" s="209"/>
      <c r="G14" s="63"/>
      <c r="H14" s="63"/>
    </row>
    <row r="15" spans="1:11">
      <c r="A15" s="43">
        <f t="shared" si="1"/>
        <v>5</v>
      </c>
      <c r="B15" s="2" t="s">
        <v>291</v>
      </c>
      <c r="C15" s="200">
        <v>4.3529999999999999E-2</v>
      </c>
      <c r="D15" s="69">
        <v>1716131</v>
      </c>
      <c r="E15" s="69">
        <f t="shared" si="0"/>
        <v>74703.182430000001</v>
      </c>
      <c r="F15" s="209"/>
      <c r="G15" s="63"/>
      <c r="H15" s="63"/>
    </row>
    <row r="16" spans="1:11">
      <c r="A16" s="43">
        <f t="shared" si="1"/>
        <v>6</v>
      </c>
      <c r="B16" s="2" t="s">
        <v>292</v>
      </c>
      <c r="C16" s="200">
        <v>4.6710000000000002E-2</v>
      </c>
      <c r="D16" s="69">
        <v>587465</v>
      </c>
      <c r="E16" s="69">
        <f t="shared" si="0"/>
        <v>27440.490150000001</v>
      </c>
      <c r="F16" s="209"/>
      <c r="G16" s="63"/>
      <c r="H16" s="63"/>
    </row>
    <row r="17" spans="1:8">
      <c r="A17" s="43">
        <f t="shared" si="1"/>
        <v>7</v>
      </c>
      <c r="B17" s="2" t="s">
        <v>293</v>
      </c>
      <c r="C17" s="200">
        <v>4.5870000000000001E-2</v>
      </c>
      <c r="D17" s="69">
        <v>584801</v>
      </c>
      <c r="E17" s="69">
        <f t="shared" si="0"/>
        <v>26824.82187</v>
      </c>
      <c r="F17" s="209"/>
      <c r="G17" s="63"/>
      <c r="H17" s="63"/>
    </row>
    <row r="18" spans="1:8">
      <c r="A18" s="43">
        <f t="shared" si="1"/>
        <v>8</v>
      </c>
      <c r="B18" s="2" t="s">
        <v>294</v>
      </c>
      <c r="C18" s="200">
        <v>4.8980000000000003E-2</v>
      </c>
      <c r="D18" s="69">
        <v>601891</v>
      </c>
      <c r="E18" s="69">
        <f t="shared" si="0"/>
        <v>29480.621180000002</v>
      </c>
      <c r="F18" s="209"/>
      <c r="G18" s="63"/>
      <c r="H18" s="63"/>
    </row>
    <row r="19" spans="1:8">
      <c r="A19" s="43">
        <f t="shared" si="1"/>
        <v>9</v>
      </c>
      <c r="B19" s="2" t="s">
        <v>295</v>
      </c>
      <c r="C19" s="200">
        <v>3.406E-2</v>
      </c>
      <c r="D19" s="69">
        <v>4548745</v>
      </c>
      <c r="E19" s="69">
        <f t="shared" si="0"/>
        <v>154930.25469999999</v>
      </c>
      <c r="F19" s="209"/>
      <c r="G19" s="63"/>
      <c r="H19" s="63"/>
    </row>
    <row r="20" spans="1:8">
      <c r="A20" s="43">
        <f t="shared" si="1"/>
        <v>10</v>
      </c>
      <c r="B20" s="2" t="s">
        <v>296</v>
      </c>
      <c r="C20" s="200">
        <v>3.6299999999999999E-2</v>
      </c>
      <c r="D20" s="69">
        <v>657561</v>
      </c>
      <c r="E20" s="69">
        <f t="shared" si="0"/>
        <v>23869.4643</v>
      </c>
      <c r="F20" s="209"/>
      <c r="G20" s="63"/>
      <c r="H20" s="63"/>
    </row>
    <row r="21" spans="1:8">
      <c r="A21" s="43">
        <f t="shared" si="1"/>
        <v>11</v>
      </c>
      <c r="B21" s="2" t="s">
        <v>297</v>
      </c>
      <c r="C21" s="200">
        <v>4.4490000000000002E-2</v>
      </c>
      <c r="D21" s="69">
        <v>685135</v>
      </c>
      <c r="E21" s="69">
        <f t="shared" si="0"/>
        <v>30481.656150000003</v>
      </c>
      <c r="F21" s="209"/>
      <c r="G21" s="63"/>
      <c r="H21" s="63"/>
    </row>
    <row r="22" spans="1:8">
      <c r="A22" s="43">
        <f t="shared" si="1"/>
        <v>12</v>
      </c>
      <c r="B22" s="2" t="s">
        <v>298</v>
      </c>
      <c r="C22" s="200">
        <v>3.4909999999999997E-2</v>
      </c>
      <c r="D22" s="69">
        <v>658606</v>
      </c>
      <c r="E22" s="69">
        <f t="shared" si="0"/>
        <v>22991.935459999997</v>
      </c>
      <c r="F22" s="209"/>
      <c r="G22" s="63"/>
      <c r="H22" s="63"/>
    </row>
    <row r="23" spans="1:8">
      <c r="A23" s="43">
        <f t="shared" si="1"/>
        <v>13</v>
      </c>
      <c r="B23" s="2" t="s">
        <v>299</v>
      </c>
      <c r="C23" s="200">
        <v>2.8680000000000001E-2</v>
      </c>
      <c r="D23" s="69">
        <v>485862</v>
      </c>
      <c r="E23" s="69">
        <f t="shared" si="0"/>
        <v>13934.52216</v>
      </c>
      <c r="F23" s="209"/>
      <c r="G23" s="63"/>
      <c r="H23" s="63"/>
    </row>
    <row r="24" spans="1:8">
      <c r="A24" s="43">
        <f t="shared" si="1"/>
        <v>14</v>
      </c>
      <c r="B24" s="2" t="s">
        <v>300</v>
      </c>
      <c r="C24" s="200">
        <v>1.804E-2</v>
      </c>
      <c r="D24" s="69">
        <v>595097</v>
      </c>
      <c r="E24" s="69">
        <f t="shared" si="0"/>
        <v>10735.54988</v>
      </c>
      <c r="F24" s="209"/>
      <c r="G24" s="63"/>
      <c r="H24" s="63"/>
    </row>
    <row r="25" spans="1:8">
      <c r="A25" s="43">
        <f t="shared" si="1"/>
        <v>15</v>
      </c>
      <c r="B25" s="2" t="s">
        <v>301</v>
      </c>
      <c r="C25" s="200">
        <v>1.804E-2</v>
      </c>
      <c r="D25" s="69">
        <v>610915</v>
      </c>
      <c r="E25" s="69">
        <f t="shared" si="0"/>
        <v>11020.9066</v>
      </c>
      <c r="F25" s="209"/>
      <c r="G25" s="63"/>
      <c r="H25" s="63"/>
    </row>
    <row r="26" spans="1:8">
      <c r="A26" s="43">
        <f t="shared" si="1"/>
        <v>16</v>
      </c>
      <c r="B26" s="2" t="s">
        <v>302</v>
      </c>
      <c r="C26" s="200">
        <v>1.804E-2</v>
      </c>
      <c r="D26" s="69">
        <v>924546</v>
      </c>
      <c r="E26" s="69">
        <f t="shared" si="0"/>
        <v>16678.809840000002</v>
      </c>
      <c r="F26" s="209"/>
      <c r="G26" s="63"/>
      <c r="H26" s="63"/>
    </row>
    <row r="27" spans="1:8">
      <c r="A27" s="43">
        <f t="shared" si="1"/>
        <v>17</v>
      </c>
      <c r="B27" s="2" t="s">
        <v>303</v>
      </c>
      <c r="C27" s="200">
        <v>1.804E-2</v>
      </c>
      <c r="D27" s="69">
        <v>1978192</v>
      </c>
      <c r="E27" s="69">
        <f t="shared" si="0"/>
        <v>35686.583680000003</v>
      </c>
      <c r="F27" s="209"/>
      <c r="G27" s="63"/>
      <c r="H27" s="63"/>
    </row>
    <row r="28" spans="1:8">
      <c r="A28" s="43">
        <f t="shared" si="1"/>
        <v>18</v>
      </c>
      <c r="B28" s="2" t="s">
        <v>304</v>
      </c>
      <c r="C28" s="200">
        <v>1.9269999999999999E-2</v>
      </c>
      <c r="D28" s="69">
        <v>969412</v>
      </c>
      <c r="E28" s="69">
        <f t="shared" si="0"/>
        <v>18680.569240000001</v>
      </c>
      <c r="F28" s="209"/>
      <c r="G28" s="63"/>
      <c r="H28" s="63"/>
    </row>
    <row r="29" spans="1:8">
      <c r="A29" s="43">
        <f t="shared" si="1"/>
        <v>19</v>
      </c>
      <c r="B29" s="2" t="s">
        <v>305</v>
      </c>
      <c r="C29" s="200">
        <v>1.9269999999999999E-2</v>
      </c>
      <c r="D29" s="69">
        <v>745701</v>
      </c>
      <c r="E29" s="69">
        <f t="shared" si="0"/>
        <v>14369.65827</v>
      </c>
      <c r="F29" s="209"/>
      <c r="G29" s="63"/>
      <c r="H29" s="63"/>
    </row>
    <row r="30" spans="1:8">
      <c r="A30" s="43">
        <f t="shared" si="1"/>
        <v>20</v>
      </c>
      <c r="B30" s="2" t="s">
        <v>306</v>
      </c>
      <c r="C30" s="200">
        <v>3.3329999999999999E-2</v>
      </c>
      <c r="D30" s="69">
        <v>741979</v>
      </c>
      <c r="E30" s="69">
        <f t="shared" si="0"/>
        <v>24730.160069999998</v>
      </c>
      <c r="F30" s="209"/>
      <c r="G30" s="63"/>
      <c r="H30" s="63"/>
    </row>
    <row r="31" spans="1:8">
      <c r="A31" s="43">
        <f t="shared" si="1"/>
        <v>21</v>
      </c>
      <c r="B31" s="2" t="s">
        <v>307</v>
      </c>
      <c r="C31" s="200">
        <v>3.3329999999999999E-2</v>
      </c>
      <c r="D31" s="69">
        <v>753376</v>
      </c>
      <c r="E31" s="69">
        <f t="shared" si="0"/>
        <v>25110.022079999999</v>
      </c>
      <c r="F31" s="209"/>
      <c r="G31" s="63"/>
      <c r="H31" s="63"/>
    </row>
    <row r="32" spans="1:8">
      <c r="A32" s="43">
        <f t="shared" si="1"/>
        <v>22</v>
      </c>
      <c r="B32" s="2" t="s">
        <v>308</v>
      </c>
      <c r="C32" s="200">
        <v>3.8769999999999999E-2</v>
      </c>
      <c r="D32" s="89">
        <v>1143061</v>
      </c>
      <c r="E32" s="69">
        <f t="shared" si="0"/>
        <v>44316.474969999996</v>
      </c>
      <c r="F32" s="209"/>
      <c r="G32" s="63"/>
      <c r="H32" s="63"/>
    </row>
    <row r="33" spans="1:8">
      <c r="A33" s="43">
        <f t="shared" si="1"/>
        <v>23</v>
      </c>
      <c r="B33" s="2" t="s">
        <v>309</v>
      </c>
      <c r="C33" s="200">
        <v>3.8769999999999999E-2</v>
      </c>
      <c r="D33" s="89">
        <v>1152145</v>
      </c>
      <c r="E33" s="69">
        <f t="shared" si="0"/>
        <v>44668.661650000002</v>
      </c>
      <c r="F33" s="209"/>
      <c r="G33" s="63"/>
      <c r="H33" s="63"/>
    </row>
    <row r="34" spans="1:8">
      <c r="A34" s="43">
        <f t="shared" si="1"/>
        <v>24</v>
      </c>
      <c r="B34" s="2" t="s">
        <v>310</v>
      </c>
      <c r="C34" s="200">
        <v>3.8769999999999999E-2</v>
      </c>
      <c r="D34" s="89">
        <v>928816</v>
      </c>
      <c r="E34" s="69">
        <f t="shared" si="0"/>
        <v>36010.196319999995</v>
      </c>
      <c r="F34" s="209"/>
      <c r="G34" s="63"/>
      <c r="H34" s="63"/>
    </row>
    <row r="35" spans="1:8">
      <c r="A35" s="43">
        <f t="shared" si="1"/>
        <v>25</v>
      </c>
      <c r="B35" s="2" t="s">
        <v>311</v>
      </c>
      <c r="C35" s="200">
        <v>3.3329999999999999E-2</v>
      </c>
      <c r="D35" s="69">
        <v>932392</v>
      </c>
      <c r="E35" s="69">
        <f t="shared" si="0"/>
        <v>31076.625359999998</v>
      </c>
      <c r="F35" s="209"/>
      <c r="G35" s="63"/>
      <c r="H35" s="63"/>
    </row>
    <row r="36" spans="1:8">
      <c r="A36" s="43">
        <f t="shared" si="1"/>
        <v>26</v>
      </c>
      <c r="B36" s="2" t="s">
        <v>312</v>
      </c>
      <c r="C36" s="200">
        <v>2.1389999999999999E-2</v>
      </c>
      <c r="D36" s="69">
        <v>1602665</v>
      </c>
      <c r="E36" s="69">
        <f t="shared" si="0"/>
        <v>34281.004349999996</v>
      </c>
      <c r="F36" s="209"/>
      <c r="G36" s="63"/>
      <c r="H36" s="63"/>
    </row>
    <row r="37" spans="1:8">
      <c r="A37" s="43">
        <f t="shared" si="1"/>
        <v>27</v>
      </c>
      <c r="B37" s="2" t="s">
        <v>313</v>
      </c>
      <c r="C37" s="200">
        <v>2.8160000000000001E-2</v>
      </c>
      <c r="D37" s="69">
        <v>1649169</v>
      </c>
      <c r="E37" s="69">
        <f t="shared" si="0"/>
        <v>46440.599040000001</v>
      </c>
      <c r="F37" s="209"/>
      <c r="G37" s="63"/>
      <c r="H37" s="63"/>
    </row>
    <row r="38" spans="1:8">
      <c r="A38" s="43">
        <f t="shared" si="1"/>
        <v>28</v>
      </c>
      <c r="B38" s="2" t="s">
        <v>314</v>
      </c>
      <c r="C38" s="200">
        <v>2.6120000000000001E-2</v>
      </c>
      <c r="D38" s="69">
        <v>1074483</v>
      </c>
      <c r="E38" s="69">
        <f t="shared" si="0"/>
        <v>28065.49596</v>
      </c>
      <c r="F38" s="209"/>
      <c r="G38" s="63"/>
      <c r="H38" s="63"/>
    </row>
    <row r="39" spans="1:8">
      <c r="A39" s="43">
        <f t="shared" si="1"/>
        <v>29</v>
      </c>
      <c r="B39" s="2" t="s">
        <v>315</v>
      </c>
      <c r="C39" s="200">
        <v>2.6540000000000001E-2</v>
      </c>
      <c r="D39" s="69">
        <v>1081528</v>
      </c>
      <c r="E39" s="69">
        <f t="shared" si="0"/>
        <v>28703.753120000001</v>
      </c>
      <c r="F39" s="209"/>
      <c r="G39" s="63"/>
      <c r="H39" s="63"/>
    </row>
    <row r="40" spans="1:8">
      <c r="A40" s="43">
        <f t="shared" si="1"/>
        <v>30</v>
      </c>
      <c r="B40" s="2" t="s">
        <v>316</v>
      </c>
      <c r="C40" s="200">
        <v>2.7629999999999998E-2</v>
      </c>
      <c r="D40" s="69">
        <v>1075530</v>
      </c>
      <c r="E40" s="69">
        <f t="shared" si="0"/>
        <v>29716.893899999999</v>
      </c>
      <c r="F40" s="209"/>
      <c r="G40" s="63"/>
      <c r="H40" s="63"/>
    </row>
    <row r="41" spans="1:8">
      <c r="A41" s="43">
        <f t="shared" si="1"/>
        <v>31</v>
      </c>
      <c r="B41" s="2" t="s">
        <v>317</v>
      </c>
      <c r="C41" s="201">
        <v>2.9100000000000001E-2</v>
      </c>
      <c r="D41" s="69">
        <v>1779259</v>
      </c>
      <c r="E41" s="69">
        <f t="shared" si="0"/>
        <v>51776.436900000001</v>
      </c>
      <c r="F41" s="209"/>
      <c r="G41" s="63"/>
      <c r="H41" s="63"/>
    </row>
    <row r="42" spans="1:8">
      <c r="A42" s="43">
        <f t="shared" si="1"/>
        <v>32</v>
      </c>
      <c r="B42" s="2" t="s">
        <v>318</v>
      </c>
      <c r="C42" s="201">
        <v>2.98E-2</v>
      </c>
      <c r="D42" s="69">
        <v>1781698</v>
      </c>
      <c r="E42" s="69">
        <f t="shared" si="0"/>
        <v>53094.600400000003</v>
      </c>
      <c r="F42" s="209"/>
      <c r="G42" s="63"/>
      <c r="H42" s="63"/>
    </row>
    <row r="43" spans="1:8">
      <c r="A43" s="43">
        <f t="shared" si="1"/>
        <v>33</v>
      </c>
      <c r="B43" s="2" t="s">
        <v>319</v>
      </c>
      <c r="C43" s="201">
        <v>2.869E-2</v>
      </c>
      <c r="D43" s="69">
        <v>1066693</v>
      </c>
      <c r="E43" s="69">
        <f t="shared" si="0"/>
        <v>30603.422170000002</v>
      </c>
      <c r="F43" s="209"/>
      <c r="G43" s="63"/>
      <c r="H43" s="63"/>
    </row>
    <row r="44" spans="1:8">
      <c r="A44" s="43">
        <f t="shared" si="1"/>
        <v>34</v>
      </c>
      <c r="B44" s="2" t="s">
        <v>320</v>
      </c>
      <c r="C44" s="201">
        <v>2.3470000000000001E-2</v>
      </c>
      <c r="D44" s="69">
        <v>880043</v>
      </c>
      <c r="E44" s="69">
        <f t="shared" si="0"/>
        <v>20654.609210000002</v>
      </c>
      <c r="F44" s="209"/>
      <c r="G44" s="63"/>
      <c r="H44" s="63"/>
    </row>
    <row r="45" spans="1:8">
      <c r="A45" s="43">
        <f t="shared" si="1"/>
        <v>35</v>
      </c>
      <c r="B45" s="2" t="s">
        <v>321</v>
      </c>
      <c r="C45" s="201">
        <v>1.813E-2</v>
      </c>
      <c r="D45" s="69">
        <v>866715</v>
      </c>
      <c r="E45" s="69">
        <f t="shared" si="0"/>
        <v>15713.542950000001</v>
      </c>
      <c r="F45" s="209"/>
      <c r="G45" s="63"/>
      <c r="H45" s="63"/>
    </row>
    <row r="46" spans="1:8">
      <c r="A46" s="43">
        <f t="shared" si="1"/>
        <v>36</v>
      </c>
      <c r="B46" s="2" t="s">
        <v>322</v>
      </c>
      <c r="C46" s="201">
        <v>2.0789999999999999E-2</v>
      </c>
      <c r="D46" s="69">
        <v>1149186</v>
      </c>
      <c r="E46" s="69">
        <f t="shared" si="0"/>
        <v>23891.576939999999</v>
      </c>
      <c r="F46" s="209"/>
      <c r="G46" s="63"/>
      <c r="H46" s="63"/>
    </row>
    <row r="47" spans="1:8">
      <c r="A47" s="43">
        <f t="shared" si="1"/>
        <v>37</v>
      </c>
      <c r="B47" s="2" t="s">
        <v>323</v>
      </c>
      <c r="C47" s="201">
        <v>1.8360000000000001E-2</v>
      </c>
      <c r="D47" s="69">
        <v>884788</v>
      </c>
      <c r="E47" s="69">
        <f t="shared" si="0"/>
        <v>16244.707680000001</v>
      </c>
      <c r="F47" s="209"/>
      <c r="G47" s="63"/>
      <c r="H47" s="63"/>
    </row>
    <row r="48" spans="1:8">
      <c r="A48" s="43">
        <f t="shared" si="1"/>
        <v>38</v>
      </c>
      <c r="B48" s="2" t="s">
        <v>324</v>
      </c>
      <c r="C48" s="201">
        <v>3.3140000000000003E-2</v>
      </c>
      <c r="D48" s="69">
        <v>440938</v>
      </c>
      <c r="E48" s="69">
        <f t="shared" si="0"/>
        <v>14612.685320000001</v>
      </c>
      <c r="F48" s="209"/>
      <c r="G48" s="63"/>
      <c r="H48" s="63"/>
    </row>
    <row r="49" spans="1:9">
      <c r="A49" s="43">
        <f t="shared" si="1"/>
        <v>39</v>
      </c>
      <c r="B49" s="2" t="s">
        <v>325</v>
      </c>
      <c r="C49" s="201">
        <v>3.3140000000000003E-2</v>
      </c>
      <c r="D49" s="69">
        <v>1354398</v>
      </c>
      <c r="E49" s="69">
        <f t="shared" si="0"/>
        <v>44884.749720000007</v>
      </c>
      <c r="F49" s="209"/>
      <c r="G49" s="63"/>
      <c r="H49" s="63"/>
    </row>
    <row r="50" spans="1:9">
      <c r="A50" s="43">
        <f t="shared" si="1"/>
        <v>40</v>
      </c>
      <c r="B50" s="2" t="s">
        <v>326</v>
      </c>
      <c r="C50" s="201">
        <v>3.3140000000000003E-2</v>
      </c>
      <c r="D50" s="69">
        <v>1365347</v>
      </c>
      <c r="E50" s="69">
        <f t="shared" si="0"/>
        <v>45247.599580000002</v>
      </c>
      <c r="F50" s="209"/>
      <c r="G50" s="63"/>
      <c r="H50" s="63"/>
    </row>
    <row r="51" spans="1:9">
      <c r="A51" s="43">
        <f t="shared" si="1"/>
        <v>41</v>
      </c>
      <c r="B51" s="2" t="s">
        <v>327</v>
      </c>
      <c r="C51" s="201">
        <v>3.3140000000000003E-2</v>
      </c>
      <c r="D51" s="69">
        <v>1387724</v>
      </c>
      <c r="E51" s="69">
        <f t="shared" si="0"/>
        <v>45989.173360000001</v>
      </c>
      <c r="F51" s="209"/>
      <c r="G51" s="64"/>
      <c r="H51" s="64"/>
    </row>
    <row r="52" spans="1:9">
      <c r="A52" s="43">
        <f t="shared" si="1"/>
        <v>42</v>
      </c>
      <c r="B52" s="2" t="s">
        <v>328</v>
      </c>
      <c r="C52" s="200">
        <v>4.0149999999999998E-2</v>
      </c>
      <c r="D52" s="89">
        <v>1393538</v>
      </c>
      <c r="E52" s="69">
        <f t="shared" si="0"/>
        <v>55950.5507</v>
      </c>
      <c r="F52" s="209"/>
      <c r="G52" s="62"/>
      <c r="H52" s="62"/>
      <c r="I52" s="62"/>
    </row>
    <row r="53" spans="1:9">
      <c r="A53" s="43">
        <f t="shared" si="1"/>
        <v>43</v>
      </c>
      <c r="B53" s="2" t="s">
        <v>329</v>
      </c>
      <c r="C53" s="200">
        <v>3.8670000000000003E-2</v>
      </c>
      <c r="D53" s="89">
        <v>1872218</v>
      </c>
      <c r="E53" s="69">
        <f t="shared" si="0"/>
        <v>72398.670060000004</v>
      </c>
      <c r="F53" s="209"/>
      <c r="G53" s="62"/>
      <c r="H53" s="62"/>
    </row>
    <row r="54" spans="1:9">
      <c r="A54" s="43">
        <f t="shared" si="1"/>
        <v>44</v>
      </c>
      <c r="B54" s="2" t="s">
        <v>330</v>
      </c>
      <c r="C54" s="200">
        <v>4.0149999999999998E-2</v>
      </c>
      <c r="D54" s="89">
        <v>1842159</v>
      </c>
      <c r="E54" s="69">
        <f t="shared" si="0"/>
        <v>73962.683850000001</v>
      </c>
      <c r="F54" s="209"/>
      <c r="G54" s="62"/>
      <c r="H54" s="62"/>
    </row>
    <row r="55" spans="1:9">
      <c r="A55" s="43">
        <f t="shared" si="1"/>
        <v>45</v>
      </c>
      <c r="B55" s="2" t="s">
        <v>331</v>
      </c>
      <c r="C55" s="201">
        <v>3.3270000000000001E-2</v>
      </c>
      <c r="D55" s="69">
        <v>1955533</v>
      </c>
      <c r="E55" s="69">
        <f t="shared" si="0"/>
        <v>65060.582910000005</v>
      </c>
      <c r="F55" s="209"/>
      <c r="G55" s="62"/>
      <c r="H55" s="62"/>
    </row>
    <row r="56" spans="1:9">
      <c r="A56" s="43">
        <f t="shared" si="1"/>
        <v>46</v>
      </c>
      <c r="B56" s="2" t="s">
        <v>332</v>
      </c>
      <c r="C56" s="201">
        <v>3.7420000000000002E-2</v>
      </c>
      <c r="D56" s="69">
        <v>979373</v>
      </c>
      <c r="E56" s="69">
        <f t="shared" si="0"/>
        <v>36648.13766</v>
      </c>
      <c r="F56" s="209"/>
      <c r="G56" s="62"/>
      <c r="H56" s="62"/>
    </row>
    <row r="57" spans="1:9">
      <c r="A57" s="43">
        <f t="shared" si="1"/>
        <v>47</v>
      </c>
      <c r="B57" s="2" t="s">
        <v>333</v>
      </c>
      <c r="C57" s="201">
        <v>3.8870000000000002E-2</v>
      </c>
      <c r="D57" s="69">
        <v>1959824</v>
      </c>
      <c r="E57" s="69">
        <f t="shared" si="0"/>
        <v>76178.35888</v>
      </c>
      <c r="F57" s="209"/>
      <c r="G57" s="73"/>
      <c r="H57" s="73"/>
    </row>
    <row r="58" spans="1:9">
      <c r="A58" s="43">
        <f t="shared" si="1"/>
        <v>48</v>
      </c>
      <c r="B58" s="2" t="s">
        <v>334</v>
      </c>
      <c r="C58" s="201">
        <v>4.0250000000000001E-2</v>
      </c>
      <c r="D58" s="69">
        <v>980415</v>
      </c>
      <c r="E58" s="69">
        <f t="shared" si="0"/>
        <v>39461.703750000001</v>
      </c>
      <c r="F58" s="209"/>
      <c r="G58" s="62"/>
      <c r="H58" s="62"/>
    </row>
    <row r="59" spans="1:9">
      <c r="A59" s="43">
        <f t="shared" si="1"/>
        <v>49</v>
      </c>
      <c r="B59" s="2" t="s">
        <v>335</v>
      </c>
      <c r="C59" s="201">
        <v>3.9649999999999998E-2</v>
      </c>
      <c r="D59" s="69">
        <v>1274257</v>
      </c>
      <c r="E59" s="69">
        <f t="shared" si="0"/>
        <v>50524.290049999996</v>
      </c>
      <c r="F59" s="209"/>
      <c r="G59" s="62"/>
      <c r="H59" s="62"/>
    </row>
    <row r="60" spans="1:9">
      <c r="A60" s="43">
        <f t="shared" si="1"/>
        <v>50</v>
      </c>
      <c r="B60" s="2" t="s">
        <v>547</v>
      </c>
      <c r="C60" s="201">
        <v>3.8390000000000001E-2</v>
      </c>
      <c r="D60" s="69">
        <v>1469603</v>
      </c>
      <c r="E60" s="69">
        <f t="shared" si="0"/>
        <v>56418.05917</v>
      </c>
      <c r="F60" s="209"/>
      <c r="G60" s="62"/>
      <c r="H60" s="62"/>
    </row>
    <row r="61" spans="1:9">
      <c r="A61" s="43">
        <f t="shared" si="1"/>
        <v>51</v>
      </c>
      <c r="B61" s="2" t="s">
        <v>548</v>
      </c>
      <c r="C61" s="201">
        <v>4.3130000000000002E-2</v>
      </c>
      <c r="D61" s="69">
        <v>1474383</v>
      </c>
      <c r="E61" s="69">
        <f t="shared" si="0"/>
        <v>63590.138790000005</v>
      </c>
      <c r="F61" s="209"/>
      <c r="G61" s="62"/>
      <c r="H61" s="62"/>
    </row>
    <row r="62" spans="1:9">
      <c r="A62" s="43">
        <f t="shared" si="1"/>
        <v>52</v>
      </c>
      <c r="B62" s="2" t="s">
        <v>549</v>
      </c>
      <c r="C62" s="201">
        <v>3.8989999999999997E-2</v>
      </c>
      <c r="D62" s="69">
        <v>788474</v>
      </c>
      <c r="E62" s="69">
        <f t="shared" si="0"/>
        <v>30742.601259999996</v>
      </c>
      <c r="F62" s="209"/>
      <c r="G62" s="62"/>
      <c r="H62" s="62"/>
    </row>
    <row r="63" spans="1:9">
      <c r="A63" s="43">
        <f t="shared" si="1"/>
        <v>53</v>
      </c>
      <c r="B63" s="2" t="s">
        <v>550</v>
      </c>
      <c r="C63" s="201">
        <v>4.0349999999999997E-2</v>
      </c>
      <c r="D63" s="69">
        <v>790470</v>
      </c>
      <c r="E63" s="69">
        <f t="shared" si="0"/>
        <v>31895.464499999998</v>
      </c>
      <c r="F63" s="209"/>
      <c r="G63" s="62"/>
      <c r="H63" s="62"/>
    </row>
    <row r="64" spans="1:9">
      <c r="A64" s="43">
        <f t="shared" si="1"/>
        <v>54</v>
      </c>
      <c r="B64" s="2" t="s">
        <v>551</v>
      </c>
      <c r="C64" s="201">
        <v>4.4589999999999998E-2</v>
      </c>
      <c r="D64" s="69">
        <v>593393</v>
      </c>
      <c r="E64" s="69">
        <f t="shared" si="0"/>
        <v>26459.39387</v>
      </c>
      <c r="F64" s="209"/>
      <c r="G64" s="62"/>
      <c r="H64" s="62"/>
    </row>
    <row r="65" spans="1:11">
      <c r="A65" s="43">
        <f t="shared" si="1"/>
        <v>55</v>
      </c>
      <c r="B65" s="2" t="s">
        <v>552</v>
      </c>
      <c r="C65" s="201">
        <v>4.5440000000000001E-2</v>
      </c>
      <c r="D65" s="69">
        <v>496374</v>
      </c>
      <c r="E65" s="69">
        <f t="shared" si="0"/>
        <v>22555.234560000001</v>
      </c>
      <c r="F65" s="209"/>
      <c r="G65" s="62"/>
      <c r="H65" s="62"/>
    </row>
    <row r="66" spans="1:11">
      <c r="A66" s="43">
        <f t="shared" si="1"/>
        <v>56</v>
      </c>
      <c r="B66" s="2" t="s">
        <v>553</v>
      </c>
      <c r="C66" s="201">
        <v>3.977E-2</v>
      </c>
      <c r="D66" s="69">
        <v>498582</v>
      </c>
      <c r="E66" s="69">
        <f t="shared" si="0"/>
        <v>19828.60614</v>
      </c>
      <c r="F66" s="209"/>
      <c r="G66" s="62"/>
      <c r="H66" s="62"/>
      <c r="I66" s="62"/>
    </row>
    <row r="67" spans="1:11">
      <c r="A67" s="43">
        <f t="shared" si="1"/>
        <v>57</v>
      </c>
      <c r="B67" s="2" t="s">
        <v>554</v>
      </c>
      <c r="C67" s="201">
        <v>4.5659999999999999E-2</v>
      </c>
      <c r="D67" s="69">
        <v>2420000</v>
      </c>
      <c r="E67" s="69">
        <f t="shared" si="0"/>
        <v>110497.2</v>
      </c>
      <c r="F67" s="209"/>
      <c r="G67" s="62"/>
      <c r="H67" s="62"/>
    </row>
    <row r="68" spans="1:11">
      <c r="A68" s="43">
        <f t="shared" si="1"/>
        <v>58</v>
      </c>
      <c r="B68" s="2" t="s">
        <v>605</v>
      </c>
      <c r="C68" s="201">
        <v>4.4600000000000001E-2</v>
      </c>
      <c r="D68" s="69">
        <v>5600000</v>
      </c>
      <c r="E68" s="69">
        <f t="shared" si="0"/>
        <v>249760</v>
      </c>
      <c r="F68" s="209"/>
      <c r="G68" s="62"/>
      <c r="H68" s="62"/>
    </row>
    <row r="69" spans="1:11">
      <c r="A69" s="43">
        <f t="shared" si="1"/>
        <v>59</v>
      </c>
      <c r="B69" s="2" t="s">
        <v>336</v>
      </c>
      <c r="C69" s="201">
        <v>0.04</v>
      </c>
      <c r="D69" s="69">
        <v>124887</v>
      </c>
      <c r="E69" s="69">
        <f t="shared" si="0"/>
        <v>4995.4800000000005</v>
      </c>
      <c r="F69" s="62"/>
      <c r="G69" s="62"/>
    </row>
    <row r="70" spans="1:11">
      <c r="A70" s="43">
        <f t="shared" si="1"/>
        <v>60</v>
      </c>
      <c r="B70" s="2" t="s">
        <v>337</v>
      </c>
      <c r="C70" s="201">
        <v>4.3999999999999997E-2</v>
      </c>
      <c r="D70" s="69">
        <v>389083</v>
      </c>
      <c r="E70" s="69">
        <f t="shared" si="0"/>
        <v>17119.651999999998</v>
      </c>
      <c r="F70" s="62"/>
      <c r="G70" s="62"/>
    </row>
    <row r="71" spans="1:11">
      <c r="A71" s="43">
        <f t="shared" si="1"/>
        <v>61</v>
      </c>
      <c r="B71" s="2" t="s">
        <v>338</v>
      </c>
      <c r="C71" s="201">
        <v>4.3999999999999997E-2</v>
      </c>
      <c r="D71" s="69">
        <v>172926</v>
      </c>
      <c r="E71" s="69">
        <f t="shared" si="0"/>
        <v>7608.7439999999997</v>
      </c>
      <c r="F71" s="62"/>
      <c r="G71" s="62"/>
    </row>
    <row r="72" spans="1:11">
      <c r="A72" s="43">
        <f t="shared" si="1"/>
        <v>62</v>
      </c>
      <c r="B72" s="2" t="s">
        <v>339</v>
      </c>
      <c r="C72" s="201">
        <v>4.3999999999999997E-2</v>
      </c>
      <c r="D72" s="69">
        <v>276381</v>
      </c>
      <c r="E72" s="69">
        <f t="shared" si="0"/>
        <v>12160.763999999999</v>
      </c>
      <c r="F72" s="62"/>
      <c r="G72" s="62"/>
    </row>
    <row r="73" spans="1:11">
      <c r="A73" s="43">
        <f t="shared" si="1"/>
        <v>63</v>
      </c>
      <c r="B73" s="2" t="s">
        <v>340</v>
      </c>
      <c r="C73" s="200">
        <v>3.5000000000000003E-2</v>
      </c>
      <c r="D73" s="69">
        <v>1301723</v>
      </c>
      <c r="E73" s="69">
        <f t="shared" si="0"/>
        <v>45560.305000000008</v>
      </c>
      <c r="F73" s="62"/>
      <c r="G73" s="62"/>
    </row>
    <row r="74" spans="1:11">
      <c r="A74" s="43">
        <f t="shared" si="1"/>
        <v>64</v>
      </c>
      <c r="B74" s="2" t="s">
        <v>341</v>
      </c>
      <c r="C74" s="200">
        <v>0</v>
      </c>
      <c r="D74" s="69">
        <v>1037012</v>
      </c>
      <c r="E74" s="69">
        <f t="shared" si="0"/>
        <v>0</v>
      </c>
    </row>
    <row r="75" spans="1:11">
      <c r="A75" s="43">
        <f t="shared" si="1"/>
        <v>65</v>
      </c>
      <c r="E75" s="37"/>
    </row>
    <row r="76" spans="1:11" ht="13.5" thickBot="1">
      <c r="A76" s="43">
        <f t="shared" si="1"/>
        <v>66</v>
      </c>
      <c r="B76" s="202" t="s">
        <v>532</v>
      </c>
      <c r="C76" s="45"/>
      <c r="D76" s="45"/>
      <c r="E76" s="190">
        <f>SUM(E10:E74)</f>
        <v>2667641.8930099988</v>
      </c>
    </row>
    <row r="77" spans="1:11" ht="13.5" thickTop="1">
      <c r="A77" s="43">
        <f t="shared" ref="A77:A80" si="2">A76+1</f>
        <v>67</v>
      </c>
      <c r="B77" s="195"/>
      <c r="C77" s="69"/>
      <c r="D77" s="69"/>
      <c r="E77" s="194"/>
    </row>
    <row r="78" spans="1:11" ht="35.25" customHeight="1" thickBot="1">
      <c r="A78" s="43">
        <f t="shared" si="2"/>
        <v>68</v>
      </c>
      <c r="B78" s="45" t="s">
        <v>555</v>
      </c>
      <c r="C78" s="203"/>
      <c r="D78" s="203"/>
      <c r="E78" s="204">
        <v>2414943</v>
      </c>
      <c r="F78" s="238"/>
      <c r="H78" s="72"/>
      <c r="I78" s="72"/>
      <c r="J78" s="72"/>
      <c r="K78" s="72"/>
    </row>
    <row r="79" spans="1:11" ht="13.5" thickTop="1">
      <c r="A79" s="43">
        <f t="shared" si="2"/>
        <v>69</v>
      </c>
      <c r="C79" s="69"/>
      <c r="D79" s="69"/>
      <c r="E79" s="194"/>
    </row>
    <row r="80" spans="1:11" ht="13.5" thickBot="1">
      <c r="A80" s="43">
        <f t="shared" si="2"/>
        <v>70</v>
      </c>
      <c r="B80" s="205" t="s">
        <v>503</v>
      </c>
      <c r="C80" s="206"/>
      <c r="D80" s="206"/>
      <c r="E80" s="207">
        <f>E76-E78</f>
        <v>252698.89300999884</v>
      </c>
    </row>
    <row r="81" spans="2:7" ht="13.5" thickTop="1">
      <c r="B81" s="43"/>
      <c r="E81" s="88"/>
    </row>
    <row r="82" spans="2:7" ht="22.15" customHeight="1"/>
    <row r="83" spans="2:7" ht="27" customHeight="1">
      <c r="B83" s="298" t="s">
        <v>120</v>
      </c>
      <c r="C83" s="298"/>
      <c r="D83" s="298"/>
      <c r="E83" s="298"/>
      <c r="F83" s="72"/>
      <c r="G83" s="72"/>
    </row>
    <row r="84" spans="2:7">
      <c r="E84" s="37"/>
    </row>
    <row r="85" spans="2:7">
      <c r="E85" s="37"/>
    </row>
  </sheetData>
  <mergeCells count="4">
    <mergeCell ref="B83:E83"/>
    <mergeCell ref="B4:E4"/>
    <mergeCell ref="B5:E5"/>
    <mergeCell ref="B7:E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4"/>
  <sheetViews>
    <sheetView view="pageBreakPreview" topLeftCell="A52" zoomScaleNormal="100" zoomScaleSheetLayoutView="100" workbookViewId="0">
      <selection activeCell="I72" sqref="I72"/>
    </sheetView>
  </sheetViews>
  <sheetFormatPr defaultColWidth="9.140625" defaultRowHeight="12.75"/>
  <cols>
    <col min="1" max="1" width="5.85546875" style="37" customWidth="1"/>
    <col min="2" max="2" width="2.28515625" style="37" customWidth="1"/>
    <col min="3" max="3" width="9.28515625" style="37" customWidth="1"/>
    <col min="4" max="4" width="30.5703125" style="37" bestFit="1" customWidth="1"/>
    <col min="5" max="5" width="16.5703125" style="37" bestFit="1" customWidth="1"/>
    <col min="6" max="6" width="11.28515625" style="37" bestFit="1" customWidth="1"/>
    <col min="7" max="7" width="10.7109375" style="37" customWidth="1"/>
    <col min="8" max="8" width="11.28515625" style="37" bestFit="1" customWidth="1"/>
    <col min="9" max="9" width="11.7109375" style="37" customWidth="1"/>
    <col min="10" max="10" width="12" style="37" customWidth="1"/>
    <col min="11" max="13" width="9.140625" style="37"/>
    <col min="14" max="14" width="10.42578125" style="37" bestFit="1" customWidth="1"/>
    <col min="15" max="16384" width="9.140625" style="37"/>
  </cols>
  <sheetData>
    <row r="1" spans="1:13">
      <c r="G1" s="26"/>
      <c r="J1" s="26" t="s">
        <v>134</v>
      </c>
    </row>
    <row r="2" spans="1:13" ht="14.25" customHeight="1">
      <c r="G2" s="26"/>
    </row>
    <row r="3" spans="1:13">
      <c r="A3" s="299" t="str">
        <f>RevReq!A1</f>
        <v>FARMERS RECC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3">
      <c r="A4" s="299" t="str">
        <f>RevReq!A3</f>
        <v>For the 12 Months Ended December 31, 2024</v>
      </c>
      <c r="B4" s="299"/>
      <c r="C4" s="299"/>
      <c r="D4" s="299"/>
      <c r="E4" s="299"/>
      <c r="F4" s="299"/>
      <c r="G4" s="299"/>
      <c r="H4" s="299"/>
      <c r="I4" s="299"/>
      <c r="J4" s="299"/>
    </row>
    <row r="6" spans="1:13" s="35" customFormat="1" ht="15" customHeight="1">
      <c r="A6" s="296" t="s">
        <v>122</v>
      </c>
      <c r="B6" s="296"/>
      <c r="C6" s="296"/>
      <c r="D6" s="296"/>
      <c r="E6" s="296"/>
      <c r="F6" s="296"/>
      <c r="G6" s="296"/>
      <c r="H6" s="296"/>
      <c r="I6" s="296"/>
      <c r="J6" s="296"/>
    </row>
    <row r="8" spans="1:13" s="29" customFormat="1" ht="38.25" customHeight="1">
      <c r="A8" s="29" t="s">
        <v>5</v>
      </c>
      <c r="C8" s="29" t="s">
        <v>123</v>
      </c>
      <c r="D8" s="29" t="s">
        <v>6</v>
      </c>
      <c r="E8" s="29" t="s">
        <v>342</v>
      </c>
      <c r="F8" s="29" t="s">
        <v>124</v>
      </c>
      <c r="G8" s="29" t="s">
        <v>118</v>
      </c>
      <c r="H8" s="29" t="s">
        <v>125</v>
      </c>
      <c r="I8" s="29" t="s">
        <v>126</v>
      </c>
      <c r="J8" s="29" t="s">
        <v>127</v>
      </c>
      <c r="L8" s="156"/>
      <c r="M8" s="156"/>
    </row>
    <row r="9" spans="1:13" s="2" customFormat="1">
      <c r="A9" s="30" t="s">
        <v>10</v>
      </c>
      <c r="B9" s="5"/>
      <c r="C9" s="54" t="s">
        <v>71</v>
      </c>
      <c r="D9" s="54" t="s">
        <v>72</v>
      </c>
      <c r="E9" s="54" t="s">
        <v>73</v>
      </c>
      <c r="F9" s="54" t="s">
        <v>11</v>
      </c>
      <c r="G9" s="54" t="s">
        <v>12</v>
      </c>
      <c r="H9" s="54" t="s">
        <v>46</v>
      </c>
      <c r="I9" s="54" t="s">
        <v>75</v>
      </c>
      <c r="J9" s="54" t="s">
        <v>76</v>
      </c>
      <c r="L9" s="24"/>
      <c r="M9" s="24"/>
    </row>
    <row r="10" spans="1:13" s="2" customFormat="1">
      <c r="A10" s="5"/>
      <c r="B10" s="5"/>
      <c r="L10" s="24"/>
      <c r="M10" s="24"/>
    </row>
    <row r="11" spans="1:13" s="2" customFormat="1">
      <c r="A11" s="5">
        <v>1</v>
      </c>
      <c r="B11" s="5"/>
      <c r="C11" s="210" t="s">
        <v>343</v>
      </c>
      <c r="J11" s="168"/>
      <c r="L11" s="24"/>
      <c r="M11" s="24"/>
    </row>
    <row r="12" spans="1:13" s="2" customFormat="1">
      <c r="A12" s="5">
        <f>A11+1</f>
        <v>2</v>
      </c>
      <c r="B12" s="5"/>
      <c r="C12" s="211">
        <v>303</v>
      </c>
      <c r="D12" s="2" t="s">
        <v>344</v>
      </c>
      <c r="E12" s="212">
        <v>3624.6</v>
      </c>
      <c r="F12" s="212"/>
      <c r="G12" s="213"/>
      <c r="H12" s="212">
        <f t="shared" ref="H12" si="0">ROUND(((+E12-F12)*G12),2)</f>
        <v>0</v>
      </c>
      <c r="I12" s="212">
        <v>0</v>
      </c>
      <c r="J12" s="168">
        <f t="shared" ref="J12" si="1">H12-I12</f>
        <v>0</v>
      </c>
      <c r="L12" s="24"/>
      <c r="M12" s="24"/>
    </row>
    <row r="13" spans="1:13" s="2" customFormat="1">
      <c r="A13" s="5">
        <f t="shared" ref="A13:A76" si="2">A12+1</f>
        <v>3</v>
      </c>
      <c r="B13" s="5"/>
      <c r="C13" s="210"/>
      <c r="D13" s="214" t="s">
        <v>130</v>
      </c>
      <c r="E13" s="215">
        <f>SUM(E11:E12)</f>
        <v>3624.6</v>
      </c>
      <c r="F13" s="215">
        <f t="shared" ref="F13:J13" si="3">SUM(F11:F12)</f>
        <v>0</v>
      </c>
      <c r="G13" s="215"/>
      <c r="H13" s="215">
        <f t="shared" si="3"/>
        <v>0</v>
      </c>
      <c r="I13" s="215">
        <f t="shared" si="3"/>
        <v>0</v>
      </c>
      <c r="J13" s="134">
        <f t="shared" si="3"/>
        <v>0</v>
      </c>
      <c r="L13" s="24"/>
      <c r="M13" s="24"/>
    </row>
    <row r="14" spans="1:13" s="2" customFormat="1">
      <c r="A14" s="5">
        <f t="shared" si="2"/>
        <v>4</v>
      </c>
      <c r="B14" s="5"/>
      <c r="C14" s="210"/>
      <c r="J14" s="168"/>
      <c r="L14" s="24"/>
      <c r="M14" s="24"/>
    </row>
    <row r="15" spans="1:13" s="2" customFormat="1">
      <c r="A15" s="5">
        <f t="shared" si="2"/>
        <v>5</v>
      </c>
      <c r="B15" s="5"/>
      <c r="C15" s="210" t="s">
        <v>128</v>
      </c>
      <c r="J15" s="168"/>
      <c r="L15" s="24"/>
      <c r="M15" s="24"/>
    </row>
    <row r="16" spans="1:13" s="2" customFormat="1">
      <c r="A16" s="5">
        <f t="shared" si="2"/>
        <v>6</v>
      </c>
      <c r="B16" s="5"/>
      <c r="C16" s="211">
        <v>342</v>
      </c>
      <c r="D16" s="2" t="s">
        <v>345</v>
      </c>
      <c r="E16" s="212">
        <v>53958.97</v>
      </c>
      <c r="F16" s="212">
        <v>0</v>
      </c>
      <c r="G16" s="213">
        <v>3.2399999999999998E-2</v>
      </c>
      <c r="H16" s="212">
        <f t="shared" ref="H16:H18" si="4">ROUND(((+E16-F16)*G16),2)</f>
        <v>1748.27</v>
      </c>
      <c r="I16" s="212">
        <v>1748.28</v>
      </c>
      <c r="J16" s="168">
        <f t="shared" ref="J16:J18" si="5">H16-I16</f>
        <v>-9.9999999999909051E-3</v>
      </c>
      <c r="L16" s="24"/>
      <c r="M16" s="24"/>
    </row>
    <row r="17" spans="1:18" s="2" customFormat="1">
      <c r="A17" s="5">
        <f t="shared" si="2"/>
        <v>7</v>
      </c>
      <c r="B17" s="5"/>
      <c r="C17" s="211">
        <v>344</v>
      </c>
      <c r="D17" s="2" t="s">
        <v>346</v>
      </c>
      <c r="E17" s="212">
        <v>1218592.74</v>
      </c>
      <c r="F17" s="212">
        <v>0</v>
      </c>
      <c r="G17" s="213">
        <v>3.2399999999999998E-2</v>
      </c>
      <c r="H17" s="212">
        <f t="shared" si="4"/>
        <v>39482.400000000001</v>
      </c>
      <c r="I17" s="212">
        <v>39482.400000000001</v>
      </c>
      <c r="J17" s="168">
        <f t="shared" si="5"/>
        <v>0</v>
      </c>
      <c r="L17" s="24"/>
      <c r="M17" s="24"/>
    </row>
    <row r="18" spans="1:18" s="2" customFormat="1">
      <c r="A18" s="5">
        <f t="shared" si="2"/>
        <v>8</v>
      </c>
      <c r="B18" s="5"/>
      <c r="C18" s="211">
        <v>345</v>
      </c>
      <c r="D18" s="2" t="s">
        <v>347</v>
      </c>
      <c r="E18" s="212">
        <v>229519.65</v>
      </c>
      <c r="F18" s="212">
        <v>0</v>
      </c>
      <c r="G18" s="213">
        <v>3.2399999999999998E-2</v>
      </c>
      <c r="H18" s="212">
        <f t="shared" si="4"/>
        <v>7436.44</v>
      </c>
      <c r="I18" s="212">
        <v>7436.4</v>
      </c>
      <c r="J18" s="168">
        <f t="shared" si="5"/>
        <v>3.999999999996362E-2</v>
      </c>
      <c r="L18" s="24"/>
      <c r="M18" s="24"/>
    </row>
    <row r="19" spans="1:18" s="2" customFormat="1">
      <c r="A19" s="5">
        <f t="shared" si="2"/>
        <v>9</v>
      </c>
      <c r="B19" s="5"/>
      <c r="C19" s="211"/>
      <c r="D19" s="214" t="s">
        <v>130</v>
      </c>
      <c r="E19" s="215">
        <f>SUM(E16:E18)</f>
        <v>1502071.3599999999</v>
      </c>
      <c r="F19" s="215">
        <f t="shared" ref="F19:J19" si="6">SUM(F16:F18)</f>
        <v>0</v>
      </c>
      <c r="G19" s="215"/>
      <c r="H19" s="215">
        <f t="shared" si="6"/>
        <v>48667.11</v>
      </c>
      <c r="I19" s="215">
        <f t="shared" si="6"/>
        <v>48667.08</v>
      </c>
      <c r="J19" s="134">
        <f t="shared" si="6"/>
        <v>2.9999999999972715E-2</v>
      </c>
      <c r="L19" s="24"/>
      <c r="M19" s="24"/>
    </row>
    <row r="20" spans="1:18" s="2" customFormat="1">
      <c r="A20" s="5">
        <f t="shared" si="2"/>
        <v>10</v>
      </c>
      <c r="B20" s="5"/>
      <c r="C20" s="210"/>
      <c r="L20" s="24"/>
      <c r="M20" s="24"/>
    </row>
    <row r="21" spans="1:18" s="2" customFormat="1">
      <c r="A21" s="5">
        <f t="shared" si="2"/>
        <v>11</v>
      </c>
      <c r="B21" s="5"/>
      <c r="C21" s="210" t="s">
        <v>128</v>
      </c>
      <c r="L21" s="24"/>
      <c r="M21" s="24"/>
    </row>
    <row r="22" spans="1:18" s="2" customFormat="1">
      <c r="A22" s="5">
        <f t="shared" si="2"/>
        <v>12</v>
      </c>
      <c r="B22" s="5"/>
      <c r="C22" s="211">
        <v>362.01</v>
      </c>
      <c r="D22" s="2" t="s">
        <v>348</v>
      </c>
      <c r="E22" s="212">
        <v>41355.769999999997</v>
      </c>
      <c r="F22" s="212">
        <v>41356</v>
      </c>
      <c r="G22" s="213"/>
      <c r="H22" s="212">
        <f t="shared" ref="H22:H43" si="7">ROUND(((+E22-F22)*G22),2)</f>
        <v>0</v>
      </c>
      <c r="I22" s="212">
        <v>0</v>
      </c>
      <c r="J22" s="212">
        <f t="shared" ref="J22:J43" si="8">H22-I22</f>
        <v>0</v>
      </c>
      <c r="L22" s="24"/>
      <c r="M22" s="24"/>
    </row>
    <row r="23" spans="1:18" s="2" customFormat="1">
      <c r="A23" s="5">
        <f t="shared" si="2"/>
        <v>13</v>
      </c>
      <c r="B23" s="5"/>
      <c r="C23" s="211">
        <v>364</v>
      </c>
      <c r="D23" s="2" t="s">
        <v>349</v>
      </c>
      <c r="E23" s="212">
        <v>35249509.159999996</v>
      </c>
      <c r="F23" s="212">
        <v>0</v>
      </c>
      <c r="G23" s="213">
        <v>3.2399999999999998E-2</v>
      </c>
      <c r="H23" s="212">
        <f t="shared" si="7"/>
        <v>1142084.1000000001</v>
      </c>
      <c r="I23" s="212">
        <v>1111232.68</v>
      </c>
      <c r="J23" s="212">
        <f t="shared" si="8"/>
        <v>30851.420000000158</v>
      </c>
      <c r="L23" s="24"/>
      <c r="M23" s="24"/>
    </row>
    <row r="24" spans="1:18" s="2" customFormat="1">
      <c r="A24" s="5">
        <f t="shared" si="2"/>
        <v>14</v>
      </c>
      <c r="B24" s="5"/>
      <c r="C24" s="211">
        <v>365</v>
      </c>
      <c r="D24" s="2" t="s">
        <v>350</v>
      </c>
      <c r="E24" s="212">
        <v>29493019.879999999</v>
      </c>
      <c r="F24" s="212">
        <v>0</v>
      </c>
      <c r="G24" s="213">
        <v>3.2399999999999998E-2</v>
      </c>
      <c r="H24" s="212">
        <f t="shared" si="7"/>
        <v>955573.84</v>
      </c>
      <c r="I24" s="212">
        <v>930172.29</v>
      </c>
      <c r="J24" s="212">
        <f t="shared" si="8"/>
        <v>25401.54999999993</v>
      </c>
      <c r="L24" s="24"/>
      <c r="M24" s="24"/>
      <c r="P24" s="157"/>
      <c r="R24" s="157"/>
    </row>
    <row r="25" spans="1:18" s="2" customFormat="1">
      <c r="A25" s="5">
        <f t="shared" si="2"/>
        <v>15</v>
      </c>
      <c r="B25" s="5"/>
      <c r="C25" s="211">
        <v>367</v>
      </c>
      <c r="D25" s="2" t="s">
        <v>351</v>
      </c>
      <c r="E25" s="212">
        <v>3103569.83</v>
      </c>
      <c r="F25" s="212">
        <v>0</v>
      </c>
      <c r="G25" s="213">
        <v>3.2399999999999998E-2</v>
      </c>
      <c r="H25" s="212">
        <f t="shared" si="7"/>
        <v>100555.66</v>
      </c>
      <c r="I25" s="212">
        <v>97032.74</v>
      </c>
      <c r="J25" s="212">
        <f t="shared" si="8"/>
        <v>3522.9199999999983</v>
      </c>
      <c r="L25" s="24"/>
      <c r="M25" s="24"/>
    </row>
    <row r="26" spans="1:18" s="2" customFormat="1">
      <c r="A26" s="5">
        <f t="shared" si="2"/>
        <v>16</v>
      </c>
      <c r="B26" s="5"/>
      <c r="C26" s="211">
        <v>368</v>
      </c>
      <c r="D26" s="2" t="s">
        <v>352</v>
      </c>
      <c r="E26" s="212">
        <v>23398676.199999999</v>
      </c>
      <c r="F26" s="212">
        <v>0</v>
      </c>
      <c r="G26" s="213">
        <v>3.2399999999999998E-2</v>
      </c>
      <c r="H26" s="212">
        <f t="shared" si="7"/>
        <v>758117.11</v>
      </c>
      <c r="I26" s="212">
        <v>730793.54</v>
      </c>
      <c r="J26" s="212">
        <f t="shared" si="8"/>
        <v>27323.569999999949</v>
      </c>
      <c r="L26" s="24"/>
      <c r="M26" s="24"/>
    </row>
    <row r="27" spans="1:18" s="2" customFormat="1">
      <c r="A27" s="5">
        <f t="shared" si="2"/>
        <v>17</v>
      </c>
      <c r="C27" s="211">
        <v>369</v>
      </c>
      <c r="D27" s="2" t="s">
        <v>129</v>
      </c>
      <c r="E27" s="212">
        <v>11267457.84</v>
      </c>
      <c r="F27" s="212">
        <v>0</v>
      </c>
      <c r="G27" s="213">
        <v>3.2399999999999998E-2</v>
      </c>
      <c r="H27" s="212">
        <f t="shared" si="7"/>
        <v>365065.63</v>
      </c>
      <c r="I27" s="212">
        <v>355574.35</v>
      </c>
      <c r="J27" s="212">
        <f t="shared" si="8"/>
        <v>9491.2800000000279</v>
      </c>
      <c r="L27" s="24"/>
      <c r="M27" s="24"/>
    </row>
    <row r="28" spans="1:18" s="2" customFormat="1">
      <c r="A28" s="5">
        <f t="shared" si="2"/>
        <v>18</v>
      </c>
      <c r="C28" s="211">
        <v>370</v>
      </c>
      <c r="D28" s="2" t="s">
        <v>353</v>
      </c>
      <c r="E28" s="212">
        <v>105453.09</v>
      </c>
      <c r="F28" s="212">
        <v>0</v>
      </c>
      <c r="G28" s="213">
        <v>3.2399999999999998E-2</v>
      </c>
      <c r="H28" s="212">
        <f t="shared" si="7"/>
        <v>3416.68</v>
      </c>
      <c r="I28" s="212">
        <v>3416.64</v>
      </c>
      <c r="J28" s="212">
        <f t="shared" si="8"/>
        <v>3.999999999996362E-2</v>
      </c>
      <c r="L28" s="24"/>
      <c r="M28" s="24"/>
    </row>
    <row r="29" spans="1:18" s="2" customFormat="1">
      <c r="A29" s="5">
        <f t="shared" si="2"/>
        <v>19</v>
      </c>
      <c r="C29" s="211">
        <v>370.01</v>
      </c>
      <c r="D29" s="2" t="s">
        <v>354</v>
      </c>
      <c r="E29" s="212">
        <v>4862461.72</v>
      </c>
      <c r="F29" s="212">
        <v>0</v>
      </c>
      <c r="G29" s="213">
        <v>6.6699999999999995E-2</v>
      </c>
      <c r="H29" s="212">
        <f>ROUND(((+E29-F29)*G29),2)</f>
        <v>324326.2</v>
      </c>
      <c r="I29" s="212">
        <v>306671.39</v>
      </c>
      <c r="J29" s="212">
        <f t="shared" si="8"/>
        <v>17654.809999999998</v>
      </c>
      <c r="L29" s="24"/>
      <c r="M29" s="24"/>
    </row>
    <row r="30" spans="1:18" s="2" customFormat="1">
      <c r="A30" s="5">
        <f t="shared" si="2"/>
        <v>20</v>
      </c>
      <c r="C30" s="211">
        <v>370.02</v>
      </c>
      <c r="D30" s="2" t="s">
        <v>355</v>
      </c>
      <c r="E30" s="212">
        <v>680062.96</v>
      </c>
      <c r="F30" s="212">
        <v>0</v>
      </c>
      <c r="G30" s="213">
        <v>6.6699999999999995E-2</v>
      </c>
      <c r="H30" s="212">
        <f t="shared" ref="H30:H42" si="9">ROUND(((+E30-F30)*G30),2)</f>
        <v>45360.2</v>
      </c>
      <c r="I30" s="212">
        <v>42396.62</v>
      </c>
      <c r="J30" s="212">
        <f t="shared" si="8"/>
        <v>2963.5799999999945</v>
      </c>
      <c r="L30" s="24"/>
      <c r="M30" s="24"/>
    </row>
    <row r="31" spans="1:18" s="2" customFormat="1">
      <c r="A31" s="5">
        <f t="shared" si="2"/>
        <v>21</v>
      </c>
      <c r="C31" s="211">
        <v>370.03</v>
      </c>
      <c r="D31" s="2" t="s">
        <v>356</v>
      </c>
      <c r="E31" s="212">
        <v>274532.78999999998</v>
      </c>
      <c r="F31" s="212">
        <v>0</v>
      </c>
      <c r="G31" s="213">
        <v>6.6699999999999995E-2</v>
      </c>
      <c r="H31" s="212">
        <f t="shared" si="9"/>
        <v>18311.34</v>
      </c>
      <c r="I31" s="212">
        <v>17130.84</v>
      </c>
      <c r="J31" s="212">
        <f t="shared" si="8"/>
        <v>1180.5</v>
      </c>
      <c r="L31" s="24"/>
      <c r="M31" s="24"/>
    </row>
    <row r="32" spans="1:18" s="2" customFormat="1">
      <c r="A32" s="5">
        <f t="shared" si="2"/>
        <v>22</v>
      </c>
      <c r="C32" s="211">
        <v>370.04</v>
      </c>
      <c r="D32" s="2" t="s">
        <v>357</v>
      </c>
      <c r="E32" s="212">
        <v>38277.56</v>
      </c>
      <c r="F32" s="212">
        <v>38277.56</v>
      </c>
      <c r="G32" s="213"/>
      <c r="H32" s="212">
        <f t="shared" si="9"/>
        <v>0</v>
      </c>
      <c r="I32" s="212">
        <v>0</v>
      </c>
      <c r="J32" s="212">
        <f t="shared" si="8"/>
        <v>0</v>
      </c>
      <c r="L32" s="24"/>
      <c r="M32" s="24"/>
    </row>
    <row r="33" spans="1:14" s="2" customFormat="1">
      <c r="A33" s="5">
        <f t="shared" si="2"/>
        <v>23</v>
      </c>
      <c r="C33" s="211">
        <v>370.05</v>
      </c>
      <c r="D33" s="2" t="s">
        <v>358</v>
      </c>
      <c r="E33" s="212">
        <v>11378.86</v>
      </c>
      <c r="F33" s="212">
        <v>11378.86</v>
      </c>
      <c r="G33" s="213"/>
      <c r="H33" s="212">
        <f t="shared" si="9"/>
        <v>0</v>
      </c>
      <c r="I33" s="212">
        <v>0</v>
      </c>
      <c r="J33" s="212">
        <f t="shared" si="8"/>
        <v>0</v>
      </c>
      <c r="L33" s="24"/>
      <c r="M33" s="24"/>
    </row>
    <row r="34" spans="1:14" s="2" customFormat="1">
      <c r="A34" s="5">
        <f t="shared" si="2"/>
        <v>24</v>
      </c>
      <c r="C34" s="211">
        <v>370.06</v>
      </c>
      <c r="D34" s="2" t="s">
        <v>556</v>
      </c>
      <c r="E34" s="212">
        <v>378098.62</v>
      </c>
      <c r="F34" s="212"/>
      <c r="G34" s="228">
        <v>0.125</v>
      </c>
      <c r="H34" s="212">
        <f t="shared" si="9"/>
        <v>47262.33</v>
      </c>
      <c r="I34" s="212">
        <v>46575.29</v>
      </c>
      <c r="J34" s="212">
        <f t="shared" si="8"/>
        <v>687.04000000000087</v>
      </c>
      <c r="L34" s="24"/>
      <c r="M34" s="24"/>
    </row>
    <row r="35" spans="1:14" s="2" customFormat="1">
      <c r="A35" s="5">
        <f t="shared" si="2"/>
        <v>25</v>
      </c>
      <c r="C35" s="211">
        <v>371</v>
      </c>
      <c r="D35" s="2" t="s">
        <v>359</v>
      </c>
      <c r="E35" s="212">
        <v>761195.53</v>
      </c>
      <c r="F35" s="212">
        <v>0</v>
      </c>
      <c r="G35" s="213">
        <v>3.2399999999999998E-2</v>
      </c>
      <c r="H35" s="212">
        <f t="shared" si="9"/>
        <v>24662.74</v>
      </c>
      <c r="I35" s="212">
        <v>23636.87</v>
      </c>
      <c r="J35" s="212">
        <f t="shared" si="8"/>
        <v>1025.8700000000026</v>
      </c>
      <c r="L35" s="24"/>
      <c r="M35" s="24"/>
    </row>
    <row r="36" spans="1:14" s="2" customFormat="1">
      <c r="A36" s="5">
        <f t="shared" si="2"/>
        <v>26</v>
      </c>
      <c r="C36" s="211">
        <v>371.2</v>
      </c>
      <c r="D36" s="2" t="s">
        <v>360</v>
      </c>
      <c r="E36" s="212">
        <v>3134175.19</v>
      </c>
      <c r="F36" s="212">
        <v>0</v>
      </c>
      <c r="G36" s="213">
        <v>4.4999999999999998E-2</v>
      </c>
      <c r="H36" s="212">
        <f t="shared" si="9"/>
        <v>141037.88</v>
      </c>
      <c r="I36" s="212">
        <v>133905.96</v>
      </c>
      <c r="J36" s="212">
        <f t="shared" si="8"/>
        <v>7131.9200000000128</v>
      </c>
      <c r="L36" s="24"/>
      <c r="M36" s="24"/>
      <c r="N36" s="75"/>
    </row>
    <row r="37" spans="1:14" s="2" customFormat="1">
      <c r="A37" s="5">
        <f t="shared" si="2"/>
        <v>27</v>
      </c>
      <c r="C37" s="211">
        <v>373</v>
      </c>
      <c r="D37" s="2" t="s">
        <v>361</v>
      </c>
      <c r="E37" s="212">
        <v>2849.77</v>
      </c>
      <c r="F37" s="212">
        <v>2849.77</v>
      </c>
      <c r="G37" s="213">
        <v>3.2399999999999998E-2</v>
      </c>
      <c r="H37" s="212">
        <f t="shared" si="9"/>
        <v>0</v>
      </c>
      <c r="I37" s="212">
        <v>0</v>
      </c>
      <c r="J37" s="212">
        <f t="shared" si="8"/>
        <v>0</v>
      </c>
      <c r="L37" s="24"/>
      <c r="M37" s="24"/>
    </row>
    <row r="38" spans="1:14" s="2" customFormat="1">
      <c r="A38" s="5">
        <f t="shared" si="2"/>
        <v>28</v>
      </c>
      <c r="C38" s="211">
        <v>373.1</v>
      </c>
      <c r="D38" s="2" t="s">
        <v>362</v>
      </c>
      <c r="E38" s="212">
        <v>209992.97</v>
      </c>
      <c r="F38" s="212">
        <v>0</v>
      </c>
      <c r="G38" s="213">
        <v>3.2399999999999998E-2</v>
      </c>
      <c r="H38" s="212">
        <f t="shared" si="9"/>
        <v>6803.77</v>
      </c>
      <c r="I38" s="212">
        <v>6786.79</v>
      </c>
      <c r="J38" s="212">
        <f t="shared" si="8"/>
        <v>16.980000000000473</v>
      </c>
      <c r="L38" s="24"/>
      <c r="M38" s="24"/>
    </row>
    <row r="39" spans="1:14" s="2" customFormat="1">
      <c r="A39" s="5">
        <f t="shared" si="2"/>
        <v>29</v>
      </c>
      <c r="C39" s="211">
        <v>373.2</v>
      </c>
      <c r="D39" s="2" t="s">
        <v>363</v>
      </c>
      <c r="E39" s="212">
        <v>209400.26</v>
      </c>
      <c r="F39" s="212">
        <v>0</v>
      </c>
      <c r="G39" s="213">
        <v>3.2399999999999998E-2</v>
      </c>
      <c r="H39" s="212">
        <f t="shared" si="9"/>
        <v>6784.57</v>
      </c>
      <c r="I39" s="212">
        <v>6762.01</v>
      </c>
      <c r="J39" s="212">
        <f t="shared" si="8"/>
        <v>22.559999999999491</v>
      </c>
      <c r="L39" s="24"/>
      <c r="M39" s="24"/>
    </row>
    <row r="40" spans="1:14" s="2" customFormat="1">
      <c r="A40" s="5">
        <f t="shared" si="2"/>
        <v>30</v>
      </c>
      <c r="C40" s="211">
        <v>373.3</v>
      </c>
      <c r="D40" s="2" t="s">
        <v>364</v>
      </c>
      <c r="E40" s="212">
        <v>9784.7800000000007</v>
      </c>
      <c r="F40" s="212">
        <v>0</v>
      </c>
      <c r="G40" s="213">
        <v>3.2399999999999998E-2</v>
      </c>
      <c r="H40" s="212">
        <f t="shared" si="9"/>
        <v>317.02999999999997</v>
      </c>
      <c r="I40" s="212">
        <v>303.54000000000002</v>
      </c>
      <c r="J40" s="212">
        <f t="shared" si="8"/>
        <v>13.489999999999952</v>
      </c>
      <c r="L40" s="24"/>
      <c r="M40" s="24"/>
    </row>
    <row r="41" spans="1:14" s="2" customFormat="1">
      <c r="A41" s="5">
        <f t="shared" si="2"/>
        <v>31</v>
      </c>
      <c r="C41" s="211">
        <v>373.4</v>
      </c>
      <c r="D41" s="2" t="s">
        <v>365</v>
      </c>
      <c r="E41" s="212">
        <v>7161.18</v>
      </c>
      <c r="F41" s="212">
        <v>0</v>
      </c>
      <c r="G41" s="213">
        <v>3.2399999999999998E-2</v>
      </c>
      <c r="H41" s="212">
        <f t="shared" si="9"/>
        <v>232.02</v>
      </c>
      <c r="I41" s="212">
        <v>232.08</v>
      </c>
      <c r="J41" s="212">
        <f t="shared" si="8"/>
        <v>-6.0000000000002274E-2</v>
      </c>
      <c r="L41" s="24"/>
      <c r="M41" s="24"/>
    </row>
    <row r="42" spans="1:14" s="2" customFormat="1">
      <c r="A42" s="5">
        <f t="shared" si="2"/>
        <v>32</v>
      </c>
      <c r="C42" s="211">
        <v>373.5</v>
      </c>
      <c r="D42" s="2" t="s">
        <v>366</v>
      </c>
      <c r="E42" s="212">
        <v>24499.57</v>
      </c>
      <c r="F42" s="212">
        <v>0</v>
      </c>
      <c r="G42" s="213">
        <v>3.2399999999999998E-2</v>
      </c>
      <c r="H42" s="212">
        <f t="shared" si="9"/>
        <v>793.79</v>
      </c>
      <c r="I42" s="212">
        <v>786.48</v>
      </c>
      <c r="J42" s="212">
        <f t="shared" si="8"/>
        <v>7.3099999999999454</v>
      </c>
      <c r="L42" s="24"/>
      <c r="M42" s="24"/>
    </row>
    <row r="43" spans="1:14" s="2" customFormat="1">
      <c r="A43" s="5">
        <f t="shared" si="2"/>
        <v>33</v>
      </c>
      <c r="C43" s="211">
        <v>373.7</v>
      </c>
      <c r="D43" s="2" t="s">
        <v>367</v>
      </c>
      <c r="E43" s="212">
        <v>28079.43</v>
      </c>
      <c r="F43" s="212">
        <v>0</v>
      </c>
      <c r="G43" s="213">
        <v>3.2399999999999998E-2</v>
      </c>
      <c r="H43" s="212">
        <f t="shared" si="7"/>
        <v>909.77</v>
      </c>
      <c r="I43" s="212">
        <v>690.97</v>
      </c>
      <c r="J43" s="212">
        <f t="shared" si="8"/>
        <v>218.79999999999995</v>
      </c>
      <c r="L43" s="24"/>
      <c r="M43" s="24"/>
    </row>
    <row r="44" spans="1:14" s="2" customFormat="1">
      <c r="A44" s="5">
        <f t="shared" si="2"/>
        <v>34</v>
      </c>
      <c r="D44" s="214" t="s">
        <v>130</v>
      </c>
      <c r="E44" s="215">
        <f>SUM(E22:E43)</f>
        <v>113290992.96000002</v>
      </c>
      <c r="F44" s="215">
        <f t="shared" ref="F44:J44" si="10">SUM(F22:F43)</f>
        <v>93862.19</v>
      </c>
      <c r="G44" s="215"/>
      <c r="H44" s="215">
        <f t="shared" si="10"/>
        <v>3941614.66</v>
      </c>
      <c r="I44" s="215">
        <f>SUM(I22:I43)</f>
        <v>3814101.0800000005</v>
      </c>
      <c r="J44" s="215">
        <f t="shared" si="10"/>
        <v>127513.58000000006</v>
      </c>
      <c r="L44" s="24"/>
      <c r="M44" s="24"/>
    </row>
    <row r="45" spans="1:14" s="2" customFormat="1">
      <c r="A45" s="5">
        <f t="shared" si="2"/>
        <v>35</v>
      </c>
      <c r="L45" s="24"/>
      <c r="M45" s="24"/>
    </row>
    <row r="46" spans="1:14" s="2" customFormat="1">
      <c r="A46" s="5">
        <f t="shared" si="2"/>
        <v>36</v>
      </c>
      <c r="C46" s="210" t="s">
        <v>131</v>
      </c>
      <c r="I46" s="18"/>
      <c r="L46" s="24"/>
      <c r="M46" s="24"/>
    </row>
    <row r="47" spans="1:14" s="2" customFormat="1">
      <c r="A47" s="5">
        <f t="shared" si="2"/>
        <v>37</v>
      </c>
      <c r="C47" s="237">
        <v>389</v>
      </c>
      <c r="D47" s="2" t="s">
        <v>368</v>
      </c>
      <c r="E47" s="212">
        <v>740276.14</v>
      </c>
      <c r="F47" s="212"/>
      <c r="G47" s="217"/>
      <c r="H47" s="212"/>
      <c r="I47" s="212"/>
      <c r="J47" s="57"/>
      <c r="L47" s="24"/>
      <c r="M47" s="24"/>
    </row>
    <row r="48" spans="1:14" s="2" customFormat="1">
      <c r="A48" s="5">
        <f t="shared" si="2"/>
        <v>38</v>
      </c>
      <c r="C48" s="237">
        <v>390</v>
      </c>
      <c r="D48" s="2" t="s">
        <v>369</v>
      </c>
      <c r="E48" s="212">
        <v>2546215.11</v>
      </c>
      <c r="F48" s="212">
        <v>615159.81999999995</v>
      </c>
      <c r="G48" s="75">
        <v>2.5000000000000001E-2</v>
      </c>
      <c r="H48" s="212">
        <f>ROUND(((+E48-F48)*G48),2)</f>
        <v>48276.38</v>
      </c>
      <c r="I48" s="212">
        <v>49967.37</v>
      </c>
      <c r="J48" s="212">
        <f t="shared" ref="J48:J55" si="11">H48-I48</f>
        <v>-1690.9900000000052</v>
      </c>
      <c r="L48" s="24"/>
      <c r="M48" s="24"/>
    </row>
    <row r="49" spans="1:16" s="2" customFormat="1">
      <c r="A49" s="5">
        <f t="shared" si="2"/>
        <v>39</v>
      </c>
      <c r="C49" s="237">
        <v>391</v>
      </c>
      <c r="D49" s="2" t="s">
        <v>370</v>
      </c>
      <c r="E49" s="212">
        <v>1197542.77</v>
      </c>
      <c r="F49" s="212">
        <v>843325</v>
      </c>
      <c r="G49" s="75">
        <v>0.25</v>
      </c>
      <c r="H49" s="212">
        <f t="shared" ref="H49:H53" si="12">ROUND(((+E49-F49)*G49),2)</f>
        <v>88554.44</v>
      </c>
      <c r="I49" s="212">
        <v>117208.74</v>
      </c>
      <c r="J49" s="212">
        <f t="shared" si="11"/>
        <v>-28654.300000000003</v>
      </c>
      <c r="L49" s="24"/>
      <c r="M49" s="24"/>
      <c r="N49" s="18"/>
      <c r="P49" s="157"/>
    </row>
    <row r="50" spans="1:16" s="2" customFormat="1">
      <c r="A50" s="5">
        <f t="shared" si="2"/>
        <v>40</v>
      </c>
      <c r="C50" s="237">
        <v>394</v>
      </c>
      <c r="D50" s="2" t="s">
        <v>371</v>
      </c>
      <c r="E50" s="212">
        <v>31163.35</v>
      </c>
      <c r="F50" s="212">
        <v>17851</v>
      </c>
      <c r="G50" s="75">
        <v>0.1</v>
      </c>
      <c r="H50" s="212">
        <f t="shared" si="12"/>
        <v>1331.24</v>
      </c>
      <c r="I50" s="212">
        <v>1330.68</v>
      </c>
      <c r="J50" s="212">
        <f t="shared" si="11"/>
        <v>0.55999999999994543</v>
      </c>
      <c r="L50" s="24"/>
      <c r="M50" s="24"/>
    </row>
    <row r="51" spans="1:16" s="2" customFormat="1">
      <c r="A51" s="5">
        <f t="shared" si="2"/>
        <v>41</v>
      </c>
      <c r="C51" s="237">
        <v>395</v>
      </c>
      <c r="D51" s="2" t="s">
        <v>372</v>
      </c>
      <c r="E51" s="212">
        <v>91474.21</v>
      </c>
      <c r="F51" s="212">
        <v>27937</v>
      </c>
      <c r="G51" s="75">
        <v>0.12</v>
      </c>
      <c r="H51" s="212">
        <f t="shared" si="12"/>
        <v>7624.47</v>
      </c>
      <c r="I51" s="212">
        <v>7463.91</v>
      </c>
      <c r="J51" s="212">
        <f t="shared" si="11"/>
        <v>160.5600000000004</v>
      </c>
      <c r="L51" s="24"/>
      <c r="M51" s="24"/>
      <c r="P51" s="157"/>
    </row>
    <row r="52" spans="1:16" s="2" customFormat="1">
      <c r="A52" s="5">
        <f t="shared" si="2"/>
        <v>42</v>
      </c>
      <c r="C52" s="237">
        <v>396</v>
      </c>
      <c r="D52" s="2" t="s">
        <v>373</v>
      </c>
      <c r="E52" s="212">
        <v>277233.43</v>
      </c>
      <c r="F52" s="212">
        <v>97000</v>
      </c>
      <c r="G52" s="75">
        <v>0.12</v>
      </c>
      <c r="H52" s="212">
        <f t="shared" si="12"/>
        <v>21628.01</v>
      </c>
      <c r="I52" s="212">
        <v>15922.89</v>
      </c>
      <c r="J52" s="212">
        <f t="shared" si="11"/>
        <v>5705.119999999999</v>
      </c>
      <c r="L52" s="24"/>
      <c r="M52" s="24"/>
    </row>
    <row r="53" spans="1:16" s="2" customFormat="1">
      <c r="A53" s="5">
        <f t="shared" si="2"/>
        <v>43</v>
      </c>
      <c r="C53" s="216">
        <v>397</v>
      </c>
      <c r="D53" s="2" t="s">
        <v>374</v>
      </c>
      <c r="E53" s="212">
        <v>279503.19</v>
      </c>
      <c r="F53" s="212">
        <v>188859.25</v>
      </c>
      <c r="G53" s="75">
        <v>0.11</v>
      </c>
      <c r="H53" s="212">
        <f t="shared" si="12"/>
        <v>9970.83</v>
      </c>
      <c r="I53" s="212">
        <v>9162.07</v>
      </c>
      <c r="J53" s="212">
        <f t="shared" si="11"/>
        <v>808.76000000000022</v>
      </c>
      <c r="L53" s="24"/>
      <c r="M53" s="24"/>
    </row>
    <row r="54" spans="1:16" s="2" customFormat="1">
      <c r="A54" s="5">
        <f t="shared" si="2"/>
        <v>44</v>
      </c>
      <c r="C54" s="216">
        <v>398</v>
      </c>
      <c r="D54" s="2" t="s">
        <v>132</v>
      </c>
      <c r="E54" s="212">
        <v>264982.12</v>
      </c>
      <c r="F54" s="212">
        <v>57024</v>
      </c>
      <c r="G54" s="75">
        <v>7.0000000000000007E-2</v>
      </c>
      <c r="H54" s="212">
        <f>ROUND(((+E54-F54)*G54),2)</f>
        <v>14557.07</v>
      </c>
      <c r="I54" s="212">
        <v>16879.349999999999</v>
      </c>
      <c r="J54" s="212">
        <f t="shared" si="11"/>
        <v>-2322.2799999999988</v>
      </c>
      <c r="L54" s="24"/>
      <c r="M54" s="24"/>
    </row>
    <row r="55" spans="1:16" s="2" customFormat="1">
      <c r="A55" s="5">
        <f t="shared" si="2"/>
        <v>45</v>
      </c>
      <c r="C55" s="216">
        <v>399</v>
      </c>
      <c r="D55" s="2" t="s">
        <v>375</v>
      </c>
      <c r="E55" s="212">
        <v>1084.8499999999999</v>
      </c>
      <c r="F55" s="212">
        <v>1084.8499999999999</v>
      </c>
      <c r="G55" s="75"/>
      <c r="H55" s="212">
        <f t="shared" ref="H55" si="13">ROUND(((+E55-F55)*G55),2)</f>
        <v>0</v>
      </c>
      <c r="I55" s="212">
        <v>0</v>
      </c>
      <c r="J55" s="212">
        <f t="shared" si="11"/>
        <v>0</v>
      </c>
      <c r="L55" s="24"/>
      <c r="M55" s="24"/>
    </row>
    <row r="56" spans="1:16" s="2" customFormat="1">
      <c r="A56" s="5">
        <f t="shared" si="2"/>
        <v>46</v>
      </c>
      <c r="D56" s="214" t="s">
        <v>130</v>
      </c>
      <c r="E56" s="215">
        <f>SUM(E47:E55)</f>
        <v>5429475.169999999</v>
      </c>
      <c r="F56" s="215">
        <f>SUM(F47:F55)</f>
        <v>1848240.92</v>
      </c>
      <c r="G56" s="215"/>
      <c r="H56" s="215">
        <f>SUM(H47:H55)</f>
        <v>191942.44</v>
      </c>
      <c r="I56" s="215">
        <f>SUM(I47:I55)</f>
        <v>217935.01000000004</v>
      </c>
      <c r="J56" s="215">
        <f>SUM(J47:J55)</f>
        <v>-25992.570000000007</v>
      </c>
      <c r="L56" s="24"/>
      <c r="M56" s="24"/>
    </row>
    <row r="57" spans="1:16" s="2" customFormat="1">
      <c r="A57" s="5">
        <f t="shared" si="2"/>
        <v>47</v>
      </c>
      <c r="C57" s="14" t="s">
        <v>66</v>
      </c>
      <c r="D57" s="218" t="s">
        <v>376</v>
      </c>
      <c r="E57" s="219">
        <f t="shared" ref="E57:I57" si="14">E44+E56+E19+E13</f>
        <v>120226164.09000002</v>
      </c>
      <c r="F57" s="219">
        <f t="shared" si="14"/>
        <v>1942103.1099999999</v>
      </c>
      <c r="G57" s="219">
        <f t="shared" si="14"/>
        <v>0</v>
      </c>
      <c r="H57" s="219">
        <f t="shared" si="14"/>
        <v>4182224.21</v>
      </c>
      <c r="I57" s="219">
        <f t="shared" si="14"/>
        <v>4080703.1700000009</v>
      </c>
      <c r="J57" s="219">
        <f>J44+J56+J19+J13</f>
        <v>101521.04000000005</v>
      </c>
      <c r="L57" s="24"/>
      <c r="M57" s="24"/>
    </row>
    <row r="58" spans="1:16" s="2" customFormat="1">
      <c r="A58" s="5">
        <f t="shared" si="2"/>
        <v>48</v>
      </c>
      <c r="D58" s="22"/>
      <c r="E58" s="212"/>
      <c r="F58" s="212"/>
      <c r="G58" s="212"/>
      <c r="H58" s="212"/>
      <c r="I58" s="212"/>
      <c r="J58" s="212"/>
      <c r="L58" s="24"/>
      <c r="M58" s="24"/>
    </row>
    <row r="59" spans="1:16" s="2" customFormat="1">
      <c r="A59" s="5">
        <f t="shared" si="2"/>
        <v>49</v>
      </c>
      <c r="C59" s="210" t="s">
        <v>377</v>
      </c>
      <c r="E59" s="212"/>
      <c r="F59" s="212"/>
      <c r="G59" s="212"/>
      <c r="H59" s="212"/>
      <c r="I59" s="212"/>
      <c r="J59" s="212"/>
      <c r="L59" s="24"/>
      <c r="M59" s="24"/>
    </row>
    <row r="60" spans="1:16" s="2" customFormat="1">
      <c r="A60" s="5">
        <f>A59+1</f>
        <v>50</v>
      </c>
      <c r="C60" s="216">
        <v>392</v>
      </c>
      <c r="D60" s="2" t="s">
        <v>378</v>
      </c>
      <c r="E60" s="212">
        <v>5341071.6100000003</v>
      </c>
      <c r="F60" s="212">
        <v>1292986</v>
      </c>
      <c r="G60" s="75">
        <v>0.11</v>
      </c>
      <c r="H60" s="212">
        <f>ROUND(((+E60-F60)*G60),2)</f>
        <v>445289.42</v>
      </c>
      <c r="I60" s="212">
        <v>389552.13</v>
      </c>
      <c r="J60" s="136">
        <f>H60-I60</f>
        <v>55737.289999999979</v>
      </c>
      <c r="L60" s="24"/>
      <c r="M60" s="24"/>
    </row>
    <row r="61" spans="1:16" s="2" customFormat="1">
      <c r="A61" s="5">
        <f t="shared" si="2"/>
        <v>51</v>
      </c>
      <c r="C61" s="220" t="s">
        <v>68</v>
      </c>
      <c r="D61" s="14" t="s">
        <v>379</v>
      </c>
      <c r="E61" s="219"/>
      <c r="F61" s="219"/>
      <c r="G61" s="221"/>
      <c r="H61" s="219"/>
      <c r="I61" s="219"/>
      <c r="J61" s="288">
        <f>J60*F73</f>
        <v>31581.426635708616</v>
      </c>
      <c r="L61" s="24"/>
      <c r="M61" s="24"/>
    </row>
    <row r="62" spans="1:16" s="2" customFormat="1">
      <c r="A62" s="5">
        <f t="shared" si="2"/>
        <v>52</v>
      </c>
      <c r="L62" s="24"/>
      <c r="M62" s="24"/>
    </row>
    <row r="63" spans="1:16" s="2" customFormat="1" ht="13.5" thickBot="1">
      <c r="A63" s="5">
        <f t="shared" si="2"/>
        <v>53</v>
      </c>
      <c r="C63" s="16" t="s">
        <v>380</v>
      </c>
      <c r="D63" s="16" t="s">
        <v>109</v>
      </c>
      <c r="E63" s="222">
        <f>E57+E60</f>
        <v>125567235.70000002</v>
      </c>
      <c r="F63" s="222">
        <f>F57+F60</f>
        <v>3235089.11</v>
      </c>
      <c r="G63" s="16"/>
      <c r="H63" s="222">
        <f>H57+H60</f>
        <v>4627513.63</v>
      </c>
      <c r="I63" s="222">
        <f>I57+I60</f>
        <v>4470255.3000000007</v>
      </c>
      <c r="J63" s="223">
        <f>J61+J57</f>
        <v>133102.46663570867</v>
      </c>
      <c r="L63" s="24"/>
      <c r="M63" s="24"/>
    </row>
    <row r="64" spans="1:16" s="2" customFormat="1" ht="13.5" thickTop="1">
      <c r="A64" s="5">
        <f t="shared" si="2"/>
        <v>54</v>
      </c>
      <c r="L64" s="158"/>
      <c r="M64" s="24"/>
    </row>
    <row r="65" spans="1:25" s="2" customFormat="1" ht="29.25" customHeight="1">
      <c r="A65" s="5">
        <f t="shared" si="2"/>
        <v>55</v>
      </c>
      <c r="B65" s="159"/>
      <c r="C65" s="297" t="s">
        <v>381</v>
      </c>
      <c r="D65" s="297"/>
      <c r="E65" s="297"/>
      <c r="F65" s="297"/>
      <c r="G65" s="297"/>
      <c r="H65" s="297"/>
      <c r="I65" s="297"/>
      <c r="J65" s="297"/>
      <c r="K65" s="159"/>
      <c r="L65" s="24"/>
      <c r="M65" s="158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</row>
    <row r="66" spans="1:25" s="2" customFormat="1" ht="12.75" customHeight="1">
      <c r="A66" s="5">
        <f t="shared" si="2"/>
        <v>56</v>
      </c>
      <c r="L66" s="24"/>
      <c r="M66" s="24"/>
    </row>
    <row r="67" spans="1:25" s="2" customFormat="1">
      <c r="A67" s="5">
        <f t="shared" si="2"/>
        <v>57</v>
      </c>
      <c r="C67" s="210" t="s">
        <v>536</v>
      </c>
      <c r="D67" s="5"/>
      <c r="E67" s="229" t="s">
        <v>382</v>
      </c>
      <c r="F67" s="229" t="s">
        <v>383</v>
      </c>
      <c r="G67" s="229" t="s">
        <v>8</v>
      </c>
      <c r="L67" s="24"/>
      <c r="M67" s="24"/>
    </row>
    <row r="68" spans="1:25" s="2" customFormat="1">
      <c r="A68" s="5">
        <f t="shared" si="2"/>
        <v>58</v>
      </c>
      <c r="C68" s="5" t="s">
        <v>384</v>
      </c>
      <c r="D68" s="2" t="s">
        <v>385</v>
      </c>
      <c r="E68" s="230">
        <v>624896</v>
      </c>
      <c r="F68" s="224">
        <f>E68/$E$79</f>
        <v>0.12259540588971797</v>
      </c>
      <c r="G68" s="32">
        <f>($J$63*F68)</f>
        <v>16317.750922127349</v>
      </c>
      <c r="L68" s="24"/>
      <c r="M68" s="24"/>
    </row>
    <row r="69" spans="1:25" s="2" customFormat="1">
      <c r="A69" s="5">
        <f t="shared" si="2"/>
        <v>59</v>
      </c>
      <c r="C69" s="5" t="s">
        <v>386</v>
      </c>
      <c r="D69" s="2" t="s">
        <v>387</v>
      </c>
      <c r="E69" s="230">
        <v>1030686</v>
      </c>
      <c r="F69" s="224">
        <f t="shared" ref="F69:F72" si="15">E69/$E$79</f>
        <v>0.20220543660841139</v>
      </c>
      <c r="G69" s="32">
        <f t="shared" ref="G69:G72" si="16">($J$63*F69)</f>
        <v>26914.042379729981</v>
      </c>
      <c r="L69" s="24"/>
      <c r="M69" s="24"/>
    </row>
    <row r="70" spans="1:25" s="2" customFormat="1">
      <c r="A70" s="5">
        <f t="shared" si="2"/>
        <v>60</v>
      </c>
      <c r="C70" s="5" t="s">
        <v>388</v>
      </c>
      <c r="D70" s="2" t="s">
        <v>233</v>
      </c>
      <c r="E70" s="230">
        <v>511742</v>
      </c>
      <c r="F70" s="224">
        <f t="shared" si="15"/>
        <v>0.10039625505814737</v>
      </c>
      <c r="G70" s="32">
        <f t="shared" si="16"/>
        <v>13362.989189227157</v>
      </c>
      <c r="L70" s="24"/>
      <c r="M70" s="24"/>
    </row>
    <row r="71" spans="1:25" s="2" customFormat="1">
      <c r="A71" s="5">
        <f t="shared" si="2"/>
        <v>61</v>
      </c>
      <c r="C71" s="5" t="s">
        <v>505</v>
      </c>
      <c r="D71" s="2" t="s">
        <v>22</v>
      </c>
      <c r="E71" s="230">
        <v>103754</v>
      </c>
      <c r="F71" s="224">
        <f t="shared" si="15"/>
        <v>2.0355009061798761E-2</v>
      </c>
      <c r="G71" s="32">
        <f t="shared" si="16"/>
        <v>2709.3019145176172</v>
      </c>
      <c r="L71" s="24"/>
      <c r="M71" s="24"/>
    </row>
    <row r="72" spans="1:25" s="2" customFormat="1">
      <c r="A72" s="5">
        <f t="shared" si="2"/>
        <v>62</v>
      </c>
      <c r="C72" s="5" t="s">
        <v>389</v>
      </c>
      <c r="D72" s="2" t="s">
        <v>390</v>
      </c>
      <c r="E72" s="230">
        <v>617070</v>
      </c>
      <c r="F72" s="224">
        <f t="shared" si="15"/>
        <v>0.12106005977373557</v>
      </c>
      <c r="G72" s="32">
        <f t="shared" si="16"/>
        <v>16113.392566950537</v>
      </c>
      <c r="L72" s="24"/>
      <c r="M72" s="24"/>
    </row>
    <row r="73" spans="1:25" s="2" customFormat="1">
      <c r="A73" s="5">
        <f t="shared" si="2"/>
        <v>63</v>
      </c>
      <c r="C73" s="165" t="s">
        <v>506</v>
      </c>
      <c r="D73" s="214"/>
      <c r="E73" s="231">
        <f>SUM(E68:E72)</f>
        <v>2888148</v>
      </c>
      <c r="F73" s="232">
        <f>SUM(F68:F72)</f>
        <v>0.56661216639181111</v>
      </c>
      <c r="G73" s="313">
        <f>SUM(G68:G72)</f>
        <v>75417.476972552642</v>
      </c>
      <c r="L73" s="24"/>
      <c r="M73" s="24"/>
    </row>
    <row r="74" spans="1:25" s="2" customFormat="1">
      <c r="A74" s="5">
        <f t="shared" si="2"/>
        <v>64</v>
      </c>
      <c r="C74" s="5"/>
      <c r="E74" s="233"/>
      <c r="F74" s="224"/>
      <c r="G74" s="32"/>
      <c r="L74" s="24"/>
      <c r="M74" s="24"/>
    </row>
    <row r="75" spans="1:25" s="2" customFormat="1">
      <c r="A75" s="5">
        <f t="shared" si="2"/>
        <v>65</v>
      </c>
      <c r="C75" s="5" t="s">
        <v>507</v>
      </c>
      <c r="D75" s="2" t="s">
        <v>537</v>
      </c>
      <c r="E75" s="230">
        <v>1579790</v>
      </c>
      <c r="F75" s="224">
        <f>E75/$E$79</f>
        <v>0.30993156664551791</v>
      </c>
      <c r="G75" s="32">
        <f>($J$63*F75)</f>
        <v>41252.656008787962</v>
      </c>
      <c r="L75" s="24"/>
      <c r="M75" s="24"/>
    </row>
    <row r="76" spans="1:25" s="2" customFormat="1">
      <c r="A76" s="5">
        <f t="shared" si="2"/>
        <v>66</v>
      </c>
      <c r="C76" s="5" t="s">
        <v>508</v>
      </c>
      <c r="D76" s="2" t="s">
        <v>538</v>
      </c>
      <c r="E76" s="230">
        <v>629284</v>
      </c>
      <c r="F76" s="224">
        <f>E76/$E$79</f>
        <v>0.12345626696267104</v>
      </c>
      <c r="G76" s="32">
        <f>($J$63*F76)</f>
        <v>16432.333654368063</v>
      </c>
      <c r="L76" s="24"/>
      <c r="M76" s="24"/>
    </row>
    <row r="77" spans="1:25" s="2" customFormat="1">
      <c r="A77" s="5">
        <f t="shared" ref="A77:A79" si="17">A76+1</f>
        <v>67</v>
      </c>
      <c r="C77" s="55"/>
      <c r="D77" s="11"/>
      <c r="E77" s="231">
        <f>SUM(E75:E76)</f>
        <v>2209074</v>
      </c>
      <c r="F77" s="232">
        <f>SUM(F75:F76)</f>
        <v>0.43338783360818894</v>
      </c>
      <c r="G77" s="56">
        <f>SUM(G75:G76)</f>
        <v>57684.989663156026</v>
      </c>
      <c r="L77" s="24"/>
      <c r="M77" s="24"/>
    </row>
    <row r="78" spans="1:25" s="2" customFormat="1">
      <c r="A78" s="5">
        <f t="shared" si="17"/>
        <v>68</v>
      </c>
      <c r="C78" s="5"/>
      <c r="E78" s="233"/>
      <c r="F78" s="224"/>
      <c r="G78" s="32"/>
      <c r="L78" s="24"/>
      <c r="M78" s="24"/>
    </row>
    <row r="79" spans="1:25" s="2" customFormat="1" ht="13.5" thickBot="1">
      <c r="A79" s="5">
        <f t="shared" si="17"/>
        <v>69</v>
      </c>
      <c r="C79" s="225"/>
      <c r="D79" s="16" t="s">
        <v>62</v>
      </c>
      <c r="E79" s="234">
        <f>E73+E77</f>
        <v>5097222</v>
      </c>
      <c r="F79" s="226">
        <f>F73+F77</f>
        <v>1</v>
      </c>
      <c r="G79" s="235">
        <f>G73+G77</f>
        <v>133102.46663570867</v>
      </c>
      <c r="L79" s="24"/>
      <c r="M79" s="24"/>
    </row>
    <row r="80" spans="1:25" ht="13.5" thickTop="1">
      <c r="A80" s="39"/>
      <c r="D80" s="76"/>
      <c r="E80" s="227"/>
      <c r="F80" s="227"/>
      <c r="G80" s="227"/>
      <c r="H80" s="227"/>
      <c r="I80" s="227"/>
      <c r="J80" s="227"/>
    </row>
    <row r="82" spans="1:10" ht="29.45" customHeight="1">
      <c r="C82" s="297" t="s">
        <v>133</v>
      </c>
      <c r="D82" s="297"/>
      <c r="E82" s="297"/>
      <c r="F82" s="297"/>
      <c r="G82" s="297"/>
      <c r="H82" s="297"/>
      <c r="I82" s="297"/>
      <c r="J82" s="297"/>
    </row>
    <row r="83" spans="1:10" ht="15">
      <c r="A83"/>
      <c r="B83"/>
      <c r="C83"/>
      <c r="D83"/>
      <c r="E83"/>
      <c r="F83"/>
      <c r="G83"/>
      <c r="H83"/>
      <c r="I83"/>
      <c r="J83"/>
    </row>
    <row r="84" spans="1:10" ht="15">
      <c r="A84"/>
      <c r="B84"/>
      <c r="C84"/>
      <c r="D84"/>
      <c r="E84"/>
      <c r="F84"/>
      <c r="G84"/>
      <c r="H84"/>
      <c r="I84"/>
      <c r="J84"/>
    </row>
  </sheetData>
  <mergeCells count="5">
    <mergeCell ref="C82:J82"/>
    <mergeCell ref="A3:J3"/>
    <mergeCell ref="A4:J4"/>
    <mergeCell ref="A6:J6"/>
    <mergeCell ref="C65:J65"/>
  </mergeCells>
  <pageMargins left="0.7" right="0.7" top="0.75" bottom="0.75" header="0.3" footer="0.3"/>
  <pageSetup scale="74" orientation="portrait" r:id="rId1"/>
  <headerFooter>
    <oddFooter>&amp;RExhibit  JW-2
Page &amp;P of &amp;N</oddFooter>
  </headerFooter>
  <rowBreaks count="1" manualBreakCount="1">
    <brk id="63" max="9" man="1"/>
  </rowBreaks>
  <ignoredErrors>
    <ignoredError sqref="C9:J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view="pageBreakPreview" zoomScaleNormal="100" zoomScaleSheetLayoutView="100" workbookViewId="0">
      <selection activeCell="C44" sqref="C44"/>
    </sheetView>
  </sheetViews>
  <sheetFormatPr defaultColWidth="8.85546875" defaultRowHeight="12.75"/>
  <cols>
    <col min="1" max="1" width="8.85546875" style="37"/>
    <col min="2" max="2" width="52.7109375" style="37" customWidth="1"/>
    <col min="3" max="3" width="23.5703125" style="37" customWidth="1"/>
    <col min="4" max="12" width="18.140625" style="37" customWidth="1"/>
    <col min="13" max="13" width="10.5703125" style="37" bestFit="1" customWidth="1"/>
    <col min="14" max="16384" width="8.85546875" style="37"/>
  </cols>
  <sheetData>
    <row r="1" spans="1:12">
      <c r="C1" s="26" t="s">
        <v>139</v>
      </c>
    </row>
    <row r="2" spans="1:12">
      <c r="K2" s="26"/>
    </row>
    <row r="3" spans="1:12">
      <c r="K3" s="26"/>
    </row>
    <row r="4" spans="1:12">
      <c r="A4" s="299" t="str">
        <f>RevReq!A1</f>
        <v>FARMERS RECC</v>
      </c>
      <c r="B4" s="299"/>
      <c r="C4" s="299"/>
      <c r="D4" s="34"/>
      <c r="E4" s="34"/>
      <c r="F4" s="34"/>
      <c r="G4" s="34"/>
      <c r="H4" s="34"/>
      <c r="I4" s="34"/>
      <c r="J4" s="34"/>
      <c r="K4" s="34"/>
    </row>
    <row r="5" spans="1:12">
      <c r="A5" s="299" t="str">
        <f>RevReq!A3</f>
        <v>For the 12 Months Ended December 31, 2024</v>
      </c>
      <c r="B5" s="299"/>
      <c r="C5" s="299"/>
      <c r="D5" s="34"/>
      <c r="E5" s="34"/>
      <c r="F5" s="34"/>
      <c r="G5" s="34"/>
      <c r="H5" s="34"/>
      <c r="I5" s="34"/>
      <c r="J5" s="34"/>
      <c r="K5" s="34"/>
      <c r="L5" s="34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>
      <c r="A7" s="296" t="s">
        <v>135</v>
      </c>
      <c r="B7" s="296"/>
      <c r="C7" s="296"/>
      <c r="D7" s="36"/>
      <c r="E7" s="36"/>
      <c r="F7" s="36"/>
      <c r="G7" s="36"/>
      <c r="H7" s="36"/>
      <c r="I7" s="36"/>
      <c r="J7" s="36"/>
      <c r="K7" s="36"/>
    </row>
    <row r="8" spans="1:12">
      <c r="A8" s="38"/>
      <c r="B8" s="38"/>
      <c r="C8" s="38"/>
      <c r="D8" s="36"/>
      <c r="E8" s="36"/>
      <c r="F8" s="36"/>
      <c r="G8" s="36"/>
      <c r="H8" s="36"/>
      <c r="I8" s="36"/>
      <c r="J8" s="36"/>
      <c r="K8" s="36"/>
    </row>
    <row r="9" spans="1:12">
      <c r="B9" s="39" t="s">
        <v>136</v>
      </c>
      <c r="C9" s="74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77" t="s">
        <v>10</v>
      </c>
      <c r="B10" s="70" t="s">
        <v>92</v>
      </c>
      <c r="C10" s="51" t="s">
        <v>137</v>
      </c>
      <c r="D10" s="64"/>
      <c r="E10" s="64"/>
      <c r="F10" s="64"/>
      <c r="G10" s="64"/>
      <c r="H10" s="64"/>
      <c r="I10" s="64"/>
      <c r="J10" s="64"/>
      <c r="K10" s="64"/>
      <c r="L10" s="64"/>
    </row>
    <row r="11" spans="1:12">
      <c r="A11" s="43"/>
      <c r="B11" s="49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>
      <c r="A12" s="43">
        <v>1</v>
      </c>
      <c r="B12" s="43" t="s">
        <v>138</v>
      </c>
      <c r="C12" s="236">
        <v>2095748</v>
      </c>
      <c r="D12" s="65"/>
      <c r="E12" s="64"/>
      <c r="F12" s="64"/>
      <c r="G12" s="64"/>
      <c r="H12" s="64"/>
      <c r="I12" s="64"/>
      <c r="J12" s="64"/>
      <c r="K12" s="64"/>
      <c r="L12" s="64"/>
    </row>
    <row r="13" spans="1:12">
      <c r="A13" s="43">
        <f>A12+1</f>
        <v>2</v>
      </c>
      <c r="B13" s="43" t="s">
        <v>391</v>
      </c>
      <c r="C13" s="69">
        <v>2489568</v>
      </c>
      <c r="D13" s="65"/>
      <c r="E13" s="64"/>
      <c r="F13" s="64"/>
      <c r="G13" s="64"/>
      <c r="H13" s="64"/>
      <c r="I13" s="64"/>
      <c r="J13" s="64"/>
      <c r="K13" s="64"/>
      <c r="L13" s="64"/>
    </row>
    <row r="14" spans="1:12">
      <c r="A14" s="43">
        <f>A13+1</f>
        <v>3</v>
      </c>
      <c r="B14" s="144" t="s">
        <v>8</v>
      </c>
      <c r="C14" s="154">
        <f>+C13-C12</f>
        <v>393820</v>
      </c>
      <c r="D14" s="65"/>
      <c r="E14" s="64"/>
      <c r="F14" s="64"/>
      <c r="G14" s="64"/>
      <c r="H14" s="64"/>
      <c r="I14" s="64"/>
      <c r="J14" s="64"/>
      <c r="K14" s="64"/>
      <c r="L14" s="64"/>
    </row>
    <row r="15" spans="1:12">
      <c r="B15" s="49"/>
      <c r="D15" s="65"/>
      <c r="E15" s="64"/>
      <c r="F15" s="64"/>
      <c r="G15" s="64"/>
      <c r="H15" s="64"/>
      <c r="I15" s="64"/>
      <c r="J15" s="64"/>
      <c r="K15" s="64"/>
      <c r="L15" s="64"/>
    </row>
    <row r="16" spans="1:12">
      <c r="A16" s="37" t="s">
        <v>392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8">
      <c r="B17" s="78"/>
      <c r="C17" s="68"/>
      <c r="D17" s="68"/>
      <c r="E17" s="68"/>
      <c r="F17" s="68"/>
      <c r="G17" s="68"/>
      <c r="H17" s="68"/>
    </row>
    <row r="18" spans="2:8">
      <c r="C18" s="68"/>
      <c r="D18" s="68"/>
      <c r="E18" s="68"/>
      <c r="F18" s="68"/>
      <c r="G18" s="68"/>
      <c r="H18" s="68"/>
    </row>
    <row r="19" spans="2:8">
      <c r="B19" s="48"/>
      <c r="C19" s="69"/>
      <c r="D19" s="69"/>
      <c r="E19" s="69"/>
      <c r="F19" s="69"/>
      <c r="G19" s="69"/>
      <c r="H19" s="69"/>
    </row>
    <row r="20" spans="2:8">
      <c r="C20" s="69"/>
      <c r="D20" s="69"/>
      <c r="E20" s="69"/>
      <c r="F20" s="69"/>
      <c r="G20" s="69"/>
      <c r="H20" s="69"/>
    </row>
    <row r="21" spans="2:8">
      <c r="C21" s="69"/>
      <c r="D21" s="69"/>
      <c r="E21" s="69"/>
      <c r="F21" s="69"/>
      <c r="G21" s="69"/>
      <c r="H21" s="69"/>
    </row>
    <row r="22" spans="2:8">
      <c r="C22" s="69"/>
      <c r="D22" s="69"/>
      <c r="E22" s="69"/>
      <c r="F22" s="69"/>
      <c r="G22" s="69"/>
      <c r="H22" s="44"/>
    </row>
    <row r="23" spans="2:8">
      <c r="C23" s="69"/>
      <c r="D23" s="69"/>
      <c r="E23" s="69"/>
      <c r="F23" s="69"/>
      <c r="G23" s="69"/>
      <c r="H23" s="69"/>
    </row>
    <row r="24" spans="2:8">
      <c r="C24" s="69"/>
      <c r="D24" s="69"/>
      <c r="E24" s="69"/>
      <c r="F24" s="69"/>
      <c r="G24" s="69"/>
      <c r="H24" s="69"/>
    </row>
    <row r="25" spans="2:8">
      <c r="C25" s="69"/>
      <c r="D25" s="69"/>
      <c r="E25" s="69"/>
      <c r="F25" s="69"/>
      <c r="G25" s="69"/>
      <c r="H25" s="69"/>
    </row>
    <row r="26" spans="2:8">
      <c r="C26" s="69"/>
      <c r="D26" s="69"/>
      <c r="E26" s="69"/>
      <c r="F26" s="69"/>
      <c r="G26" s="69"/>
      <c r="H26" s="69"/>
    </row>
  </sheetData>
  <mergeCells count="3">
    <mergeCell ref="A4:C4"/>
    <mergeCell ref="A5:C5"/>
    <mergeCell ref="A7:C7"/>
  </mergeCells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RevReq</vt:lpstr>
      <vt:lpstr>Adj List</vt:lpstr>
      <vt:lpstr>Adj BS</vt:lpstr>
      <vt:lpstr>Adj IS</vt:lpstr>
      <vt:lpstr>1.01 FAC</vt:lpstr>
      <vt:lpstr>1.02 ES</vt:lpstr>
      <vt:lpstr>1.03 Int Exp</vt:lpstr>
      <vt:lpstr>1.04 Depr</vt:lpstr>
      <vt:lpstr>1.05 ROW</vt:lpstr>
      <vt:lpstr>1.06 YearEndCust</vt:lpstr>
      <vt:lpstr>1.07 Health Insur</vt:lpstr>
      <vt:lpstr>1.08 DonAdsDues</vt:lpstr>
      <vt:lpstr>1.09 Directors</vt:lpstr>
      <vt:lpstr>1.10 Wages &amp; Salaries</vt:lpstr>
      <vt:lpstr>1.11 401K</vt:lpstr>
      <vt:lpstr>1.12 Life Insur</vt:lpstr>
      <vt:lpstr>1.13 RateCase</vt:lpstr>
      <vt:lpstr>1.14 Outside</vt:lpstr>
      <vt:lpstr>1.15 GTCC</vt:lpstr>
      <vt:lpstr>1.16 Payroll Tx</vt:lpstr>
      <vt:lpstr>1.17 NonRecur</vt:lpstr>
      <vt:lpstr>'1.01 FAC'!Print_Area</vt:lpstr>
      <vt:lpstr>'1.02 ES'!Print_Area</vt:lpstr>
      <vt:lpstr>'1.03 Int Exp'!Print_Area</vt:lpstr>
      <vt:lpstr>'1.04 Depr'!Print_Area</vt:lpstr>
      <vt:lpstr>'1.08 DonAdsDues'!Print_Area</vt:lpstr>
      <vt:lpstr>'1.09 Directors'!Print_Area</vt:lpstr>
      <vt:lpstr>'1.14 Outside'!Print_Area</vt:lpstr>
      <vt:lpstr>'1.15 GTCC'!Print_Area</vt:lpstr>
      <vt:lpstr>'1.16 Payroll Tx'!Print_Area</vt:lpstr>
      <vt:lpstr>'1.17 NonRecur'!Print_Area</vt:lpstr>
      <vt:lpstr>'Adj BS'!Print_Area</vt:lpstr>
      <vt:lpstr>'Adj IS'!Print_Area</vt:lpstr>
      <vt:lpstr>'Adj List'!Print_Area</vt:lpstr>
      <vt:lpstr>RevReq!Print_Area</vt:lpstr>
      <vt:lpstr>'1.03 Int Exp'!Print_Titles</vt:lpstr>
      <vt:lpstr>'1.04 Depr'!Print_Titles</vt:lpstr>
      <vt:lpstr>'1.06 YearEndCust'!Print_Titles</vt:lpstr>
      <vt:lpstr>'1.10 Wages &amp; Salaries'!Print_Titles</vt:lpstr>
      <vt:lpstr>'1.11 401K'!Print_Titles</vt:lpstr>
      <vt:lpstr>'1.12 Life Insur'!Print_Titles</vt:lpstr>
      <vt:lpstr>'1.16 Payroll 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2025-04-29T14:19:37Z</cp:lastPrinted>
  <dcterms:created xsi:type="dcterms:W3CDTF">2022-03-04T20:02:55Z</dcterms:created>
  <dcterms:modified xsi:type="dcterms:W3CDTF">2025-04-29T14:19:37Z</dcterms:modified>
</cp:coreProperties>
</file>