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Farmers/2025 COS and Rates 2025-00xxx/COS and Rates/"/>
    </mc:Choice>
  </mc:AlternateContent>
  <xr:revisionPtr revIDLastSave="53" documentId="8_{40E2AB2A-C7C8-43D3-894C-4E7586613CCF}" xr6:coauthVersionLast="47" xr6:coauthVersionMax="47" xr10:uidLastSave="{A0B5B937-F33A-4E5B-AD43-B45C7120EE00}"/>
  <bookViews>
    <workbookView xWindow="-135" yWindow="-135" windowWidth="29070" windowHeight="15750" tabRatio="741" activeTab="5" xr2:uid="{00000000-000D-0000-FFFF-FFFF00000000}"/>
  </bookViews>
  <sheets>
    <sheet name="Summary of Returns" sheetId="4" r:id="rId1"/>
    <sheet name="Summary of Rates" sheetId="17" r:id="rId2"/>
    <sheet name="Func &amp; Classif" sheetId="1" r:id="rId3"/>
    <sheet name="Alloc &amp; Returns" sheetId="2" r:id="rId4"/>
    <sheet name="Billing Det" sheetId="15" r:id="rId5"/>
    <sheet name="Purchased Power" sheetId="16" r:id="rId6"/>
    <sheet name="Meters" sheetId="8" r:id="rId7"/>
    <sheet name="Services" sheetId="9" r:id="rId8"/>
    <sheet name="ZeroInt" sheetId="18" r:id="rId9"/>
    <sheet name="BillingDat" sheetId="19" state="hidden" r:id="rId10"/>
  </sheets>
  <definedNames>
    <definedName name="_xlnm.Print_Area" localSheetId="3">'Alloc &amp; Returns'!$A$1:$V$660</definedName>
    <definedName name="_xlnm.Print_Area" localSheetId="4">'Billing Det'!$A$1:$T$223</definedName>
    <definedName name="_xlnm.Print_Area" localSheetId="2">'Func &amp; Classif'!$A$1:$AA$501</definedName>
    <definedName name="_xlnm.Print_Area" localSheetId="6">Meters!$A$1:$G$32</definedName>
    <definedName name="_xlnm.Print_Area" localSheetId="5">'Purchased Power'!$A$1:$O$81</definedName>
    <definedName name="_xlnm.Print_Area" localSheetId="7">Services!$A$1:$G$33</definedName>
    <definedName name="_xlnm.Print_Area" localSheetId="1">'Summary of Rates'!$A$1:$G$23</definedName>
    <definedName name="_xlnm.Print_Area" localSheetId="0">'Summary of Returns'!$A$1:$I$56</definedName>
    <definedName name="_xlnm.Print_Area" localSheetId="8">ZeroInt!$A$1:$M$132</definedName>
    <definedName name="_xlnm.Print_Titles" localSheetId="3">'Alloc &amp; Returns'!$A:$D,'Alloc &amp; Returns'!$1:$3</definedName>
    <definedName name="_xlnm.Print_Titles" localSheetId="4">'Billing Det'!$A:$B,'Billing Det'!$33:$37</definedName>
    <definedName name="_xlnm.Print_Titles" localSheetId="2">'Func &amp; Classif'!$A:$E,'Func &amp; Classif'!$1:$3</definedName>
    <definedName name="_xlnm.Print_Titles" localSheetId="8">ZeroInt!$1:$3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3" i="4" l="1"/>
  <c r="G83" i="4"/>
  <c r="B68" i="4"/>
  <c r="C68" i="4"/>
  <c r="G68" i="4"/>
  <c r="H68" i="4"/>
  <c r="B69" i="4"/>
  <c r="C69" i="4"/>
  <c r="G69" i="4"/>
  <c r="H69" i="4"/>
  <c r="B70" i="4"/>
  <c r="C70" i="4"/>
  <c r="G70" i="4"/>
  <c r="H70" i="4"/>
  <c r="B71" i="4"/>
  <c r="C71" i="4"/>
  <c r="G71" i="4"/>
  <c r="H71" i="4"/>
  <c r="B72" i="4"/>
  <c r="C72" i="4"/>
  <c r="G72" i="4"/>
  <c r="H72" i="4"/>
  <c r="B73" i="4"/>
  <c r="C73" i="4"/>
  <c r="G73" i="4"/>
  <c r="H73" i="4"/>
  <c r="B74" i="4"/>
  <c r="C74" i="4"/>
  <c r="G74" i="4"/>
  <c r="H74" i="4"/>
  <c r="B75" i="4"/>
  <c r="C75" i="4"/>
  <c r="G75" i="4"/>
  <c r="H75" i="4"/>
  <c r="B76" i="4"/>
  <c r="C76" i="4"/>
  <c r="G76" i="4"/>
  <c r="H76" i="4"/>
  <c r="B77" i="4"/>
  <c r="C77" i="4"/>
  <c r="G77" i="4"/>
  <c r="H77" i="4"/>
  <c r="B78" i="4"/>
  <c r="C78" i="4"/>
  <c r="G78" i="4"/>
  <c r="H78" i="4"/>
  <c r="B79" i="4"/>
  <c r="C79" i="4"/>
  <c r="G79" i="4"/>
  <c r="H79" i="4"/>
  <c r="B80" i="4"/>
  <c r="C80" i="4"/>
  <c r="G80" i="4"/>
  <c r="H80" i="4"/>
  <c r="B81" i="4"/>
  <c r="C81" i="4"/>
  <c r="G81" i="4"/>
  <c r="H81" i="4"/>
  <c r="B82" i="4"/>
  <c r="C82" i="4"/>
  <c r="G82" i="4"/>
  <c r="H82" i="4"/>
  <c r="B83" i="4"/>
  <c r="C83" i="4"/>
  <c r="H67" i="4"/>
  <c r="G67" i="4"/>
  <c r="C67" i="4"/>
  <c r="B67" i="4"/>
  <c r="U3" i="2"/>
  <c r="G355" i="2"/>
  <c r="H355" i="2"/>
  <c r="I355" i="2"/>
  <c r="J355" i="2"/>
  <c r="K355" i="2"/>
  <c r="L355" i="2"/>
  <c r="M355" i="2"/>
  <c r="N355" i="2"/>
  <c r="O355" i="2"/>
  <c r="P355" i="2"/>
  <c r="Q355" i="2"/>
  <c r="R355" i="2"/>
  <c r="S355" i="2"/>
  <c r="T355" i="2"/>
  <c r="U355" i="2"/>
  <c r="F355" i="2"/>
  <c r="AI355" i="2"/>
  <c r="E355" i="2" s="1"/>
  <c r="AJ365" i="2" l="1"/>
  <c r="AJ368" i="2" s="1"/>
  <c r="D186" i="15"/>
  <c r="E186" i="15"/>
  <c r="F186" i="15"/>
  <c r="G186" i="15"/>
  <c r="H186" i="15"/>
  <c r="I186" i="15"/>
  <c r="J186" i="15"/>
  <c r="K186" i="15"/>
  <c r="L186" i="15"/>
  <c r="M186" i="15"/>
  <c r="N186" i="15"/>
  <c r="C186" i="15"/>
  <c r="D179" i="15"/>
  <c r="E179" i="15"/>
  <c r="F179" i="15"/>
  <c r="G179" i="15"/>
  <c r="H179" i="15"/>
  <c r="I179" i="15"/>
  <c r="J179" i="15"/>
  <c r="K179" i="15"/>
  <c r="L179" i="15"/>
  <c r="M179" i="15"/>
  <c r="N179" i="15"/>
  <c r="C179" i="15"/>
  <c r="D180" i="15"/>
  <c r="E180" i="15"/>
  <c r="F180" i="15"/>
  <c r="G180" i="15"/>
  <c r="H180" i="15"/>
  <c r="I180" i="15"/>
  <c r="J180" i="15"/>
  <c r="K180" i="15"/>
  <c r="L180" i="15"/>
  <c r="M180" i="15"/>
  <c r="N180" i="15"/>
  <c r="C180" i="15"/>
  <c r="E184" i="15"/>
  <c r="F184" i="15" s="1"/>
  <c r="G184" i="15" s="1"/>
  <c r="H184" i="15" s="1"/>
  <c r="I184" i="15" s="1"/>
  <c r="J184" i="15" s="1"/>
  <c r="K184" i="15" s="1"/>
  <c r="L184" i="15" s="1"/>
  <c r="M184" i="15" s="1"/>
  <c r="N184" i="15" s="1"/>
  <c r="D184" i="15"/>
  <c r="E182" i="15"/>
  <c r="F182" i="15" s="1"/>
  <c r="G182" i="15" s="1"/>
  <c r="H182" i="15" s="1"/>
  <c r="I182" i="15" s="1"/>
  <c r="J182" i="15" s="1"/>
  <c r="K182" i="15" s="1"/>
  <c r="L182" i="15" s="1"/>
  <c r="M182" i="15" s="1"/>
  <c r="N182" i="15" s="1"/>
  <c r="D182" i="15"/>
  <c r="AJ380" i="2" l="1"/>
  <c r="D154" i="15" l="1"/>
  <c r="E154" i="15"/>
  <c r="F154" i="15"/>
  <c r="G154" i="15"/>
  <c r="H154" i="15"/>
  <c r="I154" i="15"/>
  <c r="J154" i="15"/>
  <c r="K154" i="15"/>
  <c r="L154" i="15"/>
  <c r="M154" i="15"/>
  <c r="N154" i="15"/>
  <c r="C154" i="15"/>
  <c r="E156" i="15"/>
  <c r="F156" i="15"/>
  <c r="G156" i="15"/>
  <c r="H156" i="15"/>
  <c r="I156" i="15"/>
  <c r="J156" i="15"/>
  <c r="K156" i="15"/>
  <c r="L156" i="15"/>
  <c r="M156" i="15" s="1"/>
  <c r="N156" i="15" s="1"/>
  <c r="D156" i="15"/>
  <c r="E76" i="15"/>
  <c r="F76" i="15"/>
  <c r="G76" i="15"/>
  <c r="H76" i="15" s="1"/>
  <c r="I76" i="15" s="1"/>
  <c r="J76" i="15" s="1"/>
  <c r="K76" i="15" s="1"/>
  <c r="L76" i="15" s="1"/>
  <c r="M76" i="15" s="1"/>
  <c r="N76" i="15" s="1"/>
  <c r="D76" i="15"/>
  <c r="C114" i="15"/>
  <c r="D164" i="15"/>
  <c r="E164" i="15" s="1"/>
  <c r="F164" i="15" s="1"/>
  <c r="G164" i="15" s="1"/>
  <c r="H164" i="15" s="1"/>
  <c r="I164" i="15" s="1"/>
  <c r="J164" i="15" s="1"/>
  <c r="K164" i="15" s="1"/>
  <c r="L164" i="15" s="1"/>
  <c r="M164" i="15" s="1"/>
  <c r="N164" i="15" s="1"/>
  <c r="D162" i="15"/>
  <c r="E162" i="15"/>
  <c r="F162" i="15"/>
  <c r="G162" i="15"/>
  <c r="H162" i="15"/>
  <c r="I162" i="15"/>
  <c r="J162" i="15"/>
  <c r="K162" i="15"/>
  <c r="L162" i="15"/>
  <c r="M162" i="15"/>
  <c r="N162" i="15"/>
  <c r="C162" i="15"/>
  <c r="D161" i="15"/>
  <c r="D166" i="15" s="1"/>
  <c r="D163" i="15" s="1"/>
  <c r="E161" i="15"/>
  <c r="F161" i="15"/>
  <c r="G161" i="15"/>
  <c r="H161" i="15"/>
  <c r="I161" i="15"/>
  <c r="I166" i="15" s="1"/>
  <c r="J161" i="15"/>
  <c r="K161" i="15"/>
  <c r="L161" i="15"/>
  <c r="L166" i="15" s="1"/>
  <c r="L163" i="15" s="1"/>
  <c r="M161" i="15"/>
  <c r="N161" i="15"/>
  <c r="N166" i="15" s="1"/>
  <c r="K163" i="15"/>
  <c r="G166" i="15"/>
  <c r="G163" i="15" s="1"/>
  <c r="H166" i="15"/>
  <c r="H163" i="15" s="1"/>
  <c r="K166" i="15"/>
  <c r="C166" i="15"/>
  <c r="C161" i="15"/>
  <c r="D167" i="15"/>
  <c r="E167" i="15"/>
  <c r="F167" i="15"/>
  <c r="G167" i="15"/>
  <c r="C167" i="15"/>
  <c r="D160" i="15"/>
  <c r="E160" i="15"/>
  <c r="F160" i="15"/>
  <c r="G160" i="15"/>
  <c r="C160" i="15"/>
  <c r="D159" i="15"/>
  <c r="E159" i="15"/>
  <c r="F159" i="15"/>
  <c r="G159" i="15"/>
  <c r="C159" i="15"/>
  <c r="H167" i="15"/>
  <c r="I167" i="15"/>
  <c r="J167" i="15"/>
  <c r="K167" i="15"/>
  <c r="L167" i="15"/>
  <c r="M167" i="15"/>
  <c r="N167" i="15"/>
  <c r="H160" i="15"/>
  <c r="I160" i="15"/>
  <c r="J160" i="15"/>
  <c r="K160" i="15"/>
  <c r="L160" i="15"/>
  <c r="M160" i="15"/>
  <c r="N160" i="15"/>
  <c r="H159" i="15"/>
  <c r="I159" i="15"/>
  <c r="J159" i="15"/>
  <c r="K159" i="15"/>
  <c r="L159" i="15"/>
  <c r="M159" i="15"/>
  <c r="N159" i="15"/>
  <c r="C150" i="15"/>
  <c r="D149" i="15"/>
  <c r="E149" i="15"/>
  <c r="F149" i="15"/>
  <c r="G149" i="15"/>
  <c r="H149" i="15"/>
  <c r="I149" i="15"/>
  <c r="J149" i="15"/>
  <c r="K149" i="15"/>
  <c r="L149" i="15"/>
  <c r="M149" i="15"/>
  <c r="N149" i="15"/>
  <c r="C149" i="15"/>
  <c r="L165" i="15" l="1"/>
  <c r="H165" i="15"/>
  <c r="G165" i="15"/>
  <c r="K165" i="15"/>
  <c r="D165" i="15"/>
  <c r="I163" i="15"/>
  <c r="I165" i="15" s="1"/>
  <c r="F166" i="15"/>
  <c r="F163" i="15" s="1"/>
  <c r="F165" i="15" s="1"/>
  <c r="M166" i="15"/>
  <c r="M163" i="15" s="1"/>
  <c r="M165" i="15" s="1"/>
  <c r="E166" i="15"/>
  <c r="E163" i="15" s="1"/>
  <c r="E165" i="15" s="1"/>
  <c r="N163" i="15"/>
  <c r="N165" i="15" s="1"/>
  <c r="J166" i="15"/>
  <c r="J163" i="15" s="1"/>
  <c r="J165" i="15" s="1"/>
  <c r="C163" i="15"/>
  <c r="C165" i="15" s="1"/>
  <c r="X189" i="15" l="1"/>
  <c r="W189" i="15"/>
  <c r="Y189" i="15" s="1"/>
  <c r="X179" i="15"/>
  <c r="W179" i="15"/>
  <c r="X169" i="15"/>
  <c r="W169" i="15"/>
  <c r="X149" i="15"/>
  <c r="W149" i="15"/>
  <c r="X139" i="15"/>
  <c r="W139" i="15"/>
  <c r="Y139" i="15" s="1"/>
  <c r="X129" i="15"/>
  <c r="W129" i="15"/>
  <c r="Y129" i="15" s="1"/>
  <c r="X119" i="15"/>
  <c r="W119" i="15"/>
  <c r="Y119" i="15" s="1"/>
  <c r="X109" i="15"/>
  <c r="W109" i="15"/>
  <c r="Y109" i="15" s="1"/>
  <c r="X89" i="15"/>
  <c r="W89" i="15"/>
  <c r="Y89" i="15" s="1"/>
  <c r="X79" i="15"/>
  <c r="W79" i="15"/>
  <c r="Y79" i="15" s="1"/>
  <c r="X69" i="15"/>
  <c r="W69" i="15"/>
  <c r="Y69" i="15" s="1"/>
  <c r="X59" i="15"/>
  <c r="W59" i="15"/>
  <c r="Y59" i="15" s="1"/>
  <c r="Y39" i="15"/>
  <c r="X39" i="15"/>
  <c r="W39" i="15"/>
  <c r="Y179" i="15" l="1"/>
  <c r="Y169" i="15"/>
  <c r="Y149" i="15"/>
  <c r="D124" i="15" l="1"/>
  <c r="E124" i="15"/>
  <c r="F124" i="15"/>
  <c r="G124" i="15"/>
  <c r="H124" i="15"/>
  <c r="I124" i="15"/>
  <c r="J124" i="15"/>
  <c r="K124" i="15"/>
  <c r="L124" i="15"/>
  <c r="M124" i="15"/>
  <c r="N124" i="15"/>
  <c r="C124" i="15"/>
  <c r="D114" i="15"/>
  <c r="E114" i="15"/>
  <c r="F114" i="15"/>
  <c r="G114" i="15"/>
  <c r="H114" i="15"/>
  <c r="I114" i="15"/>
  <c r="J114" i="15"/>
  <c r="K114" i="15"/>
  <c r="L114" i="15"/>
  <c r="M114" i="15"/>
  <c r="N114" i="15"/>
  <c r="D112" i="15" l="1"/>
  <c r="E112" i="15"/>
  <c r="F112" i="15"/>
  <c r="G112" i="15"/>
  <c r="H112" i="15"/>
  <c r="I112" i="15"/>
  <c r="J112" i="15"/>
  <c r="K112" i="15"/>
  <c r="L112" i="15"/>
  <c r="M112" i="15"/>
  <c r="N112" i="15"/>
  <c r="C112" i="15"/>
  <c r="D132" i="15"/>
  <c r="E132" i="15"/>
  <c r="F132" i="15"/>
  <c r="G132" i="15"/>
  <c r="H132" i="15"/>
  <c r="I132" i="15"/>
  <c r="J132" i="15"/>
  <c r="K132" i="15"/>
  <c r="L132" i="15"/>
  <c r="M132" i="15"/>
  <c r="N132" i="15"/>
  <c r="C132" i="15"/>
  <c r="D122" i="15"/>
  <c r="E122" i="15"/>
  <c r="F122" i="15"/>
  <c r="G122" i="15"/>
  <c r="H122" i="15"/>
  <c r="I122" i="15"/>
  <c r="J122" i="15"/>
  <c r="K122" i="15"/>
  <c r="L122" i="15"/>
  <c r="M122" i="15"/>
  <c r="N122" i="15"/>
  <c r="C122" i="15"/>
  <c r="C126" i="15"/>
  <c r="D133" i="15" l="1"/>
  <c r="E133" i="15"/>
  <c r="F133" i="15"/>
  <c r="G133" i="15"/>
  <c r="H133" i="15"/>
  <c r="I133" i="15"/>
  <c r="J133" i="15"/>
  <c r="K133" i="15"/>
  <c r="L133" i="15"/>
  <c r="M133" i="15"/>
  <c r="N133" i="15"/>
  <c r="C133" i="15"/>
  <c r="D123" i="15"/>
  <c r="E123" i="15"/>
  <c r="F123" i="15"/>
  <c r="G123" i="15"/>
  <c r="H123" i="15"/>
  <c r="I123" i="15"/>
  <c r="J123" i="15"/>
  <c r="K123" i="15"/>
  <c r="L123" i="15"/>
  <c r="M123" i="15"/>
  <c r="N123" i="15"/>
  <c r="N505" i="2" l="1"/>
  <c r="N498" i="2"/>
  <c r="D70" i="16"/>
  <c r="E70" i="16"/>
  <c r="F70" i="16"/>
  <c r="G70" i="16"/>
  <c r="H70" i="16"/>
  <c r="I70" i="16"/>
  <c r="J70" i="16"/>
  <c r="K70" i="16"/>
  <c r="L70" i="16"/>
  <c r="M70" i="16"/>
  <c r="N70" i="16"/>
  <c r="D71" i="16"/>
  <c r="E71" i="16"/>
  <c r="F71" i="16"/>
  <c r="G71" i="16"/>
  <c r="H71" i="16"/>
  <c r="I71" i="16"/>
  <c r="J71" i="16"/>
  <c r="K71" i="16"/>
  <c r="L71" i="16"/>
  <c r="M71" i="16"/>
  <c r="N71" i="16"/>
  <c r="C71" i="16"/>
  <c r="C70" i="16"/>
  <c r="A71" i="16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L105" i="18" l="1"/>
  <c r="M105" i="18" s="1"/>
  <c r="J105" i="18"/>
  <c r="I105" i="18"/>
  <c r="F105" i="18"/>
  <c r="H105" i="18" s="1"/>
  <c r="E74" i="15"/>
  <c r="F74" i="15" s="1"/>
  <c r="G74" i="15" s="1"/>
  <c r="H74" i="15" s="1"/>
  <c r="I74" i="15" s="1"/>
  <c r="J74" i="15" s="1"/>
  <c r="K74" i="15" s="1"/>
  <c r="L74" i="15" s="1"/>
  <c r="M74" i="15" s="1"/>
  <c r="N74" i="15" s="1"/>
  <c r="D74" i="15"/>
  <c r="P154" i="19"/>
  <c r="Q154" i="19" s="1"/>
  <c r="P153" i="19"/>
  <c r="Q153" i="19" s="1"/>
  <c r="P152" i="19"/>
  <c r="Q152" i="19" s="1"/>
  <c r="P149" i="19"/>
  <c r="Q149" i="19" s="1"/>
  <c r="P144" i="19"/>
  <c r="Q144" i="19" s="1"/>
  <c r="P143" i="19"/>
  <c r="Q143" i="19" s="1"/>
  <c r="P140" i="19"/>
  <c r="Q140" i="19" s="1"/>
  <c r="P139" i="19"/>
  <c r="Q139" i="19" s="1"/>
  <c r="P138" i="19"/>
  <c r="Q138" i="19" s="1"/>
  <c r="O132" i="19"/>
  <c r="N132" i="19"/>
  <c r="M132" i="19"/>
  <c r="L132" i="19"/>
  <c r="K132" i="19"/>
  <c r="J132" i="19"/>
  <c r="I132" i="19"/>
  <c r="H132" i="19"/>
  <c r="G132" i="19"/>
  <c r="F132" i="19"/>
  <c r="E132" i="19"/>
  <c r="D132" i="19"/>
  <c r="P110" i="19"/>
  <c r="Q110" i="19" s="1"/>
  <c r="P88" i="19"/>
  <c r="Q88" i="19" s="1"/>
  <c r="P66" i="19"/>
  <c r="Q66" i="19" s="1"/>
  <c r="P44" i="19"/>
  <c r="Q44" i="19" s="1"/>
  <c r="P22" i="19"/>
  <c r="Q22" i="19" s="1"/>
  <c r="D89" i="19" l="1"/>
  <c r="D91" i="19" s="1"/>
  <c r="P20" i="19"/>
  <c r="Q20" i="19" s="1"/>
  <c r="P37" i="19"/>
  <c r="Q37" i="19" s="1"/>
  <c r="P151" i="19"/>
  <c r="Q151" i="19" s="1"/>
  <c r="P95" i="19"/>
  <c r="Q95" i="19" s="1"/>
  <c r="H111" i="19"/>
  <c r="H113" i="19" s="1"/>
  <c r="P99" i="19"/>
  <c r="Q99" i="19" s="1"/>
  <c r="P100" i="19"/>
  <c r="Q100" i="19" s="1"/>
  <c r="P104" i="19"/>
  <c r="Q104" i="19" s="1"/>
  <c r="P108" i="19"/>
  <c r="Q108" i="19" s="1"/>
  <c r="P58" i="19"/>
  <c r="Q58" i="19" s="1"/>
  <c r="I111" i="19"/>
  <c r="I113" i="19" s="1"/>
  <c r="P109" i="19"/>
  <c r="Q109" i="19" s="1"/>
  <c r="H89" i="19"/>
  <c r="H91" i="19" s="1"/>
  <c r="P40" i="19"/>
  <c r="Q40" i="19" s="1"/>
  <c r="G23" i="19"/>
  <c r="G24" i="19" s="1"/>
  <c r="P142" i="19"/>
  <c r="Q142" i="19" s="1"/>
  <c r="H23" i="19"/>
  <c r="H24" i="19" s="1"/>
  <c r="M155" i="19"/>
  <c r="M157" i="19" s="1"/>
  <c r="P13" i="19"/>
  <c r="Q13" i="19" s="1"/>
  <c r="P33" i="19"/>
  <c r="Q33" i="19" s="1"/>
  <c r="P42" i="19"/>
  <c r="Q42" i="19" s="1"/>
  <c r="P12" i="19"/>
  <c r="Q12" i="19" s="1"/>
  <c r="P41" i="19"/>
  <c r="Q41" i="19" s="1"/>
  <c r="P73" i="19"/>
  <c r="Q73" i="19" s="1"/>
  <c r="P77" i="19"/>
  <c r="Q77" i="19" s="1"/>
  <c r="P81" i="19"/>
  <c r="Q81" i="19" s="1"/>
  <c r="P85" i="19"/>
  <c r="Q85" i="19" s="1"/>
  <c r="P21" i="19"/>
  <c r="Q21" i="19" s="1"/>
  <c r="P43" i="19"/>
  <c r="Q43" i="19" s="1"/>
  <c r="P102" i="19"/>
  <c r="Q102" i="19" s="1"/>
  <c r="E155" i="19"/>
  <c r="E157" i="19" s="1"/>
  <c r="P16" i="19"/>
  <c r="Q16" i="19" s="1"/>
  <c r="J45" i="19"/>
  <c r="J47" i="19" s="1"/>
  <c r="K45" i="19"/>
  <c r="K47" i="19" s="1"/>
  <c r="P74" i="19"/>
  <c r="Q74" i="19" s="1"/>
  <c r="M89" i="19"/>
  <c r="M91" i="19" s="1"/>
  <c r="P86" i="19"/>
  <c r="Q86" i="19" s="1"/>
  <c r="J111" i="19"/>
  <c r="J113" i="19" s="1"/>
  <c r="G155" i="19"/>
  <c r="G157" i="19" s="1"/>
  <c r="O155" i="19"/>
  <c r="O157" i="19" s="1"/>
  <c r="I45" i="19"/>
  <c r="I47" i="19" s="1"/>
  <c r="P14" i="19"/>
  <c r="Q14" i="19" s="1"/>
  <c r="P17" i="19"/>
  <c r="Q17" i="19" s="1"/>
  <c r="P29" i="19"/>
  <c r="Q29" i="19" s="1"/>
  <c r="P106" i="19"/>
  <c r="Q106" i="19" s="1"/>
  <c r="O23" i="19"/>
  <c r="O24" i="19" s="1"/>
  <c r="L45" i="19"/>
  <c r="L47" i="19" s="1"/>
  <c r="P32" i="19"/>
  <c r="Q32" i="19" s="1"/>
  <c r="E67" i="19"/>
  <c r="E69" i="19" s="1"/>
  <c r="M67" i="19"/>
  <c r="M69" i="19" s="1"/>
  <c r="K111" i="19"/>
  <c r="K113" i="19" s="1"/>
  <c r="P145" i="19"/>
  <c r="Q145" i="19" s="1"/>
  <c r="P148" i="19"/>
  <c r="Q148" i="19" s="1"/>
  <c r="L89" i="19"/>
  <c r="L91" i="19" s="1"/>
  <c r="P87" i="19"/>
  <c r="Q87" i="19" s="1"/>
  <c r="P105" i="19"/>
  <c r="Q105" i="19" s="1"/>
  <c r="J23" i="19"/>
  <c r="J24" i="19" s="1"/>
  <c r="P34" i="19"/>
  <c r="Q34" i="19" s="1"/>
  <c r="I89" i="19"/>
  <c r="I91" i="19" s="1"/>
  <c r="F155" i="19"/>
  <c r="F157" i="19" s="1"/>
  <c r="N155" i="19"/>
  <c r="N157" i="19" s="1"/>
  <c r="P9" i="19"/>
  <c r="Q9" i="19" s="1"/>
  <c r="G67" i="19"/>
  <c r="G69" i="19" s="1"/>
  <c r="P31" i="19"/>
  <c r="Q31" i="19" s="1"/>
  <c r="P38" i="19"/>
  <c r="Q38" i="19" s="1"/>
  <c r="P55" i="19"/>
  <c r="Q55" i="19" s="1"/>
  <c r="P147" i="19"/>
  <c r="Q147" i="19" s="1"/>
  <c r="L155" i="19"/>
  <c r="L157" i="19" s="1"/>
  <c r="P96" i="19"/>
  <c r="Q96" i="19" s="1"/>
  <c r="P8" i="19"/>
  <c r="Q8" i="19" s="1"/>
  <c r="P6" i="19"/>
  <c r="D23" i="19"/>
  <c r="D24" i="19" s="1"/>
  <c r="L23" i="19"/>
  <c r="L24" i="19" s="1"/>
  <c r="P28" i="19"/>
  <c r="P64" i="19"/>
  <c r="Q64" i="19" s="1"/>
  <c r="P80" i="19"/>
  <c r="Q80" i="19" s="1"/>
  <c r="E89" i="19"/>
  <c r="E91" i="19" s="1"/>
  <c r="H155" i="19"/>
  <c r="H157" i="19" s="1"/>
  <c r="P141" i="19"/>
  <c r="Q141" i="19" s="1"/>
  <c r="J155" i="19"/>
  <c r="J157" i="19" s="1"/>
  <c r="P36" i="19"/>
  <c r="Q36" i="19" s="1"/>
  <c r="P19" i="19"/>
  <c r="Q19" i="19" s="1"/>
  <c r="P83" i="19"/>
  <c r="Q83" i="19" s="1"/>
  <c r="P11" i="19"/>
  <c r="Q11" i="19" s="1"/>
  <c r="E45" i="19"/>
  <c r="E47" i="19" s="1"/>
  <c r="M45" i="19"/>
  <c r="M47" i="19" s="1"/>
  <c r="P35" i="19"/>
  <c r="Q35" i="19" s="1"/>
  <c r="H67" i="19"/>
  <c r="P50" i="19"/>
  <c r="K89" i="19"/>
  <c r="K91" i="19" s="1"/>
  <c r="P75" i="19"/>
  <c r="Q75" i="19" s="1"/>
  <c r="P78" i="19"/>
  <c r="Q78" i="19" s="1"/>
  <c r="P97" i="19"/>
  <c r="Q97" i="19" s="1"/>
  <c r="I155" i="19"/>
  <c r="I157" i="19" s="1"/>
  <c r="K23" i="19"/>
  <c r="K24" i="19" s="1"/>
  <c r="F23" i="19"/>
  <c r="F24" i="19" s="1"/>
  <c r="N23" i="19"/>
  <c r="N24" i="19" s="1"/>
  <c r="P18" i="19"/>
  <c r="Q18" i="19" s="1"/>
  <c r="F45" i="19"/>
  <c r="F47" i="19" s="1"/>
  <c r="N45" i="19"/>
  <c r="N47" i="19" s="1"/>
  <c r="P56" i="19"/>
  <c r="Q56" i="19" s="1"/>
  <c r="P59" i="19"/>
  <c r="Q59" i="19" s="1"/>
  <c r="P62" i="19"/>
  <c r="Q62" i="19" s="1"/>
  <c r="F67" i="19"/>
  <c r="F69" i="19" s="1"/>
  <c r="P72" i="19"/>
  <c r="P94" i="19"/>
  <c r="D111" i="19"/>
  <c r="D113" i="19" s="1"/>
  <c r="L111" i="19"/>
  <c r="L113" i="19" s="1"/>
  <c r="P103" i="19"/>
  <c r="Q103" i="19" s="1"/>
  <c r="O67" i="19"/>
  <c r="O69" i="19" s="1"/>
  <c r="L67" i="19"/>
  <c r="L69" i="19" s="1"/>
  <c r="E23" i="19"/>
  <c r="E24" i="19" s="1"/>
  <c r="M23" i="19"/>
  <c r="M24" i="19" s="1"/>
  <c r="J67" i="19"/>
  <c r="J69" i="19" s="1"/>
  <c r="J89" i="19"/>
  <c r="J91" i="19" s="1"/>
  <c r="P84" i="19"/>
  <c r="Q84" i="19" s="1"/>
  <c r="E111" i="19"/>
  <c r="E113" i="19" s="1"/>
  <c r="M111" i="19"/>
  <c r="M113" i="19" s="1"/>
  <c r="P101" i="19"/>
  <c r="Q101" i="19" s="1"/>
  <c r="P132" i="19"/>
  <c r="Q132" i="19" s="1"/>
  <c r="K155" i="19"/>
  <c r="K157" i="19" s="1"/>
  <c r="D155" i="19"/>
  <c r="D157" i="19" s="1"/>
  <c r="P10" i="19"/>
  <c r="Q10" i="19" s="1"/>
  <c r="P15" i="19"/>
  <c r="Q15" i="19" s="1"/>
  <c r="H45" i="19"/>
  <c r="H47" i="19" s="1"/>
  <c r="G45" i="19"/>
  <c r="G47" i="19" s="1"/>
  <c r="O45" i="19"/>
  <c r="O47" i="19" s="1"/>
  <c r="P39" i="19"/>
  <c r="Q39" i="19" s="1"/>
  <c r="K67" i="19"/>
  <c r="K69" i="19" s="1"/>
  <c r="P51" i="19"/>
  <c r="Q51" i="19" s="1"/>
  <c r="P54" i="19"/>
  <c r="Q54" i="19" s="1"/>
  <c r="I67" i="19"/>
  <c r="I69" i="19" s="1"/>
  <c r="H69" i="19"/>
  <c r="F89" i="19"/>
  <c r="F91" i="19" s="1"/>
  <c r="N89" i="19"/>
  <c r="N91" i="19" s="1"/>
  <c r="P79" i="19"/>
  <c r="Q79" i="19" s="1"/>
  <c r="P82" i="19"/>
  <c r="Q82" i="19" s="1"/>
  <c r="F111" i="19"/>
  <c r="F113" i="19" s="1"/>
  <c r="N111" i="19"/>
  <c r="N113" i="19" s="1"/>
  <c r="P98" i="19"/>
  <c r="Q98" i="19" s="1"/>
  <c r="P107" i="19"/>
  <c r="Q107" i="19" s="1"/>
  <c r="P146" i="19"/>
  <c r="Q146" i="19" s="1"/>
  <c r="D67" i="19"/>
  <c r="D69" i="19" s="1"/>
  <c r="P52" i="19"/>
  <c r="Q52" i="19" s="1"/>
  <c r="I23" i="19"/>
  <c r="I24" i="19" s="1"/>
  <c r="P7" i="19"/>
  <c r="Q7" i="19" s="1"/>
  <c r="P30" i="19"/>
  <c r="Q30" i="19" s="1"/>
  <c r="D45" i="19"/>
  <c r="D47" i="19" s="1"/>
  <c r="P60" i="19"/>
  <c r="Q60" i="19" s="1"/>
  <c r="P63" i="19"/>
  <c r="Q63" i="19" s="1"/>
  <c r="N67" i="19"/>
  <c r="N69" i="19" s="1"/>
  <c r="G89" i="19"/>
  <c r="G91" i="19" s="1"/>
  <c r="O89" i="19"/>
  <c r="O91" i="19" s="1"/>
  <c r="P76" i="19"/>
  <c r="Q76" i="19" s="1"/>
  <c r="G111" i="19"/>
  <c r="G113" i="19" s="1"/>
  <c r="O111" i="19"/>
  <c r="O113" i="19" s="1"/>
  <c r="P150" i="19"/>
  <c r="Q150" i="19" s="1"/>
  <c r="P53" i="19"/>
  <c r="Q53" i="19" s="1"/>
  <c r="P57" i="19"/>
  <c r="Q57" i="19" s="1"/>
  <c r="P61" i="19"/>
  <c r="Q61" i="19" s="1"/>
  <c r="P65" i="19"/>
  <c r="Q65" i="19" s="1"/>
  <c r="P131" i="19" l="1"/>
  <c r="O133" i="19"/>
  <c r="N133" i="19"/>
  <c r="F133" i="19"/>
  <c r="P116" i="19"/>
  <c r="P125" i="19"/>
  <c r="L133" i="19"/>
  <c r="P119" i="19"/>
  <c r="P117" i="19"/>
  <c r="Q117" i="19" s="1"/>
  <c r="P121" i="19"/>
  <c r="P126" i="19"/>
  <c r="P128" i="19"/>
  <c r="P130" i="19"/>
  <c r="P129" i="19"/>
  <c r="Q129" i="19" s="1"/>
  <c r="H133" i="19"/>
  <c r="J133" i="19"/>
  <c r="G133" i="19"/>
  <c r="P118" i="19"/>
  <c r="P127" i="19"/>
  <c r="P111" i="19"/>
  <c r="Q94" i="19"/>
  <c r="K133" i="19"/>
  <c r="M133" i="19"/>
  <c r="P120" i="19"/>
  <c r="Q6" i="19"/>
  <c r="P23" i="19"/>
  <c r="P89" i="19"/>
  <c r="Q72" i="19"/>
  <c r="P124" i="19"/>
  <c r="E133" i="19"/>
  <c r="I133" i="19"/>
  <c r="P123" i="19"/>
  <c r="P155" i="19"/>
  <c r="P122" i="19"/>
  <c r="P67" i="19"/>
  <c r="Q50" i="19"/>
  <c r="P45" i="19"/>
  <c r="Q28" i="19"/>
  <c r="D133" i="19"/>
  <c r="Q116" i="19" l="1"/>
  <c r="E8" i="15"/>
  <c r="Q128" i="19"/>
  <c r="E20" i="15"/>
  <c r="Q120" i="19"/>
  <c r="E12" i="15"/>
  <c r="Q119" i="19"/>
  <c r="E11" i="15"/>
  <c r="Q124" i="19"/>
  <c r="E16" i="15"/>
  <c r="Q130" i="19"/>
  <c r="E22" i="15"/>
  <c r="Q127" i="19"/>
  <c r="E19" i="15"/>
  <c r="Q126" i="19"/>
  <c r="E18" i="15"/>
  <c r="Q123" i="19"/>
  <c r="E15" i="15"/>
  <c r="Q125" i="19"/>
  <c r="E17" i="15"/>
  <c r="Q122" i="19"/>
  <c r="E14" i="15"/>
  <c r="Q118" i="19"/>
  <c r="E10" i="15"/>
  <c r="Q121" i="19"/>
  <c r="E13" i="15"/>
  <c r="Q131" i="19"/>
  <c r="E23" i="15"/>
  <c r="Q89" i="19"/>
  <c r="P91" i="19"/>
  <c r="P133" i="19"/>
  <c r="Q133" i="19" s="1"/>
  <c r="P24" i="19"/>
  <c r="Q23" i="19"/>
  <c r="Q24" i="19" s="1"/>
  <c r="P157" i="19"/>
  <c r="Q155" i="19"/>
  <c r="P47" i="19"/>
  <c r="S47" i="19" s="1"/>
  <c r="Q45" i="19"/>
  <c r="Q67" i="19"/>
  <c r="P69" i="19"/>
  <c r="Q111" i="19"/>
  <c r="P113" i="19"/>
  <c r="O1" i="16" l="1"/>
  <c r="G1" i="17"/>
  <c r="AG505" i="2"/>
  <c r="AF503" i="2"/>
  <c r="Z503" i="2"/>
  <c r="Y503" i="2"/>
  <c r="X503" i="2"/>
  <c r="W503" i="2"/>
  <c r="AF496" i="2"/>
  <c r="AE496" i="2"/>
  <c r="AD496" i="2"/>
  <c r="AC496" i="2"/>
  <c r="AB496" i="2"/>
  <c r="AA496" i="2"/>
  <c r="Z496" i="2"/>
  <c r="Y496" i="2"/>
  <c r="X496" i="2"/>
  <c r="W496" i="2"/>
  <c r="F472" i="1"/>
  <c r="F451" i="1"/>
  <c r="F436" i="1"/>
  <c r="F421" i="1"/>
  <c r="F405" i="1"/>
  <c r="F423" i="1" s="1"/>
  <c r="F425" i="1" s="1"/>
  <c r="F453" i="1" s="1"/>
  <c r="F390" i="1"/>
  <c r="F378" i="1"/>
  <c r="F367" i="1"/>
  <c r="F358" i="1"/>
  <c r="F323" i="1"/>
  <c r="F339" i="1" s="1"/>
  <c r="F294" i="1"/>
  <c r="F273" i="1"/>
  <c r="F257" i="1"/>
  <c r="F240" i="1"/>
  <c r="F226" i="1"/>
  <c r="F242" i="1" s="1"/>
  <c r="F210" i="1"/>
  <c r="F191" i="1"/>
  <c r="F179" i="1"/>
  <c r="F170" i="1"/>
  <c r="F181" i="1" s="1"/>
  <c r="F135" i="1"/>
  <c r="F102" i="1"/>
  <c r="F110" i="1" s="1"/>
  <c r="F86" i="1"/>
  <c r="F65" i="1"/>
  <c r="F46" i="1"/>
  <c r="F67" i="1" s="1"/>
  <c r="F69" i="1" s="1"/>
  <c r="F35" i="1"/>
  <c r="F24" i="1"/>
  <c r="F12" i="1"/>
  <c r="N84" i="16"/>
  <c r="M84" i="16"/>
  <c r="L84" i="16"/>
  <c r="K84" i="16"/>
  <c r="J84" i="16"/>
  <c r="I84" i="16"/>
  <c r="H84" i="16"/>
  <c r="G84" i="16"/>
  <c r="F84" i="16"/>
  <c r="E84" i="16"/>
  <c r="D84" i="16"/>
  <c r="C84" i="16"/>
  <c r="N83" i="16"/>
  <c r="M83" i="16"/>
  <c r="L83" i="16"/>
  <c r="K83" i="16"/>
  <c r="J83" i="16"/>
  <c r="I83" i="16"/>
  <c r="H83" i="16"/>
  <c r="G83" i="16"/>
  <c r="F83" i="16"/>
  <c r="E83" i="16"/>
  <c r="D83" i="16"/>
  <c r="C83" i="16"/>
  <c r="M72" i="16"/>
  <c r="L72" i="16"/>
  <c r="L73" i="16" s="1"/>
  <c r="G72" i="16"/>
  <c r="I72" i="16"/>
  <c r="I74" i="16" s="1"/>
  <c r="H72" i="16"/>
  <c r="H74" i="16" s="1"/>
  <c r="G73" i="16"/>
  <c r="F72" i="16"/>
  <c r="F74" i="16" s="1"/>
  <c r="E72" i="16"/>
  <c r="D72" i="16"/>
  <c r="D73" i="16" s="1"/>
  <c r="N68" i="16"/>
  <c r="M68" i="16"/>
  <c r="L68" i="16"/>
  <c r="K68" i="16"/>
  <c r="J68" i="16"/>
  <c r="I68" i="16"/>
  <c r="H68" i="16"/>
  <c r="G68" i="16"/>
  <c r="F68" i="16"/>
  <c r="E68" i="16"/>
  <c r="D68" i="16"/>
  <c r="C68" i="16"/>
  <c r="N67" i="16"/>
  <c r="N221" i="15" s="1"/>
  <c r="M67" i="16"/>
  <c r="M221" i="15" s="1"/>
  <c r="L67" i="16"/>
  <c r="L221" i="15" s="1"/>
  <c r="K67" i="16"/>
  <c r="K221" i="15" s="1"/>
  <c r="J67" i="16"/>
  <c r="J221" i="15" s="1"/>
  <c r="I67" i="16"/>
  <c r="I221" i="15" s="1"/>
  <c r="H67" i="16"/>
  <c r="H221" i="15" s="1"/>
  <c r="G67" i="16"/>
  <c r="G221" i="15" s="1"/>
  <c r="F67" i="16"/>
  <c r="F221" i="15" s="1"/>
  <c r="E67" i="16"/>
  <c r="D67" i="16"/>
  <c r="D221" i="15" s="1"/>
  <c r="C67" i="16"/>
  <c r="C221" i="15" s="1"/>
  <c r="O63" i="16"/>
  <c r="O62" i="16"/>
  <c r="N59" i="16"/>
  <c r="N60" i="16" s="1"/>
  <c r="G59" i="16"/>
  <c r="G60" i="16" s="1"/>
  <c r="F59" i="16"/>
  <c r="F60" i="16" s="1"/>
  <c r="O57" i="16"/>
  <c r="O56" i="16"/>
  <c r="O55" i="16"/>
  <c r="O54" i="16"/>
  <c r="O53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O50" i="16"/>
  <c r="O49" i="16"/>
  <c r="N47" i="16"/>
  <c r="M47" i="16"/>
  <c r="L47" i="16"/>
  <c r="K47" i="16"/>
  <c r="K59" i="16" s="1"/>
  <c r="J47" i="16"/>
  <c r="J59" i="16" s="1"/>
  <c r="I47" i="16"/>
  <c r="H47" i="16"/>
  <c r="G47" i="16"/>
  <c r="F47" i="16"/>
  <c r="E47" i="16"/>
  <c r="D47" i="16"/>
  <c r="C47" i="16"/>
  <c r="C59" i="16" s="1"/>
  <c r="O46" i="16"/>
  <c r="O45" i="16"/>
  <c r="O44" i="16"/>
  <c r="O43" i="16"/>
  <c r="O42" i="16"/>
  <c r="O41" i="16"/>
  <c r="O38" i="16"/>
  <c r="O34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O31" i="16"/>
  <c r="O30" i="16"/>
  <c r="O29" i="16"/>
  <c r="O28" i="16"/>
  <c r="O25" i="16"/>
  <c r="O21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N10" i="16"/>
  <c r="M10" i="16"/>
  <c r="L10" i="16"/>
  <c r="K10" i="16"/>
  <c r="J10" i="16"/>
  <c r="I10" i="16"/>
  <c r="I19" i="16" s="1"/>
  <c r="H10" i="16"/>
  <c r="G10" i="16"/>
  <c r="F10" i="16"/>
  <c r="E10" i="16"/>
  <c r="D10" i="16"/>
  <c r="C10" i="16"/>
  <c r="N6" i="16"/>
  <c r="N19" i="16" s="1"/>
  <c r="M6" i="16"/>
  <c r="M19" i="16" s="1"/>
  <c r="L6" i="16"/>
  <c r="L19" i="16" s="1"/>
  <c r="K6" i="16"/>
  <c r="J6" i="16"/>
  <c r="I6" i="16"/>
  <c r="H6" i="16"/>
  <c r="G6" i="16"/>
  <c r="F6" i="16"/>
  <c r="F19" i="16" s="1"/>
  <c r="E6" i="16"/>
  <c r="E19" i="16" s="1"/>
  <c r="D6" i="16"/>
  <c r="D19" i="16" s="1"/>
  <c r="C6" i="16"/>
  <c r="A6" i="16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W14" i="15"/>
  <c r="V25" i="15"/>
  <c r="W25" i="15"/>
  <c r="X25" i="15"/>
  <c r="Y25" i="15"/>
  <c r="Z25" i="15"/>
  <c r="AA25" i="15"/>
  <c r="V26" i="15"/>
  <c r="D59" i="16" l="1"/>
  <c r="G19" i="16"/>
  <c r="O16" i="16"/>
  <c r="E59" i="16"/>
  <c r="M59" i="16"/>
  <c r="M65" i="16" s="1"/>
  <c r="E74" i="16"/>
  <c r="M74" i="16"/>
  <c r="N72" i="16"/>
  <c r="N74" i="16" s="1"/>
  <c r="O84" i="16"/>
  <c r="L59" i="16"/>
  <c r="L65" i="16" s="1"/>
  <c r="D74" i="16"/>
  <c r="H19" i="16"/>
  <c r="H59" i="16"/>
  <c r="H65" i="16" s="1"/>
  <c r="J72" i="16"/>
  <c r="J73" i="16" s="1"/>
  <c r="F73" i="16"/>
  <c r="O83" i="16"/>
  <c r="O10" i="16"/>
  <c r="O14" i="16"/>
  <c r="O18" i="16"/>
  <c r="I59" i="16"/>
  <c r="I65" i="16" s="1"/>
  <c r="O68" i="16"/>
  <c r="C72" i="16"/>
  <c r="C74" i="16" s="1"/>
  <c r="K72" i="16"/>
  <c r="K73" i="16" s="1"/>
  <c r="G74" i="16"/>
  <c r="O32" i="16"/>
  <c r="O71" i="16"/>
  <c r="L74" i="16"/>
  <c r="J19" i="16"/>
  <c r="C19" i="16"/>
  <c r="K19" i="16"/>
  <c r="O13" i="16"/>
  <c r="O17" i="16"/>
  <c r="O51" i="16"/>
  <c r="O67" i="16"/>
  <c r="E221" i="15"/>
  <c r="E73" i="16"/>
  <c r="M73" i="16"/>
  <c r="F93" i="1"/>
  <c r="F369" i="1"/>
  <c r="E505" i="2"/>
  <c r="E498" i="2"/>
  <c r="AG498" i="2"/>
  <c r="F109" i="1"/>
  <c r="F112" i="1" s="1"/>
  <c r="F137" i="1" s="1"/>
  <c r="F104" i="1"/>
  <c r="F248" i="1"/>
  <c r="F296" i="1" s="1"/>
  <c r="F244" i="1"/>
  <c r="F275" i="1" s="1"/>
  <c r="F246" i="1"/>
  <c r="F427" i="1"/>
  <c r="F474" i="1" s="1"/>
  <c r="F476" i="1" s="1"/>
  <c r="J65" i="16"/>
  <c r="J60" i="16"/>
  <c r="K65" i="16"/>
  <c r="K60" i="16"/>
  <c r="D65" i="16"/>
  <c r="D60" i="16"/>
  <c r="L60" i="16"/>
  <c r="E60" i="16"/>
  <c r="E65" i="16"/>
  <c r="M60" i="16"/>
  <c r="C65" i="16"/>
  <c r="C60" i="16"/>
  <c r="O59" i="16"/>
  <c r="O65" i="16" s="1"/>
  <c r="F65" i="16"/>
  <c r="N65" i="16"/>
  <c r="H73" i="16"/>
  <c r="O15" i="16"/>
  <c r="O6" i="16"/>
  <c r="I73" i="16"/>
  <c r="O47" i="16"/>
  <c r="G65" i="16"/>
  <c r="O70" i="16"/>
  <c r="K74" i="16" l="1"/>
  <c r="J74" i="16"/>
  <c r="C73" i="16"/>
  <c r="O72" i="16"/>
  <c r="O74" i="16" s="1"/>
  <c r="I494" i="1" s="1"/>
  <c r="I60" i="16"/>
  <c r="H60" i="16"/>
  <c r="O19" i="16"/>
  <c r="N73" i="16"/>
  <c r="AH498" i="2"/>
  <c r="AH505" i="2"/>
  <c r="F341" i="1"/>
  <c r="F140" i="1"/>
  <c r="F144" i="1" s="1"/>
  <c r="F298" i="1"/>
  <c r="F155" i="1"/>
  <c r="O60" i="16"/>
  <c r="O79" i="16" s="1"/>
  <c r="O81" i="16" s="1"/>
  <c r="O73" i="16" l="1"/>
  <c r="H494" i="1" s="1"/>
  <c r="A8" i="15" l="1"/>
  <c r="D189" i="15"/>
  <c r="E189" i="15"/>
  <c r="F189" i="15"/>
  <c r="G189" i="15"/>
  <c r="H189" i="15"/>
  <c r="I189" i="15"/>
  <c r="J189" i="15"/>
  <c r="K189" i="15"/>
  <c r="L189" i="15"/>
  <c r="M189" i="15"/>
  <c r="N189" i="15"/>
  <c r="C189" i="15"/>
  <c r="D190" i="15"/>
  <c r="E190" i="15"/>
  <c r="F190" i="15"/>
  <c r="G190" i="15"/>
  <c r="H190" i="15"/>
  <c r="I190" i="15"/>
  <c r="J190" i="15"/>
  <c r="K190" i="15"/>
  <c r="L190" i="15"/>
  <c r="M190" i="15"/>
  <c r="N190" i="15"/>
  <c r="C190" i="15"/>
  <c r="D150" i="15"/>
  <c r="E150" i="15"/>
  <c r="F150" i="15"/>
  <c r="G150" i="15"/>
  <c r="H150" i="15"/>
  <c r="I150" i="15"/>
  <c r="J150" i="15"/>
  <c r="K150" i="15"/>
  <c r="L150" i="15"/>
  <c r="M150" i="15"/>
  <c r="N150" i="15"/>
  <c r="D147" i="15"/>
  <c r="E147" i="15"/>
  <c r="F147" i="15"/>
  <c r="G147" i="15"/>
  <c r="H147" i="15"/>
  <c r="I147" i="15"/>
  <c r="J147" i="15"/>
  <c r="K147" i="15"/>
  <c r="L147" i="15"/>
  <c r="M147" i="15"/>
  <c r="N147" i="15"/>
  <c r="D139" i="15"/>
  <c r="E139" i="15"/>
  <c r="F139" i="15"/>
  <c r="G139" i="15"/>
  <c r="H139" i="15"/>
  <c r="I139" i="15"/>
  <c r="J139" i="15"/>
  <c r="K139" i="15"/>
  <c r="L139" i="15"/>
  <c r="M139" i="15"/>
  <c r="N139" i="15"/>
  <c r="D140" i="15"/>
  <c r="E140" i="15"/>
  <c r="F140" i="15"/>
  <c r="G140" i="15"/>
  <c r="H140" i="15"/>
  <c r="I140" i="15"/>
  <c r="J140" i="15"/>
  <c r="K140" i="15"/>
  <c r="L140" i="15"/>
  <c r="M140" i="15"/>
  <c r="N140" i="15"/>
  <c r="C147" i="15"/>
  <c r="C140" i="15"/>
  <c r="C139" i="15"/>
  <c r="D137" i="15"/>
  <c r="E137" i="15"/>
  <c r="F137" i="15"/>
  <c r="G137" i="15"/>
  <c r="H137" i="15"/>
  <c r="I137" i="15"/>
  <c r="J137" i="15"/>
  <c r="K137" i="15"/>
  <c r="L137" i="15"/>
  <c r="M137" i="15"/>
  <c r="N137" i="15"/>
  <c r="D129" i="15"/>
  <c r="E129" i="15"/>
  <c r="F129" i="15"/>
  <c r="G129" i="15"/>
  <c r="H129" i="15"/>
  <c r="I129" i="15"/>
  <c r="J129" i="15"/>
  <c r="K129" i="15"/>
  <c r="L129" i="15"/>
  <c r="M129" i="15"/>
  <c r="N129" i="15"/>
  <c r="D130" i="15"/>
  <c r="E130" i="15"/>
  <c r="F130" i="15"/>
  <c r="G130" i="15"/>
  <c r="H130" i="15"/>
  <c r="I130" i="15"/>
  <c r="J130" i="15"/>
  <c r="K130" i="15"/>
  <c r="L130" i="15"/>
  <c r="M130" i="15"/>
  <c r="N130" i="15"/>
  <c r="C137" i="15"/>
  <c r="C130" i="15"/>
  <c r="C129" i="15"/>
  <c r="D127" i="15"/>
  <c r="E127" i="15"/>
  <c r="F127" i="15"/>
  <c r="G127" i="15"/>
  <c r="H127" i="15"/>
  <c r="I127" i="15"/>
  <c r="J127" i="15"/>
  <c r="K127" i="15"/>
  <c r="L127" i="15"/>
  <c r="M127" i="15"/>
  <c r="N127" i="15"/>
  <c r="C127" i="15"/>
  <c r="D119" i="15"/>
  <c r="E119" i="15"/>
  <c r="F119" i="15"/>
  <c r="G119" i="15"/>
  <c r="H119" i="15"/>
  <c r="I119" i="15"/>
  <c r="J119" i="15"/>
  <c r="K119" i="15"/>
  <c r="L119" i="15"/>
  <c r="M119" i="15"/>
  <c r="N119" i="15"/>
  <c r="D120" i="15"/>
  <c r="E120" i="15"/>
  <c r="F120" i="15"/>
  <c r="G120" i="15"/>
  <c r="H120" i="15"/>
  <c r="I120" i="15"/>
  <c r="J120" i="15"/>
  <c r="K120" i="15"/>
  <c r="L120" i="15"/>
  <c r="M120" i="15"/>
  <c r="N120" i="15"/>
  <c r="C120" i="15"/>
  <c r="C119" i="15"/>
  <c r="D117" i="15"/>
  <c r="E117" i="15"/>
  <c r="F117" i="15"/>
  <c r="G117" i="15"/>
  <c r="H117" i="15"/>
  <c r="I117" i="15"/>
  <c r="J117" i="15"/>
  <c r="K117" i="15"/>
  <c r="L117" i="15"/>
  <c r="M117" i="15"/>
  <c r="N117" i="15"/>
  <c r="D109" i="15"/>
  <c r="E109" i="15"/>
  <c r="F109" i="15"/>
  <c r="G109" i="15"/>
  <c r="H109" i="15"/>
  <c r="I109" i="15"/>
  <c r="J109" i="15"/>
  <c r="K109" i="15"/>
  <c r="L109" i="15"/>
  <c r="M109" i="15"/>
  <c r="N109" i="15"/>
  <c r="D110" i="15"/>
  <c r="E110" i="15"/>
  <c r="F110" i="15"/>
  <c r="G110" i="15"/>
  <c r="H110" i="15"/>
  <c r="I110" i="15"/>
  <c r="J110" i="15"/>
  <c r="K110" i="15"/>
  <c r="L110" i="15"/>
  <c r="M110" i="15"/>
  <c r="N110" i="15"/>
  <c r="C117" i="15"/>
  <c r="C110" i="15"/>
  <c r="C109" i="15"/>
  <c r="D100" i="15"/>
  <c r="E100" i="15"/>
  <c r="F100" i="15"/>
  <c r="G100" i="15"/>
  <c r="H100" i="15"/>
  <c r="I100" i="15"/>
  <c r="J100" i="15"/>
  <c r="K100" i="15"/>
  <c r="L100" i="15"/>
  <c r="M100" i="15"/>
  <c r="N100" i="15"/>
  <c r="C100" i="15"/>
  <c r="D89" i="15"/>
  <c r="E89" i="15"/>
  <c r="F89" i="15"/>
  <c r="G89" i="15"/>
  <c r="H89" i="15"/>
  <c r="I89" i="15"/>
  <c r="J89" i="15"/>
  <c r="K89" i="15"/>
  <c r="L89" i="15"/>
  <c r="M89" i="15"/>
  <c r="N89" i="15"/>
  <c r="D90" i="15"/>
  <c r="E90" i="15"/>
  <c r="F90" i="15"/>
  <c r="G90" i="15"/>
  <c r="H90" i="15"/>
  <c r="I90" i="15"/>
  <c r="J90" i="15"/>
  <c r="K90" i="15"/>
  <c r="L90" i="15"/>
  <c r="M90" i="15"/>
  <c r="N90" i="15"/>
  <c r="C89" i="15"/>
  <c r="C90" i="15"/>
  <c r="D87" i="15"/>
  <c r="E87" i="15"/>
  <c r="F87" i="15"/>
  <c r="G87" i="15"/>
  <c r="H87" i="15"/>
  <c r="I87" i="15"/>
  <c r="J87" i="15"/>
  <c r="K87" i="15"/>
  <c r="L87" i="15"/>
  <c r="M87" i="15"/>
  <c r="N87" i="15"/>
  <c r="D79" i="15"/>
  <c r="E79" i="15"/>
  <c r="F79" i="15"/>
  <c r="G79" i="15"/>
  <c r="H79" i="15"/>
  <c r="I79" i="15"/>
  <c r="J79" i="15"/>
  <c r="K79" i="15"/>
  <c r="L79" i="15"/>
  <c r="M79" i="15"/>
  <c r="N79" i="15"/>
  <c r="D80" i="15"/>
  <c r="E80" i="15"/>
  <c r="F80" i="15"/>
  <c r="G80" i="15"/>
  <c r="H80" i="15"/>
  <c r="I80" i="15"/>
  <c r="J80" i="15"/>
  <c r="K80" i="15"/>
  <c r="L80" i="15"/>
  <c r="M80" i="15"/>
  <c r="N80" i="15"/>
  <c r="C87" i="15"/>
  <c r="C80" i="15"/>
  <c r="C79" i="15"/>
  <c r="D69" i="15"/>
  <c r="E69" i="15"/>
  <c r="F69" i="15"/>
  <c r="G69" i="15"/>
  <c r="H69" i="15"/>
  <c r="I69" i="15"/>
  <c r="J69" i="15"/>
  <c r="K69" i="15"/>
  <c r="L69" i="15"/>
  <c r="M69" i="15"/>
  <c r="N69" i="15"/>
  <c r="D70" i="15"/>
  <c r="D71" i="15" s="1"/>
  <c r="E70" i="15"/>
  <c r="E71" i="15" s="1"/>
  <c r="F70" i="15"/>
  <c r="F71" i="15" s="1"/>
  <c r="G70" i="15"/>
  <c r="G71" i="15" s="1"/>
  <c r="H70" i="15"/>
  <c r="H71" i="15" s="1"/>
  <c r="H77" i="15" s="1"/>
  <c r="I70" i="15"/>
  <c r="I71" i="15" s="1"/>
  <c r="J70" i="15"/>
  <c r="J71" i="15" s="1"/>
  <c r="K70" i="15"/>
  <c r="K71" i="15" s="1"/>
  <c r="L70" i="15"/>
  <c r="L71" i="15" s="1"/>
  <c r="M70" i="15"/>
  <c r="M71" i="15" s="1"/>
  <c r="N70" i="15"/>
  <c r="N71" i="15" s="1"/>
  <c r="C70" i="15"/>
  <c r="C71" i="15" s="1"/>
  <c r="C69" i="15"/>
  <c r="D59" i="15"/>
  <c r="E59" i="15"/>
  <c r="F59" i="15"/>
  <c r="G59" i="15"/>
  <c r="H59" i="15"/>
  <c r="I59" i="15"/>
  <c r="J59" i="15"/>
  <c r="K59" i="15"/>
  <c r="L59" i="15"/>
  <c r="M59" i="15"/>
  <c r="N59" i="15"/>
  <c r="D60" i="15"/>
  <c r="E60" i="15"/>
  <c r="F60" i="15"/>
  <c r="G60" i="15"/>
  <c r="H60" i="15"/>
  <c r="I60" i="15"/>
  <c r="J60" i="15"/>
  <c r="K60" i="15"/>
  <c r="L60" i="15"/>
  <c r="M60" i="15"/>
  <c r="N60" i="15"/>
  <c r="C60" i="15"/>
  <c r="C59" i="15"/>
  <c r="D40" i="15"/>
  <c r="E40" i="15"/>
  <c r="F40" i="15"/>
  <c r="G40" i="15"/>
  <c r="H40" i="15"/>
  <c r="I40" i="15"/>
  <c r="J40" i="15"/>
  <c r="K40" i="15"/>
  <c r="L40" i="15"/>
  <c r="M40" i="15"/>
  <c r="N40" i="15"/>
  <c r="C40" i="15"/>
  <c r="D39" i="15"/>
  <c r="E39" i="15"/>
  <c r="F39" i="15"/>
  <c r="G39" i="15"/>
  <c r="H39" i="15"/>
  <c r="I39" i="15"/>
  <c r="J39" i="15"/>
  <c r="K39" i="15"/>
  <c r="L39" i="15"/>
  <c r="M39" i="15"/>
  <c r="N39" i="15"/>
  <c r="C39" i="15"/>
  <c r="N77" i="15" l="1"/>
  <c r="L77" i="15"/>
  <c r="K77" i="15"/>
  <c r="E77" i="15"/>
  <c r="D77" i="15"/>
  <c r="J77" i="15"/>
  <c r="M77" i="15"/>
  <c r="F77" i="15"/>
  <c r="I77" i="15"/>
  <c r="C77" i="15"/>
  <c r="G77" i="15"/>
  <c r="G69" i="1"/>
  <c r="N69" i="1"/>
  <c r="B40" i="4" l="1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N61" i="15"/>
  <c r="M61" i="15"/>
  <c r="L61" i="15"/>
  <c r="K61" i="15"/>
  <c r="J61" i="15"/>
  <c r="I61" i="15"/>
  <c r="H61" i="15"/>
  <c r="G61" i="15"/>
  <c r="F61" i="15"/>
  <c r="E61" i="15"/>
  <c r="D61" i="15"/>
  <c r="C61" i="15"/>
  <c r="G23" i="17" l="1"/>
  <c r="G21" i="17"/>
  <c r="G16" i="17"/>
  <c r="G15" i="17"/>
  <c r="T617" i="2"/>
  <c r="Q617" i="2"/>
  <c r="K617" i="2"/>
  <c r="H617" i="2"/>
  <c r="G617" i="2"/>
  <c r="S617" i="2"/>
  <c r="R617" i="2"/>
  <c r="P617" i="2"/>
  <c r="O617" i="2"/>
  <c r="N617" i="2"/>
  <c r="M617" i="2"/>
  <c r="I617" i="2"/>
  <c r="J617" i="2"/>
  <c r="L438" i="2"/>
  <c r="O23" i="15"/>
  <c r="Z23" i="15" s="1"/>
  <c r="O24" i="15"/>
  <c r="Z24" i="15" s="1"/>
  <c r="V429" i="2"/>
  <c r="V3" i="2"/>
  <c r="T3" i="2"/>
  <c r="S3" i="2"/>
  <c r="R3" i="2"/>
  <c r="Q3" i="2"/>
  <c r="P3" i="2"/>
  <c r="V2" i="2"/>
  <c r="U2" i="2"/>
  <c r="T2" i="2"/>
  <c r="S2" i="2"/>
  <c r="R2" i="2"/>
  <c r="Q2" i="2"/>
  <c r="P2" i="2"/>
  <c r="F207" i="15"/>
  <c r="N201" i="15"/>
  <c r="N207" i="15" s="1"/>
  <c r="M201" i="15"/>
  <c r="M207" i="15" s="1"/>
  <c r="L201" i="15"/>
  <c r="L207" i="15" s="1"/>
  <c r="K201" i="15"/>
  <c r="K207" i="15" s="1"/>
  <c r="J201" i="15"/>
  <c r="J207" i="15" s="1"/>
  <c r="I201" i="15"/>
  <c r="I207" i="15" s="1"/>
  <c r="H201" i="15"/>
  <c r="H207" i="15" s="1"/>
  <c r="G201" i="15"/>
  <c r="G207" i="15" s="1"/>
  <c r="F201" i="15"/>
  <c r="F203" i="15" s="1"/>
  <c r="F205" i="15" s="1"/>
  <c r="E201" i="15"/>
  <c r="E207" i="15" s="1"/>
  <c r="D201" i="15"/>
  <c r="D207" i="15" s="1"/>
  <c r="C201" i="15"/>
  <c r="C207" i="15" s="1"/>
  <c r="N191" i="15"/>
  <c r="N197" i="15" s="1"/>
  <c r="M191" i="15"/>
  <c r="M193" i="15" s="1"/>
  <c r="M195" i="15" s="1"/>
  <c r="L191" i="15"/>
  <c r="L193" i="15" s="1"/>
  <c r="L195" i="15" s="1"/>
  <c r="K191" i="15"/>
  <c r="K197" i="15" s="1"/>
  <c r="J191" i="15"/>
  <c r="J197" i="15" s="1"/>
  <c r="I191" i="15"/>
  <c r="I197" i="15" s="1"/>
  <c r="H191" i="15"/>
  <c r="H197" i="15" s="1"/>
  <c r="G191" i="15"/>
  <c r="G197" i="15" s="1"/>
  <c r="F191" i="15"/>
  <c r="F197" i="15" s="1"/>
  <c r="E191" i="15"/>
  <c r="E193" i="15" s="1"/>
  <c r="E195" i="15" s="1"/>
  <c r="D191" i="15"/>
  <c r="D197" i="15" s="1"/>
  <c r="C191" i="15"/>
  <c r="C197" i="15" s="1"/>
  <c r="D193" i="15" l="1"/>
  <c r="D195" i="15" s="1"/>
  <c r="G193" i="15"/>
  <c r="G195" i="15" s="1"/>
  <c r="E197" i="15"/>
  <c r="N203" i="15"/>
  <c r="N205" i="15" s="1"/>
  <c r="F193" i="15"/>
  <c r="F195" i="15" s="1"/>
  <c r="L197" i="15"/>
  <c r="M197" i="15"/>
  <c r="N193" i="15"/>
  <c r="N195" i="15" s="1"/>
  <c r="K203" i="15"/>
  <c r="K205" i="15" s="1"/>
  <c r="C203" i="15"/>
  <c r="C205" i="15" s="1"/>
  <c r="H203" i="15"/>
  <c r="H205" i="15" s="1"/>
  <c r="G203" i="15"/>
  <c r="G205" i="15" s="1"/>
  <c r="I203" i="15"/>
  <c r="I205" i="15" s="1"/>
  <c r="J203" i="15"/>
  <c r="J205" i="15" s="1"/>
  <c r="D203" i="15"/>
  <c r="D205" i="15" s="1"/>
  <c r="L203" i="15"/>
  <c r="L205" i="15" s="1"/>
  <c r="E203" i="15"/>
  <c r="E205" i="15" s="1"/>
  <c r="M203" i="15"/>
  <c r="M205" i="15" s="1"/>
  <c r="H193" i="15"/>
  <c r="H195" i="15" s="1"/>
  <c r="I193" i="15"/>
  <c r="I195" i="15" s="1"/>
  <c r="J193" i="15"/>
  <c r="J195" i="15" s="1"/>
  <c r="C193" i="15"/>
  <c r="C195" i="15" s="1"/>
  <c r="K193" i="15"/>
  <c r="K195" i="15" s="1"/>
  <c r="N181" i="15" l="1"/>
  <c r="N187" i="15" s="1"/>
  <c r="M181" i="15"/>
  <c r="M187" i="15" s="1"/>
  <c r="L181" i="15"/>
  <c r="L183" i="15" s="1"/>
  <c r="K181" i="15"/>
  <c r="K187" i="15" s="1"/>
  <c r="J181" i="15"/>
  <c r="J187" i="15" s="1"/>
  <c r="I181" i="15"/>
  <c r="I187" i="15" s="1"/>
  <c r="H181" i="15"/>
  <c r="H187" i="15" s="1"/>
  <c r="G181" i="15"/>
  <c r="G187" i="15" s="1"/>
  <c r="F181" i="15"/>
  <c r="F187" i="15" s="1"/>
  <c r="E181" i="15"/>
  <c r="E187" i="15" s="1"/>
  <c r="D181" i="15"/>
  <c r="D187" i="15" s="1"/>
  <c r="C181" i="15"/>
  <c r="C187" i="15" s="1"/>
  <c r="D152" i="15"/>
  <c r="E152" i="15"/>
  <c r="F152" i="15"/>
  <c r="G152" i="15"/>
  <c r="H152" i="15"/>
  <c r="I152" i="15"/>
  <c r="J152" i="15"/>
  <c r="K152" i="15"/>
  <c r="L152" i="15"/>
  <c r="M152" i="15"/>
  <c r="N152" i="15"/>
  <c r="C152" i="15"/>
  <c r="N151" i="15"/>
  <c r="N157" i="15" s="1"/>
  <c r="M151" i="15"/>
  <c r="M157" i="15" s="1"/>
  <c r="L151" i="15"/>
  <c r="L157" i="15" s="1"/>
  <c r="K151" i="15"/>
  <c r="K157" i="15" s="1"/>
  <c r="J151" i="15"/>
  <c r="J157" i="15" s="1"/>
  <c r="I151" i="15"/>
  <c r="I157" i="15" s="1"/>
  <c r="H151" i="15"/>
  <c r="H157" i="15" s="1"/>
  <c r="G151" i="15"/>
  <c r="G157" i="15" s="1"/>
  <c r="F151" i="15"/>
  <c r="F157" i="15" s="1"/>
  <c r="E151" i="15"/>
  <c r="E157" i="15" s="1"/>
  <c r="D151" i="15"/>
  <c r="D157" i="15" s="1"/>
  <c r="C151" i="15"/>
  <c r="C157" i="15" s="1"/>
  <c r="C134" i="15"/>
  <c r="C96" i="15"/>
  <c r="D183" i="15" l="1"/>
  <c r="E183" i="15"/>
  <c r="F183" i="15"/>
  <c r="K183" i="15"/>
  <c r="L187" i="15"/>
  <c r="M183" i="15"/>
  <c r="N183" i="15"/>
  <c r="C183" i="15"/>
  <c r="C185" i="15" s="1"/>
  <c r="M153" i="15"/>
  <c r="M155" i="15" s="1"/>
  <c r="E153" i="15"/>
  <c r="E155" i="15" s="1"/>
  <c r="N153" i="15"/>
  <c r="N155" i="15" s="1"/>
  <c r="F153" i="15"/>
  <c r="F155" i="15" s="1"/>
  <c r="G183" i="15"/>
  <c r="H183" i="15"/>
  <c r="I183" i="15"/>
  <c r="J183" i="15"/>
  <c r="G153" i="15"/>
  <c r="G155" i="15" s="1"/>
  <c r="H153" i="15"/>
  <c r="H155" i="15" s="1"/>
  <c r="I153" i="15"/>
  <c r="I155" i="15" s="1"/>
  <c r="J153" i="15"/>
  <c r="J155" i="15" s="1"/>
  <c r="C153" i="15"/>
  <c r="C155" i="15" s="1"/>
  <c r="K153" i="15"/>
  <c r="K155" i="15" s="1"/>
  <c r="D153" i="15"/>
  <c r="D155" i="15" s="1"/>
  <c r="L153" i="15"/>
  <c r="L155" i="15" s="1"/>
  <c r="N211" i="15" l="1"/>
  <c r="M211" i="15"/>
  <c r="L211" i="15"/>
  <c r="K211" i="15"/>
  <c r="J211" i="15"/>
  <c r="I211" i="15"/>
  <c r="H211" i="15"/>
  <c r="G211" i="15"/>
  <c r="F211" i="15"/>
  <c r="E211" i="15"/>
  <c r="D211" i="15"/>
  <c r="C211" i="15"/>
  <c r="N141" i="15"/>
  <c r="M141" i="15"/>
  <c r="L141" i="15"/>
  <c r="K141" i="15"/>
  <c r="J141" i="15"/>
  <c r="I141" i="15"/>
  <c r="H141" i="15"/>
  <c r="G141" i="15"/>
  <c r="F141" i="15"/>
  <c r="E141" i="15"/>
  <c r="D141" i="15"/>
  <c r="C141" i="15"/>
  <c r="N131" i="15"/>
  <c r="M131" i="15"/>
  <c r="L131" i="15"/>
  <c r="K131" i="15"/>
  <c r="J131" i="15"/>
  <c r="I131" i="15"/>
  <c r="H131" i="15"/>
  <c r="G131" i="15"/>
  <c r="F131" i="15"/>
  <c r="E131" i="15"/>
  <c r="D131" i="15"/>
  <c r="C13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N111" i="15"/>
  <c r="M111" i="15"/>
  <c r="L111" i="15"/>
  <c r="K111" i="15"/>
  <c r="J111" i="15"/>
  <c r="I111" i="15"/>
  <c r="H111" i="15"/>
  <c r="G111" i="15"/>
  <c r="F111" i="15"/>
  <c r="E111" i="15"/>
  <c r="D111" i="15"/>
  <c r="C111" i="15"/>
  <c r="N101" i="15"/>
  <c r="M101" i="15"/>
  <c r="L101" i="15"/>
  <c r="K101" i="15"/>
  <c r="J101" i="15"/>
  <c r="I101" i="15"/>
  <c r="H101" i="15"/>
  <c r="G101" i="15"/>
  <c r="F101" i="15"/>
  <c r="E101" i="15"/>
  <c r="D101" i="15"/>
  <c r="C101" i="15"/>
  <c r="N91" i="15"/>
  <c r="M91" i="15"/>
  <c r="L91" i="15"/>
  <c r="K91" i="15"/>
  <c r="J91" i="15"/>
  <c r="I91" i="15"/>
  <c r="H91" i="15"/>
  <c r="G91" i="15"/>
  <c r="F91" i="15"/>
  <c r="E91" i="15"/>
  <c r="D91" i="15"/>
  <c r="C91" i="15"/>
  <c r="N81" i="15"/>
  <c r="M81" i="15"/>
  <c r="L81" i="15"/>
  <c r="K81" i="15"/>
  <c r="J81" i="15"/>
  <c r="I81" i="15"/>
  <c r="H81" i="15"/>
  <c r="G81" i="15"/>
  <c r="F81" i="15"/>
  <c r="E81" i="15"/>
  <c r="D81" i="15"/>
  <c r="C8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D41" i="15"/>
  <c r="E41" i="15"/>
  <c r="F41" i="15"/>
  <c r="G41" i="15"/>
  <c r="H41" i="15"/>
  <c r="I41" i="15"/>
  <c r="J41" i="15"/>
  <c r="K41" i="15"/>
  <c r="L41" i="15"/>
  <c r="M41" i="15"/>
  <c r="N41" i="15"/>
  <c r="C41" i="15"/>
  <c r="M35" i="15"/>
  <c r="K35" i="15"/>
  <c r="H35" i="15"/>
  <c r="F35" i="15"/>
  <c r="D35" i="15"/>
  <c r="E35" i="15"/>
  <c r="G35" i="15"/>
  <c r="I35" i="15"/>
  <c r="J35" i="15"/>
  <c r="L35" i="15"/>
  <c r="N35" i="15"/>
  <c r="C35" i="15"/>
  <c r="D102" i="15"/>
  <c r="E102" i="15"/>
  <c r="F102" i="15"/>
  <c r="G102" i="15"/>
  <c r="G103" i="15" s="1"/>
  <c r="H102" i="15"/>
  <c r="I102" i="15"/>
  <c r="I103" i="15" s="1"/>
  <c r="I105" i="15" s="1"/>
  <c r="J102" i="15"/>
  <c r="K102" i="15"/>
  <c r="L102" i="15"/>
  <c r="M102" i="15"/>
  <c r="N102" i="15"/>
  <c r="D104" i="15"/>
  <c r="E104" i="15"/>
  <c r="F104" i="15"/>
  <c r="G104" i="15"/>
  <c r="H104" i="15"/>
  <c r="I104" i="15"/>
  <c r="J104" i="15"/>
  <c r="K104" i="15"/>
  <c r="L104" i="15"/>
  <c r="M104" i="15"/>
  <c r="N104" i="15"/>
  <c r="C106" i="15"/>
  <c r="C104" i="15"/>
  <c r="C102" i="15"/>
  <c r="H103" i="15" l="1"/>
  <c r="H105" i="15" s="1"/>
  <c r="N103" i="15"/>
  <c r="N105" i="15" s="1"/>
  <c r="F103" i="15"/>
  <c r="F105" i="15" s="1"/>
  <c r="E103" i="15"/>
  <c r="E105" i="15" s="1"/>
  <c r="M103" i="15"/>
  <c r="M105" i="15" s="1"/>
  <c r="J103" i="15"/>
  <c r="J105" i="15" s="1"/>
  <c r="K103" i="15"/>
  <c r="K105" i="15" s="1"/>
  <c r="L103" i="15"/>
  <c r="L105" i="15" s="1"/>
  <c r="G105" i="15"/>
  <c r="D103" i="15"/>
  <c r="D105" i="15" s="1"/>
  <c r="D96" i="15" l="1"/>
  <c r="D106" i="15" s="1"/>
  <c r="E96" i="15"/>
  <c r="E106" i="15" s="1"/>
  <c r="F96" i="15"/>
  <c r="F106" i="15" s="1"/>
  <c r="G96" i="15"/>
  <c r="G106" i="15" s="1"/>
  <c r="H96" i="15"/>
  <c r="H106" i="15" s="1"/>
  <c r="I96" i="15"/>
  <c r="I106" i="15" s="1"/>
  <c r="J96" i="15"/>
  <c r="J106" i="15" s="1"/>
  <c r="K96" i="15"/>
  <c r="K106" i="15" s="1"/>
  <c r="L96" i="15"/>
  <c r="L106" i="15" s="1"/>
  <c r="M96" i="15"/>
  <c r="M106" i="15" s="1"/>
  <c r="N96" i="15"/>
  <c r="N106" i="15" s="1"/>
  <c r="N146" i="15"/>
  <c r="N143" i="15" s="1"/>
  <c r="L146" i="15"/>
  <c r="L143" i="15" s="1"/>
  <c r="H146" i="15"/>
  <c r="H143" i="15" s="1"/>
  <c r="G146" i="15"/>
  <c r="F146" i="15"/>
  <c r="F143" i="15" s="1"/>
  <c r="D146" i="15"/>
  <c r="D143" i="15" s="1"/>
  <c r="M146" i="15"/>
  <c r="K146" i="15"/>
  <c r="E146" i="15"/>
  <c r="C146" i="15"/>
  <c r="M136" i="15"/>
  <c r="K136" i="15"/>
  <c r="G136" i="15"/>
  <c r="E136" i="15"/>
  <c r="C136" i="15"/>
  <c r="L136" i="15"/>
  <c r="J136" i="15"/>
  <c r="I136" i="15"/>
  <c r="H136" i="15"/>
  <c r="D136" i="15"/>
  <c r="N126" i="15"/>
  <c r="M126" i="15"/>
  <c r="G126" i="15"/>
  <c r="F126" i="15"/>
  <c r="E126" i="15"/>
  <c r="G134" i="15"/>
  <c r="L126" i="15"/>
  <c r="K126" i="15"/>
  <c r="J126" i="15"/>
  <c r="I126" i="15"/>
  <c r="D126" i="15"/>
  <c r="C123" i="15"/>
  <c r="C125" i="15" s="1"/>
  <c r="M116" i="15"/>
  <c r="M113" i="15" s="1"/>
  <c r="M115" i="15" s="1"/>
  <c r="K116" i="15"/>
  <c r="G116" i="15"/>
  <c r="G113" i="15" s="1"/>
  <c r="G115" i="15" s="1"/>
  <c r="E116" i="15"/>
  <c r="E113" i="15" s="1"/>
  <c r="C116" i="15"/>
  <c r="N134" i="15"/>
  <c r="M134" i="15"/>
  <c r="L134" i="15"/>
  <c r="K134" i="15"/>
  <c r="J134" i="15"/>
  <c r="I134" i="15"/>
  <c r="H134" i="15"/>
  <c r="F134" i="15"/>
  <c r="E134" i="15"/>
  <c r="D134" i="15"/>
  <c r="N116" i="15"/>
  <c r="L116" i="15"/>
  <c r="J116" i="15"/>
  <c r="F116" i="15"/>
  <c r="D116" i="15"/>
  <c r="D52" i="15"/>
  <c r="E52" i="15"/>
  <c r="E63" i="15" s="1"/>
  <c r="E65" i="15" s="1"/>
  <c r="F52" i="15"/>
  <c r="F63" i="15" s="1"/>
  <c r="F65" i="15" s="1"/>
  <c r="G52" i="15"/>
  <c r="G63" i="15" s="1"/>
  <c r="G65" i="15" s="1"/>
  <c r="H52" i="15"/>
  <c r="H63" i="15" s="1"/>
  <c r="H65" i="15" s="1"/>
  <c r="I52" i="15"/>
  <c r="I63" i="15" s="1"/>
  <c r="I65" i="15" s="1"/>
  <c r="J52" i="15"/>
  <c r="J63" i="15" s="1"/>
  <c r="J65" i="15" s="1"/>
  <c r="K52" i="15"/>
  <c r="L52" i="15"/>
  <c r="M52" i="15"/>
  <c r="N52" i="15"/>
  <c r="D54" i="15"/>
  <c r="E54" i="15"/>
  <c r="F54" i="15"/>
  <c r="G54" i="15"/>
  <c r="H54" i="15"/>
  <c r="I54" i="15"/>
  <c r="J54" i="15"/>
  <c r="K54" i="15"/>
  <c r="L54" i="15"/>
  <c r="M54" i="15"/>
  <c r="N54" i="15"/>
  <c r="D56" i="15"/>
  <c r="D66" i="15" s="1"/>
  <c r="D67" i="15" s="1"/>
  <c r="E56" i="15"/>
  <c r="E66" i="15" s="1"/>
  <c r="E67" i="15" s="1"/>
  <c r="F56" i="15"/>
  <c r="F66" i="15" s="1"/>
  <c r="F67" i="15" s="1"/>
  <c r="G56" i="15"/>
  <c r="H56" i="15"/>
  <c r="I56" i="15"/>
  <c r="I66" i="15" s="1"/>
  <c r="I67" i="15" s="1"/>
  <c r="J56" i="15"/>
  <c r="J66" i="15" s="1"/>
  <c r="J67" i="15" s="1"/>
  <c r="K56" i="15"/>
  <c r="L56" i="15"/>
  <c r="L66" i="15" s="1"/>
  <c r="L67" i="15" s="1"/>
  <c r="M56" i="15"/>
  <c r="M66" i="15" s="1"/>
  <c r="M67" i="15" s="1"/>
  <c r="N56" i="15"/>
  <c r="N66" i="15" s="1"/>
  <c r="N67" i="15" s="1"/>
  <c r="D57" i="15"/>
  <c r="I57" i="15"/>
  <c r="J57" i="15"/>
  <c r="N63" i="15" l="1"/>
  <c r="N65" i="15" s="1"/>
  <c r="W52" i="15"/>
  <c r="K57" i="15"/>
  <c r="K66" i="15"/>
  <c r="K67" i="15" s="1"/>
  <c r="G57" i="15"/>
  <c r="G66" i="15"/>
  <c r="G67" i="15" s="1"/>
  <c r="M57" i="15"/>
  <c r="N57" i="15"/>
  <c r="L57" i="15"/>
  <c r="E57" i="15"/>
  <c r="H57" i="15"/>
  <c r="H66" i="15"/>
  <c r="H67" i="15" s="1"/>
  <c r="M53" i="15"/>
  <c r="M55" i="15" s="1"/>
  <c r="M63" i="15"/>
  <c r="M65" i="15" s="1"/>
  <c r="L53" i="15"/>
  <c r="L55" i="15" s="1"/>
  <c r="L63" i="15"/>
  <c r="L65" i="15" s="1"/>
  <c r="K53" i="15"/>
  <c r="K55" i="15" s="1"/>
  <c r="K63" i="15"/>
  <c r="K65" i="15" s="1"/>
  <c r="D53" i="15"/>
  <c r="D55" i="15" s="1"/>
  <c r="D63" i="15"/>
  <c r="D65" i="15" s="1"/>
  <c r="J53" i="15"/>
  <c r="J55" i="15" s="1"/>
  <c r="H53" i="15"/>
  <c r="H55" i="15" s="1"/>
  <c r="I53" i="15"/>
  <c r="I55" i="15" s="1"/>
  <c r="G53" i="15"/>
  <c r="G55" i="15" s="1"/>
  <c r="F53" i="15"/>
  <c r="F55" i="15" s="1"/>
  <c r="E53" i="15"/>
  <c r="E55" i="15" s="1"/>
  <c r="E115" i="15"/>
  <c r="G135" i="15"/>
  <c r="D145" i="15"/>
  <c r="L145" i="15"/>
  <c r="M125" i="15"/>
  <c r="F125" i="15"/>
  <c r="N125" i="15"/>
  <c r="F145" i="15"/>
  <c r="N145" i="15"/>
  <c r="G125" i="15"/>
  <c r="K135" i="15"/>
  <c r="H145" i="15"/>
  <c r="G143" i="15"/>
  <c r="G145" i="15" s="1"/>
  <c r="K143" i="15"/>
  <c r="K145" i="15" s="1"/>
  <c r="I146" i="15"/>
  <c r="I143" i="15" s="1"/>
  <c r="I145" i="15" s="1"/>
  <c r="C143" i="15"/>
  <c r="C145" i="15" s="1"/>
  <c r="E143" i="15"/>
  <c r="E145" i="15" s="1"/>
  <c r="M143" i="15"/>
  <c r="M145" i="15" s="1"/>
  <c r="J146" i="15"/>
  <c r="J143" i="15" s="1"/>
  <c r="J145" i="15" s="1"/>
  <c r="C135" i="15"/>
  <c r="E135" i="15"/>
  <c r="M135" i="15"/>
  <c r="H135" i="15"/>
  <c r="I135" i="15"/>
  <c r="N136" i="15"/>
  <c r="N135" i="15" s="1"/>
  <c r="J135" i="15"/>
  <c r="F136" i="15"/>
  <c r="F135" i="15" s="1"/>
  <c r="D135" i="15"/>
  <c r="L135" i="15"/>
  <c r="E125" i="15"/>
  <c r="I125" i="15"/>
  <c r="J125" i="15"/>
  <c r="K125" i="15"/>
  <c r="H126" i="15"/>
  <c r="H125" i="15" s="1"/>
  <c r="D125" i="15"/>
  <c r="L125" i="15"/>
  <c r="C113" i="15"/>
  <c r="C115" i="15" s="1"/>
  <c r="K113" i="15"/>
  <c r="K115" i="15" s="1"/>
  <c r="J113" i="15"/>
  <c r="J115" i="15" s="1"/>
  <c r="H116" i="15"/>
  <c r="H113" i="15" s="1"/>
  <c r="H115" i="15" s="1"/>
  <c r="D113" i="15"/>
  <c r="D115" i="15" s="1"/>
  <c r="L113" i="15"/>
  <c r="L115" i="15" s="1"/>
  <c r="I116" i="15"/>
  <c r="I113" i="15" s="1"/>
  <c r="I115" i="15" s="1"/>
  <c r="F113" i="15"/>
  <c r="F115" i="15" s="1"/>
  <c r="N113" i="15"/>
  <c r="N115" i="15" s="1"/>
  <c r="N53" i="15"/>
  <c r="N55" i="15" s="1"/>
  <c r="F57" i="15"/>
  <c r="C56" i="15" l="1"/>
  <c r="C66" i="15" s="1"/>
  <c r="C67" i="15" s="1"/>
  <c r="C54" i="15"/>
  <c r="C52" i="15"/>
  <c r="O199" i="15"/>
  <c r="C24" i="15" s="1"/>
  <c r="O189" i="15"/>
  <c r="C23" i="15" s="1"/>
  <c r="O179" i="15"/>
  <c r="C22" i="15" s="1"/>
  <c r="O169" i="15"/>
  <c r="C21" i="15" s="1"/>
  <c r="O159" i="15"/>
  <c r="C20" i="15" s="1"/>
  <c r="O149" i="15"/>
  <c r="C19" i="15" s="1"/>
  <c r="O139" i="15"/>
  <c r="C18" i="15" s="1"/>
  <c r="A209" i="15"/>
  <c r="O210" i="15"/>
  <c r="O211" i="15" s="1"/>
  <c r="D217" i="15"/>
  <c r="E217" i="15"/>
  <c r="F217" i="15"/>
  <c r="G217" i="15"/>
  <c r="H217" i="15"/>
  <c r="I217" i="15"/>
  <c r="J217" i="15"/>
  <c r="K217" i="15"/>
  <c r="L217" i="15"/>
  <c r="M217" i="15"/>
  <c r="N217" i="15"/>
  <c r="O213" i="15"/>
  <c r="Q213" i="15"/>
  <c r="C215" i="15"/>
  <c r="D215" i="15"/>
  <c r="E215" i="15"/>
  <c r="F215" i="15"/>
  <c r="G215" i="15"/>
  <c r="H215" i="15"/>
  <c r="I215" i="15"/>
  <c r="J215" i="15"/>
  <c r="K215" i="15"/>
  <c r="L215" i="15"/>
  <c r="M215" i="15"/>
  <c r="N215" i="15"/>
  <c r="C217" i="15"/>
  <c r="Q203" i="15"/>
  <c r="H24" i="15" s="1"/>
  <c r="V444" i="2" s="1"/>
  <c r="O203" i="15"/>
  <c r="O200" i="15"/>
  <c r="O201" i="15" s="1"/>
  <c r="Q193" i="15"/>
  <c r="H23" i="15" s="1"/>
  <c r="O193" i="15"/>
  <c r="O190" i="15"/>
  <c r="O191" i="15" s="1"/>
  <c r="A24" i="15"/>
  <c r="L24" i="15" s="1"/>
  <c r="V24" i="15" s="1"/>
  <c r="B24" i="15"/>
  <c r="B199" i="15" s="1"/>
  <c r="A9" i="15"/>
  <c r="L9" i="15" s="1"/>
  <c r="V9" i="15" s="1"/>
  <c r="B9" i="15"/>
  <c r="U9" i="15" s="1"/>
  <c r="A10" i="15"/>
  <c r="L10" i="15" s="1"/>
  <c r="V10" i="15" s="1"/>
  <c r="B10" i="15"/>
  <c r="U10" i="15" s="1"/>
  <c r="A11" i="15"/>
  <c r="L11" i="15" s="1"/>
  <c r="V11" i="15" s="1"/>
  <c r="B11" i="15"/>
  <c r="U11" i="15" s="1"/>
  <c r="A12" i="15"/>
  <c r="L12" i="15" s="1"/>
  <c r="V12" i="15" s="1"/>
  <c r="B12" i="15"/>
  <c r="U12" i="15" s="1"/>
  <c r="A13" i="15"/>
  <c r="L13" i="15" s="1"/>
  <c r="V13" i="15" s="1"/>
  <c r="B13" i="15"/>
  <c r="A14" i="15"/>
  <c r="L14" i="15" s="1"/>
  <c r="V14" i="15" s="1"/>
  <c r="B14" i="15"/>
  <c r="A15" i="15"/>
  <c r="L15" i="15" s="1"/>
  <c r="V15" i="15" s="1"/>
  <c r="B15" i="15"/>
  <c r="A16" i="15"/>
  <c r="L16" i="15" s="1"/>
  <c r="V16" i="15" s="1"/>
  <c r="B16" i="15"/>
  <c r="U16" i="15" s="1"/>
  <c r="A17" i="15"/>
  <c r="L17" i="15" s="1"/>
  <c r="V17" i="15" s="1"/>
  <c r="B17" i="15"/>
  <c r="U17" i="15" s="1"/>
  <c r="A18" i="15"/>
  <c r="L18" i="15" s="1"/>
  <c r="V18" i="15" s="1"/>
  <c r="B18" i="15"/>
  <c r="U18" i="15" s="1"/>
  <c r="A19" i="15"/>
  <c r="L19" i="15" s="1"/>
  <c r="V19" i="15" s="1"/>
  <c r="B19" i="15"/>
  <c r="U19" i="15" s="1"/>
  <c r="A20" i="15"/>
  <c r="L20" i="15" s="1"/>
  <c r="V20" i="15" s="1"/>
  <c r="B20" i="15"/>
  <c r="U20" i="15" s="1"/>
  <c r="A21" i="15"/>
  <c r="L21" i="15" s="1"/>
  <c r="V21" i="15" s="1"/>
  <c r="B21" i="15"/>
  <c r="U21" i="15" s="1"/>
  <c r="A22" i="15"/>
  <c r="L22" i="15" s="1"/>
  <c r="V22" i="15" s="1"/>
  <c r="B22" i="15"/>
  <c r="U22" i="15" s="1"/>
  <c r="A23" i="15"/>
  <c r="L23" i="15" s="1"/>
  <c r="V23" i="15" s="1"/>
  <c r="B23" i="15"/>
  <c r="U23" i="15" s="1"/>
  <c r="G12" i="1"/>
  <c r="G93" i="1" s="1"/>
  <c r="J12" i="1"/>
  <c r="J93" i="1" s="1"/>
  <c r="L12" i="1"/>
  <c r="N12" i="1"/>
  <c r="N93" i="1" s="1"/>
  <c r="Q12" i="1"/>
  <c r="Q93" i="1" s="1"/>
  <c r="T12" i="1"/>
  <c r="T93" i="1" s="1"/>
  <c r="V12" i="1"/>
  <c r="V93" i="1" s="1"/>
  <c r="X12" i="1"/>
  <c r="X93" i="1" s="1"/>
  <c r="Z12" i="1"/>
  <c r="Z93" i="1" s="1"/>
  <c r="B7" i="9"/>
  <c r="C7" i="9"/>
  <c r="B8" i="9"/>
  <c r="C8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B21" i="8"/>
  <c r="C21" i="8"/>
  <c r="B22" i="8"/>
  <c r="C22" i="8"/>
  <c r="B15" i="17"/>
  <c r="C15" i="17"/>
  <c r="B16" i="17"/>
  <c r="C16" i="17"/>
  <c r="B17" i="17"/>
  <c r="C17" i="17"/>
  <c r="B18" i="17"/>
  <c r="C18" i="17"/>
  <c r="B19" i="17"/>
  <c r="C19" i="17"/>
  <c r="B20" i="17"/>
  <c r="C20" i="17"/>
  <c r="B21" i="17"/>
  <c r="C21" i="17"/>
  <c r="B22" i="17"/>
  <c r="C22" i="17"/>
  <c r="B23" i="17"/>
  <c r="C23" i="17"/>
  <c r="B10" i="17"/>
  <c r="C10" i="17"/>
  <c r="B11" i="17"/>
  <c r="C11" i="17"/>
  <c r="B12" i="17"/>
  <c r="C12" i="17"/>
  <c r="B13" i="17"/>
  <c r="C13" i="17"/>
  <c r="B14" i="17"/>
  <c r="C14" i="17"/>
  <c r="B7" i="8"/>
  <c r="C7" i="8"/>
  <c r="B8" i="8"/>
  <c r="C8" i="8"/>
  <c r="B9" i="8"/>
  <c r="C9" i="8"/>
  <c r="B10" i="8"/>
  <c r="C10" i="8"/>
  <c r="B11" i="8"/>
  <c r="C11" i="8"/>
  <c r="B12" i="8"/>
  <c r="C12" i="8"/>
  <c r="B13" i="8"/>
  <c r="C13" i="8"/>
  <c r="B89" i="15" l="1"/>
  <c r="U13" i="15"/>
  <c r="B109" i="15"/>
  <c r="U15" i="15"/>
  <c r="B99" i="15"/>
  <c r="U14" i="15"/>
  <c r="C63" i="15"/>
  <c r="C65" i="15" s="1"/>
  <c r="X52" i="15"/>
  <c r="Y52" i="15" s="1"/>
  <c r="D20" i="9"/>
  <c r="F20" i="9" s="1"/>
  <c r="D20" i="8"/>
  <c r="F20" i="8" s="1"/>
  <c r="D19" i="9"/>
  <c r="F19" i="9" s="1"/>
  <c r="D19" i="8"/>
  <c r="F19" i="8" s="1"/>
  <c r="D18" i="9"/>
  <c r="F18" i="9" s="1"/>
  <c r="D18" i="8"/>
  <c r="F18" i="8" s="1"/>
  <c r="D17" i="9"/>
  <c r="F17" i="9" s="1"/>
  <c r="D17" i="8"/>
  <c r="F17" i="8" s="1"/>
  <c r="D16" i="9"/>
  <c r="F16" i="9" s="1"/>
  <c r="D16" i="8"/>
  <c r="F16" i="8" s="1"/>
  <c r="D21" i="8"/>
  <c r="F21" i="8" s="1"/>
  <c r="D21" i="9"/>
  <c r="F21" i="9" s="1"/>
  <c r="M23" i="15"/>
  <c r="W23" i="15" s="1"/>
  <c r="D22" i="8"/>
  <c r="F22" i="8" s="1"/>
  <c r="D22" i="9"/>
  <c r="F22" i="9" s="1"/>
  <c r="M24" i="15"/>
  <c r="W24" i="15" s="1"/>
  <c r="V433" i="2"/>
  <c r="V434" i="2" s="1"/>
  <c r="D23" i="15"/>
  <c r="S215" i="15"/>
  <c r="D24" i="15"/>
  <c r="O215" i="15"/>
  <c r="R215" i="15" s="1"/>
  <c r="T215" i="15" s="1"/>
  <c r="O217" i="15"/>
  <c r="O205" i="15"/>
  <c r="R205" i="15" s="1"/>
  <c r="I24" i="15" s="1"/>
  <c r="V443" i="2" s="1"/>
  <c r="V496" i="2" s="1"/>
  <c r="P217" i="15"/>
  <c r="A189" i="15"/>
  <c r="S205" i="15"/>
  <c r="J24" i="15" s="1"/>
  <c r="V442" i="2" s="1"/>
  <c r="A199" i="15"/>
  <c r="P207" i="15"/>
  <c r="G24" i="15" s="1"/>
  <c r="O207" i="15"/>
  <c r="F24" i="15" s="1"/>
  <c r="V445" i="2" s="1"/>
  <c r="V463" i="2" s="1"/>
  <c r="O195" i="15"/>
  <c r="R195" i="15" s="1"/>
  <c r="I23" i="15" s="1"/>
  <c r="S195" i="15"/>
  <c r="J23" i="15" s="1"/>
  <c r="P197" i="15"/>
  <c r="G23" i="15" s="1"/>
  <c r="O197" i="15"/>
  <c r="F23" i="15" s="1"/>
  <c r="N24" i="15" l="1"/>
  <c r="X24" i="15" s="1"/>
  <c r="V430" i="2"/>
  <c r="V503" i="2" s="1"/>
  <c r="V449" i="2"/>
  <c r="V435" i="2"/>
  <c r="V439" i="2" s="1"/>
  <c r="V436" i="2"/>
  <c r="V438" i="2" s="1"/>
  <c r="T195" i="15"/>
  <c r="K23" i="15" s="1"/>
  <c r="T205" i="15"/>
  <c r="K24" i="15" s="1"/>
  <c r="V441" i="2" s="1"/>
  <c r="F94" i="18" l="1"/>
  <c r="F95" i="18"/>
  <c r="F96" i="18"/>
  <c r="F97" i="18"/>
  <c r="F98" i="18"/>
  <c r="F99" i="18"/>
  <c r="F100" i="18"/>
  <c r="F101" i="18"/>
  <c r="F102" i="18"/>
  <c r="F103" i="18"/>
  <c r="F104" i="18"/>
  <c r="F106" i="18"/>
  <c r="F107" i="18"/>
  <c r="F84" i="18"/>
  <c r="F85" i="18"/>
  <c r="F86" i="18"/>
  <c r="F87" i="18"/>
  <c r="F88" i="18"/>
  <c r="F89" i="18"/>
  <c r="F90" i="18"/>
  <c r="F91" i="18"/>
  <c r="F92" i="18"/>
  <c r="F93" i="18"/>
  <c r="F83" i="18"/>
  <c r="F57" i="18"/>
  <c r="J24" i="18"/>
  <c r="I24" i="18"/>
  <c r="F24" i="18"/>
  <c r="H24" i="18" s="1"/>
  <c r="J23" i="18"/>
  <c r="I23" i="18"/>
  <c r="F23" i="18"/>
  <c r="H23" i="18" s="1"/>
  <c r="J22" i="18"/>
  <c r="I22" i="18"/>
  <c r="F22" i="18"/>
  <c r="H22" i="18" s="1"/>
  <c r="J21" i="18"/>
  <c r="I21" i="18"/>
  <c r="F21" i="18"/>
  <c r="H21" i="18" s="1"/>
  <c r="J20" i="18"/>
  <c r="I20" i="18"/>
  <c r="F20" i="18"/>
  <c r="H20" i="18" s="1"/>
  <c r="J19" i="18"/>
  <c r="I19" i="18"/>
  <c r="F19" i="18"/>
  <c r="H19" i="18" s="1"/>
  <c r="J18" i="18"/>
  <c r="I18" i="18"/>
  <c r="F18" i="18"/>
  <c r="H18" i="18" s="1"/>
  <c r="J17" i="18"/>
  <c r="I17" i="18"/>
  <c r="F17" i="18"/>
  <c r="H17" i="18" s="1"/>
  <c r="J16" i="18"/>
  <c r="I16" i="18"/>
  <c r="F16" i="18"/>
  <c r="H16" i="18" s="1"/>
  <c r="J15" i="18"/>
  <c r="I15" i="18"/>
  <c r="F15" i="18"/>
  <c r="H15" i="18" s="1"/>
  <c r="AB357" i="1" l="1"/>
  <c r="AC357" i="1"/>
  <c r="O49" i="15" l="1"/>
  <c r="E365" i="2" l="1"/>
  <c r="J355" i="1"/>
  <c r="G355" i="1"/>
  <c r="AJ349" i="17"/>
  <c r="AJ350" i="17" s="1"/>
  <c r="AJ341" i="2" l="1"/>
  <c r="AJ351" i="17"/>
  <c r="AJ366" i="2"/>
  <c r="E366" i="2" s="1"/>
  <c r="E341" i="2" l="1"/>
  <c r="AJ342" i="2"/>
  <c r="AJ352" i="17"/>
  <c r="E367" i="2"/>
  <c r="E342" i="2" l="1"/>
  <c r="AJ343" i="2"/>
  <c r="AJ353" i="17"/>
  <c r="I343" i="2" l="1"/>
  <c r="Q343" i="2"/>
  <c r="K343" i="2"/>
  <c r="E343" i="2"/>
  <c r="F343" i="2"/>
  <c r="E368" i="2"/>
  <c r="AJ369" i="2"/>
  <c r="AJ370" i="2" s="1"/>
  <c r="E356" i="2"/>
  <c r="AJ354" i="17"/>
  <c r="AJ355" i="17" s="1"/>
  <c r="AJ371" i="2" l="1"/>
  <c r="AJ372" i="2" s="1"/>
  <c r="AJ373" i="2" s="1"/>
  <c r="AJ374" i="2" s="1"/>
  <c r="AJ375" i="2" s="1"/>
  <c r="AJ376" i="2" s="1"/>
  <c r="AJ377" i="2" s="1"/>
  <c r="AJ378" i="2" s="1"/>
  <c r="Q370" i="2"/>
  <c r="K370" i="2"/>
  <c r="I370" i="2"/>
  <c r="F370" i="2"/>
  <c r="E370" i="2"/>
  <c r="E369" i="2"/>
  <c r="AJ356" i="17"/>
  <c r="E371" i="2" l="1"/>
  <c r="AJ357" i="17"/>
  <c r="E372" i="2"/>
  <c r="E373" i="2" l="1"/>
  <c r="AJ358" i="17"/>
  <c r="AJ359" i="17" l="1"/>
  <c r="E374" i="2"/>
  <c r="E375" i="2" l="1"/>
  <c r="AJ360" i="17"/>
  <c r="AJ361" i="17" l="1"/>
  <c r="E376" i="2"/>
  <c r="E377" i="2" l="1"/>
  <c r="AJ362" i="17"/>
  <c r="AJ363" i="17" s="1"/>
  <c r="E378" i="2" l="1"/>
  <c r="E379" i="2" l="1"/>
  <c r="N97" i="15" l="1"/>
  <c r="M97" i="15"/>
  <c r="L97" i="15"/>
  <c r="K97" i="15"/>
  <c r="J97" i="15"/>
  <c r="I97" i="15"/>
  <c r="H97" i="15"/>
  <c r="G97" i="15"/>
  <c r="F97" i="15"/>
  <c r="E97" i="15"/>
  <c r="D97" i="15"/>
  <c r="C97" i="15"/>
  <c r="E93" i="15" l="1"/>
  <c r="E95" i="15" s="1"/>
  <c r="M93" i="15"/>
  <c r="M95" i="15" s="1"/>
  <c r="F93" i="15"/>
  <c r="F95" i="15" s="1"/>
  <c r="N93" i="15"/>
  <c r="N95" i="15" s="1"/>
  <c r="G93" i="15"/>
  <c r="G95" i="15" s="1"/>
  <c r="H93" i="15"/>
  <c r="H95" i="15" s="1"/>
  <c r="I93" i="15"/>
  <c r="I95" i="15" s="1"/>
  <c r="J93" i="15"/>
  <c r="J95" i="15" s="1"/>
  <c r="C93" i="15"/>
  <c r="C95" i="15" s="1"/>
  <c r="K93" i="15"/>
  <c r="K95" i="15" s="1"/>
  <c r="D93" i="15"/>
  <c r="D95" i="15" s="1"/>
  <c r="L93" i="15"/>
  <c r="L95" i="15" s="1"/>
  <c r="E484" i="2" l="1"/>
  <c r="D185" i="15" l="1"/>
  <c r="C53" i="15"/>
  <c r="C55" i="15" s="1"/>
  <c r="N43" i="15"/>
  <c r="N45" i="15" s="1"/>
  <c r="M43" i="15"/>
  <c r="M45" i="15" s="1"/>
  <c r="L43" i="15"/>
  <c r="L45" i="15" s="1"/>
  <c r="K43" i="15"/>
  <c r="K45" i="15" s="1"/>
  <c r="J43" i="15"/>
  <c r="J45" i="15" s="1"/>
  <c r="I43" i="15"/>
  <c r="I45" i="15" s="1"/>
  <c r="H43" i="15"/>
  <c r="H45" i="15" s="1"/>
  <c r="G43" i="15"/>
  <c r="G45" i="15" s="1"/>
  <c r="F43" i="15"/>
  <c r="F45" i="15" s="1"/>
  <c r="E43" i="15"/>
  <c r="E45" i="15" s="1"/>
  <c r="D43" i="15"/>
  <c r="D45" i="15" s="1"/>
  <c r="C43" i="15"/>
  <c r="C45" i="15" s="1"/>
  <c r="N86" i="15"/>
  <c r="M86" i="15"/>
  <c r="L86" i="15"/>
  <c r="K86" i="15"/>
  <c r="J86" i="15"/>
  <c r="F86" i="15"/>
  <c r="E86" i="15"/>
  <c r="C86" i="15"/>
  <c r="E82" i="15" l="1"/>
  <c r="E72" i="15" s="1"/>
  <c r="E73" i="15" s="1"/>
  <c r="E75" i="15" s="1"/>
  <c r="C82" i="15"/>
  <c r="J82" i="15"/>
  <c r="K82" i="15"/>
  <c r="M82" i="15"/>
  <c r="M72" i="15" s="1"/>
  <c r="M73" i="15" s="1"/>
  <c r="M75" i="15" s="1"/>
  <c r="N82" i="15"/>
  <c r="N72" i="15" s="1"/>
  <c r="N73" i="15" s="1"/>
  <c r="N75" i="15" s="1"/>
  <c r="F82" i="15"/>
  <c r="L82" i="15"/>
  <c r="D86" i="15"/>
  <c r="C103" i="15"/>
  <c r="C105" i="15" s="1"/>
  <c r="G86" i="15"/>
  <c r="H86" i="15"/>
  <c r="I86" i="15"/>
  <c r="E83" i="15" l="1"/>
  <c r="F83" i="15"/>
  <c r="F72" i="15"/>
  <c r="F73" i="15" s="1"/>
  <c r="F75" i="15" s="1"/>
  <c r="K83" i="15"/>
  <c r="K72" i="15"/>
  <c r="K73" i="15" s="1"/>
  <c r="K75" i="15" s="1"/>
  <c r="J83" i="15"/>
  <c r="J72" i="15"/>
  <c r="J73" i="15" s="1"/>
  <c r="J75" i="15" s="1"/>
  <c r="C83" i="15"/>
  <c r="C85" i="15" s="1"/>
  <c r="C72" i="15"/>
  <c r="C73" i="15" s="1"/>
  <c r="C75" i="15" s="1"/>
  <c r="L83" i="15"/>
  <c r="L72" i="15"/>
  <c r="L73" i="15" s="1"/>
  <c r="L75" i="15" s="1"/>
  <c r="N83" i="15"/>
  <c r="M83" i="15"/>
  <c r="H82" i="15"/>
  <c r="G82" i="15"/>
  <c r="D82" i="15"/>
  <c r="I82" i="15"/>
  <c r="F85" i="15"/>
  <c r="F185" i="15"/>
  <c r="G83" i="15" l="1"/>
  <c r="G72" i="15"/>
  <c r="G73" i="15" s="1"/>
  <c r="G75" i="15" s="1"/>
  <c r="H83" i="15"/>
  <c r="H72" i="15"/>
  <c r="H73" i="15" s="1"/>
  <c r="H75" i="15" s="1"/>
  <c r="I83" i="15"/>
  <c r="I72" i="15"/>
  <c r="I73" i="15" s="1"/>
  <c r="I75" i="15" s="1"/>
  <c r="D83" i="15"/>
  <c r="D85" i="15" s="1"/>
  <c r="D72" i="15"/>
  <c r="D73" i="15" s="1"/>
  <c r="D75" i="15" s="1"/>
  <c r="E85" i="15"/>
  <c r="E185" i="15"/>
  <c r="G185" i="15"/>
  <c r="H185" i="15" l="1"/>
  <c r="G85" i="15"/>
  <c r="I185" i="15" l="1"/>
  <c r="H85" i="15"/>
  <c r="I85" i="15" l="1"/>
  <c r="J185" i="15"/>
  <c r="J85" i="15" l="1"/>
  <c r="K185" i="15"/>
  <c r="K85" i="15" l="1"/>
  <c r="L185" i="15"/>
  <c r="L85" i="15" l="1"/>
  <c r="M185" i="15"/>
  <c r="M85" i="15" l="1"/>
  <c r="N185" i="15"/>
  <c r="N85" i="15" l="1"/>
  <c r="L95" i="18" l="1"/>
  <c r="M95" i="18" s="1"/>
  <c r="J95" i="18"/>
  <c r="I95" i="18"/>
  <c r="H95" i="18"/>
  <c r="L92" i="18"/>
  <c r="M92" i="18" s="1"/>
  <c r="J92" i="18"/>
  <c r="I92" i="18"/>
  <c r="H92" i="18"/>
  <c r="L91" i="18"/>
  <c r="M91" i="18" s="1"/>
  <c r="J91" i="18"/>
  <c r="I91" i="18"/>
  <c r="H91" i="18"/>
  <c r="L90" i="18"/>
  <c r="M90" i="18" s="1"/>
  <c r="J90" i="18"/>
  <c r="I90" i="18"/>
  <c r="H90" i="18"/>
  <c r="L89" i="18"/>
  <c r="M89" i="18" s="1"/>
  <c r="J89" i="18"/>
  <c r="I89" i="18"/>
  <c r="H89" i="18"/>
  <c r="L88" i="18"/>
  <c r="M88" i="18" s="1"/>
  <c r="J88" i="18"/>
  <c r="I88" i="18"/>
  <c r="H88" i="18"/>
  <c r="L87" i="18"/>
  <c r="M87" i="18" s="1"/>
  <c r="J87" i="18"/>
  <c r="I87" i="18"/>
  <c r="H87" i="18"/>
  <c r="L86" i="18"/>
  <c r="M86" i="18" s="1"/>
  <c r="J86" i="18"/>
  <c r="I86" i="18"/>
  <c r="H86" i="18"/>
  <c r="L85" i="18"/>
  <c r="M85" i="18" s="1"/>
  <c r="J85" i="18"/>
  <c r="I85" i="18"/>
  <c r="H85" i="18"/>
  <c r="L84" i="18"/>
  <c r="M84" i="18" s="1"/>
  <c r="J84" i="18"/>
  <c r="I84" i="18"/>
  <c r="H84" i="18"/>
  <c r="J56" i="18" l="1"/>
  <c r="I56" i="18"/>
  <c r="F56" i="18"/>
  <c r="H56" i="18" s="1"/>
  <c r="J55" i="18"/>
  <c r="I55" i="18"/>
  <c r="F55" i="18"/>
  <c r="H55" i="18" s="1"/>
  <c r="J54" i="18"/>
  <c r="I54" i="18"/>
  <c r="F54" i="18"/>
  <c r="H54" i="18" s="1"/>
  <c r="J53" i="18"/>
  <c r="I53" i="18"/>
  <c r="F53" i="18"/>
  <c r="H53" i="18" s="1"/>
  <c r="J52" i="18"/>
  <c r="I52" i="18"/>
  <c r="F52" i="18"/>
  <c r="H52" i="18" s="1"/>
  <c r="J14" i="18"/>
  <c r="I14" i="18"/>
  <c r="F14" i="18"/>
  <c r="H14" i="18" s="1"/>
  <c r="J13" i="18"/>
  <c r="I13" i="18"/>
  <c r="F13" i="18"/>
  <c r="H13" i="18" s="1"/>
  <c r="J12" i="18"/>
  <c r="I12" i="18"/>
  <c r="F12" i="18"/>
  <c r="H12" i="18" s="1"/>
  <c r="J11" i="18"/>
  <c r="I11" i="18"/>
  <c r="F11" i="18"/>
  <c r="H11" i="18" s="1"/>
  <c r="J10" i="18"/>
  <c r="I10" i="18"/>
  <c r="F10" i="18"/>
  <c r="H10" i="18" s="1"/>
  <c r="J9" i="18"/>
  <c r="I9" i="18"/>
  <c r="F9" i="18"/>
  <c r="H9" i="18" s="1"/>
  <c r="C9" i="15" l="1"/>
  <c r="O40" i="15"/>
  <c r="D7" i="9" l="1"/>
  <c r="D7" i="8"/>
  <c r="AG355" i="2" l="1"/>
  <c r="L93" i="18" l="1"/>
  <c r="L94" i="18"/>
  <c r="L96" i="18"/>
  <c r="L97" i="18"/>
  <c r="L98" i="18"/>
  <c r="L99" i="18"/>
  <c r="L100" i="18"/>
  <c r="L101" i="18"/>
  <c r="L102" i="18"/>
  <c r="L103" i="18"/>
  <c r="L104" i="18"/>
  <c r="L106" i="18"/>
  <c r="L107" i="18"/>
  <c r="I83" i="18" l="1"/>
  <c r="I93" i="18"/>
  <c r="I94" i="18"/>
  <c r="I96" i="18"/>
  <c r="I97" i="18"/>
  <c r="I98" i="18"/>
  <c r="I99" i="18"/>
  <c r="I100" i="18"/>
  <c r="I101" i="18"/>
  <c r="I102" i="18"/>
  <c r="I103" i="18"/>
  <c r="I104" i="18"/>
  <c r="I106" i="18"/>
  <c r="I107" i="18"/>
  <c r="J25" i="18"/>
  <c r="I25" i="18"/>
  <c r="F25" i="18"/>
  <c r="H25" i="18" s="1"/>
  <c r="F8" i="18"/>
  <c r="M93" i="18" l="1"/>
  <c r="J93" i="18"/>
  <c r="H93" i="18"/>
  <c r="M100" i="18"/>
  <c r="J100" i="18"/>
  <c r="H100" i="18"/>
  <c r="M99" i="18"/>
  <c r="J99" i="18"/>
  <c r="H99" i="18"/>
  <c r="M98" i="18"/>
  <c r="J98" i="18"/>
  <c r="H98" i="18"/>
  <c r="M97" i="18"/>
  <c r="J97" i="18"/>
  <c r="H97" i="18"/>
  <c r="M96" i="18"/>
  <c r="J96" i="18"/>
  <c r="H96" i="18"/>
  <c r="M94" i="18"/>
  <c r="J94" i="18"/>
  <c r="H94" i="18"/>
  <c r="E438" i="2" l="1"/>
  <c r="A1" i="15" l="1"/>
  <c r="C8" i="17" l="1"/>
  <c r="C8" i="4"/>
  <c r="S523" i="2" l="1"/>
  <c r="T523" i="2"/>
  <c r="U523" i="2"/>
  <c r="V523" i="2"/>
  <c r="W523" i="2"/>
  <c r="X523" i="2"/>
  <c r="Y523" i="2"/>
  <c r="Z523" i="2"/>
  <c r="AA523" i="2"/>
  <c r="AB523" i="2"/>
  <c r="AC523" i="2"/>
  <c r="AD523" i="2"/>
  <c r="AE523" i="2"/>
  <c r="AF523" i="2"/>
  <c r="AG370" i="2"/>
  <c r="AH370" i="2" s="1"/>
  <c r="AG343" i="2"/>
  <c r="AH343" i="2" s="1"/>
  <c r="A39" i="4" l="1"/>
  <c r="A40" i="4" s="1"/>
  <c r="A41" i="4" s="1"/>
  <c r="A42" i="4" s="1"/>
  <c r="G11" i="17"/>
  <c r="G10" i="17"/>
  <c r="A43" i="4" l="1"/>
  <c r="A48" i="4"/>
  <c r="A54" i="4" s="1"/>
  <c r="A47" i="4"/>
  <c r="A53" i="4" s="1"/>
  <c r="A44" i="4" l="1"/>
  <c r="A49" i="4"/>
  <c r="A50" i="4" l="1"/>
  <c r="A45" i="4"/>
  <c r="A46" i="4" l="1"/>
  <c r="A51" i="4"/>
  <c r="A52" i="4" l="1"/>
  <c r="H57" i="18" l="1"/>
  <c r="I57" i="18"/>
  <c r="J57" i="18"/>
  <c r="H107" i="18"/>
  <c r="J107" i="18"/>
  <c r="M107" i="18"/>
  <c r="M106" i="18"/>
  <c r="J106" i="18"/>
  <c r="H106" i="18"/>
  <c r="M104" i="18"/>
  <c r="J104" i="18"/>
  <c r="H104" i="18"/>
  <c r="M103" i="18"/>
  <c r="J103" i="18"/>
  <c r="H103" i="18"/>
  <c r="M102" i="18"/>
  <c r="J102" i="18"/>
  <c r="H102" i="18"/>
  <c r="M101" i="18"/>
  <c r="J101" i="18"/>
  <c r="H101" i="18"/>
  <c r="A1" i="18" l="1"/>
  <c r="A1" i="9"/>
  <c r="A1" i="8"/>
  <c r="A1" i="16"/>
  <c r="J8" i="18" l="1"/>
  <c r="I8" i="18"/>
  <c r="H8" i="18"/>
  <c r="C57" i="15" l="1"/>
  <c r="H132" i="18" l="1"/>
  <c r="H131" i="18"/>
  <c r="H130" i="18"/>
  <c r="E108" i="18"/>
  <c r="J51" i="18" l="1"/>
  <c r="I51" i="18"/>
  <c r="F51" i="18"/>
  <c r="H51" i="18" s="1"/>
  <c r="C39" i="4" l="1"/>
  <c r="B39" i="4"/>
  <c r="O129" i="15" l="1"/>
  <c r="C17" i="15" s="1"/>
  <c r="O109" i="15"/>
  <c r="C15" i="15" s="1"/>
  <c r="O119" i="15"/>
  <c r="C16" i="15" s="1"/>
  <c r="D15" i="9" l="1"/>
  <c r="F15" i="9" s="1"/>
  <c r="D15" i="8"/>
  <c r="F15" i="8" s="1"/>
  <c r="D14" i="9"/>
  <c r="F14" i="9" s="1"/>
  <c r="D14" i="8"/>
  <c r="F14" i="8" s="1"/>
  <c r="D13" i="9"/>
  <c r="F13" i="9" s="1"/>
  <c r="D13" i="8"/>
  <c r="F13" i="8" s="1"/>
  <c r="O2" i="2"/>
  <c r="N2" i="2"/>
  <c r="M2" i="2"/>
  <c r="L2" i="2"/>
  <c r="H83" i="18" l="1"/>
  <c r="L83" i="18"/>
  <c r="J83" i="18" l="1"/>
  <c r="M83" i="18"/>
  <c r="D108" i="18" l="1"/>
  <c r="D123" i="18" s="1"/>
  <c r="E58" i="18"/>
  <c r="D68" i="18" s="1"/>
  <c r="D58" i="18"/>
  <c r="D73" i="18" s="1"/>
  <c r="E26" i="18"/>
  <c r="D36" i="18" s="1"/>
  <c r="D26" i="18"/>
  <c r="D41" i="18" s="1"/>
  <c r="M219" i="15"/>
  <c r="K219" i="15"/>
  <c r="I219" i="15"/>
  <c r="E219" i="15"/>
  <c r="I47" i="15"/>
  <c r="H47" i="15"/>
  <c r="D47" i="15"/>
  <c r="O89" i="15"/>
  <c r="O79" i="15"/>
  <c r="O99" i="15"/>
  <c r="C14" i="15" s="1"/>
  <c r="O69" i="15"/>
  <c r="C11" i="15" s="1"/>
  <c r="O59" i="15"/>
  <c r="F7" i="9"/>
  <c r="O39" i="15"/>
  <c r="C47" i="15"/>
  <c r="C6" i="8"/>
  <c r="B6" i="8"/>
  <c r="C6" i="9"/>
  <c r="B6" i="9"/>
  <c r="A33" i="15"/>
  <c r="O110" i="15"/>
  <c r="O111" i="15" s="1"/>
  <c r="O60" i="15"/>
  <c r="D10" i="15" s="1"/>
  <c r="B8" i="15"/>
  <c r="B49" i="15"/>
  <c r="B59" i="15"/>
  <c r="B69" i="15"/>
  <c r="B79" i="15"/>
  <c r="B119" i="15"/>
  <c r="B129" i="15"/>
  <c r="B139" i="15"/>
  <c r="B149" i="15"/>
  <c r="B159" i="15"/>
  <c r="B169" i="15"/>
  <c r="B179" i="15"/>
  <c r="A179" i="15"/>
  <c r="A169" i="15"/>
  <c r="A159" i="15"/>
  <c r="A149" i="15"/>
  <c r="A139" i="15"/>
  <c r="A109" i="15"/>
  <c r="L8" i="15"/>
  <c r="V8" i="15" s="1"/>
  <c r="O3" i="2"/>
  <c r="N3" i="2"/>
  <c r="M3" i="2"/>
  <c r="L3" i="2"/>
  <c r="K3" i="2"/>
  <c r="J3" i="2"/>
  <c r="I3" i="2"/>
  <c r="H3" i="2"/>
  <c r="G3" i="2"/>
  <c r="F3" i="2"/>
  <c r="K2" i="2"/>
  <c r="J2" i="2"/>
  <c r="I2" i="2"/>
  <c r="H2" i="2"/>
  <c r="G2" i="2"/>
  <c r="F2" i="2"/>
  <c r="Q183" i="15"/>
  <c r="H22" i="15" s="1"/>
  <c r="T444" i="2" s="1"/>
  <c r="O183" i="15"/>
  <c r="O180" i="15"/>
  <c r="O181" i="15" s="1"/>
  <c r="Q173" i="15"/>
  <c r="H21" i="15" s="1"/>
  <c r="S444" i="2" s="1"/>
  <c r="O173" i="15"/>
  <c r="O170" i="15"/>
  <c r="O171" i="15" s="1"/>
  <c r="Q163" i="15"/>
  <c r="H20" i="15" s="1"/>
  <c r="R444" i="2" s="1"/>
  <c r="O163" i="15"/>
  <c r="O160" i="15"/>
  <c r="Q153" i="15"/>
  <c r="H19" i="15" s="1"/>
  <c r="Q444" i="2" s="1"/>
  <c r="O153" i="15"/>
  <c r="O150" i="15"/>
  <c r="Q143" i="15"/>
  <c r="H18" i="15" s="1"/>
  <c r="P444" i="2" s="1"/>
  <c r="O143" i="15"/>
  <c r="O140" i="15"/>
  <c r="O141" i="15" s="1"/>
  <c r="N222" i="15"/>
  <c r="F222" i="15"/>
  <c r="Q133" i="15"/>
  <c r="H17" i="15" s="1"/>
  <c r="O444" i="2" s="1"/>
  <c r="O133" i="15"/>
  <c r="O130" i="15"/>
  <c r="D17" i="15" s="1"/>
  <c r="O120" i="15"/>
  <c r="N6" i="15"/>
  <c r="O6" i="15"/>
  <c r="O8" i="15"/>
  <c r="Z8" i="15" s="1"/>
  <c r="O9" i="15"/>
  <c r="Z9" i="15" s="1"/>
  <c r="O10" i="15"/>
  <c r="Z10" i="15" s="1"/>
  <c r="O11" i="15"/>
  <c r="Z11" i="15" s="1"/>
  <c r="O12" i="15"/>
  <c r="Z12" i="15" s="1"/>
  <c r="O13" i="15"/>
  <c r="Z13" i="15" s="1"/>
  <c r="O14" i="15"/>
  <c r="Z14" i="15" s="1"/>
  <c r="O15" i="15"/>
  <c r="Z15" i="15" s="1"/>
  <c r="O16" i="15"/>
  <c r="Z16" i="15" s="1"/>
  <c r="O17" i="15"/>
  <c r="Z17" i="15" s="1"/>
  <c r="O18" i="15"/>
  <c r="Z18" i="15" s="1"/>
  <c r="O19" i="15"/>
  <c r="Z19" i="15" s="1"/>
  <c r="O20" i="15"/>
  <c r="Z20" i="15" s="1"/>
  <c r="O21" i="15"/>
  <c r="Z21" i="15" s="1"/>
  <c r="O22" i="15"/>
  <c r="Z22" i="15" s="1"/>
  <c r="M6" i="15"/>
  <c r="M15" i="15"/>
  <c r="W15" i="15" s="1"/>
  <c r="M16" i="15"/>
  <c r="W16" i="15" s="1"/>
  <c r="M17" i="15"/>
  <c r="W17" i="15" s="1"/>
  <c r="M18" i="15"/>
  <c r="W18" i="15" s="1"/>
  <c r="M19" i="15"/>
  <c r="W19" i="15" s="1"/>
  <c r="M20" i="15"/>
  <c r="W20" i="15" s="1"/>
  <c r="M21" i="15"/>
  <c r="W21" i="15" s="1"/>
  <c r="M22" i="15"/>
  <c r="W22" i="15" s="1"/>
  <c r="M5" i="15"/>
  <c r="E391" i="2"/>
  <c r="AF622" i="2"/>
  <c r="AE622" i="2"/>
  <c r="AD622" i="2"/>
  <c r="AC622" i="2"/>
  <c r="AB622" i="2"/>
  <c r="AA622" i="2"/>
  <c r="Z622" i="2"/>
  <c r="Y622" i="2"/>
  <c r="X622" i="2"/>
  <c r="W622" i="2"/>
  <c r="AF596" i="2"/>
  <c r="AE596" i="2"/>
  <c r="AD596" i="2"/>
  <c r="AC596" i="2"/>
  <c r="AB596" i="2"/>
  <c r="AA596" i="2"/>
  <c r="Z596" i="2"/>
  <c r="Y596" i="2"/>
  <c r="X596" i="2"/>
  <c r="W596" i="2"/>
  <c r="Q298" i="1"/>
  <c r="Y425" i="2"/>
  <c r="X425" i="2"/>
  <c r="W425" i="2"/>
  <c r="V425" i="2"/>
  <c r="P424" i="2"/>
  <c r="Z424" i="2"/>
  <c r="U433" i="2"/>
  <c r="U434" i="2" s="1"/>
  <c r="U436" i="2" s="1"/>
  <c r="U438" i="2" s="1"/>
  <c r="T433" i="2"/>
  <c r="T434" i="2" s="1"/>
  <c r="S433" i="2"/>
  <c r="S434" i="2" s="1"/>
  <c r="S436" i="2" s="1"/>
  <c r="S438" i="2" s="1"/>
  <c r="R433" i="2"/>
  <c r="Q433" i="2"/>
  <c r="P433" i="2"/>
  <c r="P434" i="2" s="1"/>
  <c r="P435" i="2" s="1"/>
  <c r="P439" i="2" s="1"/>
  <c r="O433" i="2"/>
  <c r="O434" i="2" s="1"/>
  <c r="O436" i="2" s="1"/>
  <c r="O438" i="2" s="1"/>
  <c r="N433" i="2"/>
  <c r="N434" i="2" s="1"/>
  <c r="N436" i="2" s="1"/>
  <c r="N438" i="2" s="1"/>
  <c r="M433" i="2"/>
  <c r="U429" i="2"/>
  <c r="T429" i="2"/>
  <c r="S429" i="2"/>
  <c r="R429" i="2"/>
  <c r="Q429" i="2"/>
  <c r="P429" i="2"/>
  <c r="O429" i="2"/>
  <c r="N429" i="2"/>
  <c r="M429" i="2"/>
  <c r="L429" i="2"/>
  <c r="K429" i="2"/>
  <c r="J429" i="2"/>
  <c r="I429" i="2"/>
  <c r="H429" i="2"/>
  <c r="G429" i="2"/>
  <c r="D219" i="15"/>
  <c r="F219" i="15"/>
  <c r="H219" i="15"/>
  <c r="J219" i="15"/>
  <c r="L219" i="15"/>
  <c r="N219" i="15"/>
  <c r="O221" i="15"/>
  <c r="V432" i="2"/>
  <c r="V410" i="2" s="1"/>
  <c r="W432" i="2"/>
  <c r="W410" i="2" s="1"/>
  <c r="X432" i="2"/>
  <c r="X410" i="2" s="1"/>
  <c r="Y432" i="2"/>
  <c r="Y410" i="2" s="1"/>
  <c r="Z432" i="2"/>
  <c r="Z410" i="2" s="1"/>
  <c r="AA432" i="2"/>
  <c r="AA410" i="2" s="1"/>
  <c r="AB432" i="2"/>
  <c r="AB410" i="2" s="1"/>
  <c r="AC432" i="2"/>
  <c r="AC410" i="2" s="1"/>
  <c r="AD432" i="2"/>
  <c r="AD410" i="2" s="1"/>
  <c r="AE432" i="2"/>
  <c r="AE410" i="2" s="1"/>
  <c r="AF432" i="2"/>
  <c r="AF410" i="2" s="1"/>
  <c r="W423" i="2"/>
  <c r="X423" i="2"/>
  <c r="Y423" i="2"/>
  <c r="Z423" i="2"/>
  <c r="AA423" i="2"/>
  <c r="AB423" i="2"/>
  <c r="AC423" i="2"/>
  <c r="AD423" i="2"/>
  <c r="AE423" i="2"/>
  <c r="AF423" i="2"/>
  <c r="W416" i="2"/>
  <c r="W417" i="2" s="1"/>
  <c r="X416" i="2"/>
  <c r="X417" i="2" s="1"/>
  <c r="Y416" i="2"/>
  <c r="Y417" i="2" s="1"/>
  <c r="Z416" i="2"/>
  <c r="Z417" i="2" s="1"/>
  <c r="AA416" i="2"/>
  <c r="AA417" i="2" s="1"/>
  <c r="AB416" i="2"/>
  <c r="AB417" i="2" s="1"/>
  <c r="AC416" i="2"/>
  <c r="AC417" i="2" s="1"/>
  <c r="AD416" i="2"/>
  <c r="AD417" i="2" s="1"/>
  <c r="AE416" i="2"/>
  <c r="AE417" i="2" s="1"/>
  <c r="AF416" i="2"/>
  <c r="AF417" i="2" s="1"/>
  <c r="V456" i="2"/>
  <c r="V477" i="2" s="1"/>
  <c r="V484" i="2" s="1"/>
  <c r="V470" i="2"/>
  <c r="Q339" i="1"/>
  <c r="Q341" i="1" s="1"/>
  <c r="AB500" i="1"/>
  <c r="AC500" i="1" s="1"/>
  <c r="AE594" i="2"/>
  <c r="AE620" i="2" s="1"/>
  <c r="AE595" i="2"/>
  <c r="AE621" i="2" s="1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F458" i="2"/>
  <c r="E458" i="2"/>
  <c r="F429" i="2"/>
  <c r="O100" i="15"/>
  <c r="O101" i="15" s="1"/>
  <c r="O70" i="15"/>
  <c r="O71" i="15" s="1"/>
  <c r="O50" i="15"/>
  <c r="O51" i="15" s="1"/>
  <c r="N47" i="15"/>
  <c r="G47" i="15"/>
  <c r="E47" i="15"/>
  <c r="D8" i="15"/>
  <c r="F430" i="2" s="1"/>
  <c r="F503" i="2" s="1"/>
  <c r="E26" i="15"/>
  <c r="L65" i="1"/>
  <c r="J67" i="1"/>
  <c r="J69" i="1" s="1"/>
  <c r="Q67" i="1"/>
  <c r="Q69" i="1" s="1"/>
  <c r="T67" i="1"/>
  <c r="T69" i="1" s="1"/>
  <c r="V67" i="1"/>
  <c r="V69" i="1" s="1"/>
  <c r="X67" i="1"/>
  <c r="X69" i="1" s="1"/>
  <c r="Z67" i="1"/>
  <c r="Z69" i="1" s="1"/>
  <c r="Q465" i="2"/>
  <c r="AG465" i="2" s="1"/>
  <c r="AH465" i="2" s="1"/>
  <c r="AD463" i="2"/>
  <c r="AD493" i="2" s="1"/>
  <c r="AC463" i="2"/>
  <c r="AC493" i="2" s="1"/>
  <c r="AA463" i="2"/>
  <c r="AA493" i="2" s="1"/>
  <c r="Z434" i="2"/>
  <c r="Z435" i="2" s="1"/>
  <c r="AB434" i="2"/>
  <c r="AB436" i="2" s="1"/>
  <c r="AD434" i="2"/>
  <c r="AD436" i="2" s="1"/>
  <c r="AA434" i="2"/>
  <c r="AA436" i="2" s="1"/>
  <c r="AC434" i="2"/>
  <c r="AC436" i="2" s="1"/>
  <c r="AE434" i="2"/>
  <c r="AE435" i="2" s="1"/>
  <c r="AF434" i="2"/>
  <c r="AF436" i="2" s="1"/>
  <c r="AE449" i="2"/>
  <c r="AE456" i="2" s="1"/>
  <c r="AF449" i="2"/>
  <c r="AF456" i="2" s="1"/>
  <c r="AG451" i="2"/>
  <c r="AH451" i="2" s="1"/>
  <c r="AE463" i="2"/>
  <c r="AE493" i="2" s="1"/>
  <c r="AF463" i="2"/>
  <c r="AF493" i="2" s="1"/>
  <c r="E470" i="2"/>
  <c r="AD472" i="2"/>
  <c r="AG472" i="2" s="1"/>
  <c r="AH472" i="2" s="1"/>
  <c r="AF477" i="2"/>
  <c r="AF484" i="2" s="1"/>
  <c r="AG479" i="2"/>
  <c r="AH479" i="2" s="1"/>
  <c r="AE484" i="2"/>
  <c r="AG486" i="2"/>
  <c r="AH486" i="2" s="1"/>
  <c r="E493" i="2"/>
  <c r="AF631" i="2"/>
  <c r="AF636" i="2"/>
  <c r="Z463" i="2"/>
  <c r="Z493" i="2" s="1"/>
  <c r="Z477" i="2"/>
  <c r="Z484" i="2" s="1"/>
  <c r="AD484" i="2"/>
  <c r="AB449" i="2"/>
  <c r="AB456" i="2" s="1"/>
  <c r="AB477" i="2"/>
  <c r="AB484" i="2" s="1"/>
  <c r="K213" i="1"/>
  <c r="K222" i="1"/>
  <c r="K224" i="1"/>
  <c r="K231" i="1"/>
  <c r="K238" i="1"/>
  <c r="K393" i="1"/>
  <c r="K402" i="1"/>
  <c r="K403" i="1"/>
  <c r="K412" i="1"/>
  <c r="K419" i="1"/>
  <c r="K89" i="1"/>
  <c r="K119" i="1"/>
  <c r="K317" i="1"/>
  <c r="K321" i="1"/>
  <c r="T339" i="1"/>
  <c r="T341" i="1" s="1"/>
  <c r="V339" i="1"/>
  <c r="V341" i="1" s="1"/>
  <c r="X339" i="1"/>
  <c r="X341" i="1" s="1"/>
  <c r="Z339" i="1"/>
  <c r="Z341" i="1" s="1"/>
  <c r="AB480" i="1"/>
  <c r="AC480" i="1" s="1"/>
  <c r="AB485" i="1"/>
  <c r="AC485" i="1" s="1"/>
  <c r="AB486" i="1"/>
  <c r="AC486" i="1" s="1"/>
  <c r="AB487" i="1"/>
  <c r="AC487" i="1" s="1"/>
  <c r="AB488" i="1"/>
  <c r="AC488" i="1" s="1"/>
  <c r="AB489" i="1"/>
  <c r="AC489" i="1" s="1"/>
  <c r="AB490" i="1"/>
  <c r="AC490" i="1" s="1"/>
  <c r="AB491" i="1"/>
  <c r="AC491" i="1" s="1"/>
  <c r="AB496" i="1"/>
  <c r="AC496" i="1" s="1"/>
  <c r="AB497" i="1"/>
  <c r="AC497" i="1" s="1"/>
  <c r="AB498" i="1"/>
  <c r="AC498" i="1" s="1"/>
  <c r="AB499" i="1"/>
  <c r="AC499" i="1" s="1"/>
  <c r="AA477" i="2"/>
  <c r="AA484" i="2" s="1"/>
  <c r="AA449" i="2"/>
  <c r="AA456" i="2" s="1"/>
  <c r="Z449" i="2"/>
  <c r="Z456" i="2" s="1"/>
  <c r="AB463" i="2"/>
  <c r="AB470" i="2" s="1"/>
  <c r="AC449" i="2"/>
  <c r="AC456" i="2" s="1"/>
  <c r="AC477" i="2"/>
  <c r="AC484" i="2" s="1"/>
  <c r="AD449" i="2"/>
  <c r="AD456" i="2" s="1"/>
  <c r="Y463" i="2"/>
  <c r="Y493" i="2" s="1"/>
  <c r="W477" i="2"/>
  <c r="W484" i="2" s="1"/>
  <c r="Y449" i="2"/>
  <c r="Y456" i="2" s="1"/>
  <c r="W463" i="2"/>
  <c r="W470" i="2" s="1"/>
  <c r="X463" i="2"/>
  <c r="X470" i="2" s="1"/>
  <c r="X477" i="2"/>
  <c r="X484" i="2" s="1"/>
  <c r="X449" i="2"/>
  <c r="X456" i="2" s="1"/>
  <c r="Y477" i="2"/>
  <c r="Y484" i="2" s="1"/>
  <c r="W449" i="2"/>
  <c r="W456" i="2" s="1"/>
  <c r="AF610" i="2"/>
  <c r="AF585" i="2"/>
  <c r="AF581" i="2"/>
  <c r="AE571" i="2"/>
  <c r="Z571" i="2"/>
  <c r="AA571" i="2"/>
  <c r="Y571" i="2"/>
  <c r="AD571" i="2"/>
  <c r="AB571" i="2"/>
  <c r="AC571" i="2"/>
  <c r="AF571" i="2"/>
  <c r="AF595" i="2"/>
  <c r="AF621" i="2" s="1"/>
  <c r="X571" i="2"/>
  <c r="W571" i="2"/>
  <c r="W580" i="2"/>
  <c r="W605" i="2"/>
  <c r="W631" i="2" s="1"/>
  <c r="AB605" i="2"/>
  <c r="AB631" i="2" s="1"/>
  <c r="AB580" i="2"/>
  <c r="AD585" i="2"/>
  <c r="AD610" i="2"/>
  <c r="AD636" i="2" s="1"/>
  <c r="AA580" i="2"/>
  <c r="AA605" i="2"/>
  <c r="AA631" i="2" s="1"/>
  <c r="AC610" i="2"/>
  <c r="AC636" i="2" s="1"/>
  <c r="AC585" i="2"/>
  <c r="Y610" i="2"/>
  <c r="Y636" i="2" s="1"/>
  <c r="Y585" i="2"/>
  <c r="X585" i="2"/>
  <c r="X610" i="2"/>
  <c r="X636" i="2" s="1"/>
  <c r="Z585" i="2"/>
  <c r="Z610" i="2"/>
  <c r="Z636" i="2" s="1"/>
  <c r="AE580" i="2"/>
  <c r="AE605" i="2"/>
  <c r="AE631" i="2" s="1"/>
  <c r="AF586" i="2"/>
  <c r="AA585" i="2"/>
  <c r="AA610" i="2"/>
  <c r="AA636" i="2" s="1"/>
  <c r="Y580" i="2"/>
  <c r="Y605" i="2"/>
  <c r="Y631" i="2" s="1"/>
  <c r="X605" i="2"/>
  <c r="X631" i="2" s="1"/>
  <c r="X580" i="2"/>
  <c r="Z605" i="2"/>
  <c r="Z631" i="2" s="1"/>
  <c r="Z580" i="2"/>
  <c r="AE610" i="2"/>
  <c r="AE636" i="2" s="1"/>
  <c r="AE585" i="2"/>
  <c r="AF605" i="2"/>
  <c r="AF580" i="2"/>
  <c r="AC605" i="2"/>
  <c r="AC631" i="2" s="1"/>
  <c r="AC580" i="2"/>
  <c r="W585" i="2"/>
  <c r="W610" i="2"/>
  <c r="W636" i="2" s="1"/>
  <c r="AB610" i="2"/>
  <c r="AB636" i="2" s="1"/>
  <c r="AB585" i="2"/>
  <c r="AD580" i="2"/>
  <c r="AD605" i="2"/>
  <c r="AD631" i="2" s="1"/>
  <c r="AD569" i="2"/>
  <c r="AC569" i="2"/>
  <c r="AF569" i="2"/>
  <c r="AF594" i="2"/>
  <c r="AF620" i="2" s="1"/>
  <c r="X569" i="2"/>
  <c r="AE569" i="2"/>
  <c r="AA569" i="2"/>
  <c r="W569" i="2"/>
  <c r="Y569" i="2"/>
  <c r="AB569" i="2"/>
  <c r="Z569" i="2"/>
  <c r="K98" i="1"/>
  <c r="K147" i="1"/>
  <c r="O80" i="15"/>
  <c r="D12" i="15" s="1"/>
  <c r="N12" i="15" s="1"/>
  <c r="X12" i="15" s="1"/>
  <c r="U444" i="2"/>
  <c r="O67" i="15"/>
  <c r="F10" i="15" s="1"/>
  <c r="P67" i="15"/>
  <c r="G10" i="15" s="1"/>
  <c r="P77" i="15"/>
  <c r="G11" i="15" s="1"/>
  <c r="O77" i="15"/>
  <c r="F11" i="15" s="1"/>
  <c r="I445" i="2" s="1"/>
  <c r="I463" i="2" s="1"/>
  <c r="O87" i="15"/>
  <c r="F12" i="15" s="1"/>
  <c r="J445" i="2" s="1"/>
  <c r="J463" i="2" s="1"/>
  <c r="P87" i="15"/>
  <c r="G12" i="15" s="1"/>
  <c r="K150" i="1"/>
  <c r="K100" i="1"/>
  <c r="K148" i="1"/>
  <c r="K149" i="1"/>
  <c r="K116" i="1"/>
  <c r="AF424" i="2"/>
  <c r="Q424" i="2"/>
  <c r="I424" i="2"/>
  <c r="AC424" i="2"/>
  <c r="J424" i="2"/>
  <c r="S424" i="2"/>
  <c r="X424" i="2"/>
  <c r="H424" i="2"/>
  <c r="G424" i="2"/>
  <c r="AA424" i="2"/>
  <c r="AE424" i="2"/>
  <c r="R424" i="2"/>
  <c r="Y424" i="2"/>
  <c r="AD424" i="2"/>
  <c r="W424" i="2"/>
  <c r="T424" i="2"/>
  <c r="AB424" i="2"/>
  <c r="L424" i="2"/>
  <c r="F424" i="2"/>
  <c r="P57" i="15"/>
  <c r="G9" i="15" s="1"/>
  <c r="O57" i="15"/>
  <c r="F9" i="15" s="1"/>
  <c r="G445" i="2" s="1"/>
  <c r="G463" i="2" s="1"/>
  <c r="V493" i="2"/>
  <c r="AA435" i="2"/>
  <c r="AB435" i="2"/>
  <c r="AC435" i="2"/>
  <c r="AA470" i="2"/>
  <c r="O90" i="15"/>
  <c r="D13" i="15" s="1"/>
  <c r="C219" i="15"/>
  <c r="G219" i="15"/>
  <c r="Y470" i="2"/>
  <c r="AD425" i="2"/>
  <c r="B39" i="15" l="1"/>
  <c r="U8" i="15"/>
  <c r="L67" i="1"/>
  <c r="L69" i="1" s="1"/>
  <c r="L93" i="1"/>
  <c r="Q24" i="15"/>
  <c r="AA24" i="15" s="1"/>
  <c r="E30" i="15"/>
  <c r="E31" i="15" s="1"/>
  <c r="D9" i="9"/>
  <c r="D9" i="8"/>
  <c r="F9" i="8" s="1"/>
  <c r="F12" i="8"/>
  <c r="D12" i="9"/>
  <c r="F12" i="9" s="1"/>
  <c r="K222" i="15"/>
  <c r="D222" i="15"/>
  <c r="L222" i="15"/>
  <c r="G222" i="15"/>
  <c r="H222" i="15"/>
  <c r="I222" i="15"/>
  <c r="J222" i="15"/>
  <c r="E222" i="15"/>
  <c r="M222" i="15"/>
  <c r="C10" i="15"/>
  <c r="H433" i="2" s="1"/>
  <c r="C12" i="15"/>
  <c r="AB493" i="2"/>
  <c r="AG458" i="2"/>
  <c r="AH458" i="2" s="1"/>
  <c r="X493" i="2"/>
  <c r="C13" i="15"/>
  <c r="C8" i="15"/>
  <c r="D6" i="9" s="1"/>
  <c r="F6" i="9" s="1"/>
  <c r="AD435" i="2"/>
  <c r="AF582" i="2"/>
  <c r="AA494" i="2"/>
  <c r="E429" i="2"/>
  <c r="D18" i="15"/>
  <c r="P430" i="2" s="1"/>
  <c r="P503" i="2" s="1"/>
  <c r="H445" i="2"/>
  <c r="H463" i="2" s="1"/>
  <c r="S175" i="15"/>
  <c r="J21" i="15" s="1"/>
  <c r="S442" i="2" s="1"/>
  <c r="Q17" i="15"/>
  <c r="AA17" i="15" s="1"/>
  <c r="Q15" i="15"/>
  <c r="AA15" i="15" s="1"/>
  <c r="Q16" i="15"/>
  <c r="AA16" i="15" s="1"/>
  <c r="Q18" i="15"/>
  <c r="AA18" i="15" s="1"/>
  <c r="A129" i="15"/>
  <c r="A119" i="15"/>
  <c r="A99" i="15"/>
  <c r="M47" i="15"/>
  <c r="O430" i="2"/>
  <c r="O503" i="2" s="1"/>
  <c r="Q9" i="15"/>
  <c r="AA9" i="15" s="1"/>
  <c r="E313" i="2"/>
  <c r="E316" i="2" s="1"/>
  <c r="E338" i="2" s="1"/>
  <c r="E358" i="2" s="1"/>
  <c r="J47" i="15"/>
  <c r="A79" i="15"/>
  <c r="A69" i="15"/>
  <c r="AD341" i="2"/>
  <c r="AD365" i="2"/>
  <c r="AC341" i="2"/>
  <c r="Z341" i="2"/>
  <c r="AE341" i="2"/>
  <c r="W493" i="2"/>
  <c r="W494" i="2" s="1"/>
  <c r="AE470" i="2"/>
  <c r="AE365" i="2"/>
  <c r="AC425" i="2"/>
  <c r="Z470" i="2"/>
  <c r="Z365" i="2"/>
  <c r="AC365" i="2"/>
  <c r="AF365" i="2"/>
  <c r="AF341" i="2"/>
  <c r="AB365" i="2"/>
  <c r="AB341" i="2"/>
  <c r="Y365" i="2"/>
  <c r="Y341" i="2"/>
  <c r="V365" i="2"/>
  <c r="V341" i="2"/>
  <c r="AA365" i="2"/>
  <c r="AA341" i="2"/>
  <c r="X365" i="2"/>
  <c r="X341" i="2"/>
  <c r="W365" i="2"/>
  <c r="W341" i="2"/>
  <c r="AA425" i="2"/>
  <c r="Z436" i="2"/>
  <c r="AD470" i="2"/>
  <c r="V494" i="2"/>
  <c r="X494" i="2"/>
  <c r="AF435" i="2"/>
  <c r="AD494" i="2"/>
  <c r="AC494" i="2"/>
  <c r="S435" i="2"/>
  <c r="S439" i="2" s="1"/>
  <c r="AE436" i="2"/>
  <c r="AC470" i="2"/>
  <c r="AB425" i="2"/>
  <c r="AF425" i="2"/>
  <c r="Y494" i="2"/>
  <c r="AE494" i="2"/>
  <c r="AF494" i="2"/>
  <c r="AF587" i="2"/>
  <c r="AB494" i="2"/>
  <c r="AF470" i="2"/>
  <c r="Q20" i="15"/>
  <c r="AA20" i="15" s="1"/>
  <c r="Q22" i="15"/>
  <c r="AA22" i="15" s="1"/>
  <c r="N17" i="15"/>
  <c r="X17" i="15" s="1"/>
  <c r="D11" i="15"/>
  <c r="N11" i="15" s="1"/>
  <c r="X11" i="15" s="1"/>
  <c r="O175" i="15"/>
  <c r="R175" i="15" s="1"/>
  <c r="I21" i="15" s="1"/>
  <c r="S443" i="2" s="1"/>
  <c r="S496" i="2" s="1"/>
  <c r="F47" i="15"/>
  <c r="U435" i="2"/>
  <c r="U439" i="2" s="1"/>
  <c r="L47" i="15"/>
  <c r="D15" i="15"/>
  <c r="U425" i="2"/>
  <c r="D9" i="15"/>
  <c r="N9" i="15" s="1"/>
  <c r="X9" i="15" s="1"/>
  <c r="O41" i="15"/>
  <c r="O131" i="15"/>
  <c r="O165" i="15"/>
  <c r="R165" i="15" s="1"/>
  <c r="I20" i="15" s="1"/>
  <c r="R443" i="2" s="1"/>
  <c r="R496" i="2" s="1"/>
  <c r="S165" i="15"/>
  <c r="J20" i="15" s="1"/>
  <c r="R442" i="2" s="1"/>
  <c r="O61" i="15"/>
  <c r="O137" i="15"/>
  <c r="F17" i="15" s="1"/>
  <c r="P137" i="15"/>
  <c r="G17" i="15" s="1"/>
  <c r="N8" i="15"/>
  <c r="X8" i="15" s="1"/>
  <c r="O81" i="15"/>
  <c r="G433" i="2"/>
  <c r="G434" i="2" s="1"/>
  <c r="O435" i="2"/>
  <c r="O439" i="2" s="1"/>
  <c r="N435" i="2"/>
  <c r="N439" i="2" s="1"/>
  <c r="G470" i="2"/>
  <c r="G493" i="2"/>
  <c r="G494" i="2" s="1"/>
  <c r="P147" i="15"/>
  <c r="G18" i="15" s="1"/>
  <c r="O135" i="15"/>
  <c r="R135" i="15" s="1"/>
  <c r="M9" i="15"/>
  <c r="W9" i="15" s="1"/>
  <c r="K47" i="15"/>
  <c r="N23" i="15"/>
  <c r="X23" i="15" s="1"/>
  <c r="D22" i="15"/>
  <c r="O167" i="15"/>
  <c r="F20" i="15" s="1"/>
  <c r="O91" i="15"/>
  <c r="R434" i="2"/>
  <c r="R435" i="2" s="1"/>
  <c r="R439" i="2" s="1"/>
  <c r="U442" i="2"/>
  <c r="O155" i="15"/>
  <c r="R155" i="15" s="1"/>
  <c r="I19" i="15" s="1"/>
  <c r="Q443" i="2" s="1"/>
  <c r="Q496" i="2" s="1"/>
  <c r="A39" i="15"/>
  <c r="M10" i="15"/>
  <c r="W10" i="15" s="1"/>
  <c r="F7" i="8"/>
  <c r="D14" i="15"/>
  <c r="N14" i="15" s="1"/>
  <c r="X14" i="15" s="1"/>
  <c r="P97" i="15"/>
  <c r="G13" i="15" s="1"/>
  <c r="J430" i="2"/>
  <c r="J503" i="2" s="1"/>
  <c r="N10" i="15"/>
  <c r="X10" i="15" s="1"/>
  <c r="H430" i="2"/>
  <c r="H503" i="2" s="1"/>
  <c r="S65" i="15"/>
  <c r="J10" i="15" s="1"/>
  <c r="H442" i="2" s="1"/>
  <c r="F432" i="2"/>
  <c r="F410" i="2" s="1"/>
  <c r="O145" i="15"/>
  <c r="R145" i="15" s="1"/>
  <c r="S145" i="15"/>
  <c r="J18" i="15" s="1"/>
  <c r="P442" i="2" s="1"/>
  <c r="O185" i="15"/>
  <c r="R185" i="15" s="1"/>
  <c r="I22" i="15" s="1"/>
  <c r="T443" i="2" s="1"/>
  <c r="T496" i="2" s="1"/>
  <c r="S155" i="15"/>
  <c r="J19" i="15" s="1"/>
  <c r="Q442" i="2" s="1"/>
  <c r="P187" i="15"/>
  <c r="G22" i="15" s="1"/>
  <c r="D21" i="15"/>
  <c r="N21" i="15" s="1"/>
  <c r="X21" i="15" s="1"/>
  <c r="P167" i="15"/>
  <c r="G20" i="15" s="1"/>
  <c r="O187" i="15"/>
  <c r="F22" i="15" s="1"/>
  <c r="O147" i="15"/>
  <c r="F18" i="15" s="1"/>
  <c r="O157" i="15"/>
  <c r="F19" i="15" s="1"/>
  <c r="D16" i="15"/>
  <c r="O121" i="15"/>
  <c r="O151" i="15"/>
  <c r="D19" i="15"/>
  <c r="D20" i="15"/>
  <c r="O161" i="15"/>
  <c r="L433" i="2"/>
  <c r="M14" i="15"/>
  <c r="P177" i="15"/>
  <c r="G21" i="15" s="1"/>
  <c r="O177" i="15"/>
  <c r="F21" i="15" s="1"/>
  <c r="S185" i="15"/>
  <c r="J22" i="15" s="1"/>
  <c r="T442" i="2" s="1"/>
  <c r="O219" i="15"/>
  <c r="P157" i="15"/>
  <c r="G19" i="15" s="1"/>
  <c r="U443" i="2"/>
  <c r="U496" i="2" s="1"/>
  <c r="S135" i="15"/>
  <c r="J17" i="15" s="1"/>
  <c r="O442" i="2" s="1"/>
  <c r="AG429" i="2"/>
  <c r="P436" i="2"/>
  <c r="P438" i="2" s="1"/>
  <c r="Q10" i="15"/>
  <c r="AA10" i="15" s="1"/>
  <c r="Q19" i="15"/>
  <c r="AA19" i="15" s="1"/>
  <c r="Q11" i="15"/>
  <c r="AA11" i="15" s="1"/>
  <c r="Q13" i="15"/>
  <c r="AA13" i="15" s="1"/>
  <c r="Q26" i="15"/>
  <c r="AA26" i="15" s="1"/>
  <c r="Q23" i="15"/>
  <c r="AA23" i="15" s="1"/>
  <c r="Q8" i="15"/>
  <c r="AA8" i="15" s="1"/>
  <c r="O26" i="15"/>
  <c r="Z26" i="15" s="1"/>
  <c r="Q21" i="15"/>
  <c r="AA21" i="15" s="1"/>
  <c r="Q12" i="15"/>
  <c r="AA12" i="15" s="1"/>
  <c r="Q14" i="15"/>
  <c r="AA14" i="15" s="1"/>
  <c r="M434" i="2"/>
  <c r="S425" i="2"/>
  <c r="Q434" i="2"/>
  <c r="A59" i="15"/>
  <c r="D70" i="18"/>
  <c r="H62" i="18" a="1"/>
  <c r="H63" i="18" s="1"/>
  <c r="M108" i="18"/>
  <c r="D118" i="18" s="1"/>
  <c r="K152" i="1"/>
  <c r="T436" i="2"/>
  <c r="T438" i="2" s="1"/>
  <c r="T435" i="2"/>
  <c r="T439" i="2" s="1"/>
  <c r="K430" i="2"/>
  <c r="K503" i="2" s="1"/>
  <c r="N13" i="15"/>
  <c r="X13" i="15" s="1"/>
  <c r="J470" i="2"/>
  <c r="J493" i="2"/>
  <c r="J494" i="2" s="1"/>
  <c r="I470" i="2"/>
  <c r="I493" i="2"/>
  <c r="O97" i="15"/>
  <c r="F13" i="15" s="1"/>
  <c r="K445" i="2" s="1"/>
  <c r="K463" i="2" s="1"/>
  <c r="F9" i="9"/>
  <c r="M11" i="15"/>
  <c r="W11" i="15" s="1"/>
  <c r="I433" i="2"/>
  <c r="H30" i="18" a="1"/>
  <c r="D38" i="18"/>
  <c r="A49" i="15"/>
  <c r="Z494" i="2"/>
  <c r="A89" i="15"/>
  <c r="D120" i="18"/>
  <c r="H112" i="18" a="1"/>
  <c r="M13" i="15" l="1"/>
  <c r="W13" i="15" s="1"/>
  <c r="D11" i="9"/>
  <c r="F11" i="9" s="1"/>
  <c r="D11" i="8"/>
  <c r="F11" i="8" s="1"/>
  <c r="M12" i="15"/>
  <c r="W12" i="15" s="1"/>
  <c r="D10" i="9"/>
  <c r="F10" i="9" s="1"/>
  <c r="D10" i="8"/>
  <c r="F10" i="8" s="1"/>
  <c r="D6" i="8"/>
  <c r="F6" i="8" s="1"/>
  <c r="U449" i="2"/>
  <c r="U456" i="2" s="1"/>
  <c r="U477" i="2" s="1"/>
  <c r="U484" i="2" s="1"/>
  <c r="S449" i="2"/>
  <c r="R449" i="2"/>
  <c r="T449" i="2"/>
  <c r="T456" i="2" s="1"/>
  <c r="T477" i="2" s="1"/>
  <c r="T484" i="2" s="1"/>
  <c r="AE352" i="2"/>
  <c r="P313" i="2"/>
  <c r="P351" i="2"/>
  <c r="P352" i="2"/>
  <c r="P353" i="2"/>
  <c r="P354" i="2"/>
  <c r="Q449" i="2"/>
  <c r="Q456" i="2" s="1"/>
  <c r="Q477" i="2" s="1"/>
  <c r="D8" i="9"/>
  <c r="F8" i="9" s="1"/>
  <c r="D8" i="8"/>
  <c r="F8" i="8" s="1"/>
  <c r="J433" i="2"/>
  <c r="J434" i="2" s="1"/>
  <c r="J436" i="2" s="1"/>
  <c r="J438" i="2" s="1"/>
  <c r="T353" i="2"/>
  <c r="K433" i="2"/>
  <c r="K434" i="2" s="1"/>
  <c r="K436" i="2" s="1"/>
  <c r="K438" i="2" s="1"/>
  <c r="C26" i="15"/>
  <c r="C30" i="15" s="1"/>
  <c r="M8" i="15"/>
  <c r="W8" i="15" s="1"/>
  <c r="N18" i="15"/>
  <c r="X18" i="15" s="1"/>
  <c r="F433" i="2"/>
  <c r="F434" i="2" s="1"/>
  <c r="F436" i="2" s="1"/>
  <c r="F438" i="2" s="1"/>
  <c r="N353" i="2"/>
  <c r="S354" i="2"/>
  <c r="U354" i="2"/>
  <c r="M354" i="2"/>
  <c r="Y354" i="2"/>
  <c r="R351" i="2"/>
  <c r="V351" i="2"/>
  <c r="Q351" i="2"/>
  <c r="U351" i="2"/>
  <c r="W353" i="2"/>
  <c r="O354" i="2"/>
  <c r="I430" i="2"/>
  <c r="I503" i="2" s="1"/>
  <c r="Y351" i="2"/>
  <c r="T354" i="2"/>
  <c r="O353" i="2"/>
  <c r="X353" i="2"/>
  <c r="AD353" i="2"/>
  <c r="AH429" i="2"/>
  <c r="O351" i="2"/>
  <c r="AF351" i="2"/>
  <c r="N352" i="2"/>
  <c r="AE354" i="2"/>
  <c r="T351" i="2"/>
  <c r="AB354" i="2"/>
  <c r="AA353" i="2"/>
  <c r="AB353" i="2"/>
  <c r="AA354" i="2"/>
  <c r="V353" i="2"/>
  <c r="S353" i="2"/>
  <c r="AE351" i="2"/>
  <c r="U352" i="2"/>
  <c r="V352" i="2"/>
  <c r="AB351" i="2"/>
  <c r="O352" i="2"/>
  <c r="AF354" i="2"/>
  <c r="U353" i="2"/>
  <c r="Y353" i="2"/>
  <c r="Q353" i="2"/>
  <c r="M353" i="2"/>
  <c r="AC352" i="2"/>
  <c r="Z352" i="2"/>
  <c r="AA351" i="2"/>
  <c r="Q352" i="2"/>
  <c r="W352" i="2"/>
  <c r="AC353" i="2"/>
  <c r="X351" i="2"/>
  <c r="Z351" i="2"/>
  <c r="R353" i="2"/>
  <c r="Z353" i="2"/>
  <c r="AA313" i="2"/>
  <c r="T352" i="2"/>
  <c r="Z354" i="2"/>
  <c r="AD352" i="2"/>
  <c r="Y352" i="2"/>
  <c r="AA352" i="2"/>
  <c r="AF353" i="2"/>
  <c r="AE353" i="2"/>
  <c r="Q354" i="2"/>
  <c r="AD354" i="2"/>
  <c r="AF352" i="2"/>
  <c r="V354" i="2"/>
  <c r="X354" i="2"/>
  <c r="F345" i="2"/>
  <c r="I346" i="2"/>
  <c r="G348" i="2"/>
  <c r="H351" i="2"/>
  <c r="F353" i="2"/>
  <c r="I354" i="2"/>
  <c r="I350" i="2"/>
  <c r="F354" i="2"/>
  <c r="G345" i="2"/>
  <c r="H348" i="2"/>
  <c r="F350" i="2"/>
  <c r="I351" i="2"/>
  <c r="G353" i="2"/>
  <c r="H353" i="2"/>
  <c r="G352" i="2"/>
  <c r="H352" i="2"/>
  <c r="AH355" i="2"/>
  <c r="H345" i="2"/>
  <c r="F347" i="2"/>
  <c r="I348" i="2"/>
  <c r="G350" i="2"/>
  <c r="I345" i="2"/>
  <c r="G347" i="2"/>
  <c r="H350" i="2"/>
  <c r="F352" i="2"/>
  <c r="I353" i="2"/>
  <c r="H347" i="2"/>
  <c r="F349" i="2"/>
  <c r="F346" i="2"/>
  <c r="I347" i="2"/>
  <c r="G349" i="2"/>
  <c r="G346" i="2"/>
  <c r="H349" i="2"/>
  <c r="F351" i="2"/>
  <c r="I352" i="2"/>
  <c r="G354" i="2"/>
  <c r="H346" i="2"/>
  <c r="F348" i="2"/>
  <c r="I349" i="2"/>
  <c r="G351" i="2"/>
  <c r="H354" i="2"/>
  <c r="T175" i="15"/>
  <c r="K21" i="15" s="1"/>
  <c r="S441" i="2" s="1"/>
  <c r="W351" i="2"/>
  <c r="AB352" i="2"/>
  <c r="M352" i="2"/>
  <c r="R354" i="2"/>
  <c r="M351" i="2"/>
  <c r="AC351" i="2"/>
  <c r="R352" i="2"/>
  <c r="W354" i="2"/>
  <c r="S351" i="2"/>
  <c r="X352" i="2"/>
  <c r="AC354" i="2"/>
  <c r="N354" i="2"/>
  <c r="N351" i="2"/>
  <c r="AD351" i="2"/>
  <c r="S352" i="2"/>
  <c r="X313" i="2"/>
  <c r="O424" i="2"/>
  <c r="M435" i="2"/>
  <c r="M439" i="2" s="1"/>
  <c r="M436" i="2"/>
  <c r="M438" i="2" s="1"/>
  <c r="N425" i="2"/>
  <c r="O425" i="2"/>
  <c r="G435" i="2"/>
  <c r="G439" i="2" s="1"/>
  <c r="G436" i="2"/>
  <c r="G438" i="2" s="1"/>
  <c r="H470" i="2"/>
  <c r="S445" i="2"/>
  <c r="P445" i="2"/>
  <c r="P463" i="2" s="1"/>
  <c r="U445" i="2"/>
  <c r="U463" i="2" s="1"/>
  <c r="R445" i="2"/>
  <c r="R463" i="2" s="1"/>
  <c r="Q445" i="2"/>
  <c r="Q463" i="2" s="1"/>
  <c r="T445" i="2"/>
  <c r="T463" i="2" s="1"/>
  <c r="S125" i="15"/>
  <c r="J16" i="15" s="1"/>
  <c r="N442" i="2" s="1"/>
  <c r="AE313" i="2"/>
  <c r="F313" i="2"/>
  <c r="F418" i="2" s="1"/>
  <c r="O313" i="2"/>
  <c r="Y313" i="2"/>
  <c r="G313" i="2"/>
  <c r="G418" i="2" s="1"/>
  <c r="U313" i="2"/>
  <c r="AD313" i="2"/>
  <c r="M313" i="2"/>
  <c r="J313" i="2"/>
  <c r="K313" i="2"/>
  <c r="K418" i="2" s="1"/>
  <c r="W313" i="2"/>
  <c r="AF313" i="2"/>
  <c r="Q313" i="2"/>
  <c r="AB313" i="2"/>
  <c r="H313" i="2"/>
  <c r="Z313" i="2"/>
  <c r="L313" i="2"/>
  <c r="I313" i="2"/>
  <c r="S313" i="2"/>
  <c r="V313" i="2"/>
  <c r="N313" i="2"/>
  <c r="AC313" i="2"/>
  <c r="R313" i="2"/>
  <c r="T313" i="2"/>
  <c r="O432" i="2"/>
  <c r="O410" i="2" s="1"/>
  <c r="O127" i="15"/>
  <c r="F16" i="15" s="1"/>
  <c r="N445" i="2" s="1"/>
  <c r="N463" i="2" s="1"/>
  <c r="S95" i="15"/>
  <c r="J13" i="15" s="1"/>
  <c r="K442" i="2" s="1"/>
  <c r="P47" i="15"/>
  <c r="G8" i="15" s="1"/>
  <c r="I63" i="18"/>
  <c r="P127" i="15"/>
  <c r="G16" i="15" s="1"/>
  <c r="S115" i="15"/>
  <c r="J15" i="15" s="1"/>
  <c r="M442" i="2" s="1"/>
  <c r="O47" i="15"/>
  <c r="F8" i="15" s="1"/>
  <c r="F445" i="2" s="1"/>
  <c r="F463" i="2" s="1"/>
  <c r="O445" i="2"/>
  <c r="O463" i="2" s="1"/>
  <c r="O125" i="15"/>
  <c r="R125" i="15" s="1"/>
  <c r="I16" i="15" s="1"/>
  <c r="N443" i="2" s="1"/>
  <c r="N449" i="2" s="1"/>
  <c r="O123" i="15"/>
  <c r="Q123" i="15"/>
  <c r="H16" i="15" s="1"/>
  <c r="N444" i="2" s="1"/>
  <c r="Q83" i="15"/>
  <c r="H12" i="15" s="1"/>
  <c r="J444" i="2" s="1"/>
  <c r="O83" i="15"/>
  <c r="G430" i="2"/>
  <c r="G503" i="2" s="1"/>
  <c r="R456" i="2"/>
  <c r="F365" i="2"/>
  <c r="F341" i="2"/>
  <c r="AE425" i="2"/>
  <c r="Z425" i="2"/>
  <c r="N15" i="15"/>
  <c r="X15" i="15" s="1"/>
  <c r="M430" i="2"/>
  <c r="M503" i="2" s="1"/>
  <c r="O55" i="15"/>
  <c r="R55" i="15" s="1"/>
  <c r="I9" i="15" s="1"/>
  <c r="G443" i="2" s="1"/>
  <c r="G496" i="2" s="1"/>
  <c r="Q53" i="15"/>
  <c r="R436" i="2"/>
  <c r="R438" i="2" s="1"/>
  <c r="U430" i="2"/>
  <c r="U503" i="2" s="1"/>
  <c r="S55" i="15"/>
  <c r="J9" i="15" s="1"/>
  <c r="G442" i="2" s="1"/>
  <c r="L430" i="2"/>
  <c r="L503" i="2" s="1"/>
  <c r="T165" i="15"/>
  <c r="K20" i="15" s="1"/>
  <c r="R441" i="2" s="1"/>
  <c r="T135" i="15"/>
  <c r="K17" i="15" s="1"/>
  <c r="O441" i="2" s="1"/>
  <c r="Q93" i="15"/>
  <c r="H13" i="15" s="1"/>
  <c r="K444" i="2" s="1"/>
  <c r="I17" i="15"/>
  <c r="O443" i="2" s="1"/>
  <c r="O496" i="2" s="1"/>
  <c r="S430" i="2"/>
  <c r="S503" i="2" s="1"/>
  <c r="T430" i="2"/>
  <c r="T503" i="2" s="1"/>
  <c r="N22" i="15"/>
  <c r="X22" i="15" s="1"/>
  <c r="U441" i="2"/>
  <c r="T155" i="15"/>
  <c r="K19" i="15" s="1"/>
  <c r="Q441" i="2" s="1"/>
  <c r="T185" i="15"/>
  <c r="K22" i="15" s="1"/>
  <c r="T441" i="2" s="1"/>
  <c r="S45" i="15"/>
  <c r="J8" i="15" s="1"/>
  <c r="F442" i="2" s="1"/>
  <c r="O53" i="15"/>
  <c r="H434" i="2"/>
  <c r="H436" i="2" s="1"/>
  <c r="H438" i="2" s="1"/>
  <c r="O93" i="15"/>
  <c r="J432" i="2"/>
  <c r="J410" i="2" s="1"/>
  <c r="H432" i="2"/>
  <c r="H410" i="2" s="1"/>
  <c r="O43" i="15"/>
  <c r="Q43" i="15"/>
  <c r="H8" i="15" s="1"/>
  <c r="F444" i="2" s="1"/>
  <c r="T145" i="15"/>
  <c r="K18" i="15" s="1"/>
  <c r="P441" i="2" s="1"/>
  <c r="I18" i="15"/>
  <c r="P443" i="2" s="1"/>
  <c r="P496" i="2" s="1"/>
  <c r="R430" i="2"/>
  <c r="R503" i="2" s="1"/>
  <c r="N20" i="15"/>
  <c r="X20" i="15" s="1"/>
  <c r="N430" i="2"/>
  <c r="N16" i="15"/>
  <c r="X16" i="15" s="1"/>
  <c r="Q430" i="2"/>
  <c r="Q503" i="2" s="1"/>
  <c r="N19" i="15"/>
  <c r="X19" i="15" s="1"/>
  <c r="P432" i="2"/>
  <c r="P410" i="2" s="1"/>
  <c r="L434" i="2"/>
  <c r="D26" i="15"/>
  <c r="Q436" i="2"/>
  <c r="Q438" i="2" s="1"/>
  <c r="Q435" i="2"/>
  <c r="Q439" i="2" s="1"/>
  <c r="P425" i="2"/>
  <c r="H64" i="18"/>
  <c r="D64" i="18" s="1"/>
  <c r="I62" i="18"/>
  <c r="D63" i="18" s="1"/>
  <c r="D69" i="18" s="1"/>
  <c r="D72" i="18" s="1"/>
  <c r="D74" i="18" s="1"/>
  <c r="D75" i="18" s="1"/>
  <c r="D76" i="18" s="1"/>
  <c r="D131" i="18" s="1"/>
  <c r="O483" i="1" s="1"/>
  <c r="H62" i="18"/>
  <c r="D62" i="18" s="1"/>
  <c r="I64" i="18"/>
  <c r="H113" i="18"/>
  <c r="I114" i="18"/>
  <c r="H114" i="18"/>
  <c r="D114" i="18" s="1"/>
  <c r="I113" i="18"/>
  <c r="H112" i="18"/>
  <c r="D112" i="18" s="1"/>
  <c r="I112" i="18"/>
  <c r="D113" i="18" s="1"/>
  <c r="D119" i="18" s="1"/>
  <c r="D122" i="18" s="1"/>
  <c r="D124" i="18" s="1"/>
  <c r="D125" i="18" s="1"/>
  <c r="I434" i="2"/>
  <c r="I436" i="2" s="1"/>
  <c r="I438" i="2" s="1"/>
  <c r="S456" i="2"/>
  <c r="S477" i="2" s="1"/>
  <c r="O45" i="15"/>
  <c r="R45" i="15" s="1"/>
  <c r="H30" i="18"/>
  <c r="D30" i="18" s="1"/>
  <c r="I32" i="18"/>
  <c r="I31" i="18"/>
  <c r="H32" i="18"/>
  <c r="D32" i="18" s="1"/>
  <c r="H31" i="18"/>
  <c r="I30" i="18"/>
  <c r="D31" i="18" s="1"/>
  <c r="D37" i="18" s="1"/>
  <c r="D40" i="18" s="1"/>
  <c r="D42" i="18" s="1"/>
  <c r="D43" i="18" s="1"/>
  <c r="O63" i="15"/>
  <c r="Q63" i="15"/>
  <c r="O95" i="15"/>
  <c r="R95" i="15" s="1"/>
  <c r="I494" i="2"/>
  <c r="K432" i="2"/>
  <c r="K410" i="2" s="1"/>
  <c r="S75" i="15"/>
  <c r="J11" i="15" s="1"/>
  <c r="T425" i="2"/>
  <c r="O73" i="15"/>
  <c r="Q73" i="15"/>
  <c r="D33" i="9" l="1"/>
  <c r="G33" i="9" s="1"/>
  <c r="K435" i="2"/>
  <c r="K439" i="2" s="1"/>
  <c r="F32" i="9"/>
  <c r="G22" i="9" s="1"/>
  <c r="V416" i="2" s="1"/>
  <c r="V417" i="2" s="1"/>
  <c r="D32" i="8"/>
  <c r="AG503" i="2"/>
  <c r="AH503" i="2" s="1"/>
  <c r="P24" i="15"/>
  <c r="Y24" i="15" s="1"/>
  <c r="D30" i="15"/>
  <c r="D31" i="15" s="1"/>
  <c r="F32" i="8"/>
  <c r="G10" i="8" s="1"/>
  <c r="C27" i="15"/>
  <c r="M27" i="15" s="1"/>
  <c r="S463" i="2"/>
  <c r="S552" i="2"/>
  <c r="S575" i="2" s="1"/>
  <c r="T552" i="2"/>
  <c r="T575" i="2" s="1"/>
  <c r="R477" i="2"/>
  <c r="R484" i="2" s="1"/>
  <c r="P449" i="2"/>
  <c r="P456" i="2" s="1"/>
  <c r="O449" i="2"/>
  <c r="O456" i="2" s="1"/>
  <c r="O477" i="2" s="1"/>
  <c r="I432" i="2"/>
  <c r="I410" i="2" s="1"/>
  <c r="I365" i="2" s="1"/>
  <c r="E434" i="2"/>
  <c r="Z421" i="2" s="1"/>
  <c r="G449" i="2"/>
  <c r="G456" i="2" s="1"/>
  <c r="G477" i="2" s="1"/>
  <c r="G7" i="9"/>
  <c r="G416" i="2" s="1"/>
  <c r="G417" i="2" s="1"/>
  <c r="P341" i="2"/>
  <c r="P365" i="2"/>
  <c r="M26" i="15"/>
  <c r="W26" i="15" s="1"/>
  <c r="E433" i="2"/>
  <c r="F435" i="2"/>
  <c r="F439" i="2" s="1"/>
  <c r="AG433" i="2"/>
  <c r="AG349" i="2"/>
  <c r="AH349" i="2" s="1"/>
  <c r="AG350" i="2"/>
  <c r="AH350" i="2" s="1"/>
  <c r="AG345" i="2"/>
  <c r="AH345" i="2" s="1"/>
  <c r="AG347" i="2"/>
  <c r="AH347" i="2" s="1"/>
  <c r="AG348" i="2"/>
  <c r="AH348" i="2" s="1"/>
  <c r="AG346" i="2"/>
  <c r="AH346" i="2" s="1"/>
  <c r="E430" i="2"/>
  <c r="E418" i="2"/>
  <c r="H9" i="15"/>
  <c r="G444" i="2" s="1"/>
  <c r="H10" i="15"/>
  <c r="H444" i="2" s="1"/>
  <c r="H11" i="15"/>
  <c r="I444" i="2" s="1"/>
  <c r="AG353" i="2"/>
  <c r="AH353" i="2" s="1"/>
  <c r="AG354" i="2"/>
  <c r="AH354" i="2" s="1"/>
  <c r="AG352" i="2"/>
  <c r="AH352" i="2" s="1"/>
  <c r="AG351" i="2"/>
  <c r="AH351" i="2" s="1"/>
  <c r="N424" i="2"/>
  <c r="T421" i="2"/>
  <c r="M425" i="2"/>
  <c r="L432" i="2"/>
  <c r="L410" i="2" s="1"/>
  <c r="L341" i="2" s="1"/>
  <c r="K425" i="2"/>
  <c r="G432" i="2"/>
  <c r="G410" i="2" s="1"/>
  <c r="G425" i="2"/>
  <c r="O421" i="2"/>
  <c r="F421" i="2"/>
  <c r="P421" i="2"/>
  <c r="G421" i="2"/>
  <c r="W421" i="2"/>
  <c r="X421" i="2"/>
  <c r="Y421" i="2"/>
  <c r="V421" i="2"/>
  <c r="AD421" i="2"/>
  <c r="AC421" i="2"/>
  <c r="AF421" i="2"/>
  <c r="S421" i="2"/>
  <c r="AA421" i="2"/>
  <c r="AB421" i="2"/>
  <c r="U421" i="2"/>
  <c r="AE421" i="2"/>
  <c r="N421" i="2"/>
  <c r="H493" i="2"/>
  <c r="H494" i="2" s="1"/>
  <c r="AG418" i="2"/>
  <c r="AE316" i="2"/>
  <c r="AE338" i="2" s="1"/>
  <c r="R493" i="2"/>
  <c r="R494" i="2" s="1"/>
  <c r="R470" i="2"/>
  <c r="T470" i="2"/>
  <c r="T493" i="2"/>
  <c r="T494" i="2" s="1"/>
  <c r="P493" i="2"/>
  <c r="P494" i="2" s="1"/>
  <c r="P470" i="2"/>
  <c r="U493" i="2"/>
  <c r="U494" i="2" s="1"/>
  <c r="U470" i="2"/>
  <c r="Q470" i="2"/>
  <c r="Q493" i="2"/>
  <c r="Q494" i="2" s="1"/>
  <c r="S493" i="2"/>
  <c r="S494" i="2" s="1"/>
  <c r="S470" i="2"/>
  <c r="AG313" i="2"/>
  <c r="AH313" i="2" s="1"/>
  <c r="O365" i="2"/>
  <c r="O341" i="2"/>
  <c r="N456" i="2"/>
  <c r="N477" i="2" s="1"/>
  <c r="T125" i="15"/>
  <c r="K16" i="15" s="1"/>
  <c r="N441" i="2" s="1"/>
  <c r="F425" i="2"/>
  <c r="E131" i="18"/>
  <c r="P483" i="1" s="1"/>
  <c r="P15" i="15"/>
  <c r="P16" i="15"/>
  <c r="P17" i="15"/>
  <c r="O493" i="2"/>
  <c r="O494" i="2" s="1"/>
  <c r="O470" i="2"/>
  <c r="N493" i="2"/>
  <c r="N494" i="2" s="1"/>
  <c r="N470" i="2"/>
  <c r="F470" i="2"/>
  <c r="F493" i="2"/>
  <c r="F494" i="2" s="1"/>
  <c r="O56" i="1"/>
  <c r="O57" i="1"/>
  <c r="M421" i="2"/>
  <c r="K365" i="2"/>
  <c r="K341" i="2"/>
  <c r="J365" i="2"/>
  <c r="J341" i="2"/>
  <c r="H365" i="2"/>
  <c r="H341" i="2"/>
  <c r="T55" i="15"/>
  <c r="K9" i="15" s="1"/>
  <c r="G441" i="2" s="1"/>
  <c r="R421" i="2"/>
  <c r="R425" i="2"/>
  <c r="M432" i="2"/>
  <c r="M410" i="2" s="1"/>
  <c r="U432" i="2"/>
  <c r="U410" i="2" s="1"/>
  <c r="AG430" i="2"/>
  <c r="T432" i="2"/>
  <c r="T410" i="2" s="1"/>
  <c r="S432" i="2"/>
  <c r="S410" i="2" s="1"/>
  <c r="K421" i="2"/>
  <c r="H435" i="2"/>
  <c r="H439" i="2" s="1"/>
  <c r="X316" i="2"/>
  <c r="X338" i="2" s="1"/>
  <c r="Y316" i="2"/>
  <c r="Y338" i="2" s="1"/>
  <c r="W316" i="2"/>
  <c r="W338" i="2" s="1"/>
  <c r="AD316" i="2"/>
  <c r="AD338" i="2" s="1"/>
  <c r="AF316" i="2"/>
  <c r="AF338" i="2" s="1"/>
  <c r="AC316" i="2"/>
  <c r="AC338" i="2" s="1"/>
  <c r="AB316" i="2"/>
  <c r="AB338" i="2" s="1"/>
  <c r="V316" i="2"/>
  <c r="V338" i="2" s="1"/>
  <c r="Z316" i="2"/>
  <c r="Z338" i="2" s="1"/>
  <c r="AA316" i="2"/>
  <c r="AA338" i="2" s="1"/>
  <c r="L435" i="2"/>
  <c r="L439" i="2" s="1"/>
  <c r="Q432" i="2"/>
  <c r="Q410" i="2" s="1"/>
  <c r="R432" i="2"/>
  <c r="R410" i="2" s="1"/>
  <c r="N432" i="2"/>
  <c r="P10" i="15"/>
  <c r="P8" i="15"/>
  <c r="P11" i="15"/>
  <c r="P18" i="15"/>
  <c r="P26" i="15"/>
  <c r="Y26" i="15" s="1"/>
  <c r="P9" i="15"/>
  <c r="N26" i="15"/>
  <c r="X26" i="15" s="1"/>
  <c r="P22" i="15"/>
  <c r="P21" i="15"/>
  <c r="P14" i="15"/>
  <c r="P23" i="15"/>
  <c r="P13" i="15"/>
  <c r="P12" i="15"/>
  <c r="P20" i="15"/>
  <c r="P19" i="15"/>
  <c r="Q421" i="2"/>
  <c r="Q425" i="2"/>
  <c r="I375" i="1"/>
  <c r="O75" i="15"/>
  <c r="R75" i="15" s="1"/>
  <c r="T95" i="15"/>
  <c r="K13" i="15" s="1"/>
  <c r="K441" i="2" s="1"/>
  <c r="I13" i="15"/>
  <c r="K443" i="2" s="1"/>
  <c r="K496" i="2" s="1"/>
  <c r="I442" i="2"/>
  <c r="D44" i="18"/>
  <c r="D130" i="18" s="1"/>
  <c r="O482" i="1" s="1"/>
  <c r="O481" i="1" s="1"/>
  <c r="E130" i="18"/>
  <c r="J435" i="2"/>
  <c r="J439" i="2" s="1"/>
  <c r="D126" i="18"/>
  <c r="D132" i="18" s="1"/>
  <c r="O484" i="1" s="1"/>
  <c r="E132" i="18"/>
  <c r="P484" i="1" s="1"/>
  <c r="O65" i="15"/>
  <c r="R65" i="15" s="1"/>
  <c r="I8" i="15"/>
  <c r="T45" i="15"/>
  <c r="K8" i="15" s="1"/>
  <c r="I435" i="2"/>
  <c r="I439" i="2" s="1"/>
  <c r="AG434" i="2"/>
  <c r="AH434" i="2" s="1"/>
  <c r="G10" i="9" l="1"/>
  <c r="J416" i="2" s="1"/>
  <c r="J417" i="2" s="1"/>
  <c r="G8" i="9"/>
  <c r="H416" i="2" s="1"/>
  <c r="H417" i="2" s="1"/>
  <c r="G11" i="9"/>
  <c r="K416" i="2" s="1"/>
  <c r="K417" i="2" s="1"/>
  <c r="G21" i="9"/>
  <c r="U416" i="2" s="1"/>
  <c r="U417" i="2" s="1"/>
  <c r="U314" i="2" s="1"/>
  <c r="U316" i="2" s="1"/>
  <c r="U338" i="2" s="1"/>
  <c r="G13" i="9"/>
  <c r="M416" i="2" s="1"/>
  <c r="M417" i="2" s="1"/>
  <c r="G16" i="9"/>
  <c r="P416" i="2" s="1"/>
  <c r="P417" i="2" s="1"/>
  <c r="P314" i="2" s="1"/>
  <c r="P316" i="2" s="1"/>
  <c r="P338" i="2" s="1"/>
  <c r="G9" i="9"/>
  <c r="I416" i="2" s="1"/>
  <c r="I417" i="2" s="1"/>
  <c r="I314" i="2" s="1"/>
  <c r="I316" i="2" s="1"/>
  <c r="I338" i="2" s="1"/>
  <c r="G17" i="9"/>
  <c r="Q416" i="2" s="1"/>
  <c r="Q417" i="2" s="1"/>
  <c r="Q314" i="2" s="1"/>
  <c r="Q316" i="2" s="1"/>
  <c r="Q338" i="2" s="1"/>
  <c r="G12" i="9"/>
  <c r="L416" i="2" s="1"/>
  <c r="L417" i="2" s="1"/>
  <c r="G6" i="9"/>
  <c r="G15" i="9"/>
  <c r="O416" i="2" s="1"/>
  <c r="O417" i="2" s="1"/>
  <c r="O314" i="2" s="1"/>
  <c r="O316" i="2" s="1"/>
  <c r="O338" i="2" s="1"/>
  <c r="G18" i="9"/>
  <c r="R416" i="2" s="1"/>
  <c r="R417" i="2" s="1"/>
  <c r="R314" i="2" s="1"/>
  <c r="R316" i="2" s="1"/>
  <c r="R338" i="2" s="1"/>
  <c r="G19" i="9"/>
  <c r="S416" i="2" s="1"/>
  <c r="S417" i="2" s="1"/>
  <c r="S314" i="2" s="1"/>
  <c r="S316" i="2" s="1"/>
  <c r="S338" i="2" s="1"/>
  <c r="G14" i="9"/>
  <c r="N416" i="2" s="1"/>
  <c r="N417" i="2" s="1"/>
  <c r="N314" i="2" s="1"/>
  <c r="N316" i="2" s="1"/>
  <c r="N338" i="2" s="1"/>
  <c r="G22" i="8"/>
  <c r="V423" i="2" s="1"/>
  <c r="G12" i="8"/>
  <c r="L423" i="2" s="1"/>
  <c r="G20" i="9"/>
  <c r="T416" i="2" s="1"/>
  <c r="T417" i="2" s="1"/>
  <c r="T314" i="2" s="1"/>
  <c r="T316" i="2" s="1"/>
  <c r="T338" i="2" s="1"/>
  <c r="G8" i="8"/>
  <c r="G6" i="8"/>
  <c r="G11" i="8"/>
  <c r="K423" i="2" s="1"/>
  <c r="G7" i="8"/>
  <c r="G17" i="8"/>
  <c r="Q423" i="2" s="1"/>
  <c r="G14" i="8"/>
  <c r="N423" i="2" s="1"/>
  <c r="G15" i="8"/>
  <c r="O423" i="2" s="1"/>
  <c r="G18" i="8"/>
  <c r="R423" i="2" s="1"/>
  <c r="G19" i="8"/>
  <c r="S423" i="2" s="1"/>
  <c r="G9" i="8"/>
  <c r="I423" i="2" s="1"/>
  <c r="G16" i="8"/>
  <c r="P423" i="2" s="1"/>
  <c r="G21" i="8"/>
  <c r="U423" i="2" s="1"/>
  <c r="G20" i="8"/>
  <c r="T423" i="2" s="1"/>
  <c r="G13" i="8"/>
  <c r="M423" i="2" s="1"/>
  <c r="E49" i="4"/>
  <c r="Y18" i="15"/>
  <c r="E46" i="4"/>
  <c r="Y15" i="15"/>
  <c r="E45" i="4"/>
  <c r="Y14" i="15"/>
  <c r="E43" i="4"/>
  <c r="Y12" i="15"/>
  <c r="E52" i="4"/>
  <c r="Y21" i="15"/>
  <c r="E41" i="4"/>
  <c r="Y10" i="15"/>
  <c r="E44" i="4"/>
  <c r="Y13" i="15"/>
  <c r="E42" i="4"/>
  <c r="Y11" i="15"/>
  <c r="E39" i="4"/>
  <c r="Y8" i="15"/>
  <c r="E54" i="4"/>
  <c r="Y23" i="15"/>
  <c r="E53" i="4"/>
  <c r="Y22" i="15"/>
  <c r="E50" i="4"/>
  <c r="Y19" i="15"/>
  <c r="E48" i="4"/>
  <c r="Y17" i="15"/>
  <c r="E51" i="4"/>
  <c r="Y20" i="15"/>
  <c r="E40" i="4"/>
  <c r="Y9" i="15"/>
  <c r="E47" i="4"/>
  <c r="Y16" i="15"/>
  <c r="E435" i="2"/>
  <c r="E439" i="2" s="1"/>
  <c r="K426" i="2" s="1"/>
  <c r="C31" i="15"/>
  <c r="S626" i="2"/>
  <c r="S600" i="2"/>
  <c r="Y33" i="1"/>
  <c r="K33" i="1"/>
  <c r="U32" i="1"/>
  <c r="H32" i="1"/>
  <c r="R31" i="1"/>
  <c r="O30" i="1"/>
  <c r="Y29" i="1"/>
  <c r="K29" i="1"/>
  <c r="U28" i="1"/>
  <c r="K27" i="1"/>
  <c r="S32" i="1"/>
  <c r="AA30" i="1"/>
  <c r="S28" i="1"/>
  <c r="O31" i="1"/>
  <c r="R28" i="1"/>
  <c r="I30" i="1"/>
  <c r="U30" i="1"/>
  <c r="W31" i="1"/>
  <c r="S30" i="1"/>
  <c r="W33" i="1"/>
  <c r="W29" i="1"/>
  <c r="R32" i="1"/>
  <c r="H29" i="1"/>
  <c r="W30" i="1"/>
  <c r="H30" i="1"/>
  <c r="M32" i="1"/>
  <c r="S27" i="1"/>
  <c r="U33" i="1"/>
  <c r="H33" i="1"/>
  <c r="K30" i="1"/>
  <c r="Y27" i="1"/>
  <c r="W27" i="1"/>
  <c r="AA32" i="1"/>
  <c r="I28" i="1"/>
  <c r="S33" i="1"/>
  <c r="P32" i="1"/>
  <c r="AA31" i="1"/>
  <c r="M31" i="1"/>
  <c r="P28" i="1"/>
  <c r="U27" i="1"/>
  <c r="P33" i="1"/>
  <c r="P29" i="1"/>
  <c r="R33" i="1"/>
  <c r="O32" i="1"/>
  <c r="Y31" i="1"/>
  <c r="K31" i="1"/>
  <c r="R29" i="1"/>
  <c r="I31" i="1"/>
  <c r="O33" i="1"/>
  <c r="Y32" i="1"/>
  <c r="K32" i="1"/>
  <c r="U31" i="1"/>
  <c r="H31" i="1"/>
  <c r="R30" i="1"/>
  <c r="O29" i="1"/>
  <c r="Y28" i="1"/>
  <c r="H28" i="1"/>
  <c r="R27" i="1"/>
  <c r="I33" i="1"/>
  <c r="M30" i="1"/>
  <c r="AA27" i="1"/>
  <c r="Y30" i="1"/>
  <c r="AA33" i="1"/>
  <c r="M33" i="1"/>
  <c r="W32" i="1"/>
  <c r="I32" i="1"/>
  <c r="S31" i="1"/>
  <c r="P30" i="1"/>
  <c r="AA29" i="1"/>
  <c r="M29" i="1"/>
  <c r="W28" i="1"/>
  <c r="P27" i="1"/>
  <c r="P31" i="1"/>
  <c r="I29" i="1"/>
  <c r="I27" i="1"/>
  <c r="U29" i="1"/>
  <c r="H27" i="1"/>
  <c r="S29" i="1"/>
  <c r="K28" i="1"/>
  <c r="AA28" i="1"/>
  <c r="H354" i="1"/>
  <c r="H355" i="1"/>
  <c r="I354" i="1"/>
  <c r="I355" i="1"/>
  <c r="H167" i="1"/>
  <c r="S269" i="1"/>
  <c r="R365" i="1"/>
  <c r="Y364" i="1"/>
  <c r="K364" i="1"/>
  <c r="R363" i="1"/>
  <c r="Y362" i="1"/>
  <c r="K362" i="1"/>
  <c r="R361" i="1"/>
  <c r="Y356" i="1"/>
  <c r="K356" i="1"/>
  <c r="R355" i="1"/>
  <c r="U354" i="1"/>
  <c r="Y353" i="1"/>
  <c r="K353" i="1"/>
  <c r="R352" i="1"/>
  <c r="Y351" i="1"/>
  <c r="K351" i="1"/>
  <c r="R350" i="1"/>
  <c r="Y349" i="1"/>
  <c r="K349" i="1"/>
  <c r="R188" i="1"/>
  <c r="W167" i="1"/>
  <c r="I167" i="1"/>
  <c r="O21" i="1"/>
  <c r="U22" i="1"/>
  <c r="H22" i="1"/>
  <c r="O20" i="1"/>
  <c r="U19" i="1"/>
  <c r="H19" i="1"/>
  <c r="O18" i="1"/>
  <c r="U17" i="1"/>
  <c r="H17" i="1"/>
  <c r="K16" i="1"/>
  <c r="R15" i="1"/>
  <c r="P187" i="1"/>
  <c r="M51" i="1"/>
  <c r="O186" i="1"/>
  <c r="AA445" i="1"/>
  <c r="K445" i="1"/>
  <c r="R266" i="1"/>
  <c r="K41" i="1"/>
  <c r="M56" i="1"/>
  <c r="M63" i="1"/>
  <c r="O62" i="1"/>
  <c r="U44" i="1"/>
  <c r="U58" i="1"/>
  <c r="S40" i="1"/>
  <c r="S54" i="1"/>
  <c r="S62" i="1"/>
  <c r="R44" i="1"/>
  <c r="R58" i="1"/>
  <c r="M40" i="1"/>
  <c r="Y41" i="1"/>
  <c r="Y56" i="1"/>
  <c r="Y62" i="1"/>
  <c r="AA44" i="1"/>
  <c r="AA58" i="1"/>
  <c r="P38" i="1"/>
  <c r="P52" i="1"/>
  <c r="W39" i="1"/>
  <c r="W54" i="1"/>
  <c r="W63" i="1"/>
  <c r="O43" i="1"/>
  <c r="Y430" i="1"/>
  <c r="Y442" i="1"/>
  <c r="Y223" i="1"/>
  <c r="Y264" i="1"/>
  <c r="W255" i="1"/>
  <c r="W268" i="1"/>
  <c r="W434" i="1"/>
  <c r="W447" i="1"/>
  <c r="U252" i="1"/>
  <c r="U264" i="1"/>
  <c r="U431" i="1"/>
  <c r="U443" i="1"/>
  <c r="R400" i="1"/>
  <c r="R439" i="1"/>
  <c r="R448" i="1"/>
  <c r="R255" i="1"/>
  <c r="R268" i="1"/>
  <c r="K55" i="1"/>
  <c r="R269" i="1"/>
  <c r="P365" i="1"/>
  <c r="W364" i="1"/>
  <c r="I364" i="1"/>
  <c r="P363" i="1"/>
  <c r="W362" i="1"/>
  <c r="I362" i="1"/>
  <c r="P361" i="1"/>
  <c r="W356" i="1"/>
  <c r="I356" i="1"/>
  <c r="P355" i="1"/>
  <c r="S354" i="1"/>
  <c r="W353" i="1"/>
  <c r="I353" i="1"/>
  <c r="P352" i="1"/>
  <c r="W351" i="1"/>
  <c r="I351" i="1"/>
  <c r="P350" i="1"/>
  <c r="W349" i="1"/>
  <c r="I349" i="1"/>
  <c r="P188" i="1"/>
  <c r="U167" i="1"/>
  <c r="AA21" i="1"/>
  <c r="M21" i="1"/>
  <c r="S22" i="1"/>
  <c r="AA20" i="1"/>
  <c r="M20" i="1"/>
  <c r="S19" i="1"/>
  <c r="AA18" i="1"/>
  <c r="M18" i="1"/>
  <c r="S17" i="1"/>
  <c r="AA16" i="1"/>
  <c r="I16" i="1"/>
  <c r="P15" i="1"/>
  <c r="O187" i="1"/>
  <c r="P186" i="1"/>
  <c r="W445" i="1"/>
  <c r="I445" i="1"/>
  <c r="P266" i="1"/>
  <c r="K42" i="1"/>
  <c r="M57" i="1"/>
  <c r="O51" i="1"/>
  <c r="O63" i="1"/>
  <c r="U51" i="1"/>
  <c r="U59" i="1"/>
  <c r="S41" i="1"/>
  <c r="S55" i="1"/>
  <c r="S63" i="1"/>
  <c r="R51" i="1"/>
  <c r="R59" i="1"/>
  <c r="M41" i="1"/>
  <c r="Y42" i="1"/>
  <c r="Y57" i="1"/>
  <c r="AA51" i="1"/>
  <c r="AA59" i="1"/>
  <c r="P39" i="1"/>
  <c r="P53" i="1"/>
  <c r="W40" i="1"/>
  <c r="W55" i="1"/>
  <c r="W51" i="1"/>
  <c r="O44" i="1"/>
  <c r="Y431" i="1"/>
  <c r="Y443" i="1"/>
  <c r="Y251" i="1"/>
  <c r="Y265" i="1"/>
  <c r="W220" i="1"/>
  <c r="W260" i="1"/>
  <c r="W270" i="1"/>
  <c r="W439" i="1"/>
  <c r="W448" i="1"/>
  <c r="U253" i="1"/>
  <c r="U265" i="1"/>
  <c r="U432" i="1"/>
  <c r="U444" i="1"/>
  <c r="R375" i="1"/>
  <c r="R440" i="1"/>
  <c r="R449" i="1"/>
  <c r="R260" i="1"/>
  <c r="R270" i="1"/>
  <c r="K57" i="1"/>
  <c r="P269" i="1"/>
  <c r="O365" i="1"/>
  <c r="U364" i="1"/>
  <c r="H364" i="1"/>
  <c r="O363" i="1"/>
  <c r="U362" i="1"/>
  <c r="H362" i="1"/>
  <c r="O361" i="1"/>
  <c r="U356" i="1"/>
  <c r="H356" i="1"/>
  <c r="O355" i="1"/>
  <c r="R354" i="1"/>
  <c r="U353" i="1"/>
  <c r="H353" i="1"/>
  <c r="O352" i="1"/>
  <c r="U351" i="1"/>
  <c r="H351" i="1"/>
  <c r="O350" i="1"/>
  <c r="U349" i="1"/>
  <c r="H349" i="1"/>
  <c r="O188" i="1"/>
  <c r="S167" i="1"/>
  <c r="Y21" i="1"/>
  <c r="K21" i="1"/>
  <c r="R22" i="1"/>
  <c r="Y20" i="1"/>
  <c r="K20" i="1"/>
  <c r="R19" i="1"/>
  <c r="Y18" i="1"/>
  <c r="K18" i="1"/>
  <c r="R17" i="1"/>
  <c r="Y16" i="1"/>
  <c r="H16" i="1"/>
  <c r="K15" i="1"/>
  <c r="AA187" i="1"/>
  <c r="M187" i="1"/>
  <c r="R186" i="1"/>
  <c r="U445" i="1"/>
  <c r="H445" i="1"/>
  <c r="O266" i="1"/>
  <c r="K43" i="1"/>
  <c r="M58" i="1"/>
  <c r="O52" i="1"/>
  <c r="U38" i="1"/>
  <c r="U52" i="1"/>
  <c r="U60" i="1"/>
  <c r="S42" i="1"/>
  <c r="S56" i="1"/>
  <c r="R38" i="1"/>
  <c r="R52" i="1"/>
  <c r="R60" i="1"/>
  <c r="M42" i="1"/>
  <c r="Y43" i="1"/>
  <c r="Y58" i="1"/>
  <c r="AA38" i="1"/>
  <c r="AA52" i="1"/>
  <c r="AA168" i="1"/>
  <c r="P40" i="1"/>
  <c r="P59" i="1"/>
  <c r="W41" i="1"/>
  <c r="W56" i="1"/>
  <c r="W62" i="1"/>
  <c r="Y432" i="1"/>
  <c r="Y444" i="1"/>
  <c r="Y253" i="1"/>
  <c r="Y267" i="1"/>
  <c r="W223" i="1"/>
  <c r="W261" i="1"/>
  <c r="W271" i="1"/>
  <c r="W440" i="1"/>
  <c r="W449" i="1"/>
  <c r="U254" i="1"/>
  <c r="U267" i="1"/>
  <c r="U433" i="1"/>
  <c r="U446" i="1"/>
  <c r="R376" i="1"/>
  <c r="R441" i="1"/>
  <c r="R220" i="1"/>
  <c r="R261" i="1"/>
  <c r="R271" i="1"/>
  <c r="K61" i="1"/>
  <c r="K58" i="1"/>
  <c r="K260" i="1"/>
  <c r="K270" i="1"/>
  <c r="O269" i="1"/>
  <c r="AA365" i="1"/>
  <c r="M365" i="1"/>
  <c r="S364" i="1"/>
  <c r="AA363" i="1"/>
  <c r="M363" i="1"/>
  <c r="S362" i="1"/>
  <c r="AA361" i="1"/>
  <c r="M361" i="1"/>
  <c r="S356" i="1"/>
  <c r="AA355" i="1"/>
  <c r="M355" i="1"/>
  <c r="P354" i="1"/>
  <c r="S353" i="1"/>
  <c r="AA352" i="1"/>
  <c r="M352" i="1"/>
  <c r="S351" i="1"/>
  <c r="AA350" i="1"/>
  <c r="M350" i="1"/>
  <c r="S349" i="1"/>
  <c r="AA188" i="1"/>
  <c r="M188" i="1"/>
  <c r="R167" i="1"/>
  <c r="W21" i="1"/>
  <c r="I21" i="1"/>
  <c r="P22" i="1"/>
  <c r="W20" i="1"/>
  <c r="I20" i="1"/>
  <c r="P19" i="1"/>
  <c r="W18" i="1"/>
  <c r="I18" i="1"/>
  <c r="P17" i="1"/>
  <c r="W16" i="1"/>
  <c r="AA15" i="1"/>
  <c r="I15" i="1"/>
  <c r="Y187" i="1"/>
  <c r="K187" i="1"/>
  <c r="S186" i="1"/>
  <c r="S445" i="1"/>
  <c r="Y445" i="1"/>
  <c r="M266" i="1"/>
  <c r="K44" i="1"/>
  <c r="M177" i="1"/>
  <c r="O53" i="1"/>
  <c r="U39" i="1"/>
  <c r="U53" i="1"/>
  <c r="U61" i="1"/>
  <c r="S43" i="1"/>
  <c r="S57" i="1"/>
  <c r="R39" i="1"/>
  <c r="R53" i="1"/>
  <c r="R61" i="1"/>
  <c r="M43" i="1"/>
  <c r="Y44" i="1"/>
  <c r="Y59" i="1"/>
  <c r="AA39" i="1"/>
  <c r="AA53" i="1"/>
  <c r="AA60" i="1"/>
  <c r="P41" i="1"/>
  <c r="P60" i="1"/>
  <c r="W42" i="1"/>
  <c r="W57" i="1"/>
  <c r="O38" i="1"/>
  <c r="Y433" i="1"/>
  <c r="Y446" i="1"/>
  <c r="Y254" i="1"/>
  <c r="Y268" i="1"/>
  <c r="W189" i="1"/>
  <c r="W262" i="1"/>
  <c r="W400" i="1"/>
  <c r="W441" i="1"/>
  <c r="Y189" i="1"/>
  <c r="U255" i="1"/>
  <c r="U268" i="1"/>
  <c r="U434" i="1"/>
  <c r="U447" i="1"/>
  <c r="R430" i="1"/>
  <c r="R442" i="1"/>
  <c r="R223" i="1"/>
  <c r="R262" i="1"/>
  <c r="R189" i="1"/>
  <c r="K60" i="1"/>
  <c r="K63" i="1"/>
  <c r="K261" i="1"/>
  <c r="K271" i="1"/>
  <c r="M269" i="1"/>
  <c r="Y365" i="1"/>
  <c r="K365" i="1"/>
  <c r="R364" i="1"/>
  <c r="Y363" i="1"/>
  <c r="K363" i="1"/>
  <c r="R362" i="1"/>
  <c r="Y361" i="1"/>
  <c r="K361" i="1"/>
  <c r="R356" i="1"/>
  <c r="Y355" i="1"/>
  <c r="K355" i="1"/>
  <c r="O354" i="1"/>
  <c r="R353" i="1"/>
  <c r="Y352" i="1"/>
  <c r="K352" i="1"/>
  <c r="R351" i="1"/>
  <c r="Y350" i="1"/>
  <c r="K350" i="1"/>
  <c r="R349" i="1"/>
  <c r="Y188" i="1"/>
  <c r="K188" i="1"/>
  <c r="P167" i="1"/>
  <c r="U21" i="1"/>
  <c r="H21" i="1"/>
  <c r="O22" i="1"/>
  <c r="U20" i="1"/>
  <c r="H20" i="1"/>
  <c r="O19" i="1"/>
  <c r="U18" i="1"/>
  <c r="H18" i="1"/>
  <c r="O17" i="1"/>
  <c r="U16" i="1"/>
  <c r="Y15" i="1"/>
  <c r="H15" i="1"/>
  <c r="W187" i="1"/>
  <c r="Y252" i="1"/>
  <c r="U186" i="1"/>
  <c r="R445" i="1"/>
  <c r="AA266" i="1"/>
  <c r="K266" i="1"/>
  <c r="M52" i="1"/>
  <c r="M59" i="1"/>
  <c r="O59" i="1"/>
  <c r="U40" i="1"/>
  <c r="U54" i="1"/>
  <c r="U62" i="1"/>
  <c r="S44" i="1"/>
  <c r="S58" i="1"/>
  <c r="R40" i="1"/>
  <c r="R54" i="1"/>
  <c r="R62" i="1"/>
  <c r="M44" i="1"/>
  <c r="Y52" i="1"/>
  <c r="Y60" i="1"/>
  <c r="AA40" i="1"/>
  <c r="AA54" i="1"/>
  <c r="AA61" i="1"/>
  <c r="P42" i="1"/>
  <c r="P61" i="1"/>
  <c r="W43" i="1"/>
  <c r="W58" i="1"/>
  <c r="O39" i="1"/>
  <c r="Y434" i="1"/>
  <c r="Y447" i="1"/>
  <c r="Y260" i="1"/>
  <c r="Y270" i="1"/>
  <c r="W251" i="1"/>
  <c r="W263" i="1"/>
  <c r="W430" i="1"/>
  <c r="W442" i="1"/>
  <c r="U220" i="1"/>
  <c r="U260" i="1"/>
  <c r="U270" i="1"/>
  <c r="U439" i="1"/>
  <c r="U448" i="1"/>
  <c r="R431" i="1"/>
  <c r="R443" i="1"/>
  <c r="R251" i="1"/>
  <c r="R263" i="1"/>
  <c r="W375" i="1"/>
  <c r="K220" i="1"/>
  <c r="Y269" i="1"/>
  <c r="K269" i="1"/>
  <c r="W365" i="1"/>
  <c r="I365" i="1"/>
  <c r="P364" i="1"/>
  <c r="W363" i="1"/>
  <c r="I363" i="1"/>
  <c r="P362" i="1"/>
  <c r="W361" i="1"/>
  <c r="I361" i="1"/>
  <c r="P356" i="1"/>
  <c r="W355" i="1"/>
  <c r="AA354" i="1"/>
  <c r="M354" i="1"/>
  <c r="P353" i="1"/>
  <c r="W352" i="1"/>
  <c r="I352" i="1"/>
  <c r="P351" i="1"/>
  <c r="W350" i="1"/>
  <c r="I350" i="1"/>
  <c r="P349" i="1"/>
  <c r="W188" i="1"/>
  <c r="O167" i="1"/>
  <c r="S21" i="1"/>
  <c r="AA22" i="1"/>
  <c r="M22" i="1"/>
  <c r="S20" i="1"/>
  <c r="AA19" i="1"/>
  <c r="M19" i="1"/>
  <c r="S18" i="1"/>
  <c r="AA17" i="1"/>
  <c r="M17" i="1"/>
  <c r="S16" i="1"/>
  <c r="W15" i="1"/>
  <c r="U187" i="1"/>
  <c r="K38" i="1"/>
  <c r="W186" i="1"/>
  <c r="P445" i="1"/>
  <c r="W266" i="1"/>
  <c r="I266" i="1"/>
  <c r="M53" i="1"/>
  <c r="M60" i="1"/>
  <c r="O60" i="1"/>
  <c r="U41" i="1"/>
  <c r="U55" i="1"/>
  <c r="U63" i="1"/>
  <c r="S51" i="1"/>
  <c r="S59" i="1"/>
  <c r="R41" i="1"/>
  <c r="R55" i="1"/>
  <c r="R63" i="1"/>
  <c r="Y38" i="1"/>
  <c r="Y53" i="1"/>
  <c r="Y61" i="1"/>
  <c r="AA41" i="1"/>
  <c r="AA55" i="1"/>
  <c r="AA165" i="1"/>
  <c r="P43" i="1"/>
  <c r="P62" i="1"/>
  <c r="W44" i="1"/>
  <c r="W59" i="1"/>
  <c r="O40" i="1"/>
  <c r="Y400" i="1"/>
  <c r="Y439" i="1"/>
  <c r="Y448" i="1"/>
  <c r="Y261" i="1"/>
  <c r="Y271" i="1"/>
  <c r="W252" i="1"/>
  <c r="W264" i="1"/>
  <c r="W431" i="1"/>
  <c r="W443" i="1"/>
  <c r="U223" i="1"/>
  <c r="U261" i="1"/>
  <c r="U271" i="1"/>
  <c r="U440" i="1"/>
  <c r="U449" i="1"/>
  <c r="R432" i="1"/>
  <c r="R444" i="1"/>
  <c r="R252" i="1"/>
  <c r="R264" i="1"/>
  <c r="W376" i="1"/>
  <c r="K59" i="1"/>
  <c r="K251" i="1"/>
  <c r="K263" i="1"/>
  <c r="K400" i="1"/>
  <c r="W269" i="1"/>
  <c r="I269" i="1"/>
  <c r="U365" i="1"/>
  <c r="H365" i="1"/>
  <c r="O364" i="1"/>
  <c r="U363" i="1"/>
  <c r="H363" i="1"/>
  <c r="O362" i="1"/>
  <c r="U361" i="1"/>
  <c r="H361" i="1"/>
  <c r="O356" i="1"/>
  <c r="U355" i="1"/>
  <c r="Y354" i="1"/>
  <c r="K354" i="1"/>
  <c r="O353" i="1"/>
  <c r="U352" i="1"/>
  <c r="H352" i="1"/>
  <c r="O351" i="1"/>
  <c r="U350" i="1"/>
  <c r="H350" i="1"/>
  <c r="O349" i="1"/>
  <c r="U188" i="1"/>
  <c r="AA167" i="1"/>
  <c r="M167" i="1"/>
  <c r="R21" i="1"/>
  <c r="Y22" i="1"/>
  <c r="K22" i="1"/>
  <c r="R20" i="1"/>
  <c r="Y19" i="1"/>
  <c r="K19" i="1"/>
  <c r="R18" i="1"/>
  <c r="Y17" i="1"/>
  <c r="K17" i="1"/>
  <c r="R16" i="1"/>
  <c r="U15" i="1"/>
  <c r="K173" i="1"/>
  <c r="S187" i="1"/>
  <c r="K186" i="1"/>
  <c r="Y186" i="1"/>
  <c r="O445" i="1"/>
  <c r="U266" i="1"/>
  <c r="H266" i="1"/>
  <c r="K39" i="1"/>
  <c r="M54" i="1"/>
  <c r="M61" i="1"/>
  <c r="O61" i="1"/>
  <c r="U42" i="1"/>
  <c r="U56" i="1"/>
  <c r="S38" i="1"/>
  <c r="S52" i="1"/>
  <c r="S60" i="1"/>
  <c r="R42" i="1"/>
  <c r="R56" i="1"/>
  <c r="M38" i="1"/>
  <c r="Y39" i="1"/>
  <c r="Y54" i="1"/>
  <c r="Y63" i="1"/>
  <c r="AA42" i="1"/>
  <c r="AA56" i="1"/>
  <c r="AA62" i="1"/>
  <c r="P44" i="1"/>
  <c r="P63" i="1"/>
  <c r="W52" i="1"/>
  <c r="W60" i="1"/>
  <c r="O41" i="1"/>
  <c r="Y375" i="1"/>
  <c r="Y440" i="1"/>
  <c r="Y449" i="1"/>
  <c r="Y262" i="1"/>
  <c r="W253" i="1"/>
  <c r="W265" i="1"/>
  <c r="W432" i="1"/>
  <c r="W444" i="1"/>
  <c r="U189" i="1"/>
  <c r="U262" i="1"/>
  <c r="U400" i="1"/>
  <c r="U441" i="1"/>
  <c r="U375" i="1"/>
  <c r="R433" i="1"/>
  <c r="R446" i="1"/>
  <c r="R253" i="1"/>
  <c r="R265" i="1"/>
  <c r="U269" i="1"/>
  <c r="H269" i="1"/>
  <c r="S365" i="1"/>
  <c r="AA364" i="1"/>
  <c r="M364" i="1"/>
  <c r="S363" i="1"/>
  <c r="AA362" i="1"/>
  <c r="M362" i="1"/>
  <c r="S361" i="1"/>
  <c r="AA356" i="1"/>
  <c r="M356" i="1"/>
  <c r="S355" i="1"/>
  <c r="W354" i="1"/>
  <c r="AA353" i="1"/>
  <c r="M353" i="1"/>
  <c r="S352" i="1"/>
  <c r="AA351" i="1"/>
  <c r="M351" i="1"/>
  <c r="S350" i="1"/>
  <c r="AA349" i="1"/>
  <c r="M349" i="1"/>
  <c r="S188" i="1"/>
  <c r="Y167" i="1"/>
  <c r="K167" i="1"/>
  <c r="P21" i="1"/>
  <c r="W22" i="1"/>
  <c r="I22" i="1"/>
  <c r="P20" i="1"/>
  <c r="W19" i="1"/>
  <c r="I19" i="1"/>
  <c r="P18" i="1"/>
  <c r="W17" i="1"/>
  <c r="I17" i="1"/>
  <c r="P16" i="1"/>
  <c r="S15" i="1"/>
  <c r="R187" i="1"/>
  <c r="M186" i="1"/>
  <c r="AA186" i="1"/>
  <c r="M445" i="1"/>
  <c r="S266" i="1"/>
  <c r="Y266" i="1"/>
  <c r="K40" i="1"/>
  <c r="M55" i="1"/>
  <c r="M62" i="1"/>
  <c r="O165" i="1"/>
  <c r="U43" i="1"/>
  <c r="U57" i="1"/>
  <c r="S39" i="1"/>
  <c r="S53" i="1"/>
  <c r="S61" i="1"/>
  <c r="R43" i="1"/>
  <c r="R57" i="1"/>
  <c r="M39" i="1"/>
  <c r="Y40" i="1"/>
  <c r="Y55" i="1"/>
  <c r="Y51" i="1"/>
  <c r="AA43" i="1"/>
  <c r="AA57" i="1"/>
  <c r="AA63" i="1"/>
  <c r="P51" i="1"/>
  <c r="W38" i="1"/>
  <c r="W53" i="1"/>
  <c r="W61" i="1"/>
  <c r="O42" i="1"/>
  <c r="Y376" i="1"/>
  <c r="Y441" i="1"/>
  <c r="Y220" i="1"/>
  <c r="Y263" i="1"/>
  <c r="W254" i="1"/>
  <c r="W267" i="1"/>
  <c r="W433" i="1"/>
  <c r="W446" i="1"/>
  <c r="U251" i="1"/>
  <c r="U263" i="1"/>
  <c r="U430" i="1"/>
  <c r="U442" i="1"/>
  <c r="U376" i="1"/>
  <c r="R434" i="1"/>
  <c r="R447" i="1"/>
  <c r="R254" i="1"/>
  <c r="R267" i="1"/>
  <c r="K53" i="1"/>
  <c r="K223" i="1"/>
  <c r="K253" i="1"/>
  <c r="K262" i="1"/>
  <c r="K440" i="1"/>
  <c r="K449" i="1"/>
  <c r="S376" i="1"/>
  <c r="S441" i="1"/>
  <c r="S220" i="1"/>
  <c r="S261" i="1"/>
  <c r="S271" i="1"/>
  <c r="AA255" i="1"/>
  <c r="AA268" i="1"/>
  <c r="AA434" i="1"/>
  <c r="AA447" i="1"/>
  <c r="P253" i="1"/>
  <c r="P265" i="1"/>
  <c r="P432" i="1"/>
  <c r="P444" i="1"/>
  <c r="I54" i="1"/>
  <c r="I61" i="1"/>
  <c r="I41" i="1"/>
  <c r="I255" i="1"/>
  <c r="I268" i="1"/>
  <c r="I434" i="1"/>
  <c r="I447" i="1"/>
  <c r="M253" i="1"/>
  <c r="M265" i="1"/>
  <c r="M432" i="1"/>
  <c r="M444" i="1"/>
  <c r="M376" i="1"/>
  <c r="O431" i="1"/>
  <c r="O443" i="1"/>
  <c r="O251" i="1"/>
  <c r="O263" i="1"/>
  <c r="H57" i="1"/>
  <c r="H223" i="1"/>
  <c r="H251" i="1"/>
  <c r="H264" i="1"/>
  <c r="H431" i="1"/>
  <c r="H443" i="1"/>
  <c r="I177" i="1"/>
  <c r="P176" i="1"/>
  <c r="AA161" i="1"/>
  <c r="R174" i="1"/>
  <c r="U165" i="1"/>
  <c r="O174" i="1"/>
  <c r="W168" i="1"/>
  <c r="U177" i="1"/>
  <c r="H174" i="1"/>
  <c r="P168" i="1"/>
  <c r="Y162" i="1"/>
  <c r="S175" i="1"/>
  <c r="O173" i="1"/>
  <c r="K177" i="1"/>
  <c r="P166" i="1"/>
  <c r="M164" i="1"/>
  <c r="P173" i="1"/>
  <c r="AA269" i="1"/>
  <c r="K264" i="1"/>
  <c r="K441" i="1"/>
  <c r="S430" i="1"/>
  <c r="S442" i="1"/>
  <c r="S223" i="1"/>
  <c r="S262" i="1"/>
  <c r="AA220" i="1"/>
  <c r="AA260" i="1"/>
  <c r="AA270" i="1"/>
  <c r="AA439" i="1"/>
  <c r="AA448" i="1"/>
  <c r="P254" i="1"/>
  <c r="P267" i="1"/>
  <c r="P433" i="1"/>
  <c r="P446" i="1"/>
  <c r="I55" i="1"/>
  <c r="I62" i="1"/>
  <c r="I42" i="1"/>
  <c r="I260" i="1"/>
  <c r="I270" i="1"/>
  <c r="I439" i="1"/>
  <c r="I448" i="1"/>
  <c r="M254" i="1"/>
  <c r="M267" i="1"/>
  <c r="M433" i="1"/>
  <c r="M446" i="1"/>
  <c r="S189" i="1"/>
  <c r="O432" i="1"/>
  <c r="O444" i="1"/>
  <c r="O252" i="1"/>
  <c r="O264" i="1"/>
  <c r="H58" i="1"/>
  <c r="H38" i="1"/>
  <c r="H252" i="1"/>
  <c r="H265" i="1"/>
  <c r="H432" i="1"/>
  <c r="H444" i="1"/>
  <c r="K166" i="1"/>
  <c r="P162" i="1"/>
  <c r="Y168" i="1"/>
  <c r="R161" i="1"/>
  <c r="U164" i="1"/>
  <c r="O161" i="1"/>
  <c r="W175" i="1"/>
  <c r="O177" i="1"/>
  <c r="H161" i="1"/>
  <c r="P175" i="1"/>
  <c r="Y174" i="1"/>
  <c r="U168" i="1"/>
  <c r="H177" i="1"/>
  <c r="K165" i="1"/>
  <c r="AA166" i="1"/>
  <c r="M176" i="1"/>
  <c r="W173" i="1"/>
  <c r="K265" i="1"/>
  <c r="K430" i="1"/>
  <c r="K442" i="1"/>
  <c r="K52" i="1"/>
  <c r="S431" i="1"/>
  <c r="S443" i="1"/>
  <c r="S251" i="1"/>
  <c r="S263" i="1"/>
  <c r="AA223" i="1"/>
  <c r="AA261" i="1"/>
  <c r="AA271" i="1"/>
  <c r="AA440" i="1"/>
  <c r="AA449" i="1"/>
  <c r="P255" i="1"/>
  <c r="P268" i="1"/>
  <c r="P434" i="1"/>
  <c r="P447" i="1"/>
  <c r="I56" i="1"/>
  <c r="I63" i="1"/>
  <c r="I43" i="1"/>
  <c r="I261" i="1"/>
  <c r="I271" i="1"/>
  <c r="I440" i="1"/>
  <c r="I449" i="1"/>
  <c r="M255" i="1"/>
  <c r="M268" i="1"/>
  <c r="M434" i="1"/>
  <c r="M447" i="1"/>
  <c r="P375" i="1"/>
  <c r="O433" i="1"/>
  <c r="O446" i="1"/>
  <c r="O253" i="1"/>
  <c r="O265" i="1"/>
  <c r="H51" i="1"/>
  <c r="H59" i="1"/>
  <c r="H39" i="1"/>
  <c r="H253" i="1"/>
  <c r="H267" i="1"/>
  <c r="H433" i="1"/>
  <c r="H446" i="1"/>
  <c r="K162" i="1"/>
  <c r="P174" i="1"/>
  <c r="Y163" i="1"/>
  <c r="S165" i="1"/>
  <c r="U176" i="1"/>
  <c r="O162" i="1"/>
  <c r="W163" i="1"/>
  <c r="M168" i="1"/>
  <c r="H162" i="1"/>
  <c r="P163" i="1"/>
  <c r="Y161" i="1"/>
  <c r="U163" i="1"/>
  <c r="I165" i="1"/>
  <c r="W165" i="1"/>
  <c r="Y177" i="1"/>
  <c r="M162" i="1"/>
  <c r="M173" i="1"/>
  <c r="K267" i="1"/>
  <c r="K431" i="1"/>
  <c r="K443" i="1"/>
  <c r="K54" i="1"/>
  <c r="S432" i="1"/>
  <c r="S444" i="1"/>
  <c r="S252" i="1"/>
  <c r="S264" i="1"/>
  <c r="AA189" i="1"/>
  <c r="AA262" i="1"/>
  <c r="AA400" i="1"/>
  <c r="AA441" i="1"/>
  <c r="P220" i="1"/>
  <c r="P260" i="1"/>
  <c r="P270" i="1"/>
  <c r="P439" i="1"/>
  <c r="P448" i="1"/>
  <c r="I57" i="1"/>
  <c r="I220" i="1"/>
  <c r="I44" i="1"/>
  <c r="I262" i="1"/>
  <c r="I400" i="1"/>
  <c r="I441" i="1"/>
  <c r="M220" i="1"/>
  <c r="M260" i="1"/>
  <c r="M270" i="1"/>
  <c r="M439" i="1"/>
  <c r="M448" i="1"/>
  <c r="P376" i="1"/>
  <c r="O434" i="1"/>
  <c r="O447" i="1"/>
  <c r="O254" i="1"/>
  <c r="O267" i="1"/>
  <c r="H52" i="1"/>
  <c r="H60" i="1"/>
  <c r="H40" i="1"/>
  <c r="H254" i="1"/>
  <c r="H268" i="1"/>
  <c r="H434" i="1"/>
  <c r="H447" i="1"/>
  <c r="R173" i="1"/>
  <c r="K174" i="1"/>
  <c r="P161" i="1"/>
  <c r="Y175" i="1"/>
  <c r="S164" i="1"/>
  <c r="U174" i="1"/>
  <c r="H166" i="1"/>
  <c r="P177" i="1"/>
  <c r="M163" i="1"/>
  <c r="I166" i="1"/>
  <c r="AA163" i="1"/>
  <c r="R168" i="1"/>
  <c r="U175" i="1"/>
  <c r="I164" i="1"/>
  <c r="W164" i="1"/>
  <c r="R166" i="1"/>
  <c r="M174" i="1"/>
  <c r="H173" i="1"/>
  <c r="Y255" i="1"/>
  <c r="K268" i="1"/>
  <c r="K432" i="1"/>
  <c r="K444" i="1"/>
  <c r="K56" i="1"/>
  <c r="S433" i="1"/>
  <c r="S446" i="1"/>
  <c r="S253" i="1"/>
  <c r="S265" i="1"/>
  <c r="AA251" i="1"/>
  <c r="AA263" i="1"/>
  <c r="AA430" i="1"/>
  <c r="AA442" i="1"/>
  <c r="P223" i="1"/>
  <c r="P261" i="1"/>
  <c r="P271" i="1"/>
  <c r="P440" i="1"/>
  <c r="P449" i="1"/>
  <c r="I58" i="1"/>
  <c r="I223" i="1"/>
  <c r="I251" i="1"/>
  <c r="I263" i="1"/>
  <c r="I430" i="1"/>
  <c r="I442" i="1"/>
  <c r="M223" i="1"/>
  <c r="M261" i="1"/>
  <c r="M271" i="1"/>
  <c r="M440" i="1"/>
  <c r="M449" i="1"/>
  <c r="O400" i="1"/>
  <c r="O439" i="1"/>
  <c r="O448" i="1"/>
  <c r="O255" i="1"/>
  <c r="O268" i="1"/>
  <c r="H53" i="1"/>
  <c r="H61" i="1"/>
  <c r="H41" i="1"/>
  <c r="H255" i="1"/>
  <c r="H270" i="1"/>
  <c r="H439" i="1"/>
  <c r="H448" i="1"/>
  <c r="K376" i="1"/>
  <c r="S173" i="1"/>
  <c r="K161" i="1"/>
  <c r="AA164" i="1"/>
  <c r="R165" i="1"/>
  <c r="S176" i="1"/>
  <c r="U161" i="1"/>
  <c r="I175" i="1"/>
  <c r="AA177" i="1"/>
  <c r="M175" i="1"/>
  <c r="K168" i="1"/>
  <c r="AA175" i="1"/>
  <c r="R163" i="1"/>
  <c r="O168" i="1"/>
  <c r="I176" i="1"/>
  <c r="W176" i="1"/>
  <c r="S166" i="1"/>
  <c r="M161" i="1"/>
  <c r="U173" i="1"/>
  <c r="K252" i="1"/>
  <c r="K433" i="1"/>
  <c r="K446" i="1"/>
  <c r="S434" i="1"/>
  <c r="S447" i="1"/>
  <c r="S254" i="1"/>
  <c r="S267" i="1"/>
  <c r="AA252" i="1"/>
  <c r="AA264" i="1"/>
  <c r="AA431" i="1"/>
  <c r="AA443" i="1"/>
  <c r="P189" i="1"/>
  <c r="P262" i="1"/>
  <c r="P400" i="1"/>
  <c r="P441" i="1"/>
  <c r="I51" i="1"/>
  <c r="I59" i="1"/>
  <c r="I38" i="1"/>
  <c r="I252" i="1"/>
  <c r="I264" i="1"/>
  <c r="I431" i="1"/>
  <c r="I443" i="1"/>
  <c r="M189" i="1"/>
  <c r="M262" i="1"/>
  <c r="M400" i="1"/>
  <c r="M441" i="1"/>
  <c r="AA375" i="1"/>
  <c r="O375" i="1"/>
  <c r="O440" i="1"/>
  <c r="O449" i="1"/>
  <c r="O260" i="1"/>
  <c r="O270" i="1"/>
  <c r="H54" i="1"/>
  <c r="H62" i="1"/>
  <c r="H42" i="1"/>
  <c r="H260" i="1"/>
  <c r="H271" i="1"/>
  <c r="H440" i="1"/>
  <c r="H449" i="1"/>
  <c r="K375" i="1"/>
  <c r="H168" i="1"/>
  <c r="W177" i="1"/>
  <c r="AA176" i="1"/>
  <c r="R176" i="1"/>
  <c r="S162" i="1"/>
  <c r="U162" i="1"/>
  <c r="I163" i="1"/>
  <c r="Y166" i="1"/>
  <c r="H165" i="1"/>
  <c r="K176" i="1"/>
  <c r="Y165" i="1"/>
  <c r="R175" i="1"/>
  <c r="O163" i="1"/>
  <c r="I162" i="1"/>
  <c r="W162" i="1"/>
  <c r="U166" i="1"/>
  <c r="I173" i="1"/>
  <c r="K254" i="1"/>
  <c r="K434" i="1"/>
  <c r="K447" i="1"/>
  <c r="S400" i="1"/>
  <c r="S439" i="1"/>
  <c r="S448" i="1"/>
  <c r="S255" i="1"/>
  <c r="S268" i="1"/>
  <c r="AA253" i="1"/>
  <c r="AA265" i="1"/>
  <c r="AA432" i="1"/>
  <c r="AA444" i="1"/>
  <c r="P251" i="1"/>
  <c r="P263" i="1"/>
  <c r="P430" i="1"/>
  <c r="P442" i="1"/>
  <c r="I52" i="1"/>
  <c r="I168" i="1"/>
  <c r="I39" i="1"/>
  <c r="I253" i="1"/>
  <c r="I265" i="1"/>
  <c r="I432" i="1"/>
  <c r="I444" i="1"/>
  <c r="M251" i="1"/>
  <c r="M263" i="1"/>
  <c r="M430" i="1"/>
  <c r="M442" i="1"/>
  <c r="AA376" i="1"/>
  <c r="O376" i="1"/>
  <c r="O441" i="1"/>
  <c r="O220" i="1"/>
  <c r="O261" i="1"/>
  <c r="O271" i="1"/>
  <c r="H55" i="1"/>
  <c r="H63" i="1"/>
  <c r="H43" i="1"/>
  <c r="H262" i="1"/>
  <c r="H400" i="1"/>
  <c r="H441" i="1"/>
  <c r="K51" i="1"/>
  <c r="K189" i="1"/>
  <c r="H163" i="1"/>
  <c r="P165" i="1"/>
  <c r="AA162" i="1"/>
  <c r="R164" i="1"/>
  <c r="S174" i="1"/>
  <c r="O164" i="1"/>
  <c r="K163" i="1"/>
  <c r="R177" i="1"/>
  <c r="H164" i="1"/>
  <c r="K164" i="1"/>
  <c r="Y176" i="1"/>
  <c r="S168" i="1"/>
  <c r="O175" i="1"/>
  <c r="I174" i="1"/>
  <c r="W174" i="1"/>
  <c r="O166" i="1"/>
  <c r="AA173" i="1"/>
  <c r="K255" i="1"/>
  <c r="K439" i="1"/>
  <c r="K448" i="1"/>
  <c r="S375" i="1"/>
  <c r="S378" i="1" s="1"/>
  <c r="S440" i="1"/>
  <c r="S449" i="1"/>
  <c r="S260" i="1"/>
  <c r="S270" i="1"/>
  <c r="AA254" i="1"/>
  <c r="AA267" i="1"/>
  <c r="AA433" i="1"/>
  <c r="AA446" i="1"/>
  <c r="P252" i="1"/>
  <c r="P264" i="1"/>
  <c r="P431" i="1"/>
  <c r="P443" i="1"/>
  <c r="I53" i="1"/>
  <c r="I60" i="1"/>
  <c r="I40" i="1"/>
  <c r="I254" i="1"/>
  <c r="I267" i="1"/>
  <c r="I433" i="1"/>
  <c r="I446" i="1"/>
  <c r="M252" i="1"/>
  <c r="M264" i="1"/>
  <c r="M431" i="1"/>
  <c r="M443" i="1"/>
  <c r="M375" i="1"/>
  <c r="M378" i="1" s="1"/>
  <c r="O430" i="1"/>
  <c r="O442" i="1"/>
  <c r="O223" i="1"/>
  <c r="O262" i="1"/>
  <c r="O189" i="1"/>
  <c r="H56" i="1"/>
  <c r="H220" i="1"/>
  <c r="H44" i="1"/>
  <c r="H263" i="1"/>
  <c r="H430" i="1"/>
  <c r="H442" i="1"/>
  <c r="K62" i="1"/>
  <c r="H175" i="1"/>
  <c r="P164" i="1"/>
  <c r="AA174" i="1"/>
  <c r="R162" i="1"/>
  <c r="S161" i="1"/>
  <c r="O176" i="1"/>
  <c r="K175" i="1"/>
  <c r="S177" i="1"/>
  <c r="H176" i="1"/>
  <c r="W166" i="1"/>
  <c r="Y164" i="1"/>
  <c r="S163" i="1"/>
  <c r="M166" i="1"/>
  <c r="I161" i="1"/>
  <c r="W161" i="1"/>
  <c r="M165" i="1"/>
  <c r="Y173" i="1"/>
  <c r="T600" i="2"/>
  <c r="T626" i="2"/>
  <c r="P477" i="2"/>
  <c r="P484" i="2" s="1"/>
  <c r="I341" i="2"/>
  <c r="K449" i="2"/>
  <c r="AH433" i="2"/>
  <c r="G484" i="2"/>
  <c r="P482" i="1"/>
  <c r="P481" i="1" s="1"/>
  <c r="P54" i="1" s="1"/>
  <c r="P308" i="1" s="1"/>
  <c r="K422" i="2"/>
  <c r="P57" i="1"/>
  <c r="P397" i="1" s="1"/>
  <c r="P58" i="1"/>
  <c r="G365" i="2"/>
  <c r="AG424" i="2"/>
  <c r="AH424" i="2" s="1"/>
  <c r="AG437" i="2"/>
  <c r="AH437" i="2" s="1"/>
  <c r="G341" i="2"/>
  <c r="L365" i="2"/>
  <c r="L425" i="2"/>
  <c r="AB483" i="1"/>
  <c r="AC483" i="1" s="1"/>
  <c r="AH418" i="2"/>
  <c r="H422" i="2"/>
  <c r="X422" i="2"/>
  <c r="AA422" i="2"/>
  <c r="AD422" i="2"/>
  <c r="Y422" i="2"/>
  <c r="AC422" i="2"/>
  <c r="W422" i="2"/>
  <c r="Z422" i="2"/>
  <c r="AB422" i="2"/>
  <c r="AE422" i="2"/>
  <c r="AF422" i="2"/>
  <c r="V422" i="2"/>
  <c r="Q422" i="2"/>
  <c r="R422" i="2"/>
  <c r="S422" i="2"/>
  <c r="G422" i="2"/>
  <c r="U422" i="2"/>
  <c r="O422" i="2"/>
  <c r="N422" i="2"/>
  <c r="F422" i="2"/>
  <c r="T422" i="2"/>
  <c r="J422" i="2"/>
  <c r="I422" i="2"/>
  <c r="L422" i="2"/>
  <c r="M422" i="2"/>
  <c r="P422" i="2"/>
  <c r="P56" i="1"/>
  <c r="P124" i="1" s="1"/>
  <c r="O54" i="1"/>
  <c r="L314" i="2"/>
  <c r="L316" i="2" s="1"/>
  <c r="L338" i="2" s="1"/>
  <c r="M314" i="2"/>
  <c r="M316" i="2" s="1"/>
  <c r="M338" i="2" s="1"/>
  <c r="O55" i="1"/>
  <c r="O217" i="1"/>
  <c r="O397" i="1"/>
  <c r="O125" i="1"/>
  <c r="O234" i="1"/>
  <c r="O311" i="1"/>
  <c r="O415" i="1"/>
  <c r="O124" i="1"/>
  <c r="O310" i="1"/>
  <c r="O58" i="1"/>
  <c r="AB484" i="1"/>
  <c r="AC484" i="1" s="1"/>
  <c r="T365" i="2"/>
  <c r="T341" i="2"/>
  <c r="U365" i="2"/>
  <c r="U341" i="2"/>
  <c r="R365" i="2"/>
  <c r="R341" i="2"/>
  <c r="S365" i="2"/>
  <c r="S341" i="2"/>
  <c r="M365" i="2"/>
  <c r="M341" i="2"/>
  <c r="Q365" i="2"/>
  <c r="Q341" i="2"/>
  <c r="H421" i="2"/>
  <c r="H425" i="2"/>
  <c r="K314" i="2"/>
  <c r="J314" i="2"/>
  <c r="N410" i="2"/>
  <c r="AG432" i="2"/>
  <c r="AH432" i="2" s="1"/>
  <c r="AH430" i="2"/>
  <c r="L421" i="2"/>
  <c r="H188" i="1"/>
  <c r="I376" i="1"/>
  <c r="I378" i="1" s="1"/>
  <c r="I189" i="1"/>
  <c r="I188" i="1"/>
  <c r="I186" i="1"/>
  <c r="I187" i="1"/>
  <c r="AG435" i="2"/>
  <c r="I421" i="2"/>
  <c r="I425" i="2"/>
  <c r="AG436" i="2"/>
  <c r="AH436" i="2" s="1"/>
  <c r="S484" i="2"/>
  <c r="T65" i="15"/>
  <c r="K10" i="15" s="1"/>
  <c r="H441" i="2" s="1"/>
  <c r="I10" i="15"/>
  <c r="H443" i="2" s="1"/>
  <c r="H496" i="2" s="1"/>
  <c r="E416" i="2"/>
  <c r="F416" i="2"/>
  <c r="H423" i="2"/>
  <c r="G423" i="2"/>
  <c r="J423" i="2"/>
  <c r="F441" i="2"/>
  <c r="O484" i="2"/>
  <c r="J421" i="2"/>
  <c r="J425" i="2"/>
  <c r="G314" i="2"/>
  <c r="I11" i="15"/>
  <c r="I443" i="2" s="1"/>
  <c r="I496" i="2" s="1"/>
  <c r="T75" i="15"/>
  <c r="K11" i="15" s="1"/>
  <c r="I441" i="2" s="1"/>
  <c r="F443" i="2"/>
  <c r="F496" i="2" s="1"/>
  <c r="K470" i="2"/>
  <c r="K493" i="2"/>
  <c r="H314" i="2"/>
  <c r="Q484" i="2"/>
  <c r="AH435" i="2" l="1"/>
  <c r="G32" i="9"/>
  <c r="M65" i="1"/>
  <c r="E478" i="2" s="1"/>
  <c r="AG478" i="2" s="1"/>
  <c r="AH478" i="2" s="1"/>
  <c r="AB44" i="1"/>
  <c r="AC44" i="1" s="1"/>
  <c r="AB43" i="1"/>
  <c r="AC43" i="1" s="1"/>
  <c r="S24" i="1"/>
  <c r="S91" i="1" s="1"/>
  <c r="Y191" i="1"/>
  <c r="U257" i="1"/>
  <c r="S367" i="1"/>
  <c r="O24" i="1"/>
  <c r="O304" i="1" s="1"/>
  <c r="Y367" i="1"/>
  <c r="O35" i="1"/>
  <c r="W46" i="1"/>
  <c r="W382" i="1" s="1"/>
  <c r="U436" i="1"/>
  <c r="AB41" i="1"/>
  <c r="AC41" i="1" s="1"/>
  <c r="AB352" i="1"/>
  <c r="AC352" i="1" s="1"/>
  <c r="I35" i="1"/>
  <c r="I179" i="1"/>
  <c r="AB350" i="1"/>
  <c r="AC350" i="1" s="1"/>
  <c r="U24" i="1"/>
  <c r="U117" i="1" s="1"/>
  <c r="P35" i="1"/>
  <c r="AB220" i="1"/>
  <c r="AC220" i="1" s="1"/>
  <c r="P378" i="1"/>
  <c r="S46" i="1"/>
  <c r="S388" i="1" s="1"/>
  <c r="U367" i="1"/>
  <c r="M35" i="1"/>
  <c r="Y179" i="1"/>
  <c r="AB175" i="1"/>
  <c r="AC175" i="1" s="1"/>
  <c r="AB42" i="1"/>
  <c r="AC42" i="1" s="1"/>
  <c r="AB263" i="1"/>
  <c r="AC263" i="1" s="1"/>
  <c r="O436" i="1"/>
  <c r="AB441" i="1"/>
  <c r="AC441" i="1" s="1"/>
  <c r="U179" i="1"/>
  <c r="AA179" i="1"/>
  <c r="AB164" i="1"/>
  <c r="AC164" i="1" s="1"/>
  <c r="AB163" i="1"/>
  <c r="AC163" i="1" s="1"/>
  <c r="H216" i="1"/>
  <c r="H123" i="1"/>
  <c r="H309" i="1"/>
  <c r="H233" i="1"/>
  <c r="H396" i="1"/>
  <c r="H414" i="1"/>
  <c r="M436" i="1"/>
  <c r="AA378" i="1"/>
  <c r="AB270" i="1"/>
  <c r="AC270" i="1" s="1"/>
  <c r="O451" i="1"/>
  <c r="I436" i="1"/>
  <c r="R179" i="1"/>
  <c r="M273" i="1"/>
  <c r="AB51" i="1"/>
  <c r="AC51" i="1" s="1"/>
  <c r="H65" i="1"/>
  <c r="I124" i="1"/>
  <c r="I310" i="1"/>
  <c r="K436" i="1"/>
  <c r="H416" i="1"/>
  <c r="H312" i="1"/>
  <c r="H235" i="1"/>
  <c r="H126" i="1"/>
  <c r="I414" i="1"/>
  <c r="I216" i="1"/>
  <c r="I309" i="1"/>
  <c r="I396" i="1"/>
  <c r="I233" i="1"/>
  <c r="I123" i="1"/>
  <c r="AA273" i="1"/>
  <c r="R415" i="1"/>
  <c r="R217" i="1"/>
  <c r="R311" i="1"/>
  <c r="R125" i="1"/>
  <c r="R397" i="1"/>
  <c r="R234" i="1"/>
  <c r="U378" i="1"/>
  <c r="P417" i="1"/>
  <c r="P316" i="1"/>
  <c r="P130" i="1"/>
  <c r="P236" i="1"/>
  <c r="M46" i="1"/>
  <c r="O129" i="1"/>
  <c r="O218" i="1"/>
  <c r="O398" i="1"/>
  <c r="O315" i="1"/>
  <c r="K191" i="1"/>
  <c r="K257" i="1"/>
  <c r="R316" i="1"/>
  <c r="R236" i="1"/>
  <c r="R130" i="1"/>
  <c r="R417" i="1"/>
  <c r="O128" i="1"/>
  <c r="O219" i="1"/>
  <c r="O399" i="1"/>
  <c r="O418" i="1"/>
  <c r="O237" i="1"/>
  <c r="O314" i="1"/>
  <c r="K399" i="1"/>
  <c r="K128" i="1"/>
  <c r="K219" i="1"/>
  <c r="K314" i="1"/>
  <c r="K418" i="1"/>
  <c r="K237" i="1"/>
  <c r="AA418" i="1"/>
  <c r="AA314" i="1"/>
  <c r="AA237" i="1"/>
  <c r="AA219" i="1"/>
  <c r="AA399" i="1"/>
  <c r="AA128" i="1"/>
  <c r="AA24" i="1"/>
  <c r="Y312" i="1"/>
  <c r="Y126" i="1"/>
  <c r="Y235" i="1"/>
  <c r="Y416" i="1"/>
  <c r="U237" i="1"/>
  <c r="U399" i="1"/>
  <c r="U219" i="1"/>
  <c r="U314" i="1"/>
  <c r="U128" i="1"/>
  <c r="U418" i="1"/>
  <c r="AB353" i="1"/>
  <c r="AC353" i="1" s="1"/>
  <c r="R273" i="1"/>
  <c r="AA65" i="1"/>
  <c r="AB442" i="1"/>
  <c r="AC442" i="1" s="1"/>
  <c r="S273" i="1"/>
  <c r="I306" i="1"/>
  <c r="I120" i="1"/>
  <c r="AB62" i="1"/>
  <c r="AC62" i="1" s="1"/>
  <c r="I46" i="1"/>
  <c r="AB255" i="1"/>
  <c r="AC255" i="1" s="1"/>
  <c r="AB447" i="1"/>
  <c r="AC447" i="1" s="1"/>
  <c r="P451" i="1"/>
  <c r="M179" i="1"/>
  <c r="AB162" i="1"/>
  <c r="AC162" i="1" s="1"/>
  <c r="P179" i="1"/>
  <c r="AB174" i="1"/>
  <c r="AC174" i="1" s="1"/>
  <c r="O257" i="1"/>
  <c r="AA316" i="1"/>
  <c r="AA417" i="1"/>
  <c r="AA130" i="1"/>
  <c r="AA236" i="1"/>
  <c r="M233" i="1"/>
  <c r="M309" i="1"/>
  <c r="M123" i="1"/>
  <c r="M414" i="1"/>
  <c r="M216" i="1"/>
  <c r="M396" i="1"/>
  <c r="R310" i="1"/>
  <c r="R124" i="1"/>
  <c r="M218" i="1"/>
  <c r="M398" i="1"/>
  <c r="M129" i="1"/>
  <c r="M315" i="1"/>
  <c r="K313" i="1"/>
  <c r="K401" i="1"/>
  <c r="K127" i="1"/>
  <c r="K221" i="1"/>
  <c r="R396" i="1"/>
  <c r="R123" i="1"/>
  <c r="R216" i="1"/>
  <c r="R233" i="1"/>
  <c r="R414" i="1"/>
  <c r="R309" i="1"/>
  <c r="M128" i="1"/>
  <c r="M237" i="1"/>
  <c r="M314" i="1"/>
  <c r="M219" i="1"/>
  <c r="M399" i="1"/>
  <c r="M418" i="1"/>
  <c r="W24" i="1"/>
  <c r="I367" i="1"/>
  <c r="W257" i="1"/>
  <c r="P129" i="1"/>
  <c r="P398" i="1"/>
  <c r="P218" i="1"/>
  <c r="P315" i="1"/>
  <c r="O401" i="1"/>
  <c r="O127" i="1"/>
  <c r="O221" i="1"/>
  <c r="O313" i="1"/>
  <c r="AB20" i="1"/>
  <c r="AC20" i="1" s="1"/>
  <c r="AA307" i="1"/>
  <c r="AA121" i="1"/>
  <c r="AA395" i="1"/>
  <c r="AA232" i="1"/>
  <c r="AA214" i="1"/>
  <c r="AA413" i="1"/>
  <c r="AA215" i="1"/>
  <c r="AA394" i="1"/>
  <c r="S415" i="1"/>
  <c r="S311" i="1"/>
  <c r="S234" i="1"/>
  <c r="S125" i="1"/>
  <c r="S397" i="1"/>
  <c r="S217" i="1"/>
  <c r="M367" i="1"/>
  <c r="W310" i="1"/>
  <c r="W124" i="1"/>
  <c r="U306" i="1"/>
  <c r="U120" i="1"/>
  <c r="R191" i="1"/>
  <c r="W451" i="1"/>
  <c r="Y397" i="1"/>
  <c r="Y217" i="1"/>
  <c r="Y311" i="1"/>
  <c r="Y234" i="1"/>
  <c r="Y125" i="1"/>
  <c r="Y415" i="1"/>
  <c r="U127" i="1"/>
  <c r="U313" i="1"/>
  <c r="U401" i="1"/>
  <c r="U221" i="1"/>
  <c r="W130" i="1"/>
  <c r="W316" i="1"/>
  <c r="W417" i="1"/>
  <c r="W236" i="1"/>
  <c r="Y310" i="1"/>
  <c r="Y124" i="1"/>
  <c r="U235" i="1"/>
  <c r="U312" i="1"/>
  <c r="U126" i="1"/>
  <c r="U416" i="1"/>
  <c r="AA35" i="1"/>
  <c r="AB31" i="1"/>
  <c r="AC31" i="1" s="1"/>
  <c r="H436" i="1"/>
  <c r="AB430" i="1"/>
  <c r="AC430" i="1" s="1"/>
  <c r="M257" i="1"/>
  <c r="AB165" i="1"/>
  <c r="AC165" i="1" s="1"/>
  <c r="AB168" i="1"/>
  <c r="AC168" i="1" s="1"/>
  <c r="H122" i="1"/>
  <c r="H308" i="1"/>
  <c r="I313" i="1"/>
  <c r="I401" i="1"/>
  <c r="I221" i="1"/>
  <c r="I127" i="1"/>
  <c r="I257" i="1"/>
  <c r="K310" i="1"/>
  <c r="K124" i="1"/>
  <c r="AB166" i="1"/>
  <c r="AC166" i="1" s="1"/>
  <c r="AB434" i="1"/>
  <c r="AC434" i="1" s="1"/>
  <c r="AB446" i="1"/>
  <c r="AC446" i="1" s="1"/>
  <c r="W179" i="1"/>
  <c r="AB161" i="1"/>
  <c r="AC161" i="1" s="1"/>
  <c r="AB443" i="1"/>
  <c r="AC443" i="1" s="1"/>
  <c r="K394" i="1"/>
  <c r="K307" i="1"/>
  <c r="K214" i="1"/>
  <c r="K413" i="1"/>
  <c r="K395" i="1"/>
  <c r="K215" i="1"/>
  <c r="K232" i="1"/>
  <c r="K121" i="1"/>
  <c r="AA217" i="1"/>
  <c r="AA397" i="1"/>
  <c r="AA311" i="1"/>
  <c r="AA234" i="1"/>
  <c r="AA125" i="1"/>
  <c r="AA415" i="1"/>
  <c r="S218" i="1"/>
  <c r="S129" i="1"/>
  <c r="S398" i="1"/>
  <c r="S315" i="1"/>
  <c r="AB269" i="1"/>
  <c r="AC269" i="1" s="1"/>
  <c r="M122" i="1"/>
  <c r="M308" i="1"/>
  <c r="K179" i="1"/>
  <c r="AB365" i="1"/>
  <c r="AC365" i="1" s="1"/>
  <c r="M413" i="1"/>
  <c r="M232" i="1"/>
  <c r="M215" i="1"/>
  <c r="M394" i="1"/>
  <c r="M307" i="1"/>
  <c r="M214" i="1"/>
  <c r="M395" i="1"/>
  <c r="M121" i="1"/>
  <c r="W367" i="1"/>
  <c r="U451" i="1"/>
  <c r="R308" i="1"/>
  <c r="R122" i="1"/>
  <c r="M401" i="1"/>
  <c r="M313" i="1"/>
  <c r="M127" i="1"/>
  <c r="M221" i="1"/>
  <c r="AB15" i="1"/>
  <c r="AC15" i="1" s="1"/>
  <c r="H24" i="1"/>
  <c r="AA367" i="1"/>
  <c r="U46" i="1"/>
  <c r="AB349" i="1"/>
  <c r="AC349" i="1" s="1"/>
  <c r="AB364" i="1"/>
  <c r="AC364" i="1" s="1"/>
  <c r="W65" i="1"/>
  <c r="U65" i="1"/>
  <c r="P191" i="1"/>
  <c r="R451" i="1"/>
  <c r="W308" i="1"/>
  <c r="W122" i="1"/>
  <c r="O191" i="1"/>
  <c r="AB19" i="1"/>
  <c r="AC19" i="1" s="1"/>
  <c r="AB355" i="1"/>
  <c r="AC355" i="1" s="1"/>
  <c r="U35" i="1"/>
  <c r="P436" i="1"/>
  <c r="K378" i="1"/>
  <c r="I65" i="1"/>
  <c r="H129" i="1"/>
  <c r="H315" i="1"/>
  <c r="AB61" i="1"/>
  <c r="AC61" i="1" s="1"/>
  <c r="H398" i="1"/>
  <c r="H218" i="1"/>
  <c r="AA436" i="1"/>
  <c r="AB268" i="1"/>
  <c r="AC268" i="1" s="1"/>
  <c r="P273" i="1"/>
  <c r="AB433" i="1"/>
  <c r="AC433" i="1" s="1"/>
  <c r="S257" i="1"/>
  <c r="AB444" i="1"/>
  <c r="AC444" i="1" s="1"/>
  <c r="I451" i="1"/>
  <c r="AB431" i="1"/>
  <c r="AC431" i="1" s="1"/>
  <c r="S232" i="1"/>
  <c r="S413" i="1"/>
  <c r="S307" i="1"/>
  <c r="S395" i="1"/>
  <c r="S214" i="1"/>
  <c r="S394" i="1"/>
  <c r="S215" i="1"/>
  <c r="S121" i="1"/>
  <c r="AA310" i="1"/>
  <c r="AA124" i="1"/>
  <c r="S128" i="1"/>
  <c r="S399" i="1"/>
  <c r="S237" i="1"/>
  <c r="S219" i="1"/>
  <c r="S314" i="1"/>
  <c r="S418" i="1"/>
  <c r="Y451" i="1"/>
  <c r="AA309" i="1"/>
  <c r="AA216" i="1"/>
  <c r="AA123" i="1"/>
  <c r="AA414" i="1"/>
  <c r="AA233" i="1"/>
  <c r="AA396" i="1"/>
  <c r="S221" i="1"/>
  <c r="S401" i="1"/>
  <c r="S127" i="1"/>
  <c r="S313" i="1"/>
  <c r="M24" i="1"/>
  <c r="Y273" i="1"/>
  <c r="AA398" i="1"/>
  <c r="AA218" i="1"/>
  <c r="AA129" i="1"/>
  <c r="AA315" i="1"/>
  <c r="M306" i="1"/>
  <c r="M120" i="1"/>
  <c r="Y24" i="1"/>
  <c r="O46" i="1"/>
  <c r="Y127" i="1"/>
  <c r="Y221" i="1"/>
  <c r="Y313" i="1"/>
  <c r="Y401" i="1"/>
  <c r="U218" i="1"/>
  <c r="U315" i="1"/>
  <c r="U129" i="1"/>
  <c r="U398" i="1"/>
  <c r="K273" i="1"/>
  <c r="P313" i="1"/>
  <c r="P127" i="1"/>
  <c r="P221" i="1"/>
  <c r="P401" i="1"/>
  <c r="R314" i="1"/>
  <c r="R128" i="1"/>
  <c r="R237" i="1"/>
  <c r="R399" i="1"/>
  <c r="R418" i="1"/>
  <c r="R219" i="1"/>
  <c r="O120" i="1"/>
  <c r="O306" i="1"/>
  <c r="R378" i="1"/>
  <c r="W273" i="1"/>
  <c r="W233" i="1"/>
  <c r="W123" i="1"/>
  <c r="W414" i="1"/>
  <c r="W396" i="1"/>
  <c r="W309" i="1"/>
  <c r="W216" i="1"/>
  <c r="O236" i="1"/>
  <c r="O417" i="1"/>
  <c r="O316" i="1"/>
  <c r="O130" i="1"/>
  <c r="AB354" i="1"/>
  <c r="AC354" i="1" s="1"/>
  <c r="S35" i="1"/>
  <c r="AB32" i="1"/>
  <c r="AC32" i="1" s="1"/>
  <c r="AB400" i="1"/>
  <c r="AC400" i="1" s="1"/>
  <c r="AB449" i="1"/>
  <c r="AC449" i="1" s="1"/>
  <c r="O273" i="1"/>
  <c r="S179" i="1"/>
  <c r="H307" i="1"/>
  <c r="H121" i="1"/>
  <c r="H394" i="1"/>
  <c r="H215" i="1"/>
  <c r="H395" i="1"/>
  <c r="H232" i="1"/>
  <c r="H214" i="1"/>
  <c r="AB53" i="1"/>
  <c r="AC53" i="1" s="1"/>
  <c r="H413" i="1"/>
  <c r="I126" i="1"/>
  <c r="I235" i="1"/>
  <c r="I416" i="1"/>
  <c r="I312" i="1"/>
  <c r="AB254" i="1"/>
  <c r="AC254" i="1" s="1"/>
  <c r="AB267" i="1"/>
  <c r="AC267" i="1" s="1"/>
  <c r="AB432" i="1"/>
  <c r="AC432" i="1" s="1"/>
  <c r="AB264" i="1"/>
  <c r="AC264" i="1" s="1"/>
  <c r="Y65" i="1"/>
  <c r="Y378" i="1"/>
  <c r="S120" i="1"/>
  <c r="S306" i="1"/>
  <c r="AB266" i="1"/>
  <c r="AC266" i="1" s="1"/>
  <c r="AB361" i="1"/>
  <c r="AC361" i="1" s="1"/>
  <c r="H367" i="1"/>
  <c r="S65" i="1"/>
  <c r="W378" i="1"/>
  <c r="U273" i="1"/>
  <c r="AA122" i="1"/>
  <c r="AA308" i="1"/>
  <c r="S416" i="1"/>
  <c r="S235" i="1"/>
  <c r="S126" i="1"/>
  <c r="S312" i="1"/>
  <c r="AB21" i="1"/>
  <c r="AC21" i="1" s="1"/>
  <c r="K367" i="1"/>
  <c r="W234" i="1"/>
  <c r="W125" i="1"/>
  <c r="W217" i="1"/>
  <c r="W397" i="1"/>
  <c r="W311" i="1"/>
  <c r="W415" i="1"/>
  <c r="U395" i="1"/>
  <c r="U214" i="1"/>
  <c r="U232" i="1"/>
  <c r="U215" i="1"/>
  <c r="U307" i="1"/>
  <c r="U413" i="1"/>
  <c r="U394" i="1"/>
  <c r="U121" i="1"/>
  <c r="S191" i="1"/>
  <c r="K416" i="1"/>
  <c r="K235" i="1"/>
  <c r="K312" i="1"/>
  <c r="K126" i="1"/>
  <c r="R120" i="1"/>
  <c r="R306" i="1"/>
  <c r="M312" i="1"/>
  <c r="M416" i="1"/>
  <c r="M126" i="1"/>
  <c r="M235" i="1"/>
  <c r="K24" i="1"/>
  <c r="AB356" i="1"/>
  <c r="AC356" i="1" s="1"/>
  <c r="R127" i="1"/>
  <c r="R401" i="1"/>
  <c r="R221" i="1"/>
  <c r="R313" i="1"/>
  <c r="P24" i="1"/>
  <c r="P120" i="1"/>
  <c r="P306" i="1"/>
  <c r="R235" i="1"/>
  <c r="R416" i="1"/>
  <c r="R312" i="1"/>
  <c r="R126" i="1"/>
  <c r="M316" i="1"/>
  <c r="M417" i="1"/>
  <c r="M236" i="1"/>
  <c r="M130" i="1"/>
  <c r="R35" i="1"/>
  <c r="W35" i="1"/>
  <c r="AB262" i="1"/>
  <c r="AC262" i="1" s="1"/>
  <c r="P257" i="1"/>
  <c r="S451" i="1"/>
  <c r="AB440" i="1"/>
  <c r="AC440" i="1" s="1"/>
  <c r="AA257" i="1"/>
  <c r="AB40" i="1"/>
  <c r="AC40" i="1" s="1"/>
  <c r="K308" i="1"/>
  <c r="K122" i="1"/>
  <c r="AB253" i="1"/>
  <c r="AC253" i="1" s="1"/>
  <c r="AB261" i="1"/>
  <c r="AC261" i="1" s="1"/>
  <c r="AB265" i="1"/>
  <c r="AC265" i="1" s="1"/>
  <c r="I273" i="1"/>
  <c r="S436" i="1"/>
  <c r="O179" i="1"/>
  <c r="AB251" i="1"/>
  <c r="AC251" i="1" s="1"/>
  <c r="H257" i="1"/>
  <c r="W398" i="1"/>
  <c r="W315" i="1"/>
  <c r="W218" i="1"/>
  <c r="W129" i="1"/>
  <c r="Y309" i="1"/>
  <c r="Y396" i="1"/>
  <c r="Y216" i="1"/>
  <c r="Y414" i="1"/>
  <c r="Y233" i="1"/>
  <c r="Y123" i="1"/>
  <c r="U311" i="1"/>
  <c r="U415" i="1"/>
  <c r="U234" i="1"/>
  <c r="U217" i="1"/>
  <c r="U125" i="1"/>
  <c r="U397" i="1"/>
  <c r="Y130" i="1"/>
  <c r="Y417" i="1"/>
  <c r="Y316" i="1"/>
  <c r="Y236" i="1"/>
  <c r="Y398" i="1"/>
  <c r="Y315" i="1"/>
  <c r="Y218" i="1"/>
  <c r="Y129" i="1"/>
  <c r="U417" i="1"/>
  <c r="U130" i="1"/>
  <c r="U236" i="1"/>
  <c r="U316" i="1"/>
  <c r="R436" i="1"/>
  <c r="K315" i="1"/>
  <c r="K398" i="1"/>
  <c r="K129" i="1"/>
  <c r="K218" i="1"/>
  <c r="R46" i="1"/>
  <c r="AB16" i="1"/>
  <c r="AC16" i="1" s="1"/>
  <c r="AB351" i="1"/>
  <c r="AC351" i="1" s="1"/>
  <c r="P121" i="1"/>
  <c r="P395" i="1"/>
  <c r="P214" i="1"/>
  <c r="P413" i="1"/>
  <c r="P232" i="1"/>
  <c r="P307" i="1"/>
  <c r="P394" i="1"/>
  <c r="R65" i="1"/>
  <c r="M125" i="1"/>
  <c r="M234" i="1"/>
  <c r="M217" i="1"/>
  <c r="M415" i="1"/>
  <c r="M397" i="1"/>
  <c r="M311" i="1"/>
  <c r="P46" i="1"/>
  <c r="M310" i="1"/>
  <c r="M124" i="1"/>
  <c r="R24" i="1"/>
  <c r="AB22" i="1"/>
  <c r="AC22" i="1" s="1"/>
  <c r="AB28" i="1"/>
  <c r="AC28" i="1" s="1"/>
  <c r="Y35" i="1"/>
  <c r="AB30" i="1"/>
  <c r="AC30" i="1" s="1"/>
  <c r="K35" i="1"/>
  <c r="H310" i="1"/>
  <c r="H124" i="1"/>
  <c r="I314" i="1"/>
  <c r="I219" i="1"/>
  <c r="I128" i="1"/>
  <c r="I399" i="1"/>
  <c r="I418" i="1"/>
  <c r="I237" i="1"/>
  <c r="K451" i="1"/>
  <c r="AB271" i="1"/>
  <c r="AC271" i="1" s="1"/>
  <c r="AB448" i="1"/>
  <c r="AC448" i="1" s="1"/>
  <c r="H314" i="1"/>
  <c r="H219" i="1"/>
  <c r="H399" i="1"/>
  <c r="H418" i="1"/>
  <c r="H128" i="1"/>
  <c r="AB60" i="1"/>
  <c r="AC60" i="1" s="1"/>
  <c r="M451" i="1"/>
  <c r="AB39" i="1"/>
  <c r="AC39" i="1" s="1"/>
  <c r="K306" i="1"/>
  <c r="K120" i="1"/>
  <c r="AB177" i="1"/>
  <c r="AC177" i="1" s="1"/>
  <c r="AB252" i="1"/>
  <c r="AC252" i="1" s="1"/>
  <c r="AA451" i="1"/>
  <c r="AB223" i="1"/>
  <c r="AC223" i="1" s="1"/>
  <c r="I129" i="1"/>
  <c r="I398" i="1"/>
  <c r="I315" i="1"/>
  <c r="I218" i="1"/>
  <c r="W232" i="1"/>
  <c r="W413" i="1"/>
  <c r="W121" i="1"/>
  <c r="W394" i="1"/>
  <c r="W214" i="1"/>
  <c r="W395" i="1"/>
  <c r="W215" i="1"/>
  <c r="W307" i="1"/>
  <c r="AA191" i="1"/>
  <c r="W418" i="1"/>
  <c r="W219" i="1"/>
  <c r="W399" i="1"/>
  <c r="W128" i="1"/>
  <c r="W314" i="1"/>
  <c r="W237" i="1"/>
  <c r="Y122" i="1"/>
  <c r="Y308" i="1"/>
  <c r="U124" i="1"/>
  <c r="U310" i="1"/>
  <c r="W221" i="1"/>
  <c r="W127" i="1"/>
  <c r="W401" i="1"/>
  <c r="W313" i="1"/>
  <c r="Y413" i="1"/>
  <c r="Y121" i="1"/>
  <c r="Y394" i="1"/>
  <c r="Y307" i="1"/>
  <c r="Y232" i="1"/>
  <c r="Y215" i="1"/>
  <c r="Y395" i="1"/>
  <c r="Y214" i="1"/>
  <c r="U216" i="1"/>
  <c r="U233" i="1"/>
  <c r="U414" i="1"/>
  <c r="U396" i="1"/>
  <c r="U309" i="1"/>
  <c r="U123" i="1"/>
  <c r="W191" i="1"/>
  <c r="Y314" i="1"/>
  <c r="Y219" i="1"/>
  <c r="Y128" i="1"/>
  <c r="Y399" i="1"/>
  <c r="Y418" i="1"/>
  <c r="Y237" i="1"/>
  <c r="AB18" i="1"/>
  <c r="AC18" i="1" s="1"/>
  <c r="P314" i="1"/>
  <c r="P219" i="1"/>
  <c r="P399" i="1"/>
  <c r="P237" i="1"/>
  <c r="P128" i="1"/>
  <c r="P418" i="1"/>
  <c r="R398" i="1"/>
  <c r="R315" i="1"/>
  <c r="R129" i="1"/>
  <c r="R218" i="1"/>
  <c r="O121" i="1"/>
  <c r="O232" i="1"/>
  <c r="O394" i="1"/>
  <c r="O395" i="1"/>
  <c r="O307" i="1"/>
  <c r="O413" i="1"/>
  <c r="O214" i="1"/>
  <c r="AA306" i="1"/>
  <c r="AA120" i="1"/>
  <c r="S310" i="1"/>
  <c r="S124" i="1"/>
  <c r="O367" i="1"/>
  <c r="K234" i="1"/>
  <c r="K311" i="1"/>
  <c r="K415" i="1"/>
  <c r="K125" i="1"/>
  <c r="K397" i="1"/>
  <c r="K217" i="1"/>
  <c r="Y257" i="1"/>
  <c r="S236" i="1"/>
  <c r="S130" i="1"/>
  <c r="S316" i="1"/>
  <c r="S417" i="1"/>
  <c r="P367" i="1"/>
  <c r="K233" i="1"/>
  <c r="K216" i="1"/>
  <c r="K123" i="1"/>
  <c r="K414" i="1"/>
  <c r="K396" i="1"/>
  <c r="K309" i="1"/>
  <c r="AA235" i="1"/>
  <c r="AA126" i="1"/>
  <c r="AA416" i="1"/>
  <c r="AA312" i="1"/>
  <c r="AB176" i="1"/>
  <c r="AC176" i="1" s="1"/>
  <c r="I413" i="1"/>
  <c r="I307" i="1"/>
  <c r="I394" i="1"/>
  <c r="I215" i="1"/>
  <c r="I232" i="1"/>
  <c r="I395" i="1"/>
  <c r="I214" i="1"/>
  <c r="I121" i="1"/>
  <c r="H236" i="1"/>
  <c r="H316" i="1"/>
  <c r="H417" i="1"/>
  <c r="H130" i="1"/>
  <c r="AB63" i="1"/>
  <c r="AC63" i="1" s="1"/>
  <c r="AB260" i="1"/>
  <c r="AC260" i="1" s="1"/>
  <c r="H273" i="1"/>
  <c r="O378" i="1"/>
  <c r="AB439" i="1"/>
  <c r="AC439" i="1" s="1"/>
  <c r="H451" i="1"/>
  <c r="H179" i="1"/>
  <c r="AB173" i="1"/>
  <c r="AC173" i="1" s="1"/>
  <c r="H120" i="1"/>
  <c r="AB52" i="1"/>
  <c r="AC52" i="1" s="1"/>
  <c r="H306" i="1"/>
  <c r="I415" i="1"/>
  <c r="I217" i="1"/>
  <c r="I125" i="1"/>
  <c r="I397" i="1"/>
  <c r="I311" i="1"/>
  <c r="I234" i="1"/>
  <c r="H401" i="1"/>
  <c r="H313" i="1"/>
  <c r="H221" i="1"/>
  <c r="H127" i="1"/>
  <c r="AB59" i="1"/>
  <c r="AC59" i="1" s="1"/>
  <c r="I130" i="1"/>
  <c r="I316" i="1"/>
  <c r="I236" i="1"/>
  <c r="I417" i="1"/>
  <c r="H46" i="1"/>
  <c r="AB38" i="1"/>
  <c r="AC38" i="1" s="1"/>
  <c r="H125" i="1"/>
  <c r="H217" i="1"/>
  <c r="H415" i="1"/>
  <c r="H311" i="1"/>
  <c r="H397" i="1"/>
  <c r="H234" i="1"/>
  <c r="I122" i="1"/>
  <c r="I308" i="1"/>
  <c r="W204" i="1"/>
  <c r="W201" i="1"/>
  <c r="W194" i="1"/>
  <c r="W97" i="1"/>
  <c r="W206" i="1"/>
  <c r="W202" i="1"/>
  <c r="M191" i="1"/>
  <c r="W306" i="1"/>
  <c r="W120" i="1"/>
  <c r="AB363" i="1"/>
  <c r="AC363" i="1" s="1"/>
  <c r="Y46" i="1"/>
  <c r="K46" i="1"/>
  <c r="W436" i="1"/>
  <c r="W126" i="1"/>
  <c r="W235" i="1"/>
  <c r="W312" i="1"/>
  <c r="W416" i="1"/>
  <c r="Y120" i="1"/>
  <c r="Y306" i="1"/>
  <c r="U122" i="1"/>
  <c r="U308" i="1"/>
  <c r="U191" i="1"/>
  <c r="K417" i="1"/>
  <c r="K130" i="1"/>
  <c r="K316" i="1"/>
  <c r="K236" i="1"/>
  <c r="R214" i="1"/>
  <c r="R232" i="1"/>
  <c r="R395" i="1"/>
  <c r="R215" i="1"/>
  <c r="R121" i="1"/>
  <c r="R413" i="1"/>
  <c r="R307" i="1"/>
  <c r="R394" i="1"/>
  <c r="I24" i="1"/>
  <c r="AA46" i="1"/>
  <c r="AB445" i="1"/>
  <c r="AC445" i="1" s="1"/>
  <c r="AB362" i="1"/>
  <c r="AC362" i="1" s="1"/>
  <c r="AA401" i="1"/>
  <c r="AA221" i="1"/>
  <c r="AA313" i="1"/>
  <c r="AA127" i="1"/>
  <c r="S216" i="1"/>
  <c r="S414" i="1"/>
  <c r="S233" i="1"/>
  <c r="S396" i="1"/>
  <c r="S309" i="1"/>
  <c r="S123" i="1"/>
  <c r="Y436" i="1"/>
  <c r="S308" i="1"/>
  <c r="S122" i="1"/>
  <c r="AB17" i="1"/>
  <c r="AC17" i="1" s="1"/>
  <c r="R367" i="1"/>
  <c r="AB167" i="1"/>
  <c r="AC167" i="1" s="1"/>
  <c r="AB27" i="1"/>
  <c r="AC27" i="1" s="1"/>
  <c r="H35" i="1"/>
  <c r="AB33" i="1"/>
  <c r="AC33" i="1" s="1"/>
  <c r="AB29" i="1"/>
  <c r="AC29" i="1" s="1"/>
  <c r="I449" i="2"/>
  <c r="H449" i="2"/>
  <c r="AB481" i="1"/>
  <c r="AC481" i="1" s="1"/>
  <c r="AB482" i="1"/>
  <c r="AC482" i="1" s="1"/>
  <c r="L426" i="2"/>
  <c r="P122" i="1"/>
  <c r="P55" i="1"/>
  <c r="P216" i="1" s="1"/>
  <c r="O216" i="1"/>
  <c r="O215" i="1"/>
  <c r="M426" i="2"/>
  <c r="H426" i="2"/>
  <c r="G426" i="2"/>
  <c r="J426" i="2"/>
  <c r="P415" i="1"/>
  <c r="P234" i="1"/>
  <c r="U426" i="2"/>
  <c r="O426" i="2"/>
  <c r="AB426" i="2"/>
  <c r="AF426" i="2"/>
  <c r="AD426" i="2"/>
  <c r="AC426" i="2"/>
  <c r="X426" i="2"/>
  <c r="S426" i="2"/>
  <c r="W426" i="2"/>
  <c r="F426" i="2"/>
  <c r="P426" i="2"/>
  <c r="Y426" i="2"/>
  <c r="Q426" i="2"/>
  <c r="Z426" i="2"/>
  <c r="R426" i="2"/>
  <c r="N426" i="2"/>
  <c r="AE426" i="2"/>
  <c r="AA426" i="2"/>
  <c r="T426" i="2"/>
  <c r="V426" i="2"/>
  <c r="P311" i="1"/>
  <c r="P217" i="1"/>
  <c r="P125" i="1"/>
  <c r="AB57" i="1"/>
  <c r="AC57" i="1" s="1"/>
  <c r="P312" i="1"/>
  <c r="P235" i="1"/>
  <c r="P126" i="1"/>
  <c r="P416" i="1"/>
  <c r="P310" i="1"/>
  <c r="AG438" i="2"/>
  <c r="AH438" i="2" s="1"/>
  <c r="AG422" i="2"/>
  <c r="AH422" i="2" s="1"/>
  <c r="AB56" i="1"/>
  <c r="AC56" i="1" s="1"/>
  <c r="O122" i="1"/>
  <c r="AB54" i="1"/>
  <c r="AC54" i="1" s="1"/>
  <c r="O308" i="1"/>
  <c r="O233" i="1"/>
  <c r="O123" i="1"/>
  <c r="O396" i="1"/>
  <c r="O414" i="1"/>
  <c r="O309" i="1"/>
  <c r="AB58" i="1"/>
  <c r="AC58" i="1" s="1"/>
  <c r="O312" i="1"/>
  <c r="O65" i="1"/>
  <c r="O235" i="1"/>
  <c r="O126" i="1"/>
  <c r="O416" i="1"/>
  <c r="N341" i="2"/>
  <c r="AG341" i="2" s="1"/>
  <c r="AH341" i="2" s="1"/>
  <c r="AG410" i="2"/>
  <c r="AH410" i="2" s="1"/>
  <c r="N365" i="2"/>
  <c r="AB188" i="1"/>
  <c r="AC188" i="1" s="1"/>
  <c r="H186" i="1"/>
  <c r="AB186" i="1" s="1"/>
  <c r="AC186" i="1" s="1"/>
  <c r="AB494" i="1"/>
  <c r="AC494" i="1" s="1"/>
  <c r="H189" i="1"/>
  <c r="AB189" i="1" s="1"/>
  <c r="AC189" i="1" s="1"/>
  <c r="H375" i="1"/>
  <c r="AB375" i="1" s="1"/>
  <c r="AC375" i="1" s="1"/>
  <c r="H187" i="1"/>
  <c r="AB187" i="1" s="1"/>
  <c r="AC187" i="1" s="1"/>
  <c r="H376" i="1"/>
  <c r="AB376" i="1" s="1"/>
  <c r="AC376" i="1" s="1"/>
  <c r="K316" i="2"/>
  <c r="K338" i="2" s="1"/>
  <c r="J316" i="2"/>
  <c r="J338" i="2" s="1"/>
  <c r="I191" i="1"/>
  <c r="G316" i="2"/>
  <c r="N484" i="2"/>
  <c r="I426" i="2"/>
  <c r="AG439" i="2"/>
  <c r="AH439" i="2" s="1"/>
  <c r="K494" i="2"/>
  <c r="F449" i="2"/>
  <c r="AG425" i="2"/>
  <c r="AH425" i="2" s="1"/>
  <c r="H316" i="2"/>
  <c r="G32" i="8"/>
  <c r="E423" i="2" s="1"/>
  <c r="F423" i="2"/>
  <c r="AG423" i="2" s="1"/>
  <c r="AG416" i="2"/>
  <c r="AH416" i="2" s="1"/>
  <c r="F417" i="2"/>
  <c r="AG421" i="2"/>
  <c r="AH421" i="2" s="1"/>
  <c r="K456" i="2"/>
  <c r="K477" i="2" s="1"/>
  <c r="E480" i="2" l="1"/>
  <c r="E481" i="2" s="1"/>
  <c r="E485" i="2"/>
  <c r="O480" i="2"/>
  <c r="O481" i="2" s="1"/>
  <c r="W480" i="2"/>
  <c r="W481" i="2" s="1"/>
  <c r="X480" i="2"/>
  <c r="X481" i="2" s="1"/>
  <c r="AF480" i="2"/>
  <c r="AF481" i="2" s="1"/>
  <c r="G480" i="2"/>
  <c r="G481" i="2" s="1"/>
  <c r="AD480" i="2"/>
  <c r="AD481" i="2" s="1"/>
  <c r="Y480" i="2"/>
  <c r="Y481" i="2" s="1"/>
  <c r="T480" i="2"/>
  <c r="T481" i="2" s="1"/>
  <c r="AA480" i="2"/>
  <c r="AA481" i="2" s="1"/>
  <c r="AE480" i="2"/>
  <c r="AE481" i="2" s="1"/>
  <c r="Q480" i="2"/>
  <c r="Q481" i="2" s="1"/>
  <c r="R480" i="2"/>
  <c r="R481" i="2" s="1"/>
  <c r="AB480" i="2"/>
  <c r="AB481" i="2" s="1"/>
  <c r="AC480" i="2"/>
  <c r="AC481" i="2" s="1"/>
  <c r="U480" i="2"/>
  <c r="U481" i="2" s="1"/>
  <c r="S480" i="2"/>
  <c r="S481" i="2" s="1"/>
  <c r="V480" i="2"/>
  <c r="V481" i="2" s="1"/>
  <c r="Z480" i="2"/>
  <c r="Z481" i="2" s="1"/>
  <c r="E487" i="2"/>
  <c r="T487" i="2" s="1"/>
  <c r="T488" i="2" s="1"/>
  <c r="AG485" i="2"/>
  <c r="AH485" i="2" s="1"/>
  <c r="U96" i="1"/>
  <c r="W67" i="1"/>
  <c r="W69" i="1" s="1"/>
  <c r="W118" i="1"/>
  <c r="W205" i="1"/>
  <c r="W208" i="1"/>
  <c r="W195" i="1"/>
  <c r="W388" i="1"/>
  <c r="W203" i="1"/>
  <c r="W385" i="1"/>
  <c r="W387" i="1"/>
  <c r="W384" i="1"/>
  <c r="W199" i="1"/>
  <c r="W386" i="1"/>
  <c r="W207" i="1"/>
  <c r="W198" i="1"/>
  <c r="W383" i="1"/>
  <c r="W305" i="1"/>
  <c r="W196" i="1"/>
  <c r="W197" i="1"/>
  <c r="W381" i="1"/>
  <c r="W200" i="1"/>
  <c r="U91" i="1"/>
  <c r="U160" i="1"/>
  <c r="U170" i="1" s="1"/>
  <c r="U181" i="1" s="1"/>
  <c r="U304" i="1"/>
  <c r="U348" i="1"/>
  <c r="U358" i="1" s="1"/>
  <c r="U369" i="1" s="1"/>
  <c r="S387" i="1"/>
  <c r="O160" i="1"/>
  <c r="O170" i="1" s="1"/>
  <c r="O181" i="1" s="1"/>
  <c r="S385" i="1"/>
  <c r="S207" i="1"/>
  <c r="O91" i="1"/>
  <c r="O96" i="1"/>
  <c r="O348" i="1"/>
  <c r="O358" i="1" s="1"/>
  <c r="O369" i="1" s="1"/>
  <c r="O117" i="1"/>
  <c r="AG365" i="2"/>
  <c r="AH365" i="2" s="1"/>
  <c r="AB125" i="1"/>
  <c r="AC125" i="1" s="1"/>
  <c r="S96" i="1"/>
  <c r="S304" i="1"/>
  <c r="AB124" i="1"/>
  <c r="AC124" i="1" s="1"/>
  <c r="S196" i="1"/>
  <c r="S386" i="1"/>
  <c r="S199" i="1"/>
  <c r="S348" i="1"/>
  <c r="S358" i="1" s="1"/>
  <c r="S369" i="1" s="1"/>
  <c r="S208" i="1"/>
  <c r="S383" i="1"/>
  <c r="S381" i="1"/>
  <c r="S117" i="1"/>
  <c r="S200" i="1"/>
  <c r="S382" i="1"/>
  <c r="S203" i="1"/>
  <c r="S67" i="1"/>
  <c r="AB415" i="1"/>
  <c r="AC415" i="1" s="1"/>
  <c r="S118" i="1"/>
  <c r="S205" i="1"/>
  <c r="S202" i="1"/>
  <c r="S160" i="1"/>
  <c r="S170" i="1" s="1"/>
  <c r="S181" i="1" s="1"/>
  <c r="S195" i="1"/>
  <c r="S198" i="1"/>
  <c r="S305" i="1"/>
  <c r="S194" i="1"/>
  <c r="S97" i="1"/>
  <c r="S206" i="1"/>
  <c r="S201" i="1"/>
  <c r="S384" i="1"/>
  <c r="S204" i="1"/>
  <c r="S197" i="1"/>
  <c r="AB273" i="1"/>
  <c r="AC273" i="1" s="1"/>
  <c r="AB397" i="1"/>
  <c r="AC397" i="1" s="1"/>
  <c r="AB234" i="1"/>
  <c r="AC234" i="1" s="1"/>
  <c r="AB217" i="1"/>
  <c r="AC217" i="1" s="1"/>
  <c r="AB310" i="1"/>
  <c r="AC310" i="1" s="1"/>
  <c r="AB311" i="1"/>
  <c r="AC311" i="1" s="1"/>
  <c r="AB35" i="1"/>
  <c r="AC35" i="1" s="1"/>
  <c r="AB308" i="1"/>
  <c r="AC308" i="1" s="1"/>
  <c r="AB179" i="1"/>
  <c r="AC179" i="1" s="1"/>
  <c r="AB417" i="1"/>
  <c r="AC417" i="1" s="1"/>
  <c r="AB451" i="1"/>
  <c r="AC451" i="1" s="1"/>
  <c r="AB130" i="1"/>
  <c r="AC130" i="1" s="1"/>
  <c r="AB314" i="1"/>
  <c r="AC314" i="1" s="1"/>
  <c r="AB257" i="1"/>
  <c r="AC257" i="1" s="1"/>
  <c r="AB214" i="1"/>
  <c r="AC214" i="1" s="1"/>
  <c r="O385" i="1"/>
  <c r="O205" i="1"/>
  <c r="O388" i="1"/>
  <c r="O305" i="1"/>
  <c r="O197" i="1"/>
  <c r="O206" i="1"/>
  <c r="O194" i="1"/>
  <c r="O382" i="1"/>
  <c r="O384" i="1"/>
  <c r="O198" i="1"/>
  <c r="O381" i="1"/>
  <c r="O97" i="1"/>
  <c r="O383" i="1"/>
  <c r="O386" i="1"/>
  <c r="O118" i="1"/>
  <c r="O207" i="1"/>
  <c r="O195" i="1"/>
  <c r="O199" i="1"/>
  <c r="O387" i="1"/>
  <c r="O204" i="1"/>
  <c r="O200" i="1"/>
  <c r="O208" i="1"/>
  <c r="O201" i="1"/>
  <c r="O202" i="1"/>
  <c r="O196" i="1"/>
  <c r="O203" i="1"/>
  <c r="I116" i="1"/>
  <c r="I89" i="1"/>
  <c r="I419" i="1"/>
  <c r="I224" i="1"/>
  <c r="I100" i="1"/>
  <c r="I119" i="1"/>
  <c r="I213" i="1"/>
  <c r="I393" i="1"/>
  <c r="I98" i="1"/>
  <c r="I403" i="1"/>
  <c r="I238" i="1"/>
  <c r="I150" i="1"/>
  <c r="I321" i="1"/>
  <c r="I149" i="1"/>
  <c r="I222" i="1"/>
  <c r="I412" i="1"/>
  <c r="I148" i="1"/>
  <c r="I147" i="1"/>
  <c r="I402" i="1"/>
  <c r="I231" i="1"/>
  <c r="I317" i="1"/>
  <c r="W10" i="1"/>
  <c r="W81" i="1"/>
  <c r="W83" i="1"/>
  <c r="W320" i="1"/>
  <c r="W80" i="1"/>
  <c r="W8" i="1"/>
  <c r="W82" i="1"/>
  <c r="R117" i="1"/>
  <c r="R304" i="1"/>
  <c r="R348" i="1"/>
  <c r="R358" i="1" s="1"/>
  <c r="R369" i="1" s="1"/>
  <c r="R160" i="1"/>
  <c r="R170" i="1" s="1"/>
  <c r="R181" i="1" s="1"/>
  <c r="R91" i="1"/>
  <c r="R96" i="1"/>
  <c r="AB232" i="1"/>
  <c r="AC232" i="1" s="1"/>
  <c r="Y91" i="1"/>
  <c r="Y348" i="1"/>
  <c r="Y358" i="1" s="1"/>
  <c r="Y369" i="1" s="1"/>
  <c r="Y160" i="1"/>
  <c r="Y170" i="1" s="1"/>
  <c r="Y181" i="1" s="1"/>
  <c r="Y96" i="1"/>
  <c r="Y117" i="1"/>
  <c r="Y304" i="1"/>
  <c r="M160" i="1"/>
  <c r="M170" i="1" s="1"/>
  <c r="M181" i="1" s="1"/>
  <c r="M304" i="1"/>
  <c r="M91" i="1"/>
  <c r="M96" i="1"/>
  <c r="M117" i="1"/>
  <c r="M348" i="1"/>
  <c r="M358" i="1" s="1"/>
  <c r="M369" i="1" s="1"/>
  <c r="H91" i="1"/>
  <c r="H160" i="1"/>
  <c r="H348" i="1"/>
  <c r="H96" i="1"/>
  <c r="H304" i="1"/>
  <c r="AB24" i="1"/>
  <c r="AC24" i="1" s="1"/>
  <c r="H117" i="1"/>
  <c r="K405" i="1"/>
  <c r="AB316" i="1"/>
  <c r="AC316" i="1" s="1"/>
  <c r="K304" i="1"/>
  <c r="K96" i="1"/>
  <c r="K160" i="1"/>
  <c r="K170" i="1" s="1"/>
  <c r="K181" i="1" s="1"/>
  <c r="K348" i="1"/>
  <c r="K358" i="1" s="1"/>
  <c r="K369" i="1" s="1"/>
  <c r="K117" i="1"/>
  <c r="K91" i="1"/>
  <c r="AB395" i="1"/>
  <c r="AC395" i="1" s="1"/>
  <c r="AA412" i="1"/>
  <c r="AA150" i="1"/>
  <c r="AA89" i="1"/>
  <c r="AA213" i="1"/>
  <c r="AA321" i="1"/>
  <c r="AA149" i="1"/>
  <c r="AA147" i="1"/>
  <c r="AA224" i="1"/>
  <c r="AA393" i="1"/>
  <c r="AA231" i="1"/>
  <c r="AA238" i="1"/>
  <c r="AA317" i="1"/>
  <c r="AA222" i="1"/>
  <c r="AA98" i="1"/>
  <c r="AA119" i="1"/>
  <c r="AA116" i="1"/>
  <c r="AA402" i="1"/>
  <c r="AA403" i="1"/>
  <c r="AA148" i="1"/>
  <c r="AA419" i="1"/>
  <c r="AA100" i="1"/>
  <c r="AA206" i="1"/>
  <c r="AA194" i="1"/>
  <c r="AA201" i="1"/>
  <c r="AA203" i="1"/>
  <c r="AA385" i="1"/>
  <c r="AA384" i="1"/>
  <c r="AA195" i="1"/>
  <c r="AA388" i="1"/>
  <c r="AA97" i="1"/>
  <c r="AA207" i="1"/>
  <c r="AA204" i="1"/>
  <c r="AA67" i="1"/>
  <c r="AA69" i="1" s="1"/>
  <c r="AA208" i="1"/>
  <c r="AA199" i="1"/>
  <c r="AA386" i="1"/>
  <c r="AA382" i="1"/>
  <c r="AA387" i="1"/>
  <c r="AA381" i="1"/>
  <c r="AA196" i="1"/>
  <c r="AA118" i="1"/>
  <c r="AA383" i="1"/>
  <c r="AA202" i="1"/>
  <c r="AA200" i="1"/>
  <c r="AA198" i="1"/>
  <c r="AA305" i="1"/>
  <c r="AA197" i="1"/>
  <c r="AA205" i="1"/>
  <c r="K383" i="1"/>
  <c r="K381" i="1"/>
  <c r="K118" i="1"/>
  <c r="K204" i="1"/>
  <c r="K386" i="1"/>
  <c r="E450" i="2"/>
  <c r="K206" i="1"/>
  <c r="K198" i="1"/>
  <c r="K201" i="1"/>
  <c r="K194" i="1"/>
  <c r="K203" i="1"/>
  <c r="K199" i="1"/>
  <c r="K196" i="1"/>
  <c r="K208" i="1"/>
  <c r="K387" i="1"/>
  <c r="K207" i="1"/>
  <c r="K97" i="1"/>
  <c r="K195" i="1"/>
  <c r="K202" i="1"/>
  <c r="K197" i="1"/>
  <c r="K382" i="1"/>
  <c r="K205" i="1"/>
  <c r="K388" i="1"/>
  <c r="K384" i="1"/>
  <c r="K305" i="1"/>
  <c r="K385" i="1"/>
  <c r="K67" i="1"/>
  <c r="K69" i="1" s="1"/>
  <c r="K200" i="1"/>
  <c r="AB127" i="1"/>
  <c r="AC127" i="1" s="1"/>
  <c r="AB236" i="1"/>
  <c r="AC236" i="1" s="1"/>
  <c r="R100" i="1"/>
  <c r="R393" i="1"/>
  <c r="R89" i="1"/>
  <c r="R412" i="1"/>
  <c r="R231" i="1"/>
  <c r="R149" i="1"/>
  <c r="R317" i="1"/>
  <c r="R403" i="1"/>
  <c r="R147" i="1"/>
  <c r="R116" i="1"/>
  <c r="R224" i="1"/>
  <c r="R213" i="1"/>
  <c r="R402" i="1"/>
  <c r="R419" i="1"/>
  <c r="R238" i="1"/>
  <c r="R148" i="1"/>
  <c r="R222" i="1"/>
  <c r="R150" i="1"/>
  <c r="R321" i="1"/>
  <c r="R98" i="1"/>
  <c r="R119" i="1"/>
  <c r="AB218" i="1"/>
  <c r="AC218" i="1" s="1"/>
  <c r="U321" i="1"/>
  <c r="U222" i="1"/>
  <c r="U419" i="1"/>
  <c r="U148" i="1"/>
  <c r="U100" i="1"/>
  <c r="U402" i="1"/>
  <c r="U116" i="1"/>
  <c r="U231" i="1"/>
  <c r="U147" i="1"/>
  <c r="U393" i="1"/>
  <c r="U224" i="1"/>
  <c r="U238" i="1"/>
  <c r="U119" i="1"/>
  <c r="U98" i="1"/>
  <c r="U213" i="1"/>
  <c r="U403" i="1"/>
  <c r="U317" i="1"/>
  <c r="U89" i="1"/>
  <c r="U149" i="1"/>
  <c r="U150" i="1"/>
  <c r="U412" i="1"/>
  <c r="K240" i="1"/>
  <c r="I195" i="1"/>
  <c r="I97" i="1"/>
  <c r="I387" i="1"/>
  <c r="I198" i="1"/>
  <c r="I194" i="1"/>
  <c r="I305" i="1"/>
  <c r="I67" i="1"/>
  <c r="I69" i="1" s="1"/>
  <c r="I197" i="1"/>
  <c r="I385" i="1"/>
  <c r="I384" i="1"/>
  <c r="I202" i="1"/>
  <c r="I207" i="1"/>
  <c r="I383" i="1"/>
  <c r="I382" i="1"/>
  <c r="I201" i="1"/>
  <c r="I388" i="1"/>
  <c r="I203" i="1"/>
  <c r="I204" i="1"/>
  <c r="I205" i="1"/>
  <c r="I206" i="1"/>
  <c r="I386" i="1"/>
  <c r="I381" i="1"/>
  <c r="I199" i="1"/>
  <c r="I208" i="1"/>
  <c r="I200" i="1"/>
  <c r="I118" i="1"/>
  <c r="I196" i="1"/>
  <c r="I117" i="1"/>
  <c r="I96" i="1"/>
  <c r="I304" i="1"/>
  <c r="I348" i="1"/>
  <c r="I358" i="1" s="1"/>
  <c r="I369" i="1" s="1"/>
  <c r="I160" i="1"/>
  <c r="I170" i="1" s="1"/>
  <c r="I181" i="1" s="1"/>
  <c r="I91" i="1"/>
  <c r="Y202" i="1"/>
  <c r="Y67" i="1"/>
  <c r="Y69" i="1" s="1"/>
  <c r="Y118" i="1"/>
  <c r="Y383" i="1"/>
  <c r="Y199" i="1"/>
  <c r="Y196" i="1"/>
  <c r="Y206" i="1"/>
  <c r="Y388" i="1"/>
  <c r="Y205" i="1"/>
  <c r="Y198" i="1"/>
  <c r="Y197" i="1"/>
  <c r="Y97" i="1"/>
  <c r="Y195" i="1"/>
  <c r="Y204" i="1"/>
  <c r="Y382" i="1"/>
  <c r="Y384" i="1"/>
  <c r="Y208" i="1"/>
  <c r="Y386" i="1"/>
  <c r="Y194" i="1"/>
  <c r="Y200" i="1"/>
  <c r="Y203" i="1"/>
  <c r="Y387" i="1"/>
  <c r="Y201" i="1"/>
  <c r="Y385" i="1"/>
  <c r="Y207" i="1"/>
  <c r="Y305" i="1"/>
  <c r="Y381" i="1"/>
  <c r="AB221" i="1"/>
  <c r="AC221" i="1" s="1"/>
  <c r="AB128" i="1"/>
  <c r="AC128" i="1" s="1"/>
  <c r="AB237" i="1"/>
  <c r="AC237" i="1" s="1"/>
  <c r="P305" i="1"/>
  <c r="P197" i="1"/>
  <c r="P382" i="1"/>
  <c r="P201" i="1"/>
  <c r="P384" i="1"/>
  <c r="P199" i="1"/>
  <c r="P196" i="1"/>
  <c r="P195" i="1"/>
  <c r="P206" i="1"/>
  <c r="P387" i="1"/>
  <c r="P381" i="1"/>
  <c r="P200" i="1"/>
  <c r="P97" i="1"/>
  <c r="P202" i="1"/>
  <c r="P386" i="1"/>
  <c r="P385" i="1"/>
  <c r="P388" i="1"/>
  <c r="P204" i="1"/>
  <c r="P205" i="1"/>
  <c r="P208" i="1"/>
  <c r="P198" i="1"/>
  <c r="P118" i="1"/>
  <c r="P194" i="1"/>
  <c r="P203" i="1"/>
  <c r="P207" i="1"/>
  <c r="P383" i="1"/>
  <c r="P96" i="1"/>
  <c r="P348" i="1"/>
  <c r="P358" i="1" s="1"/>
  <c r="P369" i="1" s="1"/>
  <c r="P160" i="1"/>
  <c r="P170" i="1" s="1"/>
  <c r="P181" i="1" s="1"/>
  <c r="P117" i="1"/>
  <c r="P304" i="1"/>
  <c r="P91" i="1"/>
  <c r="AB394" i="1"/>
  <c r="AC394" i="1" s="1"/>
  <c r="AB398" i="1"/>
  <c r="AC398" i="1" s="1"/>
  <c r="W321" i="1"/>
  <c r="W393" i="1"/>
  <c r="W98" i="1"/>
  <c r="W149" i="1"/>
  <c r="W213" i="1"/>
  <c r="W317" i="1"/>
  <c r="W231" i="1"/>
  <c r="W150" i="1"/>
  <c r="W419" i="1"/>
  <c r="W402" i="1"/>
  <c r="W119" i="1"/>
  <c r="W412" i="1"/>
  <c r="W224" i="1"/>
  <c r="W238" i="1"/>
  <c r="W116" i="1"/>
  <c r="W403" i="1"/>
  <c r="W100" i="1"/>
  <c r="W89" i="1"/>
  <c r="W147" i="1"/>
  <c r="W148" i="1"/>
  <c r="W222" i="1"/>
  <c r="W96" i="1"/>
  <c r="W304" i="1"/>
  <c r="W91" i="1"/>
  <c r="W117" i="1"/>
  <c r="W160" i="1"/>
  <c r="W170" i="1" s="1"/>
  <c r="W181" i="1" s="1"/>
  <c r="W348" i="1"/>
  <c r="W358" i="1" s="1"/>
  <c r="W369" i="1" s="1"/>
  <c r="M194" i="1"/>
  <c r="M207" i="1"/>
  <c r="M305" i="1"/>
  <c r="M196" i="1"/>
  <c r="M195" i="1"/>
  <c r="M205" i="1"/>
  <c r="M67" i="1"/>
  <c r="M69" i="1" s="1"/>
  <c r="M204" i="1"/>
  <c r="M203" i="1"/>
  <c r="M384" i="1"/>
  <c r="M197" i="1"/>
  <c r="M387" i="1"/>
  <c r="M199" i="1"/>
  <c r="M386" i="1"/>
  <c r="M206" i="1"/>
  <c r="M385" i="1"/>
  <c r="M202" i="1"/>
  <c r="M97" i="1"/>
  <c r="M201" i="1"/>
  <c r="M198" i="1"/>
  <c r="M208" i="1"/>
  <c r="M388" i="1"/>
  <c r="M383" i="1"/>
  <c r="M382" i="1"/>
  <c r="M381" i="1"/>
  <c r="M200" i="1"/>
  <c r="M118" i="1"/>
  <c r="H382" i="1"/>
  <c r="H196" i="1"/>
  <c r="H384" i="1"/>
  <c r="H387" i="1"/>
  <c r="H385" i="1"/>
  <c r="H67" i="1"/>
  <c r="H69" i="1" s="1"/>
  <c r="H199" i="1"/>
  <c r="H386" i="1"/>
  <c r="H381" i="1"/>
  <c r="H201" i="1"/>
  <c r="H388" i="1"/>
  <c r="H305" i="1"/>
  <c r="H205" i="1"/>
  <c r="H200" i="1"/>
  <c r="H206" i="1"/>
  <c r="H118" i="1"/>
  <c r="AB46" i="1"/>
  <c r="AC46" i="1" s="1"/>
  <c r="H208" i="1"/>
  <c r="H383" i="1"/>
  <c r="H197" i="1"/>
  <c r="H198" i="1"/>
  <c r="H203" i="1"/>
  <c r="H207" i="1"/>
  <c r="H202" i="1"/>
  <c r="H194" i="1"/>
  <c r="H204" i="1"/>
  <c r="H195" i="1"/>
  <c r="H97" i="1"/>
  <c r="AB313" i="1"/>
  <c r="AC313" i="1" s="1"/>
  <c r="AB306" i="1"/>
  <c r="AC306" i="1" s="1"/>
  <c r="AB418" i="1"/>
  <c r="AC418" i="1" s="1"/>
  <c r="R202" i="1"/>
  <c r="R305" i="1"/>
  <c r="R204" i="1"/>
  <c r="R200" i="1"/>
  <c r="R206" i="1"/>
  <c r="R386" i="1"/>
  <c r="R195" i="1"/>
  <c r="R199" i="1"/>
  <c r="R384" i="1"/>
  <c r="R194" i="1"/>
  <c r="R203" i="1"/>
  <c r="R388" i="1"/>
  <c r="R208" i="1"/>
  <c r="R118" i="1"/>
  <c r="R207" i="1"/>
  <c r="R381" i="1"/>
  <c r="R385" i="1"/>
  <c r="R201" i="1"/>
  <c r="R198" i="1"/>
  <c r="R383" i="1"/>
  <c r="R196" i="1"/>
  <c r="R387" i="1"/>
  <c r="R205" i="1"/>
  <c r="R97" i="1"/>
  <c r="R67" i="1"/>
  <c r="R69" i="1" s="1"/>
  <c r="R197" i="1"/>
  <c r="R382" i="1"/>
  <c r="Y148" i="1"/>
  <c r="Y213" i="1"/>
  <c r="Y224" i="1"/>
  <c r="Y317" i="1"/>
  <c r="Y98" i="1"/>
  <c r="Y100" i="1"/>
  <c r="Y147" i="1"/>
  <c r="Y403" i="1"/>
  <c r="Y89" i="1"/>
  <c r="Y116" i="1"/>
  <c r="Y238" i="1"/>
  <c r="Y321" i="1"/>
  <c r="Y222" i="1"/>
  <c r="Y231" i="1"/>
  <c r="Y393" i="1"/>
  <c r="Y150" i="1"/>
  <c r="Y412" i="1"/>
  <c r="Y119" i="1"/>
  <c r="Y149" i="1"/>
  <c r="Y402" i="1"/>
  <c r="Y419" i="1"/>
  <c r="AB121" i="1"/>
  <c r="AC121" i="1" s="1"/>
  <c r="AB436" i="1"/>
  <c r="AC436" i="1" s="1"/>
  <c r="AB401" i="1"/>
  <c r="AC401" i="1" s="1"/>
  <c r="AB399" i="1"/>
  <c r="AC399" i="1" s="1"/>
  <c r="S238" i="1"/>
  <c r="S321" i="1"/>
  <c r="S150" i="1"/>
  <c r="S119" i="1"/>
  <c r="S116" i="1"/>
  <c r="S89" i="1"/>
  <c r="S224" i="1"/>
  <c r="S403" i="1"/>
  <c r="S100" i="1"/>
  <c r="S147" i="1"/>
  <c r="S213" i="1"/>
  <c r="S393" i="1"/>
  <c r="S98" i="1"/>
  <c r="S419" i="1"/>
  <c r="S149" i="1"/>
  <c r="S402" i="1"/>
  <c r="S412" i="1"/>
  <c r="S317" i="1"/>
  <c r="S231" i="1"/>
  <c r="S222" i="1"/>
  <c r="S148" i="1"/>
  <c r="AB413" i="1"/>
  <c r="AC413" i="1" s="1"/>
  <c r="AB307" i="1"/>
  <c r="AC307" i="1" s="1"/>
  <c r="M224" i="1"/>
  <c r="M150" i="1"/>
  <c r="M98" i="1"/>
  <c r="M419" i="1"/>
  <c r="M222" i="1"/>
  <c r="M100" i="1"/>
  <c r="M148" i="1"/>
  <c r="M231" i="1"/>
  <c r="M149" i="1"/>
  <c r="M412" i="1"/>
  <c r="M403" i="1"/>
  <c r="M119" i="1"/>
  <c r="M213" i="1"/>
  <c r="M317" i="1"/>
  <c r="M89" i="1"/>
  <c r="M321" i="1"/>
  <c r="M402" i="1"/>
  <c r="M238" i="1"/>
  <c r="M393" i="1"/>
  <c r="M147" i="1"/>
  <c r="M116" i="1"/>
  <c r="AB315" i="1"/>
  <c r="AC315" i="1" s="1"/>
  <c r="K421" i="1"/>
  <c r="H412" i="1"/>
  <c r="H222" i="1"/>
  <c r="H224" i="1"/>
  <c r="H321" i="1"/>
  <c r="H89" i="1"/>
  <c r="H231" i="1"/>
  <c r="H393" i="1"/>
  <c r="H149" i="1"/>
  <c r="H317" i="1"/>
  <c r="H148" i="1"/>
  <c r="H98" i="1"/>
  <c r="H238" i="1"/>
  <c r="H402" i="1"/>
  <c r="H116" i="1"/>
  <c r="H419" i="1"/>
  <c r="H147" i="1"/>
  <c r="H100" i="1"/>
  <c r="H119" i="1"/>
  <c r="H213" i="1"/>
  <c r="H150" i="1"/>
  <c r="H403" i="1"/>
  <c r="AB120" i="1"/>
  <c r="AC120" i="1" s="1"/>
  <c r="AB219" i="1"/>
  <c r="AC219" i="1" s="1"/>
  <c r="AB367" i="1"/>
  <c r="AC367" i="1" s="1"/>
  <c r="AB129" i="1"/>
  <c r="AC129" i="1" s="1"/>
  <c r="U387" i="1"/>
  <c r="U67" i="1"/>
  <c r="U69" i="1" s="1"/>
  <c r="U200" i="1"/>
  <c r="U208" i="1"/>
  <c r="U97" i="1"/>
  <c r="U382" i="1"/>
  <c r="U205" i="1"/>
  <c r="U201" i="1"/>
  <c r="U383" i="1"/>
  <c r="U385" i="1"/>
  <c r="U386" i="1"/>
  <c r="U206" i="1"/>
  <c r="U197" i="1"/>
  <c r="U198" i="1"/>
  <c r="U207" i="1"/>
  <c r="U195" i="1"/>
  <c r="U305" i="1"/>
  <c r="U381" i="1"/>
  <c r="U199" i="1"/>
  <c r="U384" i="1"/>
  <c r="U196" i="1"/>
  <c r="U388" i="1"/>
  <c r="U194" i="1"/>
  <c r="U203" i="1"/>
  <c r="U118" i="1"/>
  <c r="U202" i="1"/>
  <c r="U204" i="1"/>
  <c r="K226" i="1"/>
  <c r="AA160" i="1"/>
  <c r="AA170" i="1" s="1"/>
  <c r="AA181" i="1" s="1"/>
  <c r="AA348" i="1"/>
  <c r="AA358" i="1" s="1"/>
  <c r="AA369" i="1" s="1"/>
  <c r="AA96" i="1"/>
  <c r="AA91" i="1"/>
  <c r="AA117" i="1"/>
  <c r="AA304" i="1"/>
  <c r="AB122" i="1"/>
  <c r="AC122" i="1" s="1"/>
  <c r="K484" i="2"/>
  <c r="K480" i="2"/>
  <c r="K481" i="2" s="1"/>
  <c r="AB55" i="1"/>
  <c r="AC55" i="1" s="1"/>
  <c r="P65" i="1"/>
  <c r="P116" i="1" s="1"/>
  <c r="P215" i="1"/>
  <c r="AB215" i="1" s="1"/>
  <c r="AC215" i="1" s="1"/>
  <c r="P233" i="1"/>
  <c r="AB233" i="1" s="1"/>
  <c r="AC233" i="1" s="1"/>
  <c r="P396" i="1"/>
  <c r="AB396" i="1" s="1"/>
  <c r="AC396" i="1" s="1"/>
  <c r="P414" i="1"/>
  <c r="AB414" i="1" s="1"/>
  <c r="AC414" i="1" s="1"/>
  <c r="P309" i="1"/>
  <c r="AB309" i="1" s="1"/>
  <c r="AC309" i="1" s="1"/>
  <c r="P123" i="1"/>
  <c r="AB123" i="1" s="1"/>
  <c r="AC123" i="1" s="1"/>
  <c r="AB216" i="1"/>
  <c r="AC216" i="1" s="1"/>
  <c r="AB416" i="1"/>
  <c r="AC416" i="1" s="1"/>
  <c r="AB126" i="1"/>
  <c r="AC126" i="1" s="1"/>
  <c r="AB312" i="1"/>
  <c r="AC312" i="1" s="1"/>
  <c r="AB235" i="1"/>
  <c r="AC235" i="1" s="1"/>
  <c r="AG344" i="2"/>
  <c r="AH344" i="2" s="1"/>
  <c r="O98" i="1"/>
  <c r="O419" i="1"/>
  <c r="O100" i="1"/>
  <c r="O150" i="1"/>
  <c r="O231" i="1"/>
  <c r="E464" i="2"/>
  <c r="O403" i="1"/>
  <c r="O402" i="1"/>
  <c r="O147" i="1"/>
  <c r="O89" i="1"/>
  <c r="O222" i="1"/>
  <c r="O224" i="1"/>
  <c r="O393" i="1"/>
  <c r="O119" i="1"/>
  <c r="O148" i="1"/>
  <c r="O149" i="1"/>
  <c r="O412" i="1"/>
  <c r="O67" i="1"/>
  <c r="O69" i="1" s="1"/>
  <c r="O238" i="1"/>
  <c r="O213" i="1"/>
  <c r="O317" i="1"/>
  <c r="O116" i="1"/>
  <c r="O321" i="1"/>
  <c r="H191" i="1"/>
  <c r="H378" i="1"/>
  <c r="AH423" i="2"/>
  <c r="I456" i="2"/>
  <c r="I477" i="2" s="1"/>
  <c r="F456" i="2"/>
  <c r="F477" i="2" s="1"/>
  <c r="AG426" i="2"/>
  <c r="AH426" i="2" s="1"/>
  <c r="F314" i="2"/>
  <c r="AG314" i="2" s="1"/>
  <c r="AH314" i="2" s="1"/>
  <c r="AG417" i="2"/>
  <c r="AH417" i="2" s="1"/>
  <c r="H338" i="2"/>
  <c r="H456" i="2"/>
  <c r="H477" i="2" s="1"/>
  <c r="G338" i="2"/>
  <c r="G482" i="2" l="1"/>
  <c r="K482" i="2"/>
  <c r="AC487" i="2"/>
  <c r="AC488" i="2" s="1"/>
  <c r="P487" i="2"/>
  <c r="P488" i="2" s="1"/>
  <c r="N487" i="2"/>
  <c r="N488" i="2" s="1"/>
  <c r="Q487" i="2"/>
  <c r="Q488" i="2" s="1"/>
  <c r="N480" i="2"/>
  <c r="N481" i="2" s="1"/>
  <c r="N482" i="2" s="1"/>
  <c r="P480" i="2"/>
  <c r="P481" i="2" s="1"/>
  <c r="P482" i="2" s="1"/>
  <c r="AE487" i="2"/>
  <c r="AE488" i="2" s="1"/>
  <c r="AE489" i="2" s="1"/>
  <c r="K487" i="2"/>
  <c r="K488" i="2" s="1"/>
  <c r="E488" i="2"/>
  <c r="G487" i="2"/>
  <c r="G488" i="2" s="1"/>
  <c r="G489" i="2" s="1"/>
  <c r="O487" i="2"/>
  <c r="O488" i="2" s="1"/>
  <c r="R487" i="2"/>
  <c r="R488" i="2" s="1"/>
  <c r="W487" i="2"/>
  <c r="W488" i="2" s="1"/>
  <c r="Y487" i="2"/>
  <c r="Y488" i="2" s="1"/>
  <c r="X487" i="2"/>
  <c r="X488" i="2" s="1"/>
  <c r="X489" i="2" s="1"/>
  <c r="AA487" i="2"/>
  <c r="AA488" i="2" s="1"/>
  <c r="AA489" i="2" s="1"/>
  <c r="AD487" i="2"/>
  <c r="AD488" i="2" s="1"/>
  <c r="AD489" i="2" s="1"/>
  <c r="W482" i="2"/>
  <c r="AA482" i="2"/>
  <c r="AE482" i="2"/>
  <c r="AC482" i="2"/>
  <c r="Y482" i="2"/>
  <c r="Z482" i="2"/>
  <c r="R482" i="2"/>
  <c r="AD482" i="2"/>
  <c r="U482" i="2"/>
  <c r="V482" i="2"/>
  <c r="Q482" i="2"/>
  <c r="AF482" i="2"/>
  <c r="O482" i="2"/>
  <c r="X482" i="2"/>
  <c r="T482" i="2"/>
  <c r="S482" i="2"/>
  <c r="AB482" i="2"/>
  <c r="V487" i="2"/>
  <c r="V488" i="2" s="1"/>
  <c r="AF487" i="2"/>
  <c r="AF488" i="2" s="1"/>
  <c r="U487" i="2"/>
  <c r="U488" i="2" s="1"/>
  <c r="Z487" i="2"/>
  <c r="Z488" i="2" s="1"/>
  <c r="S487" i="2"/>
  <c r="S488" i="2" s="1"/>
  <c r="AB487" i="2"/>
  <c r="AB488" i="2" s="1"/>
  <c r="W79" i="1"/>
  <c r="W76" i="1"/>
  <c r="W78" i="1"/>
  <c r="W84" i="1"/>
  <c r="W74" i="1"/>
  <c r="W77" i="1"/>
  <c r="W75" i="1"/>
  <c r="W88" i="1"/>
  <c r="W9" i="1"/>
  <c r="W12" i="1" s="1"/>
  <c r="W210" i="1"/>
  <c r="W390" i="1"/>
  <c r="K242" i="1"/>
  <c r="S390" i="1"/>
  <c r="S88" i="1"/>
  <c r="S69" i="1"/>
  <c r="S8" i="1"/>
  <c r="S77" i="1"/>
  <c r="S9" i="1"/>
  <c r="S81" i="1"/>
  <c r="S82" i="1"/>
  <c r="S84" i="1"/>
  <c r="S78" i="1"/>
  <c r="S74" i="1"/>
  <c r="S80" i="1"/>
  <c r="S10" i="1"/>
  <c r="S76" i="1"/>
  <c r="S75" i="1"/>
  <c r="S320" i="1"/>
  <c r="S79" i="1"/>
  <c r="S83" i="1"/>
  <c r="S210" i="1"/>
  <c r="S240" i="1"/>
  <c r="R421" i="1"/>
  <c r="M152" i="1"/>
  <c r="R226" i="1"/>
  <c r="I240" i="1"/>
  <c r="I421" i="1"/>
  <c r="Y240" i="1"/>
  <c r="W240" i="1"/>
  <c r="U226" i="1"/>
  <c r="AA421" i="1"/>
  <c r="M226" i="1"/>
  <c r="M405" i="1"/>
  <c r="S152" i="1"/>
  <c r="U421" i="1"/>
  <c r="S226" i="1"/>
  <c r="M390" i="1"/>
  <c r="I152" i="1"/>
  <c r="M240" i="1"/>
  <c r="U152" i="1"/>
  <c r="P390" i="1"/>
  <c r="U240" i="1"/>
  <c r="H226" i="1"/>
  <c r="M421" i="1"/>
  <c r="S421" i="1"/>
  <c r="AB203" i="1"/>
  <c r="AC203" i="1" s="1"/>
  <c r="AB200" i="1"/>
  <c r="AC200" i="1" s="1"/>
  <c r="H80" i="1"/>
  <c r="H77" i="1"/>
  <c r="H78" i="1"/>
  <c r="H8" i="1"/>
  <c r="H83" i="1"/>
  <c r="H75" i="1"/>
  <c r="H10" i="1"/>
  <c r="H79" i="1"/>
  <c r="H88" i="1"/>
  <c r="H74" i="1"/>
  <c r="H84" i="1"/>
  <c r="H81" i="1"/>
  <c r="H9" i="1"/>
  <c r="H76" i="1"/>
  <c r="H320" i="1"/>
  <c r="H82" i="1"/>
  <c r="R240" i="1"/>
  <c r="AA226" i="1"/>
  <c r="AB304" i="1"/>
  <c r="AC304" i="1" s="1"/>
  <c r="I405" i="1"/>
  <c r="U210" i="1"/>
  <c r="Y226" i="1"/>
  <c r="AB198" i="1"/>
  <c r="AC198" i="1" s="1"/>
  <c r="AB205" i="1"/>
  <c r="AC205" i="1" s="1"/>
  <c r="AB385" i="1"/>
  <c r="AC385" i="1" s="1"/>
  <c r="W226" i="1"/>
  <c r="K10" i="1"/>
  <c r="K80" i="1"/>
  <c r="K9" i="1"/>
  <c r="K77" i="1"/>
  <c r="K82" i="1"/>
  <c r="K83" i="1"/>
  <c r="K76" i="1"/>
  <c r="K88" i="1"/>
  <c r="K84" i="1"/>
  <c r="K75" i="1"/>
  <c r="K78" i="1"/>
  <c r="K8" i="1"/>
  <c r="K74" i="1"/>
  <c r="K320" i="1"/>
  <c r="K79" i="1"/>
  <c r="K81" i="1"/>
  <c r="AB96" i="1"/>
  <c r="AC96" i="1" s="1"/>
  <c r="I226" i="1"/>
  <c r="Y421" i="1"/>
  <c r="AB97" i="1"/>
  <c r="AC97" i="1" s="1"/>
  <c r="AB197" i="1"/>
  <c r="AC197" i="1" s="1"/>
  <c r="AB305" i="1"/>
  <c r="AC305" i="1" s="1"/>
  <c r="AB387" i="1"/>
  <c r="AC387" i="1" s="1"/>
  <c r="M210" i="1"/>
  <c r="W421" i="1"/>
  <c r="P210" i="1"/>
  <c r="I81" i="1"/>
  <c r="I79" i="1"/>
  <c r="I84" i="1"/>
  <c r="I80" i="1"/>
  <c r="I9" i="1"/>
  <c r="I82" i="1"/>
  <c r="I78" i="1"/>
  <c r="I76" i="1"/>
  <c r="I83" i="1"/>
  <c r="I75" i="1"/>
  <c r="I8" i="1"/>
  <c r="I88" i="1"/>
  <c r="I77" i="1"/>
  <c r="I10" i="1"/>
  <c r="I320" i="1"/>
  <c r="I74" i="1"/>
  <c r="K210" i="1"/>
  <c r="K390" i="1"/>
  <c r="AA240" i="1"/>
  <c r="H358" i="1"/>
  <c r="AB348" i="1"/>
  <c r="AC348" i="1" s="1"/>
  <c r="H152" i="1"/>
  <c r="AB195" i="1"/>
  <c r="AC195" i="1" s="1"/>
  <c r="AB383" i="1"/>
  <c r="AC383" i="1" s="1"/>
  <c r="AB388" i="1"/>
  <c r="AC388" i="1" s="1"/>
  <c r="AB384" i="1"/>
  <c r="AC384" i="1" s="1"/>
  <c r="W152" i="1"/>
  <c r="I390" i="1"/>
  <c r="R405" i="1"/>
  <c r="AA82" i="1"/>
  <c r="AA83" i="1"/>
  <c r="AA76" i="1"/>
  <c r="AA10" i="1"/>
  <c r="AA77" i="1"/>
  <c r="AA88" i="1"/>
  <c r="AA320" i="1"/>
  <c r="AA81" i="1"/>
  <c r="AA9" i="1"/>
  <c r="AA74" i="1"/>
  <c r="AA75" i="1"/>
  <c r="AA84" i="1"/>
  <c r="AA8" i="1"/>
  <c r="AA79" i="1"/>
  <c r="AA78" i="1"/>
  <c r="AA80" i="1"/>
  <c r="AA405" i="1"/>
  <c r="H170" i="1"/>
  <c r="AB160" i="1"/>
  <c r="AC160" i="1" s="1"/>
  <c r="O210" i="1"/>
  <c r="H421" i="1"/>
  <c r="H405" i="1"/>
  <c r="Y405" i="1"/>
  <c r="Y152" i="1"/>
  <c r="AB204" i="1"/>
  <c r="AC204" i="1" s="1"/>
  <c r="AB208" i="1"/>
  <c r="AC208" i="1" s="1"/>
  <c r="AB201" i="1"/>
  <c r="AC201" i="1" s="1"/>
  <c r="AB196" i="1"/>
  <c r="AC196" i="1" s="1"/>
  <c r="M10" i="1"/>
  <c r="M82" i="1"/>
  <c r="M320" i="1"/>
  <c r="M8" i="1"/>
  <c r="M75" i="1"/>
  <c r="M9" i="1"/>
  <c r="M74" i="1"/>
  <c r="M84" i="1"/>
  <c r="M80" i="1"/>
  <c r="M88" i="1"/>
  <c r="M81" i="1"/>
  <c r="M79" i="1"/>
  <c r="M77" i="1"/>
  <c r="M78" i="1"/>
  <c r="M76" i="1"/>
  <c r="M83" i="1"/>
  <c r="W405" i="1"/>
  <c r="Y390" i="1"/>
  <c r="Y210" i="1"/>
  <c r="I210" i="1"/>
  <c r="R152" i="1"/>
  <c r="AB91" i="1"/>
  <c r="AC91" i="1" s="1"/>
  <c r="H240" i="1"/>
  <c r="S405" i="1"/>
  <c r="R210" i="1"/>
  <c r="H210" i="1"/>
  <c r="AB194" i="1"/>
  <c r="AC194" i="1" s="1"/>
  <c r="H390" i="1"/>
  <c r="AB381" i="1"/>
  <c r="AC381" i="1" s="1"/>
  <c r="AB382" i="1"/>
  <c r="AC382" i="1" s="1"/>
  <c r="Y74" i="1"/>
  <c r="Y320" i="1"/>
  <c r="Y79" i="1"/>
  <c r="Y75" i="1"/>
  <c r="Y8" i="1"/>
  <c r="Y76" i="1"/>
  <c r="Y80" i="1"/>
  <c r="Y88" i="1"/>
  <c r="Y84" i="1"/>
  <c r="Y83" i="1"/>
  <c r="Y82" i="1"/>
  <c r="Y9" i="1"/>
  <c r="Y78" i="1"/>
  <c r="Y77" i="1"/>
  <c r="Y10" i="1"/>
  <c r="Y81" i="1"/>
  <c r="U405" i="1"/>
  <c r="AA390" i="1"/>
  <c r="AA210" i="1"/>
  <c r="AA152" i="1"/>
  <c r="K423" i="1"/>
  <c r="U390" i="1"/>
  <c r="U81" i="1"/>
  <c r="U82" i="1"/>
  <c r="U80" i="1"/>
  <c r="U74" i="1"/>
  <c r="U9" i="1"/>
  <c r="U83" i="1"/>
  <c r="U88" i="1"/>
  <c r="U84" i="1"/>
  <c r="U75" i="1"/>
  <c r="U76" i="1"/>
  <c r="U10" i="1"/>
  <c r="U8" i="1"/>
  <c r="U79" i="1"/>
  <c r="U78" i="1"/>
  <c r="U320" i="1"/>
  <c r="U77" i="1"/>
  <c r="R10" i="1"/>
  <c r="R74" i="1"/>
  <c r="R81" i="1"/>
  <c r="R9" i="1"/>
  <c r="R8" i="1"/>
  <c r="R80" i="1"/>
  <c r="R77" i="1"/>
  <c r="R83" i="1"/>
  <c r="R82" i="1"/>
  <c r="R84" i="1"/>
  <c r="R320" i="1"/>
  <c r="R76" i="1"/>
  <c r="R88" i="1"/>
  <c r="R75" i="1"/>
  <c r="R79" i="1"/>
  <c r="R78" i="1"/>
  <c r="AB202" i="1"/>
  <c r="AC202" i="1" s="1"/>
  <c r="AB118" i="1"/>
  <c r="AC118" i="1" s="1"/>
  <c r="AB386" i="1"/>
  <c r="AC386" i="1" s="1"/>
  <c r="E457" i="2"/>
  <c r="AG450" i="2"/>
  <c r="AH450" i="2" s="1"/>
  <c r="E452" i="2"/>
  <c r="E453" i="2" s="1"/>
  <c r="AB117" i="1"/>
  <c r="AC117" i="1" s="1"/>
  <c r="R390" i="1"/>
  <c r="AB207" i="1"/>
  <c r="AC207" i="1" s="1"/>
  <c r="AB206" i="1"/>
  <c r="AC206" i="1" s="1"/>
  <c r="AB199" i="1"/>
  <c r="AC199" i="1" s="1"/>
  <c r="O390" i="1"/>
  <c r="O75" i="1"/>
  <c r="O10" i="1"/>
  <c r="I484" i="2"/>
  <c r="I487" i="2" s="1"/>
  <c r="I488" i="2" s="1"/>
  <c r="I489" i="2" s="1"/>
  <c r="I480" i="2"/>
  <c r="I481" i="2" s="1"/>
  <c r="I482" i="2" s="1"/>
  <c r="H484" i="2"/>
  <c r="H487" i="2" s="1"/>
  <c r="H488" i="2" s="1"/>
  <c r="H480" i="2"/>
  <c r="H481" i="2" s="1"/>
  <c r="H482" i="2" s="1"/>
  <c r="F484" i="2"/>
  <c r="F487" i="2" s="1"/>
  <c r="F488" i="2" s="1"/>
  <c r="F480" i="2"/>
  <c r="F481" i="2" s="1"/>
  <c r="F482" i="2" s="1"/>
  <c r="P148" i="1"/>
  <c r="AB148" i="1" s="1"/>
  <c r="AC148" i="1" s="1"/>
  <c r="P238" i="1"/>
  <c r="AB238" i="1" s="1"/>
  <c r="AC238" i="1" s="1"/>
  <c r="P89" i="1"/>
  <c r="AB89" i="1" s="1"/>
  <c r="AC89" i="1" s="1"/>
  <c r="P419" i="1"/>
  <c r="AB419" i="1" s="1"/>
  <c r="AC419" i="1" s="1"/>
  <c r="P150" i="1"/>
  <c r="AB150" i="1" s="1"/>
  <c r="AC150" i="1" s="1"/>
  <c r="P98" i="1"/>
  <c r="AB98" i="1" s="1"/>
  <c r="AC98" i="1" s="1"/>
  <c r="P100" i="1"/>
  <c r="AB100" i="1" s="1"/>
  <c r="AC100" i="1" s="1"/>
  <c r="AB116" i="1"/>
  <c r="AC116" i="1" s="1"/>
  <c r="AB65" i="1"/>
  <c r="AC65" i="1" s="1"/>
  <c r="P393" i="1"/>
  <c r="AB393" i="1" s="1"/>
  <c r="AC393" i="1" s="1"/>
  <c r="P403" i="1"/>
  <c r="AB403" i="1" s="1"/>
  <c r="AC403" i="1" s="1"/>
  <c r="P224" i="1"/>
  <c r="AB224" i="1" s="1"/>
  <c r="AC224" i="1" s="1"/>
  <c r="P67" i="1"/>
  <c r="P402" i="1"/>
  <c r="P231" i="1"/>
  <c r="AB231" i="1" s="1"/>
  <c r="AC231" i="1" s="1"/>
  <c r="P147" i="1"/>
  <c r="AB147" i="1" s="1"/>
  <c r="AC147" i="1" s="1"/>
  <c r="P213" i="1"/>
  <c r="AB213" i="1" s="1"/>
  <c r="AC213" i="1" s="1"/>
  <c r="P119" i="1"/>
  <c r="AB119" i="1" s="1"/>
  <c r="AC119" i="1" s="1"/>
  <c r="P149" i="1"/>
  <c r="AB149" i="1" s="1"/>
  <c r="AC149" i="1" s="1"/>
  <c r="P412" i="1"/>
  <c r="P321" i="1"/>
  <c r="AB321" i="1" s="1"/>
  <c r="AC321" i="1" s="1"/>
  <c r="P222" i="1"/>
  <c r="P317" i="1"/>
  <c r="AB317" i="1" s="1"/>
  <c r="AC317" i="1" s="1"/>
  <c r="O76" i="1"/>
  <c r="O88" i="1"/>
  <c r="O74" i="1"/>
  <c r="O8" i="1"/>
  <c r="O320" i="1"/>
  <c r="O80" i="1"/>
  <c r="O83" i="1"/>
  <c r="O79" i="1"/>
  <c r="O9" i="1"/>
  <c r="O82" i="1"/>
  <c r="O78" i="1"/>
  <c r="O81" i="1"/>
  <c r="O77" i="1"/>
  <c r="O84" i="1"/>
  <c r="O421" i="1"/>
  <c r="O405" i="1"/>
  <c r="O152" i="1"/>
  <c r="E466" i="2"/>
  <c r="E471" i="2"/>
  <c r="AG464" i="2"/>
  <c r="AH464" i="2" s="1"/>
  <c r="O226" i="1"/>
  <c r="O240" i="1"/>
  <c r="AB378" i="1"/>
  <c r="AC378" i="1" s="1"/>
  <c r="AB191" i="1"/>
  <c r="AC191" i="1" s="1"/>
  <c r="F316" i="2"/>
  <c r="S85" i="15"/>
  <c r="J12" i="15" s="1"/>
  <c r="N489" i="2" l="1"/>
  <c r="AC489" i="2"/>
  <c r="Y489" i="2"/>
  <c r="P489" i="2"/>
  <c r="AB489" i="2"/>
  <c r="Z489" i="2"/>
  <c r="Q489" i="2"/>
  <c r="F489" i="2"/>
  <c r="U489" i="2"/>
  <c r="W489" i="2"/>
  <c r="T489" i="2"/>
  <c r="AF489" i="2"/>
  <c r="R489" i="2"/>
  <c r="K489" i="2"/>
  <c r="S489" i="2"/>
  <c r="H489" i="2"/>
  <c r="V489" i="2"/>
  <c r="O489" i="2"/>
  <c r="K244" i="1"/>
  <c r="K275" i="1" s="1"/>
  <c r="K465" i="1" s="1"/>
  <c r="W86" i="1"/>
  <c r="W93" i="1" s="1"/>
  <c r="W153" i="1" s="1"/>
  <c r="AA423" i="1"/>
  <c r="P10" i="1"/>
  <c r="P69" i="1"/>
  <c r="AB69" i="1" s="1"/>
  <c r="AC69" i="1" s="1"/>
  <c r="S423" i="1"/>
  <c r="S425" i="1" s="1"/>
  <c r="S427" i="1" s="1"/>
  <c r="S242" i="1"/>
  <c r="S248" i="1" s="1"/>
  <c r="M423" i="1"/>
  <c r="M425" i="1" s="1"/>
  <c r="M427" i="1" s="1"/>
  <c r="Y242" i="1"/>
  <c r="Y246" i="1" s="1"/>
  <c r="S12" i="1"/>
  <c r="S86" i="1"/>
  <c r="U423" i="1"/>
  <c r="U425" i="1" s="1"/>
  <c r="I242" i="1"/>
  <c r="I246" i="1" s="1"/>
  <c r="U242" i="1"/>
  <c r="U244" i="1" s="1"/>
  <c r="U275" i="1" s="1"/>
  <c r="W423" i="1"/>
  <c r="W425" i="1" s="1"/>
  <c r="W453" i="1" s="1"/>
  <c r="R423" i="1"/>
  <c r="R425" i="1" s="1"/>
  <c r="I423" i="1"/>
  <c r="I425" i="1" s="1"/>
  <c r="K425" i="1"/>
  <c r="K427" i="1" s="1"/>
  <c r="W242" i="1"/>
  <c r="W246" i="1" s="1"/>
  <c r="R242" i="1"/>
  <c r="R246" i="1" s="1"/>
  <c r="Y423" i="1"/>
  <c r="Y425" i="1" s="1"/>
  <c r="AA12" i="1"/>
  <c r="I12" i="1"/>
  <c r="Y12" i="1"/>
  <c r="H86" i="1"/>
  <c r="H99" i="1" s="1"/>
  <c r="H102" i="1" s="1"/>
  <c r="H110" i="1" s="1"/>
  <c r="M12" i="1"/>
  <c r="O12" i="1"/>
  <c r="H423" i="1"/>
  <c r="H425" i="1" s="1"/>
  <c r="M242" i="1"/>
  <c r="M246" i="1" s="1"/>
  <c r="Y86" i="1"/>
  <c r="H369" i="1"/>
  <c r="AB369" i="1" s="1"/>
  <c r="AC369" i="1" s="1"/>
  <c r="AB358" i="1"/>
  <c r="AC358" i="1" s="1"/>
  <c r="P52" i="2"/>
  <c r="P204" i="2"/>
  <c r="P13" i="2"/>
  <c r="P90" i="2"/>
  <c r="P532" i="2" s="1"/>
  <c r="J52" i="2"/>
  <c r="AE90" i="2"/>
  <c r="AE532" i="2" s="1"/>
  <c r="T90" i="2"/>
  <c r="T532" i="2" s="1"/>
  <c r="Q454" i="2"/>
  <c r="AF13" i="2"/>
  <c r="J90" i="2"/>
  <c r="J532" i="2" s="1"/>
  <c r="Q13" i="2"/>
  <c r="AF454" i="2"/>
  <c r="F90" i="2"/>
  <c r="Y52" i="2"/>
  <c r="L204" i="2"/>
  <c r="U90" i="2"/>
  <c r="U532" i="2" s="1"/>
  <c r="H52" i="2"/>
  <c r="AA13" i="2"/>
  <c r="V454" i="2"/>
  <c r="U454" i="2"/>
  <c r="O204" i="2"/>
  <c r="AE454" i="2"/>
  <c r="R204" i="2"/>
  <c r="AB13" i="2"/>
  <c r="O454" i="2"/>
  <c r="Y204" i="2"/>
  <c r="Z52" i="2"/>
  <c r="AC13" i="2"/>
  <c r="G13" i="2"/>
  <c r="T204" i="2"/>
  <c r="M90" i="2"/>
  <c r="M532" i="2" s="1"/>
  <c r="G90" i="2"/>
  <c r="G532" i="2" s="1"/>
  <c r="S13" i="2"/>
  <c r="K13" i="2"/>
  <c r="F13" i="2"/>
  <c r="AF52" i="2"/>
  <c r="S204" i="2"/>
  <c r="I90" i="2"/>
  <c r="I532" i="2" s="1"/>
  <c r="L90" i="2"/>
  <c r="L532" i="2" s="1"/>
  <c r="P454" i="2"/>
  <c r="T454" i="2"/>
  <c r="X52" i="2"/>
  <c r="N52" i="2"/>
  <c r="J204" i="2"/>
  <c r="Q52" i="2"/>
  <c r="AC454" i="2"/>
  <c r="H13" i="2"/>
  <c r="S90" i="2"/>
  <c r="S532" i="2" s="1"/>
  <c r="X90" i="2"/>
  <c r="X532" i="2" s="1"/>
  <c r="W454" i="2"/>
  <c r="T52" i="2"/>
  <c r="R13" i="2"/>
  <c r="S454" i="2"/>
  <c r="AC52" i="2"/>
  <c r="K204" i="2"/>
  <c r="I52" i="2"/>
  <c r="Z454" i="2"/>
  <c r="G204" i="2"/>
  <c r="R454" i="2"/>
  <c r="AD454" i="2"/>
  <c r="G52" i="2"/>
  <c r="K52" i="2"/>
  <c r="Y13" i="2"/>
  <c r="R52" i="2"/>
  <c r="Z204" i="2"/>
  <c r="AB52" i="2"/>
  <c r="T13" i="2"/>
  <c r="N90" i="2"/>
  <c r="N532" i="2" s="1"/>
  <c r="AA90" i="2"/>
  <c r="AA532" i="2" s="1"/>
  <c r="V204" i="2"/>
  <c r="M52" i="2"/>
  <c r="W90" i="2"/>
  <c r="W532" i="2" s="1"/>
  <c r="AE52" i="2"/>
  <c r="W204" i="2"/>
  <c r="U13" i="2"/>
  <c r="AD90" i="2"/>
  <c r="AD532" i="2" s="1"/>
  <c r="M454" i="2"/>
  <c r="M204" i="2"/>
  <c r="AF90" i="2"/>
  <c r="AF532" i="2" s="1"/>
  <c r="F52" i="2"/>
  <c r="R90" i="2"/>
  <c r="R532" i="2" s="1"/>
  <c r="V13" i="2"/>
  <c r="J454" i="2"/>
  <c r="H454" i="2"/>
  <c r="Q90" i="2"/>
  <c r="Q532" i="2" s="1"/>
  <c r="AE204" i="2"/>
  <c r="Z90" i="2"/>
  <c r="Z532" i="2" s="1"/>
  <c r="U204" i="2"/>
  <c r="Y454" i="2"/>
  <c r="AD13" i="2"/>
  <c r="X13" i="2"/>
  <c r="L52" i="2"/>
  <c r="H204" i="2"/>
  <c r="AE13" i="2"/>
  <c r="Y90" i="2"/>
  <c r="Y532" i="2" s="1"/>
  <c r="K454" i="2"/>
  <c r="I204" i="2"/>
  <c r="AB90" i="2"/>
  <c r="AB532" i="2" s="1"/>
  <c r="K90" i="2"/>
  <c r="K532" i="2" s="1"/>
  <c r="AD52" i="2"/>
  <c r="G454" i="2"/>
  <c r="AC90" i="2"/>
  <c r="AC532" i="2" s="1"/>
  <c r="I13" i="2"/>
  <c r="N454" i="2"/>
  <c r="AA204" i="2"/>
  <c r="L454" i="2"/>
  <c r="X204" i="2"/>
  <c r="X454" i="2"/>
  <c r="V90" i="2"/>
  <c r="V532" i="2" s="1"/>
  <c r="AA454" i="2"/>
  <c r="W13" i="2"/>
  <c r="J13" i="2"/>
  <c r="I454" i="2"/>
  <c r="V52" i="2"/>
  <c r="W52" i="2"/>
  <c r="AF204" i="2"/>
  <c r="H90" i="2"/>
  <c r="H532" i="2" s="1"/>
  <c r="Q204" i="2"/>
  <c r="U52" i="2"/>
  <c r="O52" i="2"/>
  <c r="N204" i="2"/>
  <c r="S52" i="2"/>
  <c r="Z13" i="2"/>
  <c r="AA52" i="2"/>
  <c r="AD204" i="2"/>
  <c r="O90" i="2"/>
  <c r="O532" i="2" s="1"/>
  <c r="AB204" i="2"/>
  <c r="AB454" i="2"/>
  <c r="F204" i="2"/>
  <c r="F454" i="2"/>
  <c r="AC204" i="2"/>
  <c r="H181" i="1"/>
  <c r="AB170" i="1"/>
  <c r="AC170" i="1" s="1"/>
  <c r="E459" i="2"/>
  <c r="E460" i="2" s="1"/>
  <c r="AG457" i="2"/>
  <c r="AH457" i="2" s="1"/>
  <c r="R12" i="1"/>
  <c r="AB390" i="1"/>
  <c r="AC390" i="1" s="1"/>
  <c r="S133" i="1"/>
  <c r="S291" i="1"/>
  <c r="S470" i="1"/>
  <c r="S319" i="1"/>
  <c r="S469" i="1"/>
  <c r="S290" i="1"/>
  <c r="S131" i="1"/>
  <c r="S99" i="1"/>
  <c r="S102" i="1" s="1"/>
  <c r="S110" i="1" s="1"/>
  <c r="S318" i="1"/>
  <c r="S132" i="1"/>
  <c r="AA86" i="1"/>
  <c r="M86" i="1"/>
  <c r="K248" i="1"/>
  <c r="AA425" i="1"/>
  <c r="I86" i="1"/>
  <c r="K246" i="1"/>
  <c r="U12" i="1"/>
  <c r="AB210" i="1"/>
  <c r="AC210" i="1" s="1"/>
  <c r="K86" i="1"/>
  <c r="AA242" i="1"/>
  <c r="R86" i="1"/>
  <c r="U86" i="1"/>
  <c r="W132" i="1"/>
  <c r="W133" i="1"/>
  <c r="W290" i="1"/>
  <c r="W291" i="1"/>
  <c r="W318" i="1"/>
  <c r="W469" i="1"/>
  <c r="W99" i="1"/>
  <c r="W102" i="1" s="1"/>
  <c r="W110" i="1" s="1"/>
  <c r="W131" i="1"/>
  <c r="W470" i="1"/>
  <c r="W319" i="1"/>
  <c r="K12" i="1"/>
  <c r="H12" i="1"/>
  <c r="H242" i="1"/>
  <c r="P84" i="1"/>
  <c r="AB84" i="1" s="1"/>
  <c r="AC84" i="1" s="1"/>
  <c r="P75" i="1"/>
  <c r="P421" i="1"/>
  <c r="AB421" i="1" s="1"/>
  <c r="AC421" i="1" s="1"/>
  <c r="P76" i="1"/>
  <c r="AB76" i="1" s="1"/>
  <c r="AC76" i="1" s="1"/>
  <c r="P80" i="1"/>
  <c r="AB80" i="1" s="1"/>
  <c r="AC80" i="1" s="1"/>
  <c r="P81" i="1"/>
  <c r="AB81" i="1" s="1"/>
  <c r="AC81" i="1" s="1"/>
  <c r="P240" i="1"/>
  <c r="AB240" i="1" s="1"/>
  <c r="AC240" i="1" s="1"/>
  <c r="AB10" i="1"/>
  <c r="AC10" i="1" s="1"/>
  <c r="P226" i="1"/>
  <c r="AB226" i="1" s="1"/>
  <c r="AC226" i="1" s="1"/>
  <c r="AB412" i="1"/>
  <c r="AC412" i="1" s="1"/>
  <c r="P77" i="1"/>
  <c r="AB77" i="1" s="1"/>
  <c r="AC77" i="1" s="1"/>
  <c r="P82" i="1"/>
  <c r="AB82" i="1" s="1"/>
  <c r="AC82" i="1" s="1"/>
  <c r="P8" i="1"/>
  <c r="P83" i="1"/>
  <c r="AB83" i="1" s="1"/>
  <c r="AC83" i="1" s="1"/>
  <c r="P78" i="1"/>
  <c r="AB78" i="1" s="1"/>
  <c r="AC78" i="1" s="1"/>
  <c r="P320" i="1"/>
  <c r="AB320" i="1" s="1"/>
  <c r="AC320" i="1" s="1"/>
  <c r="P405" i="1"/>
  <c r="P74" i="1"/>
  <c r="AB74" i="1" s="1"/>
  <c r="AC74" i="1" s="1"/>
  <c r="P79" i="1"/>
  <c r="AB79" i="1" s="1"/>
  <c r="AC79" i="1" s="1"/>
  <c r="AB222" i="1"/>
  <c r="AC222" i="1" s="1"/>
  <c r="P152" i="1"/>
  <c r="AB152" i="1" s="1"/>
  <c r="AC152" i="1" s="1"/>
  <c r="AB402" i="1"/>
  <c r="AC402" i="1" s="1"/>
  <c r="AB67" i="1"/>
  <c r="AC67" i="1" s="1"/>
  <c r="P9" i="1"/>
  <c r="AB9" i="1" s="1"/>
  <c r="AC9" i="1" s="1"/>
  <c r="P88" i="1"/>
  <c r="AB88" i="1" s="1"/>
  <c r="AC88" i="1" s="1"/>
  <c r="O86" i="1"/>
  <c r="E473" i="2"/>
  <c r="AG471" i="2"/>
  <c r="AH471" i="2" s="1"/>
  <c r="X466" i="2"/>
  <c r="X467" i="2" s="1"/>
  <c r="S466" i="2"/>
  <c r="S467" i="2" s="1"/>
  <c r="AC466" i="2"/>
  <c r="AC467" i="2" s="1"/>
  <c r="AF466" i="2"/>
  <c r="AF467" i="2" s="1"/>
  <c r="AD466" i="2"/>
  <c r="AD467" i="2" s="1"/>
  <c r="Q466" i="2"/>
  <c r="Q467" i="2" s="1"/>
  <c r="I466" i="2"/>
  <c r="I467" i="2" s="1"/>
  <c r="AB466" i="2"/>
  <c r="AB467" i="2" s="1"/>
  <c r="V466" i="2"/>
  <c r="V467" i="2" s="1"/>
  <c r="U466" i="2"/>
  <c r="U467" i="2" s="1"/>
  <c r="R466" i="2"/>
  <c r="R467" i="2" s="1"/>
  <c r="AA466" i="2"/>
  <c r="AA467" i="2" s="1"/>
  <c r="Y466" i="2"/>
  <c r="Y467" i="2" s="1"/>
  <c r="H466" i="2"/>
  <c r="H467" i="2" s="1"/>
  <c r="G466" i="2"/>
  <c r="G467" i="2" s="1"/>
  <c r="N466" i="2"/>
  <c r="N467" i="2" s="1"/>
  <c r="Z466" i="2"/>
  <c r="Z467" i="2" s="1"/>
  <c r="E467" i="2"/>
  <c r="W466" i="2"/>
  <c r="W467" i="2" s="1"/>
  <c r="AE466" i="2"/>
  <c r="AE467" i="2" s="1"/>
  <c r="O466" i="2"/>
  <c r="O467" i="2" s="1"/>
  <c r="F466" i="2"/>
  <c r="J466" i="2"/>
  <c r="J467" i="2" s="1"/>
  <c r="T466" i="2"/>
  <c r="T467" i="2" s="1"/>
  <c r="P466" i="2"/>
  <c r="P467" i="2" s="1"/>
  <c r="K466" i="2"/>
  <c r="K467" i="2" s="1"/>
  <c r="O423" i="1"/>
  <c r="O242" i="1"/>
  <c r="F338" i="2"/>
  <c r="AG316" i="2"/>
  <c r="AH316" i="2" s="1"/>
  <c r="J442" i="2"/>
  <c r="K282" i="1" l="1"/>
  <c r="K280" i="1"/>
  <c r="K287" i="1"/>
  <c r="K459" i="1"/>
  <c r="K288" i="1"/>
  <c r="K467" i="1"/>
  <c r="K466" i="1"/>
  <c r="K286" i="1"/>
  <c r="K461" i="1"/>
  <c r="W427" i="1"/>
  <c r="I248" i="1"/>
  <c r="E32" i="2"/>
  <c r="W32" i="2" s="1"/>
  <c r="S246" i="1"/>
  <c r="S453" i="1"/>
  <c r="S281" i="1" s="1"/>
  <c r="S244" i="1"/>
  <c r="S275" i="1" s="1"/>
  <c r="S466" i="1" s="1"/>
  <c r="M453" i="1"/>
  <c r="M281" i="1" s="1"/>
  <c r="S93" i="1"/>
  <c r="E25" i="2" s="1"/>
  <c r="H93" i="1"/>
  <c r="E8" i="2" s="1"/>
  <c r="R93" i="1"/>
  <c r="R141" i="1" s="1"/>
  <c r="O93" i="1"/>
  <c r="H318" i="1"/>
  <c r="W248" i="1"/>
  <c r="M93" i="1"/>
  <c r="M141" i="1" s="1"/>
  <c r="W244" i="1"/>
  <c r="W275" i="1" s="1"/>
  <c r="W287" i="1" s="1"/>
  <c r="U93" i="1"/>
  <c r="U109" i="1" s="1"/>
  <c r="Y93" i="1"/>
  <c r="Y141" i="1" s="1"/>
  <c r="I93" i="1"/>
  <c r="I109" i="1" s="1"/>
  <c r="AA93" i="1"/>
  <c r="AA153" i="1" s="1"/>
  <c r="K93" i="1"/>
  <c r="I244" i="1"/>
  <c r="I275" i="1" s="1"/>
  <c r="I286" i="1" s="1"/>
  <c r="U453" i="1"/>
  <c r="U285" i="1" s="1"/>
  <c r="U427" i="1"/>
  <c r="W142" i="1"/>
  <c r="Y248" i="1"/>
  <c r="W109" i="1"/>
  <c r="W112" i="1" s="1"/>
  <c r="W115" i="1" s="1"/>
  <c r="W135" i="1" s="1"/>
  <c r="W137" i="1" s="1"/>
  <c r="W141" i="1"/>
  <c r="H319" i="1"/>
  <c r="U248" i="1"/>
  <c r="K453" i="1"/>
  <c r="K464" i="1" s="1"/>
  <c r="H470" i="1"/>
  <c r="Y244" i="1"/>
  <c r="Y275" i="1" s="1"/>
  <c r="Y282" i="1" s="1"/>
  <c r="H131" i="1"/>
  <c r="H133" i="1"/>
  <c r="H132" i="1"/>
  <c r="H469" i="1"/>
  <c r="S323" i="1"/>
  <c r="E216" i="2" s="1"/>
  <c r="P216" i="2" s="1"/>
  <c r="U246" i="1"/>
  <c r="R244" i="1"/>
  <c r="R275" i="1" s="1"/>
  <c r="R282" i="1" s="1"/>
  <c r="M244" i="1"/>
  <c r="M275" i="1" s="1"/>
  <c r="M459" i="1" s="1"/>
  <c r="R248" i="1"/>
  <c r="H291" i="1"/>
  <c r="AG454" i="2"/>
  <c r="AH454" i="2" s="1"/>
  <c r="M248" i="1"/>
  <c r="K319" i="1"/>
  <c r="K291" i="1"/>
  <c r="K99" i="1"/>
  <c r="K102" i="1" s="1"/>
  <c r="K110" i="1" s="1"/>
  <c r="K133" i="1"/>
  <c r="K131" i="1"/>
  <c r="K132" i="1"/>
  <c r="K469" i="1"/>
  <c r="K470" i="1"/>
  <c r="K290" i="1"/>
  <c r="K318" i="1"/>
  <c r="T561" i="2"/>
  <c r="T627" i="2"/>
  <c r="T628" i="2" s="1"/>
  <c r="U287" i="1"/>
  <c r="U286" i="1"/>
  <c r="U461" i="1"/>
  <c r="U288" i="1"/>
  <c r="U282" i="1"/>
  <c r="U459" i="1"/>
  <c r="U467" i="1"/>
  <c r="U466" i="1"/>
  <c r="U465" i="1"/>
  <c r="U280" i="1"/>
  <c r="M131" i="1"/>
  <c r="M470" i="1"/>
  <c r="M318" i="1"/>
  <c r="M319" i="1"/>
  <c r="M133" i="1"/>
  <c r="M291" i="1"/>
  <c r="M290" i="1"/>
  <c r="M469" i="1"/>
  <c r="M99" i="1"/>
  <c r="M102" i="1" s="1"/>
  <c r="M110" i="1" s="1"/>
  <c r="M132" i="1"/>
  <c r="O561" i="2"/>
  <c r="O627" i="2"/>
  <c r="I561" i="2"/>
  <c r="I627" i="2"/>
  <c r="R453" i="1"/>
  <c r="R427" i="1"/>
  <c r="Y453" i="1"/>
  <c r="Y427" i="1"/>
  <c r="H627" i="2"/>
  <c r="H561" i="2"/>
  <c r="Q627" i="2"/>
  <c r="Q561" i="2"/>
  <c r="F532" i="2"/>
  <c r="AG90" i="2"/>
  <c r="Y132" i="1"/>
  <c r="Y470" i="1"/>
  <c r="Y318" i="1"/>
  <c r="Y99" i="1"/>
  <c r="Y102" i="1" s="1"/>
  <c r="Y110" i="1" s="1"/>
  <c r="Y290" i="1"/>
  <c r="Y469" i="1"/>
  <c r="Y131" i="1"/>
  <c r="Y291" i="1"/>
  <c r="Y319" i="1"/>
  <c r="Y133" i="1"/>
  <c r="U319" i="1"/>
  <c r="U469" i="1"/>
  <c r="U99" i="1"/>
  <c r="U102" i="1" s="1"/>
  <c r="U110" i="1" s="1"/>
  <c r="U131" i="1"/>
  <c r="U133" i="1"/>
  <c r="U290" i="1"/>
  <c r="U132" i="1"/>
  <c r="U470" i="1"/>
  <c r="U318" i="1"/>
  <c r="U291" i="1"/>
  <c r="N627" i="2"/>
  <c r="N561" i="2"/>
  <c r="P561" i="2"/>
  <c r="P627" i="2"/>
  <c r="H244" i="1"/>
  <c r="H275" i="1" s="1"/>
  <c r="H248" i="1"/>
  <c r="W323" i="1"/>
  <c r="E223" i="2" s="1"/>
  <c r="R290" i="1"/>
  <c r="R470" i="1"/>
  <c r="R133" i="1"/>
  <c r="R99" i="1"/>
  <c r="R102" i="1" s="1"/>
  <c r="R110" i="1" s="1"/>
  <c r="R319" i="1"/>
  <c r="R469" i="1"/>
  <c r="R291" i="1"/>
  <c r="R132" i="1"/>
  <c r="R318" i="1"/>
  <c r="R131" i="1"/>
  <c r="AB181" i="1"/>
  <c r="AC181" i="1" s="1"/>
  <c r="H246" i="1"/>
  <c r="K627" i="2"/>
  <c r="K561" i="2"/>
  <c r="AG13" i="2"/>
  <c r="S32" i="2"/>
  <c r="AB32" i="2"/>
  <c r="M32" i="2"/>
  <c r="H453" i="1"/>
  <c r="H427" i="1"/>
  <c r="J561" i="2"/>
  <c r="J627" i="2"/>
  <c r="W104" i="1"/>
  <c r="I99" i="1"/>
  <c r="I102" i="1" s="1"/>
  <c r="I131" i="1"/>
  <c r="I469" i="1"/>
  <c r="I318" i="1"/>
  <c r="I470" i="1"/>
  <c r="I132" i="1"/>
  <c r="I291" i="1"/>
  <c r="I290" i="1"/>
  <c r="I319" i="1"/>
  <c r="I133" i="1"/>
  <c r="AA318" i="1"/>
  <c r="AA469" i="1"/>
  <c r="AA99" i="1"/>
  <c r="AA102" i="1" s="1"/>
  <c r="AA110" i="1" s="1"/>
  <c r="AA291" i="1"/>
  <c r="AA470" i="1"/>
  <c r="AA290" i="1"/>
  <c r="AA132" i="1"/>
  <c r="AA131" i="1"/>
  <c r="AA319" i="1"/>
  <c r="AA133" i="1"/>
  <c r="W463" i="1"/>
  <c r="W460" i="1"/>
  <c r="W285" i="1"/>
  <c r="W284" i="1"/>
  <c r="W464" i="1"/>
  <c r="W281" i="1"/>
  <c r="AG204" i="2"/>
  <c r="R627" i="2"/>
  <c r="R561" i="2"/>
  <c r="I453" i="1"/>
  <c r="I427" i="1"/>
  <c r="AA246" i="1"/>
  <c r="AA248" i="1"/>
  <c r="AA244" i="1"/>
  <c r="AA275" i="1" s="1"/>
  <c r="AA453" i="1"/>
  <c r="AA427" i="1"/>
  <c r="P166" i="2"/>
  <c r="P242" i="2"/>
  <c r="P280" i="2"/>
  <c r="P128" i="2"/>
  <c r="AE242" i="2"/>
  <c r="F461" i="2"/>
  <c r="AE128" i="2"/>
  <c r="V242" i="2"/>
  <c r="U461" i="2"/>
  <c r="F166" i="2"/>
  <c r="AA242" i="2"/>
  <c r="T166" i="2"/>
  <c r="W461" i="2"/>
  <c r="L166" i="2"/>
  <c r="AF461" i="2"/>
  <c r="AD166" i="2"/>
  <c r="W128" i="2"/>
  <c r="S461" i="2"/>
  <c r="AF280" i="2"/>
  <c r="I128" i="2"/>
  <c r="O242" i="2"/>
  <c r="AC280" i="2"/>
  <c r="H280" i="2"/>
  <c r="N166" i="2"/>
  <c r="AE166" i="2"/>
  <c r="O166" i="2"/>
  <c r="AA128" i="2"/>
  <c r="H128" i="2"/>
  <c r="L242" i="2"/>
  <c r="J242" i="2"/>
  <c r="O280" i="2"/>
  <c r="AD128" i="2"/>
  <c r="AA280" i="2"/>
  <c r="F128" i="2"/>
  <c r="N128" i="2"/>
  <c r="L128" i="2"/>
  <c r="X461" i="2"/>
  <c r="P461" i="2"/>
  <c r="AC242" i="2"/>
  <c r="I280" i="2"/>
  <c r="H166" i="2"/>
  <c r="AD280" i="2"/>
  <c r="Y128" i="2"/>
  <c r="AC166" i="2"/>
  <c r="X166" i="2"/>
  <c r="H461" i="2"/>
  <c r="Z166" i="2"/>
  <c r="AC128" i="2"/>
  <c r="F242" i="2"/>
  <c r="W166" i="2"/>
  <c r="K166" i="2"/>
  <c r="W280" i="2"/>
  <c r="N280" i="2"/>
  <c r="Y461" i="2"/>
  <c r="J166" i="2"/>
  <c r="X242" i="2"/>
  <c r="T128" i="2"/>
  <c r="K280" i="2"/>
  <c r="N461" i="2"/>
  <c r="K128" i="2"/>
  <c r="AC461" i="2"/>
  <c r="AD461" i="2"/>
  <c r="Q166" i="2"/>
  <c r="F280" i="2"/>
  <c r="R242" i="2"/>
  <c r="K242" i="2"/>
  <c r="M242" i="2"/>
  <c r="U242" i="2"/>
  <c r="I242" i="2"/>
  <c r="Q461" i="2"/>
  <c r="O461" i="2"/>
  <c r="L461" i="2"/>
  <c r="K461" i="2"/>
  <c r="R166" i="2"/>
  <c r="AF166" i="2"/>
  <c r="AA166" i="2"/>
  <c r="O128" i="2"/>
  <c r="V280" i="2"/>
  <c r="AB128" i="2"/>
  <c r="U166" i="2"/>
  <c r="I461" i="2"/>
  <c r="AE461" i="2"/>
  <c r="AB166" i="2"/>
  <c r="R280" i="2"/>
  <c r="Z280" i="2"/>
  <c r="AD242" i="2"/>
  <c r="S166" i="2"/>
  <c r="G461" i="2"/>
  <c r="M461" i="2"/>
  <c r="G128" i="2"/>
  <c r="AB242" i="2"/>
  <c r="Y166" i="2"/>
  <c r="Q128" i="2"/>
  <c r="N242" i="2"/>
  <c r="I166" i="2"/>
  <c r="X128" i="2"/>
  <c r="G242" i="2"/>
  <c r="AF242" i="2"/>
  <c r="AF128" i="2"/>
  <c r="J280" i="2"/>
  <c r="M166" i="2"/>
  <c r="AB280" i="2"/>
  <c r="L280" i="2"/>
  <c r="W242" i="2"/>
  <c r="M128" i="2"/>
  <c r="H242" i="2"/>
  <c r="S280" i="2"/>
  <c r="Q242" i="2"/>
  <c r="T280" i="2"/>
  <c r="AB461" i="2"/>
  <c r="M280" i="2"/>
  <c r="T242" i="2"/>
  <c r="Z128" i="2"/>
  <c r="Z461" i="2"/>
  <c r="U128" i="2"/>
  <c r="Y242" i="2"/>
  <c r="J461" i="2"/>
  <c r="S242" i="2"/>
  <c r="AA461" i="2"/>
  <c r="R461" i="2"/>
  <c r="U280" i="2"/>
  <c r="Q280" i="2"/>
  <c r="S128" i="2"/>
  <c r="X280" i="2"/>
  <c r="V166" i="2"/>
  <c r="Z242" i="2"/>
  <c r="V128" i="2"/>
  <c r="G166" i="2"/>
  <c r="T461" i="2"/>
  <c r="R128" i="2"/>
  <c r="Y280" i="2"/>
  <c r="V461" i="2"/>
  <c r="G280" i="2"/>
  <c r="AE280" i="2"/>
  <c r="J128" i="2"/>
  <c r="AG52" i="2"/>
  <c r="S627" i="2"/>
  <c r="S628" i="2" s="1"/>
  <c r="S561" i="2"/>
  <c r="G627" i="2"/>
  <c r="G561" i="2"/>
  <c r="AB8" i="1"/>
  <c r="AC8" i="1" s="1"/>
  <c r="P12" i="1"/>
  <c r="P423" i="1"/>
  <c r="P425" i="1" s="1"/>
  <c r="P427" i="1" s="1"/>
  <c r="AB405" i="1"/>
  <c r="AC405" i="1" s="1"/>
  <c r="P242" i="1"/>
  <c r="P246" i="1" s="1"/>
  <c r="P86" i="1"/>
  <c r="P318" i="1" s="1"/>
  <c r="AB75" i="1"/>
  <c r="AC75" i="1" s="1"/>
  <c r="K468" i="2"/>
  <c r="E474" i="2"/>
  <c r="X473" i="2"/>
  <c r="X474" i="2" s="1"/>
  <c r="H473" i="2"/>
  <c r="H474" i="2" s="1"/>
  <c r="AD473" i="2"/>
  <c r="AD474" i="2" s="1"/>
  <c r="AB473" i="2"/>
  <c r="AB474" i="2" s="1"/>
  <c r="R473" i="2"/>
  <c r="R474" i="2" s="1"/>
  <c r="J473" i="2"/>
  <c r="J474" i="2" s="1"/>
  <c r="AC473" i="2"/>
  <c r="AC474" i="2" s="1"/>
  <c r="O473" i="2"/>
  <c r="O474" i="2" s="1"/>
  <c r="G473" i="2"/>
  <c r="G474" i="2" s="1"/>
  <c r="K473" i="2"/>
  <c r="K474" i="2" s="1"/>
  <c r="AE473" i="2"/>
  <c r="AE474" i="2" s="1"/>
  <c r="V473" i="2"/>
  <c r="V474" i="2" s="1"/>
  <c r="P473" i="2"/>
  <c r="P474" i="2" s="1"/>
  <c r="AA473" i="2"/>
  <c r="AA474" i="2" s="1"/>
  <c r="U473" i="2"/>
  <c r="U474" i="2" s="1"/>
  <c r="F473" i="2"/>
  <c r="Z473" i="2"/>
  <c r="Z474" i="2" s="1"/>
  <c r="S473" i="2"/>
  <c r="S474" i="2" s="1"/>
  <c r="Y473" i="2"/>
  <c r="Y474" i="2" s="1"/>
  <c r="AF473" i="2"/>
  <c r="AF474" i="2" s="1"/>
  <c r="I473" i="2"/>
  <c r="I474" i="2" s="1"/>
  <c r="N473" i="2"/>
  <c r="N474" i="2" s="1"/>
  <c r="T473" i="2"/>
  <c r="T474" i="2" s="1"/>
  <c r="W473" i="2"/>
  <c r="W474" i="2" s="1"/>
  <c r="Q473" i="2"/>
  <c r="Q474" i="2" s="1"/>
  <c r="O246" i="1"/>
  <c r="O248" i="1"/>
  <c r="O244" i="1"/>
  <c r="F467" i="2"/>
  <c r="O468" i="2"/>
  <c r="AF468" i="2"/>
  <c r="AA468" i="2"/>
  <c r="T468" i="2"/>
  <c r="V468" i="2"/>
  <c r="Q468" i="2"/>
  <c r="AE468" i="2"/>
  <c r="S468" i="2"/>
  <c r="X468" i="2"/>
  <c r="Z468" i="2"/>
  <c r="R468" i="2"/>
  <c r="G468" i="2"/>
  <c r="P468" i="2"/>
  <c r="AD468" i="2"/>
  <c r="J468" i="2"/>
  <c r="AB468" i="2"/>
  <c r="AC468" i="2"/>
  <c r="U468" i="2"/>
  <c r="Y468" i="2"/>
  <c r="N468" i="2"/>
  <c r="I468" i="2"/>
  <c r="W468" i="2"/>
  <c r="H468" i="2"/>
  <c r="O425" i="1"/>
  <c r="O132" i="1"/>
  <c r="O291" i="1"/>
  <c r="O469" i="1"/>
  <c r="O290" i="1"/>
  <c r="O318" i="1"/>
  <c r="O133" i="1"/>
  <c r="O99" i="1"/>
  <c r="O470" i="1"/>
  <c r="O319" i="1"/>
  <c r="O131" i="1"/>
  <c r="AG338" i="2"/>
  <c r="U323" i="1" l="1"/>
  <c r="S287" i="1"/>
  <c r="S282" i="1"/>
  <c r="S461" i="1"/>
  <c r="U284" i="1"/>
  <c r="S286" i="1"/>
  <c r="S459" i="1"/>
  <c r="S280" i="1"/>
  <c r="S467" i="1"/>
  <c r="S465" i="1"/>
  <c r="S288" i="1"/>
  <c r="S460" i="1"/>
  <c r="S285" i="1"/>
  <c r="AC32" i="2"/>
  <c r="U32" i="2"/>
  <c r="X32" i="2"/>
  <c r="P32" i="2"/>
  <c r="N32" i="2"/>
  <c r="AD32" i="2"/>
  <c r="T32" i="2"/>
  <c r="I32" i="2"/>
  <c r="AF32" i="2"/>
  <c r="Y32" i="2"/>
  <c r="O32" i="2"/>
  <c r="V32" i="2"/>
  <c r="K32" i="2"/>
  <c r="G32" i="2"/>
  <c r="Z32" i="2"/>
  <c r="F32" i="2"/>
  <c r="R32" i="2"/>
  <c r="AA32" i="2"/>
  <c r="H32" i="2"/>
  <c r="Q32" i="2"/>
  <c r="L32" i="2"/>
  <c r="J32" i="2"/>
  <c r="AE32" i="2"/>
  <c r="W282" i="1"/>
  <c r="M280" i="1"/>
  <c r="Y287" i="1"/>
  <c r="M463" i="1"/>
  <c r="W465" i="1"/>
  <c r="W461" i="1"/>
  <c r="M285" i="1"/>
  <c r="W466" i="1"/>
  <c r="W288" i="1"/>
  <c r="M460" i="1"/>
  <c r="W459" i="1"/>
  <c r="W467" i="1"/>
  <c r="M284" i="1"/>
  <c r="W286" i="1"/>
  <c r="M464" i="1"/>
  <c r="W280" i="1"/>
  <c r="S284" i="1"/>
  <c r="M461" i="1"/>
  <c r="S463" i="1"/>
  <c r="S464" i="1"/>
  <c r="O216" i="2"/>
  <c r="Y459" i="1"/>
  <c r="Y466" i="1"/>
  <c r="M282" i="1"/>
  <c r="Y286" i="1"/>
  <c r="M466" i="1"/>
  <c r="Y280" i="1"/>
  <c r="M286" i="1"/>
  <c r="Y467" i="1"/>
  <c r="Y465" i="1"/>
  <c r="M467" i="1"/>
  <c r="M288" i="1"/>
  <c r="Y461" i="1"/>
  <c r="M287" i="1"/>
  <c r="Y288" i="1"/>
  <c r="M465" i="1"/>
  <c r="Y153" i="1"/>
  <c r="E35" i="2"/>
  <c r="AB35" i="2" s="1"/>
  <c r="Y109" i="1"/>
  <c r="Y112" i="1" s="1"/>
  <c r="Y115" i="1" s="1"/>
  <c r="Y135" i="1" s="1"/>
  <c r="Y137" i="1" s="1"/>
  <c r="R153" i="1"/>
  <c r="K281" i="1"/>
  <c r="M142" i="1"/>
  <c r="E24" i="2"/>
  <c r="P24" i="2" s="1"/>
  <c r="R142" i="1"/>
  <c r="I153" i="1"/>
  <c r="R109" i="1"/>
  <c r="R112" i="1" s="1"/>
  <c r="R115" i="1" s="1"/>
  <c r="R135" i="1" s="1"/>
  <c r="R137" i="1" s="1"/>
  <c r="E9" i="2"/>
  <c r="E10" i="2" s="1"/>
  <c r="I141" i="1"/>
  <c r="I142" i="1"/>
  <c r="R104" i="1"/>
  <c r="H323" i="1"/>
  <c r="E199" i="2" s="1"/>
  <c r="I465" i="1"/>
  <c r="I282" i="1"/>
  <c r="AA109" i="1"/>
  <c r="AA112" i="1" s="1"/>
  <c r="AA115" i="1" s="1"/>
  <c r="AA135" i="1" s="1"/>
  <c r="AA137" i="1" s="1"/>
  <c r="I459" i="1"/>
  <c r="I466" i="1"/>
  <c r="E38" i="2"/>
  <c r="I38" i="2" s="1"/>
  <c r="I467" i="1"/>
  <c r="AA141" i="1"/>
  <c r="I461" i="1"/>
  <c r="AA142" i="1"/>
  <c r="U464" i="1"/>
  <c r="F216" i="2"/>
  <c r="E16" i="2"/>
  <c r="T16" i="2" s="1"/>
  <c r="U460" i="1"/>
  <c r="Q216" i="2"/>
  <c r="M153" i="1"/>
  <c r="U463" i="1"/>
  <c r="T216" i="2"/>
  <c r="U281" i="1"/>
  <c r="M109" i="1"/>
  <c r="M112" i="1" s="1"/>
  <c r="M115" i="1" s="1"/>
  <c r="M135" i="1" s="1"/>
  <c r="M137" i="1" s="1"/>
  <c r="R286" i="1"/>
  <c r="R459" i="1"/>
  <c r="R467" i="1"/>
  <c r="Y142" i="1"/>
  <c r="I288" i="1"/>
  <c r="R465" i="1"/>
  <c r="I280" i="1"/>
  <c r="I287" i="1"/>
  <c r="R280" i="1"/>
  <c r="R461" i="1"/>
  <c r="E29" i="2"/>
  <c r="P29" i="2" s="1"/>
  <c r="AB12" i="1"/>
  <c r="AC12" i="1" s="1"/>
  <c r="P93" i="1"/>
  <c r="P109" i="1" s="1"/>
  <c r="H153" i="1"/>
  <c r="H104" i="1"/>
  <c r="H141" i="1"/>
  <c r="H142" i="1"/>
  <c r="H109" i="1"/>
  <c r="H112" i="1" s="1"/>
  <c r="H115" i="1" s="1"/>
  <c r="H135" i="1" s="1"/>
  <c r="H137" i="1" s="1"/>
  <c r="H292" i="1" s="1"/>
  <c r="S104" i="1"/>
  <c r="S141" i="1"/>
  <c r="Q25" i="2"/>
  <c r="U25" i="2"/>
  <c r="R25" i="2"/>
  <c r="H25" i="2"/>
  <c r="K25" i="2"/>
  <c r="N25" i="2"/>
  <c r="AD25" i="2"/>
  <c r="V25" i="2"/>
  <c r="L25" i="2"/>
  <c r="S25" i="2"/>
  <c r="AA25" i="2"/>
  <c r="Z25" i="2"/>
  <c r="F25" i="2"/>
  <c r="J25" i="2"/>
  <c r="AB25" i="2"/>
  <c r="AF25" i="2"/>
  <c r="P25" i="2"/>
  <c r="G25" i="2"/>
  <c r="AC25" i="2"/>
  <c r="AE25" i="2"/>
  <c r="T25" i="2"/>
  <c r="X25" i="2"/>
  <c r="W25" i="2"/>
  <c r="O25" i="2"/>
  <c r="M25" i="2"/>
  <c r="I25" i="2"/>
  <c r="Y25" i="2"/>
  <c r="S153" i="1"/>
  <c r="S142" i="1"/>
  <c r="S109" i="1"/>
  <c r="S112" i="1" s="1"/>
  <c r="S115" i="1" s="1"/>
  <c r="S135" i="1" s="1"/>
  <c r="S137" i="1" s="1"/>
  <c r="S331" i="1" s="1"/>
  <c r="G216" i="2"/>
  <c r="M216" i="2"/>
  <c r="S216" i="2"/>
  <c r="K285" i="1"/>
  <c r="Y216" i="2"/>
  <c r="V216" i="2"/>
  <c r="J216" i="2"/>
  <c r="R466" i="1"/>
  <c r="AD216" i="2"/>
  <c r="W216" i="2"/>
  <c r="N216" i="2"/>
  <c r="R288" i="1"/>
  <c r="R287" i="1"/>
  <c r="U153" i="1"/>
  <c r="AB216" i="2"/>
  <c r="I216" i="2"/>
  <c r="K216" i="2"/>
  <c r="K463" i="1"/>
  <c r="U142" i="1"/>
  <c r="H216" i="2"/>
  <c r="U216" i="2"/>
  <c r="AE216" i="2"/>
  <c r="K284" i="1"/>
  <c r="U141" i="1"/>
  <c r="AC216" i="2"/>
  <c r="R216" i="2"/>
  <c r="AA216" i="2"/>
  <c r="X216" i="2"/>
  <c r="K460" i="1"/>
  <c r="Z216" i="2"/>
  <c r="L216" i="2"/>
  <c r="AF216" i="2"/>
  <c r="AB246" i="1"/>
  <c r="AC246" i="1" s="1"/>
  <c r="Y104" i="1"/>
  <c r="AB423" i="1"/>
  <c r="AC423" i="1" s="1"/>
  <c r="M514" i="2"/>
  <c r="M523" i="2" s="1"/>
  <c r="AB242" i="1"/>
  <c r="AC242" i="1" s="1"/>
  <c r="R514" i="2"/>
  <c r="R523" i="2" s="1"/>
  <c r="R552" i="2" s="1"/>
  <c r="R575" i="2" s="1"/>
  <c r="R626" i="2" s="1"/>
  <c r="R628" i="2" s="1"/>
  <c r="G514" i="2"/>
  <c r="G523" i="2" s="1"/>
  <c r="G552" i="2" s="1"/>
  <c r="G575" i="2" s="1"/>
  <c r="G600" i="2" s="1"/>
  <c r="K323" i="1"/>
  <c r="E204" i="2" s="1"/>
  <c r="AH204" i="2" s="1"/>
  <c r="M323" i="1"/>
  <c r="E207" i="2" s="1"/>
  <c r="P453" i="1"/>
  <c r="P284" i="1" s="1"/>
  <c r="O514" i="2"/>
  <c r="O523" i="2" s="1"/>
  <c r="O552" i="2" s="1"/>
  <c r="O575" i="2" s="1"/>
  <c r="O600" i="2" s="1"/>
  <c r="N514" i="2"/>
  <c r="N523" i="2" s="1"/>
  <c r="N552" i="2" s="1"/>
  <c r="N575" i="2" s="1"/>
  <c r="N626" i="2" s="1"/>
  <c r="N628" i="2" s="1"/>
  <c r="AG242" i="2"/>
  <c r="R323" i="1"/>
  <c r="K142" i="1"/>
  <c r="E13" i="2"/>
  <c r="AH13" i="2" s="1"/>
  <c r="K153" i="1"/>
  <c r="K104" i="1"/>
  <c r="K109" i="1"/>
  <c r="K112" i="1" s="1"/>
  <c r="K115" i="1" s="1"/>
  <c r="K135" i="1" s="1"/>
  <c r="K137" i="1" s="1"/>
  <c r="K141" i="1"/>
  <c r="AG280" i="2"/>
  <c r="W468" i="1"/>
  <c r="W337" i="1"/>
  <c r="E71" i="2"/>
  <c r="W292" i="1"/>
  <c r="W327" i="1"/>
  <c r="E299" i="2" s="1"/>
  <c r="W283" i="1"/>
  <c r="W331" i="1"/>
  <c r="W329" i="1"/>
  <c r="W325" i="1"/>
  <c r="W289" i="1"/>
  <c r="W335" i="1"/>
  <c r="W462" i="1"/>
  <c r="W333" i="1"/>
  <c r="P223" i="2"/>
  <c r="X223" i="2"/>
  <c r="T223" i="2"/>
  <c r="AB223" i="2"/>
  <c r="L223" i="2"/>
  <c r="W223" i="2"/>
  <c r="U223" i="2"/>
  <c r="AF223" i="2"/>
  <c r="G223" i="2"/>
  <c r="AD223" i="2"/>
  <c r="H223" i="2"/>
  <c r="S223" i="2"/>
  <c r="R223" i="2"/>
  <c r="Z223" i="2"/>
  <c r="K223" i="2"/>
  <c r="J223" i="2"/>
  <c r="Q223" i="2"/>
  <c r="N223" i="2"/>
  <c r="O223" i="2"/>
  <c r="AE223" i="2"/>
  <c r="F223" i="2"/>
  <c r="AC223" i="2"/>
  <c r="Y223" i="2"/>
  <c r="I223" i="2"/>
  <c r="M223" i="2"/>
  <c r="V223" i="2"/>
  <c r="AA223" i="2"/>
  <c r="E220" i="2"/>
  <c r="Y323" i="1"/>
  <c r="AA104" i="1"/>
  <c r="J514" i="2"/>
  <c r="J523" i="2" s="1"/>
  <c r="J552" i="2" s="1"/>
  <c r="J575" i="2" s="1"/>
  <c r="AA285" i="1"/>
  <c r="AA463" i="1"/>
  <c r="AA284" i="1"/>
  <c r="AA460" i="1"/>
  <c r="AA464" i="1"/>
  <c r="AA281" i="1"/>
  <c r="M104" i="1"/>
  <c r="AG128" i="2"/>
  <c r="F514" i="2"/>
  <c r="AG461" i="2"/>
  <c r="AH461" i="2" s="1"/>
  <c r="AA287" i="1"/>
  <c r="AA288" i="1"/>
  <c r="AA282" i="1"/>
  <c r="AA461" i="1"/>
  <c r="AA459" i="1"/>
  <c r="AA286" i="1"/>
  <c r="AA465" i="1"/>
  <c r="AA280" i="1"/>
  <c r="AA466" i="1"/>
  <c r="AA467" i="1"/>
  <c r="I323" i="1"/>
  <c r="E200" i="2" s="1"/>
  <c r="H288" i="1"/>
  <c r="H287" i="1"/>
  <c r="H280" i="1"/>
  <c r="H467" i="1"/>
  <c r="H465" i="1"/>
  <c r="H461" i="1"/>
  <c r="H459" i="1"/>
  <c r="H286" i="1"/>
  <c r="H282" i="1"/>
  <c r="H466" i="1"/>
  <c r="Y463" i="1"/>
  <c r="Y464" i="1"/>
  <c r="Y285" i="1"/>
  <c r="Y281" i="1"/>
  <c r="Y460" i="1"/>
  <c r="Y284" i="1"/>
  <c r="I285" i="1"/>
  <c r="I284" i="1"/>
  <c r="I464" i="1"/>
  <c r="I281" i="1"/>
  <c r="I460" i="1"/>
  <c r="I463" i="1"/>
  <c r="Q514" i="2"/>
  <c r="Q523" i="2" s="1"/>
  <c r="Q552" i="2" s="1"/>
  <c r="Q575" i="2" s="1"/>
  <c r="AA323" i="1"/>
  <c r="U104" i="1"/>
  <c r="AG166" i="2"/>
  <c r="K514" i="2"/>
  <c r="K523" i="2" s="1"/>
  <c r="K552" i="2" s="1"/>
  <c r="K575" i="2" s="1"/>
  <c r="L514" i="2"/>
  <c r="L523" i="2" s="1"/>
  <c r="H514" i="2"/>
  <c r="H523" i="2" s="1"/>
  <c r="H552" i="2" s="1"/>
  <c r="H575" i="2" s="1"/>
  <c r="I514" i="2"/>
  <c r="I523" i="2" s="1"/>
  <c r="I552" i="2" s="1"/>
  <c r="I575" i="2" s="1"/>
  <c r="P514" i="2"/>
  <c r="P523" i="2" s="1"/>
  <c r="P552" i="2" s="1"/>
  <c r="P575" i="2" s="1"/>
  <c r="H460" i="1"/>
  <c r="H281" i="1"/>
  <c r="H464" i="1"/>
  <c r="H285" i="1"/>
  <c r="H463" i="1"/>
  <c r="H284" i="1"/>
  <c r="F561" i="2"/>
  <c r="AG532" i="2"/>
  <c r="R284" i="1"/>
  <c r="R281" i="1"/>
  <c r="R463" i="1"/>
  <c r="R464" i="1"/>
  <c r="R460" i="1"/>
  <c r="R285" i="1"/>
  <c r="I104" i="1"/>
  <c r="I110" i="1"/>
  <c r="I112" i="1" s="1"/>
  <c r="U112" i="1"/>
  <c r="U115" i="1" s="1"/>
  <c r="U135" i="1" s="1"/>
  <c r="U137" i="1" s="1"/>
  <c r="P369" i="2"/>
  <c r="AB86" i="1"/>
  <c r="AC86" i="1" s="1"/>
  <c r="P290" i="1"/>
  <c r="AB290" i="1" s="1"/>
  <c r="AC290" i="1" s="1"/>
  <c r="P469" i="1"/>
  <c r="AB469" i="1" s="1"/>
  <c r="AC469" i="1" s="1"/>
  <c r="P248" i="1"/>
  <c r="AB248" i="1" s="1"/>
  <c r="AC248" i="1" s="1"/>
  <c r="P244" i="1"/>
  <c r="P275" i="1" s="1"/>
  <c r="P286" i="1" s="1"/>
  <c r="P133" i="1"/>
  <c r="AB133" i="1" s="1"/>
  <c r="AC133" i="1" s="1"/>
  <c r="P291" i="1"/>
  <c r="AB291" i="1" s="1"/>
  <c r="AC291" i="1" s="1"/>
  <c r="P132" i="1"/>
  <c r="AB132" i="1" s="1"/>
  <c r="AC132" i="1" s="1"/>
  <c r="P131" i="1"/>
  <c r="AB131" i="1" s="1"/>
  <c r="AC131" i="1" s="1"/>
  <c r="P99" i="1"/>
  <c r="P102" i="1" s="1"/>
  <c r="P110" i="1" s="1"/>
  <c r="P470" i="1"/>
  <c r="AB470" i="1" s="1"/>
  <c r="AC470" i="1" s="1"/>
  <c r="P319" i="1"/>
  <c r="P323" i="1" s="1"/>
  <c r="E211" i="2" s="1"/>
  <c r="F474" i="2"/>
  <c r="O102" i="1"/>
  <c r="O427" i="1"/>
  <c r="AB427" i="1" s="1"/>
  <c r="AC427" i="1" s="1"/>
  <c r="O453" i="1"/>
  <c r="AB425" i="1"/>
  <c r="AC425" i="1" s="1"/>
  <c r="AB318" i="1"/>
  <c r="AC318" i="1" s="1"/>
  <c r="O323" i="1"/>
  <c r="O275" i="1"/>
  <c r="O141" i="1"/>
  <c r="O142" i="1"/>
  <c r="O153" i="1"/>
  <c r="E19" i="2"/>
  <c r="O19" i="2" s="1"/>
  <c r="O109" i="1"/>
  <c r="J475" i="2"/>
  <c r="AB475" i="2"/>
  <c r="R475" i="2"/>
  <c r="P475" i="2"/>
  <c r="X475" i="2"/>
  <c r="G475" i="2"/>
  <c r="Y475" i="2"/>
  <c r="Z475" i="2"/>
  <c r="AC475" i="2"/>
  <c r="O475" i="2"/>
  <c r="W475" i="2"/>
  <c r="Q475" i="2"/>
  <c r="K475" i="2"/>
  <c r="H475" i="2"/>
  <c r="U475" i="2"/>
  <c r="V475" i="2"/>
  <c r="AA475" i="2"/>
  <c r="AF475" i="2"/>
  <c r="AE475" i="2"/>
  <c r="S475" i="2"/>
  <c r="N475" i="2"/>
  <c r="T475" i="2"/>
  <c r="I475" i="2"/>
  <c r="AD475" i="2"/>
  <c r="F468" i="2"/>
  <c r="O85" i="15"/>
  <c r="R85" i="15" s="1"/>
  <c r="AH338" i="2"/>
  <c r="H331" i="1" l="1"/>
  <c r="AE24" i="2"/>
  <c r="AE26" i="2" s="1"/>
  <c r="N24" i="2"/>
  <c r="N26" i="2" s="1"/>
  <c r="T35" i="2"/>
  <c r="F35" i="2"/>
  <c r="AD35" i="2"/>
  <c r="F29" i="2"/>
  <c r="Y29" i="2"/>
  <c r="L29" i="2"/>
  <c r="H29" i="2"/>
  <c r="Y35" i="2"/>
  <c r="Z35" i="2"/>
  <c r="J35" i="2"/>
  <c r="R35" i="2"/>
  <c r="U35" i="2"/>
  <c r="V35" i="2"/>
  <c r="K35" i="2"/>
  <c r="O35" i="2"/>
  <c r="X35" i="2"/>
  <c r="S35" i="2"/>
  <c r="P35" i="2"/>
  <c r="AA35" i="2"/>
  <c r="H35" i="2"/>
  <c r="Q35" i="2"/>
  <c r="M35" i="2"/>
  <c r="L35" i="2"/>
  <c r="W35" i="2"/>
  <c r="AC35" i="2"/>
  <c r="AE35" i="2"/>
  <c r="N35" i="2"/>
  <c r="G35" i="2"/>
  <c r="AF35" i="2"/>
  <c r="I35" i="2"/>
  <c r="AG32" i="2"/>
  <c r="AH32" i="2" s="1"/>
  <c r="Z16" i="2"/>
  <c r="N16" i="2"/>
  <c r="G16" i="2"/>
  <c r="K24" i="2"/>
  <c r="K26" i="2" s="1"/>
  <c r="W24" i="2"/>
  <c r="W26" i="2" s="1"/>
  <c r="AD24" i="2"/>
  <c r="AD26" i="2" s="1"/>
  <c r="X24" i="2"/>
  <c r="X26" i="2" s="1"/>
  <c r="Z24" i="2"/>
  <c r="Z26" i="2" s="1"/>
  <c r="U24" i="2"/>
  <c r="U26" i="2" s="1"/>
  <c r="J24" i="2"/>
  <c r="J26" i="2" s="1"/>
  <c r="R24" i="2"/>
  <c r="R26" i="2" s="1"/>
  <c r="Q24" i="2"/>
  <c r="Q26" i="2" s="1"/>
  <c r="AC24" i="2"/>
  <c r="AC26" i="2" s="1"/>
  <c r="E26" i="2"/>
  <c r="O24" i="2"/>
  <c r="O26" i="2" s="1"/>
  <c r="AA24" i="2"/>
  <c r="AA26" i="2" s="1"/>
  <c r="S24" i="2"/>
  <c r="S26" i="2" s="1"/>
  <c r="AF24" i="2"/>
  <c r="AF26" i="2" s="1"/>
  <c r="AB24" i="2"/>
  <c r="AB26" i="2" s="1"/>
  <c r="T24" i="2"/>
  <c r="T26" i="2" s="1"/>
  <c r="E201" i="2"/>
  <c r="H24" i="2"/>
  <c r="H26" i="2" s="1"/>
  <c r="G24" i="2"/>
  <c r="G26" i="2" s="1"/>
  <c r="V24" i="2"/>
  <c r="V26" i="2" s="1"/>
  <c r="F24" i="2"/>
  <c r="F26" i="2" s="1"/>
  <c r="Y24" i="2"/>
  <c r="Y26" i="2" s="1"/>
  <c r="I24" i="2"/>
  <c r="I26" i="2" s="1"/>
  <c r="I16" i="2"/>
  <c r="Y16" i="2"/>
  <c r="O16" i="2"/>
  <c r="H16" i="2"/>
  <c r="X16" i="2"/>
  <c r="P16" i="2"/>
  <c r="F16" i="2"/>
  <c r="AA16" i="2"/>
  <c r="Q16" i="2"/>
  <c r="AE16" i="2"/>
  <c r="AD16" i="2"/>
  <c r="S16" i="2"/>
  <c r="AC16" i="2"/>
  <c r="W16" i="2"/>
  <c r="U16" i="2"/>
  <c r="AB16" i="2"/>
  <c r="K16" i="2"/>
  <c r="R16" i="2"/>
  <c r="AF16" i="2"/>
  <c r="V16" i="2"/>
  <c r="S333" i="1"/>
  <c r="S329" i="1"/>
  <c r="H289" i="1"/>
  <c r="W29" i="2"/>
  <c r="J29" i="2"/>
  <c r="X29" i="2"/>
  <c r="S335" i="1"/>
  <c r="S325" i="1"/>
  <c r="E254" i="2" s="1"/>
  <c r="H335" i="1"/>
  <c r="H329" i="1"/>
  <c r="K29" i="2"/>
  <c r="N29" i="2"/>
  <c r="V29" i="2"/>
  <c r="S337" i="1"/>
  <c r="H468" i="1"/>
  <c r="H283" i="1"/>
  <c r="G29" i="2"/>
  <c r="O29" i="2"/>
  <c r="T29" i="2"/>
  <c r="E64" i="2"/>
  <c r="O64" i="2" s="1"/>
  <c r="H325" i="1"/>
  <c r="E237" i="2" s="1"/>
  <c r="E47" i="2"/>
  <c r="I29" i="2"/>
  <c r="S29" i="2"/>
  <c r="Z29" i="2"/>
  <c r="S327" i="1"/>
  <c r="E292" i="2" s="1"/>
  <c r="P292" i="2" s="1"/>
  <c r="H462" i="1"/>
  <c r="H337" i="1"/>
  <c r="M29" i="2"/>
  <c r="AC29" i="2"/>
  <c r="R29" i="2"/>
  <c r="S292" i="1"/>
  <c r="S462" i="1"/>
  <c r="H327" i="1"/>
  <c r="E275" i="2" s="1"/>
  <c r="H333" i="1"/>
  <c r="AF29" i="2"/>
  <c r="AA29" i="2"/>
  <c r="AB29" i="2"/>
  <c r="U29" i="2"/>
  <c r="S468" i="1"/>
  <c r="S289" i="1"/>
  <c r="Q29" i="2"/>
  <c r="AE29" i="2"/>
  <c r="AD29" i="2"/>
  <c r="S283" i="1"/>
  <c r="W38" i="2"/>
  <c r="AD38" i="2"/>
  <c r="O38" i="2"/>
  <c r="N38" i="2"/>
  <c r="X38" i="2"/>
  <c r="S38" i="2"/>
  <c r="F38" i="2"/>
  <c r="Y38" i="2"/>
  <c r="K38" i="2"/>
  <c r="J38" i="2"/>
  <c r="AB38" i="2"/>
  <c r="V38" i="2"/>
  <c r="R38" i="2"/>
  <c r="Q38" i="2"/>
  <c r="U38" i="2"/>
  <c r="AA38" i="2"/>
  <c r="Z38" i="2"/>
  <c r="M38" i="2"/>
  <c r="T38" i="2"/>
  <c r="G38" i="2"/>
  <c r="H38" i="2"/>
  <c r="AC38" i="2"/>
  <c r="P38" i="2"/>
  <c r="AE38" i="2"/>
  <c r="AF38" i="2"/>
  <c r="L38" i="2"/>
  <c r="N600" i="2"/>
  <c r="R600" i="2"/>
  <c r="AG25" i="2"/>
  <c r="AH25" i="2" s="1"/>
  <c r="P463" i="1"/>
  <c r="P26" i="2"/>
  <c r="P460" i="1"/>
  <c r="P464" i="1"/>
  <c r="P281" i="1"/>
  <c r="P285" i="1"/>
  <c r="AG216" i="2"/>
  <c r="AH216" i="2" s="1"/>
  <c r="O626" i="2"/>
  <c r="O628" i="2" s="1"/>
  <c r="G626" i="2"/>
  <c r="G628" i="2" s="1"/>
  <c r="I115" i="1"/>
  <c r="I135" i="1" s="1"/>
  <c r="I137" i="1" s="1"/>
  <c r="I220" i="2"/>
  <c r="P220" i="2"/>
  <c r="O220" i="2"/>
  <c r="AD220" i="2"/>
  <c r="Y220" i="2"/>
  <c r="H220" i="2"/>
  <c r="AA220" i="2"/>
  <c r="AE220" i="2"/>
  <c r="K220" i="2"/>
  <c r="J220" i="2"/>
  <c r="V220" i="2"/>
  <c r="Q220" i="2"/>
  <c r="W220" i="2"/>
  <c r="AC220" i="2"/>
  <c r="R220" i="2"/>
  <c r="N220" i="2"/>
  <c r="X220" i="2"/>
  <c r="AF220" i="2"/>
  <c r="M220" i="2"/>
  <c r="T220" i="2"/>
  <c r="Z220" i="2"/>
  <c r="L220" i="2"/>
  <c r="U220" i="2"/>
  <c r="AB220" i="2"/>
  <c r="S220" i="2"/>
  <c r="G220" i="2"/>
  <c r="F220" i="2"/>
  <c r="X211" i="2"/>
  <c r="P211" i="2"/>
  <c r="K462" i="1"/>
  <c r="K337" i="1"/>
  <c r="K327" i="1"/>
  <c r="E280" i="2" s="1"/>
  <c r="AH280" i="2" s="1"/>
  <c r="K329" i="1"/>
  <c r="K331" i="1"/>
  <c r="K335" i="1"/>
  <c r="K289" i="1"/>
  <c r="K292" i="1"/>
  <c r="E52" i="2"/>
  <c r="AH52" i="2" s="1"/>
  <c r="K333" i="1"/>
  <c r="K468" i="1"/>
  <c r="K283" i="1"/>
  <c r="K325" i="1"/>
  <c r="E261" i="2"/>
  <c r="W339" i="1"/>
  <c r="P19" i="2"/>
  <c r="P626" i="2"/>
  <c r="P628" i="2" s="1"/>
  <c r="P600" i="2"/>
  <c r="E215" i="2"/>
  <c r="I600" i="2"/>
  <c r="I626" i="2"/>
  <c r="I628" i="2" s="1"/>
  <c r="E229" i="2"/>
  <c r="W294" i="1"/>
  <c r="W296" i="1" s="1"/>
  <c r="H626" i="2"/>
  <c r="H628" i="2" s="1"/>
  <c r="H600" i="2"/>
  <c r="F523" i="2"/>
  <c r="AG514" i="2"/>
  <c r="R325" i="1"/>
  <c r="E253" i="2" s="1"/>
  <c r="R292" i="1"/>
  <c r="R327" i="1"/>
  <c r="E291" i="2" s="1"/>
  <c r="R335" i="1"/>
  <c r="E63" i="2"/>
  <c r="R331" i="1"/>
  <c r="R289" i="1"/>
  <c r="R329" i="1"/>
  <c r="R462" i="1"/>
  <c r="R337" i="1"/>
  <c r="R468" i="1"/>
  <c r="R283" i="1"/>
  <c r="R333" i="1"/>
  <c r="J600" i="2"/>
  <c r="J626" i="2"/>
  <c r="J628" i="2" s="1"/>
  <c r="P299" i="2"/>
  <c r="AE299" i="2"/>
  <c r="U299" i="2"/>
  <c r="R299" i="2"/>
  <c r="N299" i="2"/>
  <c r="M299" i="2"/>
  <c r="Z299" i="2"/>
  <c r="T299" i="2"/>
  <c r="H299" i="2"/>
  <c r="Y299" i="2"/>
  <c r="K299" i="2"/>
  <c r="AC299" i="2"/>
  <c r="Q299" i="2"/>
  <c r="AA299" i="2"/>
  <c r="L299" i="2"/>
  <c r="AD299" i="2"/>
  <c r="J299" i="2"/>
  <c r="S299" i="2"/>
  <c r="I299" i="2"/>
  <c r="X299" i="2"/>
  <c r="V299" i="2"/>
  <c r="AF299" i="2"/>
  <c r="O299" i="2"/>
  <c r="G299" i="2"/>
  <c r="W299" i="2"/>
  <c r="F299" i="2"/>
  <c r="AB299" i="2"/>
  <c r="U283" i="1"/>
  <c r="U327" i="1"/>
  <c r="E296" i="2" s="1"/>
  <c r="U292" i="1"/>
  <c r="U331" i="1"/>
  <c r="U333" i="1"/>
  <c r="U329" i="1"/>
  <c r="U468" i="1"/>
  <c r="U289" i="1"/>
  <c r="U335" i="1"/>
  <c r="E68" i="2"/>
  <c r="U325" i="1"/>
  <c r="U337" i="1"/>
  <c r="U462" i="1"/>
  <c r="Y325" i="1"/>
  <c r="E264" i="2" s="1"/>
  <c r="Y329" i="1"/>
  <c r="Y462" i="1"/>
  <c r="Y331" i="1"/>
  <c r="Y327" i="1"/>
  <c r="E302" i="2" s="1"/>
  <c r="Y335" i="1"/>
  <c r="Y333" i="1"/>
  <c r="Y468" i="1"/>
  <c r="Y292" i="1"/>
  <c r="E74" i="2"/>
  <c r="Y289" i="1"/>
  <c r="Y337" i="1"/>
  <c r="Y283" i="1"/>
  <c r="G207" i="2"/>
  <c r="P207" i="2"/>
  <c r="AC207" i="2"/>
  <c r="Q207" i="2"/>
  <c r="AA207" i="2"/>
  <c r="O207" i="2"/>
  <c r="AF207" i="2"/>
  <c r="V207" i="2"/>
  <c r="W207" i="2"/>
  <c r="T207" i="2"/>
  <c r="R207" i="2"/>
  <c r="X207" i="2"/>
  <c r="AB207" i="2"/>
  <c r="Z207" i="2"/>
  <c r="N207" i="2"/>
  <c r="AD207" i="2"/>
  <c r="U207" i="2"/>
  <c r="Y207" i="2"/>
  <c r="S207" i="2"/>
  <c r="AE207" i="2"/>
  <c r="K207" i="2"/>
  <c r="H207" i="2"/>
  <c r="I207" i="2"/>
  <c r="W472" i="1"/>
  <c r="W474" i="1" s="1"/>
  <c r="W476" i="1" s="1"/>
  <c r="E185" i="2" s="1"/>
  <c r="K600" i="2"/>
  <c r="K626" i="2"/>
  <c r="K628" i="2" s="1"/>
  <c r="AA329" i="1"/>
  <c r="AA462" i="1"/>
  <c r="AA333" i="1"/>
  <c r="AA292" i="1"/>
  <c r="E77" i="2"/>
  <c r="AA283" i="1"/>
  <c r="AA331" i="1"/>
  <c r="AA468" i="1"/>
  <c r="AA337" i="1"/>
  <c r="AA335" i="1"/>
  <c r="AA327" i="1"/>
  <c r="E305" i="2" s="1"/>
  <c r="AA325" i="1"/>
  <c r="E267" i="2" s="1"/>
  <c r="AA289" i="1"/>
  <c r="E226" i="2"/>
  <c r="P71" i="2"/>
  <c r="L71" i="2"/>
  <c r="AC71" i="2"/>
  <c r="Y71" i="2"/>
  <c r="S71" i="2"/>
  <c r="W71" i="2"/>
  <c r="AA71" i="2"/>
  <c r="V71" i="2"/>
  <c r="G71" i="2"/>
  <c r="AF71" i="2"/>
  <c r="H71" i="2"/>
  <c r="Q71" i="2"/>
  <c r="AB71" i="2"/>
  <c r="AE71" i="2"/>
  <c r="T71" i="2"/>
  <c r="X71" i="2"/>
  <c r="N71" i="2"/>
  <c r="Z71" i="2"/>
  <c r="M71" i="2"/>
  <c r="K71" i="2"/>
  <c r="O71" i="2"/>
  <c r="F71" i="2"/>
  <c r="U71" i="2"/>
  <c r="R71" i="2"/>
  <c r="I71" i="2"/>
  <c r="J71" i="2"/>
  <c r="AD71" i="2"/>
  <c r="Q600" i="2"/>
  <c r="Q626" i="2"/>
  <c r="Q628" i="2" s="1"/>
  <c r="AG223" i="2"/>
  <c r="AH223" i="2" s="1"/>
  <c r="M283" i="1"/>
  <c r="M329" i="1"/>
  <c r="M327" i="1"/>
  <c r="E283" i="2" s="1"/>
  <c r="M292" i="1"/>
  <c r="M335" i="1"/>
  <c r="M331" i="1"/>
  <c r="M289" i="1"/>
  <c r="M468" i="1"/>
  <c r="M337" i="1"/>
  <c r="M325" i="1"/>
  <c r="M462" i="1"/>
  <c r="M333" i="1"/>
  <c r="E55" i="2"/>
  <c r="F55" i="2" s="1"/>
  <c r="P141" i="1"/>
  <c r="AB141" i="1" s="1"/>
  <c r="AC141" i="1" s="1"/>
  <c r="AB93" i="1"/>
  <c r="AC93" i="1" s="1"/>
  <c r="E20" i="2"/>
  <c r="P142" i="1"/>
  <c r="AB142" i="1" s="1"/>
  <c r="AC142" i="1" s="1"/>
  <c r="P467" i="1"/>
  <c r="P459" i="1"/>
  <c r="P461" i="1"/>
  <c r="P282" i="1"/>
  <c r="AB244" i="1"/>
  <c r="AC244" i="1" s="1"/>
  <c r="P153" i="1"/>
  <c r="AB153" i="1" s="1"/>
  <c r="AC153" i="1" s="1"/>
  <c r="P288" i="1"/>
  <c r="T211" i="2"/>
  <c r="P465" i="1"/>
  <c r="P287" i="1"/>
  <c r="AB99" i="1"/>
  <c r="AC99" i="1" s="1"/>
  <c r="P466" i="1"/>
  <c r="P280" i="1"/>
  <c r="P104" i="1"/>
  <c r="P112" i="1"/>
  <c r="P115" i="1" s="1"/>
  <c r="P135" i="1" s="1"/>
  <c r="P137" i="1" s="1"/>
  <c r="AC211" i="2"/>
  <c r="AF211" i="2"/>
  <c r="G211" i="2"/>
  <c r="AE211" i="2"/>
  <c r="M211" i="2"/>
  <c r="S211" i="2"/>
  <c r="F211" i="2"/>
  <c r="V211" i="2"/>
  <c r="Z211" i="2"/>
  <c r="O211" i="2"/>
  <c r="K211" i="2"/>
  <c r="U211" i="2"/>
  <c r="W211" i="2"/>
  <c r="H211" i="2"/>
  <c r="AD211" i="2"/>
  <c r="L211" i="2"/>
  <c r="I211" i="2"/>
  <c r="N211" i="2"/>
  <c r="Q211" i="2"/>
  <c r="J211" i="2"/>
  <c r="R211" i="2"/>
  <c r="AA211" i="2"/>
  <c r="AB211" i="2"/>
  <c r="Y211" i="2"/>
  <c r="AB319" i="1"/>
  <c r="AC319" i="1" s="1"/>
  <c r="F475" i="2"/>
  <c r="AD19" i="2"/>
  <c r="Y19" i="2"/>
  <c r="AA19" i="2"/>
  <c r="Q19" i="2"/>
  <c r="AC19" i="2"/>
  <c r="Z19" i="2"/>
  <c r="O110" i="1"/>
  <c r="AB110" i="1" s="1"/>
  <c r="AC110" i="1" s="1"/>
  <c r="AB102" i="1"/>
  <c r="AC102" i="1" s="1"/>
  <c r="I19" i="2"/>
  <c r="O466" i="1"/>
  <c r="O461" i="1"/>
  <c r="O467" i="1"/>
  <c r="O288" i="1"/>
  <c r="O287" i="1"/>
  <c r="O280" i="1"/>
  <c r="O282" i="1"/>
  <c r="O286" i="1"/>
  <c r="AB286" i="1" s="1"/>
  <c r="AC286" i="1" s="1"/>
  <c r="O459" i="1"/>
  <c r="O465" i="1"/>
  <c r="AB275" i="1"/>
  <c r="AC275" i="1" s="1"/>
  <c r="G19" i="2"/>
  <c r="N19" i="2"/>
  <c r="O284" i="1"/>
  <c r="AB284" i="1" s="1"/>
  <c r="AC284" i="1" s="1"/>
  <c r="O460" i="1"/>
  <c r="O464" i="1"/>
  <c r="O285" i="1"/>
  <c r="O463" i="1"/>
  <c r="O281" i="1"/>
  <c r="AB453" i="1"/>
  <c r="AC453" i="1" s="1"/>
  <c r="H19" i="2"/>
  <c r="K19" i="2"/>
  <c r="J19" i="2"/>
  <c r="AE19" i="2"/>
  <c r="W19" i="2"/>
  <c r="R19" i="2"/>
  <c r="O104" i="1"/>
  <c r="S19" i="2"/>
  <c r="E210" i="2"/>
  <c r="AB323" i="1"/>
  <c r="AC323" i="1" s="1"/>
  <c r="T19" i="2"/>
  <c r="U19" i="2"/>
  <c r="F19" i="2"/>
  <c r="X19" i="2"/>
  <c r="V19" i="2"/>
  <c r="AB109" i="1"/>
  <c r="AC109" i="1" s="1"/>
  <c r="AF19" i="2"/>
  <c r="AB19" i="2"/>
  <c r="I12" i="15"/>
  <c r="T85" i="15"/>
  <c r="K12" i="15" s="1"/>
  <c r="F207" i="2"/>
  <c r="M64" i="2" l="1"/>
  <c r="AB464" i="1"/>
  <c r="AC464" i="1" s="1"/>
  <c r="AG35" i="2"/>
  <c r="AH35" i="2" s="1"/>
  <c r="Q64" i="2"/>
  <c r="U64" i="2"/>
  <c r="AB281" i="1"/>
  <c r="AC281" i="1" s="1"/>
  <c r="W64" i="2"/>
  <c r="AB64" i="2"/>
  <c r="Z64" i="2"/>
  <c r="AA64" i="2"/>
  <c r="H472" i="1"/>
  <c r="H474" i="1" s="1"/>
  <c r="H476" i="1" s="1"/>
  <c r="E161" i="2" s="1"/>
  <c r="S292" i="2"/>
  <c r="T292" i="2"/>
  <c r="L292" i="2"/>
  <c r="H294" i="1"/>
  <c r="H296" i="1" s="1"/>
  <c r="H140" i="1" s="1"/>
  <c r="H144" i="1" s="1"/>
  <c r="H155" i="1" s="1"/>
  <c r="E85" i="2" s="1"/>
  <c r="E530" i="2" s="1"/>
  <c r="X64" i="2"/>
  <c r="S64" i="2"/>
  <c r="F64" i="2"/>
  <c r="P64" i="2"/>
  <c r="Y64" i="2"/>
  <c r="N64" i="2"/>
  <c r="AD64" i="2"/>
  <c r="K64" i="2"/>
  <c r="V64" i="2"/>
  <c r="L64" i="2"/>
  <c r="AF64" i="2"/>
  <c r="AC64" i="2"/>
  <c r="T64" i="2"/>
  <c r="R64" i="2"/>
  <c r="H64" i="2"/>
  <c r="G64" i="2"/>
  <c r="AE64" i="2"/>
  <c r="I64" i="2"/>
  <c r="J64" i="2"/>
  <c r="S472" i="1"/>
  <c r="S474" i="1" s="1"/>
  <c r="S476" i="1" s="1"/>
  <c r="E178" i="2" s="1"/>
  <c r="P178" i="2" s="1"/>
  <c r="S294" i="1"/>
  <c r="S296" i="1" s="1"/>
  <c r="S140" i="1" s="1"/>
  <c r="S144" i="1" s="1"/>
  <c r="S155" i="1" s="1"/>
  <c r="E102" i="2" s="1"/>
  <c r="AG29" i="2"/>
  <c r="AH29" i="2" s="1"/>
  <c r="Y292" i="2"/>
  <c r="H339" i="1"/>
  <c r="H341" i="1" s="1"/>
  <c r="K292" i="2"/>
  <c r="Q292" i="2"/>
  <c r="AF292" i="2"/>
  <c r="S339" i="1"/>
  <c r="N292" i="2"/>
  <c r="AC292" i="2"/>
  <c r="J292" i="2"/>
  <c r="H292" i="2"/>
  <c r="AB463" i="1"/>
  <c r="AC463" i="1" s="1"/>
  <c r="F292" i="2"/>
  <c r="AB292" i="2"/>
  <c r="R292" i="2"/>
  <c r="Z292" i="2"/>
  <c r="AE292" i="2"/>
  <c r="AD292" i="2"/>
  <c r="U292" i="2"/>
  <c r="X292" i="2"/>
  <c r="O292" i="2"/>
  <c r="W292" i="2"/>
  <c r="AA292" i="2"/>
  <c r="G292" i="2"/>
  <c r="V292" i="2"/>
  <c r="I292" i="2"/>
  <c r="M292" i="2"/>
  <c r="AB285" i="1"/>
  <c r="AC285" i="1" s="1"/>
  <c r="AG38" i="2"/>
  <c r="AH38" i="2" s="1"/>
  <c r="AB460" i="1"/>
  <c r="AC460" i="1" s="1"/>
  <c r="AE178" i="2"/>
  <c r="AA294" i="1"/>
  <c r="AA296" i="1" s="1"/>
  <c r="AA298" i="1" s="1"/>
  <c r="K472" i="1"/>
  <c r="K474" i="1" s="1"/>
  <c r="K476" i="1" s="1"/>
  <c r="E166" i="2" s="1"/>
  <c r="AH166" i="2" s="1"/>
  <c r="U294" i="1"/>
  <c r="U296" i="1" s="1"/>
  <c r="U140" i="1" s="1"/>
  <c r="U144" i="1" s="1"/>
  <c r="U155" i="1" s="1"/>
  <c r="E106" i="2" s="1"/>
  <c r="U472" i="1"/>
  <c r="U474" i="1" s="1"/>
  <c r="U476" i="1" s="1"/>
  <c r="E182" i="2" s="1"/>
  <c r="W182" i="2" s="1"/>
  <c r="K294" i="1"/>
  <c r="K296" i="1" s="1"/>
  <c r="K140" i="1" s="1"/>
  <c r="K144" i="1" s="1"/>
  <c r="K155" i="1" s="1"/>
  <c r="E90" i="2" s="1"/>
  <c r="AA472" i="1"/>
  <c r="AA474" i="1" s="1"/>
  <c r="AA476" i="1" s="1"/>
  <c r="E191" i="2" s="1"/>
  <c r="AA191" i="2" s="1"/>
  <c r="M472" i="1"/>
  <c r="M474" i="1" s="1"/>
  <c r="M476" i="1" s="1"/>
  <c r="E169" i="2" s="1"/>
  <c r="S169" i="2" s="1"/>
  <c r="R294" i="1"/>
  <c r="R296" i="1" s="1"/>
  <c r="E139" i="2" s="1"/>
  <c r="Y339" i="1"/>
  <c r="Y472" i="1"/>
  <c r="Y474" i="1" s="1"/>
  <c r="Y476" i="1" s="1"/>
  <c r="E188" i="2" s="1"/>
  <c r="P188" i="2" s="1"/>
  <c r="I327" i="1"/>
  <c r="E276" i="2" s="1"/>
  <c r="I335" i="1"/>
  <c r="I283" i="1"/>
  <c r="I337" i="1"/>
  <c r="I292" i="1"/>
  <c r="I333" i="1"/>
  <c r="I329" i="1"/>
  <c r="I289" i="1"/>
  <c r="I331" i="1"/>
  <c r="I462" i="1"/>
  <c r="I468" i="1"/>
  <c r="I325" i="1"/>
  <c r="E238" i="2" s="1"/>
  <c r="E48" i="2"/>
  <c r="E49" i="2" s="1"/>
  <c r="P254" i="2"/>
  <c r="Z254" i="2"/>
  <c r="L254" i="2"/>
  <c r="I254" i="2"/>
  <c r="AC254" i="2"/>
  <c r="Q254" i="2"/>
  <c r="F254" i="2"/>
  <c r="J254" i="2"/>
  <c r="U254" i="2"/>
  <c r="K254" i="2"/>
  <c r="X254" i="2"/>
  <c r="N254" i="2"/>
  <c r="AE254" i="2"/>
  <c r="G254" i="2"/>
  <c r="M254" i="2"/>
  <c r="T254" i="2"/>
  <c r="V254" i="2"/>
  <c r="O254" i="2"/>
  <c r="AB254" i="2"/>
  <c r="AD254" i="2"/>
  <c r="R254" i="2"/>
  <c r="AA254" i="2"/>
  <c r="S254" i="2"/>
  <c r="AF254" i="2"/>
  <c r="H254" i="2"/>
  <c r="Y254" i="2"/>
  <c r="W254" i="2"/>
  <c r="L291" i="2"/>
  <c r="P291" i="2"/>
  <c r="P293" i="2" s="1"/>
  <c r="R291" i="2"/>
  <c r="AC291" i="2"/>
  <c r="Q291" i="2"/>
  <c r="I291" i="2"/>
  <c r="Z291" i="2"/>
  <c r="Z293" i="2" s="1"/>
  <c r="K291" i="2"/>
  <c r="AF291" i="2"/>
  <c r="G291" i="2"/>
  <c r="M291" i="2"/>
  <c r="V291" i="2"/>
  <c r="O291" i="2"/>
  <c r="Y291" i="2"/>
  <c r="H291" i="2"/>
  <c r="X291" i="2"/>
  <c r="W291" i="2"/>
  <c r="AB291" i="2"/>
  <c r="AD291" i="2"/>
  <c r="AE291" i="2"/>
  <c r="E293" i="2"/>
  <c r="F291" i="2"/>
  <c r="U291" i="2"/>
  <c r="J291" i="2"/>
  <c r="N291" i="2"/>
  <c r="S291" i="2"/>
  <c r="AA291" i="2"/>
  <c r="T291" i="2"/>
  <c r="K20" i="2"/>
  <c r="K21" i="2" s="1"/>
  <c r="P20" i="2"/>
  <c r="P21" i="2" s="1"/>
  <c r="AG71" i="2"/>
  <c r="AH71" i="2" s="1"/>
  <c r="P77" i="2"/>
  <c r="Q77" i="2"/>
  <c r="W77" i="2"/>
  <c r="N77" i="2"/>
  <c r="J77" i="2"/>
  <c r="AB77" i="2"/>
  <c r="F77" i="2"/>
  <c r="V77" i="2"/>
  <c r="I77" i="2"/>
  <c r="Y77" i="2"/>
  <c r="K77" i="2"/>
  <c r="S77" i="2"/>
  <c r="R77" i="2"/>
  <c r="AA77" i="2"/>
  <c r="O77" i="2"/>
  <c r="U77" i="2"/>
  <c r="T77" i="2"/>
  <c r="L77" i="2"/>
  <c r="H77" i="2"/>
  <c r="Z77" i="2"/>
  <c r="M77" i="2"/>
  <c r="G77" i="2"/>
  <c r="AE77" i="2"/>
  <c r="AF77" i="2"/>
  <c r="AC77" i="2"/>
  <c r="AD77" i="2"/>
  <c r="X77" i="2"/>
  <c r="K185" i="2"/>
  <c r="P185" i="2"/>
  <c r="S185" i="2"/>
  <c r="O185" i="2"/>
  <c r="J185" i="2"/>
  <c r="AB185" i="2"/>
  <c r="H185" i="2"/>
  <c r="W185" i="2"/>
  <c r="R185" i="2"/>
  <c r="G185" i="2"/>
  <c r="Z185" i="2"/>
  <c r="V185" i="2"/>
  <c r="AF185" i="2"/>
  <c r="AC185" i="2"/>
  <c r="I185" i="2"/>
  <c r="AA185" i="2"/>
  <c r="AE185" i="2"/>
  <c r="Y185" i="2"/>
  <c r="M185" i="2"/>
  <c r="L185" i="2"/>
  <c r="Q185" i="2"/>
  <c r="AD185" i="2"/>
  <c r="F185" i="2"/>
  <c r="U185" i="2"/>
  <c r="T185" i="2"/>
  <c r="N185" i="2"/>
  <c r="X185" i="2"/>
  <c r="AG220" i="2"/>
  <c r="AH220" i="2" s="1"/>
  <c r="P55" i="2"/>
  <c r="Z55" i="2"/>
  <c r="AB55" i="2"/>
  <c r="O55" i="2"/>
  <c r="AF55" i="2"/>
  <c r="W55" i="2"/>
  <c r="K55" i="2"/>
  <c r="AD55" i="2"/>
  <c r="U55" i="2"/>
  <c r="G55" i="2"/>
  <c r="N55" i="2"/>
  <c r="Q55" i="2"/>
  <c r="X55" i="2"/>
  <c r="AA55" i="2"/>
  <c r="AE55" i="2"/>
  <c r="S55" i="2"/>
  <c r="V55" i="2"/>
  <c r="R55" i="2"/>
  <c r="T55" i="2"/>
  <c r="AC55" i="2"/>
  <c r="Y55" i="2"/>
  <c r="H55" i="2"/>
  <c r="I55" i="2"/>
  <c r="P267" i="2"/>
  <c r="T267" i="2"/>
  <c r="R267" i="2"/>
  <c r="J267" i="2"/>
  <c r="H267" i="2"/>
  <c r="V267" i="2"/>
  <c r="Z267" i="2"/>
  <c r="O267" i="2"/>
  <c r="K267" i="2"/>
  <c r="G267" i="2"/>
  <c r="AB267" i="2"/>
  <c r="Y267" i="2"/>
  <c r="M267" i="2"/>
  <c r="N267" i="2"/>
  <c r="L267" i="2"/>
  <c r="AC267" i="2"/>
  <c r="AF267" i="2"/>
  <c r="X267" i="2"/>
  <c r="I267" i="2"/>
  <c r="F267" i="2"/>
  <c r="AD267" i="2"/>
  <c r="S267" i="2"/>
  <c r="U267" i="2"/>
  <c r="Q267" i="2"/>
  <c r="W267" i="2"/>
  <c r="AE267" i="2"/>
  <c r="AA267" i="2"/>
  <c r="P74" i="2"/>
  <c r="AA74" i="2"/>
  <c r="L74" i="2"/>
  <c r="V74" i="2"/>
  <c r="J74" i="2"/>
  <c r="Q74" i="2"/>
  <c r="K74" i="2"/>
  <c r="X74" i="2"/>
  <c r="Y74" i="2"/>
  <c r="G74" i="2"/>
  <c r="I74" i="2"/>
  <c r="U74" i="2"/>
  <c r="N74" i="2"/>
  <c r="AD74" i="2"/>
  <c r="AC74" i="2"/>
  <c r="F74" i="2"/>
  <c r="AE74" i="2"/>
  <c r="W74" i="2"/>
  <c r="AB74" i="2"/>
  <c r="R74" i="2"/>
  <c r="Z74" i="2"/>
  <c r="AF74" i="2"/>
  <c r="M74" i="2"/>
  <c r="S74" i="2"/>
  <c r="O74" i="2"/>
  <c r="H74" i="2"/>
  <c r="T74" i="2"/>
  <c r="AG299" i="2"/>
  <c r="AH299" i="2" s="1"/>
  <c r="R472" i="1"/>
  <c r="R474" i="1" s="1"/>
  <c r="R476" i="1" s="1"/>
  <c r="E177" i="2" s="1"/>
  <c r="M253" i="2"/>
  <c r="P253" i="2"/>
  <c r="J253" i="2"/>
  <c r="Y253" i="2"/>
  <c r="AA253" i="2"/>
  <c r="T253" i="2"/>
  <c r="H253" i="2"/>
  <c r="I253" i="2"/>
  <c r="X253" i="2"/>
  <c r="Q253" i="2"/>
  <c r="AC253" i="2"/>
  <c r="V253" i="2"/>
  <c r="AF253" i="2"/>
  <c r="AB253" i="2"/>
  <c r="AE253" i="2"/>
  <c r="K253" i="2"/>
  <c r="G253" i="2"/>
  <c r="N253" i="2"/>
  <c r="L253" i="2"/>
  <c r="AD253" i="2"/>
  <c r="S253" i="2"/>
  <c r="F253" i="2"/>
  <c r="Z253" i="2"/>
  <c r="U253" i="2"/>
  <c r="O253" i="2"/>
  <c r="W253" i="2"/>
  <c r="R253" i="2"/>
  <c r="E255" i="2"/>
  <c r="F210" i="2"/>
  <c r="F212" i="2" s="1"/>
  <c r="P210" i="2"/>
  <c r="P212" i="2" s="1"/>
  <c r="P305" i="2"/>
  <c r="Y305" i="2"/>
  <c r="H305" i="2"/>
  <c r="Q305" i="2"/>
  <c r="R305" i="2"/>
  <c r="I305" i="2"/>
  <c r="L305" i="2"/>
  <c r="J305" i="2"/>
  <c r="X305" i="2"/>
  <c r="S305" i="2"/>
  <c r="AA305" i="2"/>
  <c r="O305" i="2"/>
  <c r="V305" i="2"/>
  <c r="U305" i="2"/>
  <c r="Z305" i="2"/>
  <c r="AE305" i="2"/>
  <c r="G305" i="2"/>
  <c r="W305" i="2"/>
  <c r="AD305" i="2"/>
  <c r="T305" i="2"/>
  <c r="K305" i="2"/>
  <c r="AB305" i="2"/>
  <c r="M305" i="2"/>
  <c r="N305" i="2"/>
  <c r="AC305" i="2"/>
  <c r="F305" i="2"/>
  <c r="AF305" i="2"/>
  <c r="P264" i="2"/>
  <c r="AD264" i="2"/>
  <c r="AA264" i="2"/>
  <c r="T264" i="2"/>
  <c r="AE264" i="2"/>
  <c r="Z264" i="2"/>
  <c r="O264" i="2"/>
  <c r="M264" i="2"/>
  <c r="R264" i="2"/>
  <c r="W264" i="2"/>
  <c r="G264" i="2"/>
  <c r="H264" i="2"/>
  <c r="AB264" i="2"/>
  <c r="K264" i="2"/>
  <c r="S264" i="2"/>
  <c r="J264" i="2"/>
  <c r="U264" i="2"/>
  <c r="AC264" i="2"/>
  <c r="Y264" i="2"/>
  <c r="I264" i="2"/>
  <c r="V264" i="2"/>
  <c r="AF264" i="2"/>
  <c r="N264" i="2"/>
  <c r="F264" i="2"/>
  <c r="X264" i="2"/>
  <c r="L264" i="2"/>
  <c r="Q264" i="2"/>
  <c r="R339" i="1"/>
  <c r="V283" i="2"/>
  <c r="AB283" i="2"/>
  <c r="G283" i="2"/>
  <c r="S283" i="2"/>
  <c r="Y283" i="2"/>
  <c r="K283" i="2"/>
  <c r="W283" i="2"/>
  <c r="O283" i="2"/>
  <c r="P283" i="2"/>
  <c r="R283" i="2"/>
  <c r="AF283" i="2"/>
  <c r="T283" i="2"/>
  <c r="X283" i="2"/>
  <c r="Q283" i="2"/>
  <c r="AA283" i="2"/>
  <c r="AC283" i="2"/>
  <c r="N283" i="2"/>
  <c r="AD283" i="2"/>
  <c r="AE283" i="2"/>
  <c r="Z283" i="2"/>
  <c r="U283" i="2"/>
  <c r="I283" i="2"/>
  <c r="H283" i="2"/>
  <c r="AG523" i="2"/>
  <c r="F552" i="2"/>
  <c r="F575" i="2" s="1"/>
  <c r="AA339" i="1"/>
  <c r="P215" i="2"/>
  <c r="P217" i="2" s="1"/>
  <c r="X215" i="2"/>
  <c r="X217" i="2" s="1"/>
  <c r="T215" i="2"/>
  <c r="T217" i="2" s="1"/>
  <c r="AC215" i="2"/>
  <c r="AC217" i="2" s="1"/>
  <c r="H215" i="2"/>
  <c r="H217" i="2" s="1"/>
  <c r="V215" i="2"/>
  <c r="V217" i="2" s="1"/>
  <c r="O215" i="2"/>
  <c r="O217" i="2" s="1"/>
  <c r="AF215" i="2"/>
  <c r="AF217" i="2" s="1"/>
  <c r="Z215" i="2"/>
  <c r="Z217" i="2" s="1"/>
  <c r="F215" i="2"/>
  <c r="Q215" i="2"/>
  <c r="Q217" i="2" s="1"/>
  <c r="I215" i="2"/>
  <c r="I217" i="2" s="1"/>
  <c r="AE215" i="2"/>
  <c r="AE217" i="2" s="1"/>
  <c r="E217" i="2"/>
  <c r="K215" i="2"/>
  <c r="K217" i="2" s="1"/>
  <c r="Y215" i="2"/>
  <c r="Y217" i="2" s="1"/>
  <c r="N215" i="2"/>
  <c r="N217" i="2" s="1"/>
  <c r="AD215" i="2"/>
  <c r="AD217" i="2" s="1"/>
  <c r="S215" i="2"/>
  <c r="S217" i="2" s="1"/>
  <c r="R215" i="2"/>
  <c r="R217" i="2" s="1"/>
  <c r="L215" i="2"/>
  <c r="L217" i="2" s="1"/>
  <c r="W215" i="2"/>
  <c r="W217" i="2" s="1"/>
  <c r="AA215" i="2"/>
  <c r="AA217" i="2" s="1"/>
  <c r="AB215" i="2"/>
  <c r="AB217" i="2" s="1"/>
  <c r="J215" i="2"/>
  <c r="J217" i="2" s="1"/>
  <c r="M215" i="2"/>
  <c r="M217" i="2" s="1"/>
  <c r="G215" i="2"/>
  <c r="G217" i="2" s="1"/>
  <c r="U215" i="2"/>
  <c r="U217" i="2" s="1"/>
  <c r="E245" i="2"/>
  <c r="F245" i="2" s="1"/>
  <c r="M339" i="1"/>
  <c r="I229" i="2"/>
  <c r="P229" i="2"/>
  <c r="Y229" i="2"/>
  <c r="X229" i="2"/>
  <c r="L229" i="2"/>
  <c r="AE229" i="2"/>
  <c r="AF229" i="2"/>
  <c r="AA229" i="2"/>
  <c r="K229" i="2"/>
  <c r="AD229" i="2"/>
  <c r="V229" i="2"/>
  <c r="T229" i="2"/>
  <c r="G229" i="2"/>
  <c r="J229" i="2"/>
  <c r="R229" i="2"/>
  <c r="M229" i="2"/>
  <c r="S229" i="2"/>
  <c r="N229" i="2"/>
  <c r="H229" i="2"/>
  <c r="AB229" i="2"/>
  <c r="AC229" i="2"/>
  <c r="Z229" i="2"/>
  <c r="U229" i="2"/>
  <c r="F229" i="2"/>
  <c r="Q229" i="2"/>
  <c r="O229" i="2"/>
  <c r="W229" i="2"/>
  <c r="P261" i="2"/>
  <c r="Z261" i="2"/>
  <c r="AC261" i="2"/>
  <c r="R261" i="2"/>
  <c r="O261" i="2"/>
  <c r="U261" i="2"/>
  <c r="M261" i="2"/>
  <c r="Q261" i="2"/>
  <c r="W261" i="2"/>
  <c r="T261" i="2"/>
  <c r="X261" i="2"/>
  <c r="S261" i="2"/>
  <c r="F261" i="2"/>
  <c r="K261" i="2"/>
  <c r="I261" i="2"/>
  <c r="AE261" i="2"/>
  <c r="AD261" i="2"/>
  <c r="Y261" i="2"/>
  <c r="V261" i="2"/>
  <c r="AA261" i="2"/>
  <c r="J261" i="2"/>
  <c r="AB261" i="2"/>
  <c r="AF261" i="2"/>
  <c r="L261" i="2"/>
  <c r="G261" i="2"/>
  <c r="H261" i="2"/>
  <c r="N261" i="2"/>
  <c r="P226" i="2"/>
  <c r="Y226" i="2"/>
  <c r="G226" i="2"/>
  <c r="H226" i="2"/>
  <c r="J226" i="2"/>
  <c r="M226" i="2"/>
  <c r="AF226" i="2"/>
  <c r="W226" i="2"/>
  <c r="AE226" i="2"/>
  <c r="I226" i="2"/>
  <c r="F226" i="2"/>
  <c r="U226" i="2"/>
  <c r="AA226" i="2"/>
  <c r="Z226" i="2"/>
  <c r="Q226" i="2"/>
  <c r="AD226" i="2"/>
  <c r="O226" i="2"/>
  <c r="V226" i="2"/>
  <c r="AC226" i="2"/>
  <c r="L226" i="2"/>
  <c r="S226" i="2"/>
  <c r="R226" i="2"/>
  <c r="X226" i="2"/>
  <c r="T226" i="2"/>
  <c r="K226" i="2"/>
  <c r="AB226" i="2"/>
  <c r="N226" i="2"/>
  <c r="M294" i="1"/>
  <c r="M296" i="1" s="1"/>
  <c r="E258" i="2"/>
  <c r="U339" i="1"/>
  <c r="K63" i="2"/>
  <c r="P63" i="2"/>
  <c r="W63" i="2"/>
  <c r="AD63" i="2"/>
  <c r="Y63" i="2"/>
  <c r="I63" i="2"/>
  <c r="E65" i="2"/>
  <c r="J63" i="2"/>
  <c r="R63" i="2"/>
  <c r="Z63" i="2"/>
  <c r="V63" i="2"/>
  <c r="U63" i="2"/>
  <c r="N63" i="2"/>
  <c r="F63" i="2"/>
  <c r="O63" i="2"/>
  <c r="O65" i="2" s="1"/>
  <c r="G63" i="2"/>
  <c r="AF63" i="2"/>
  <c r="T63" i="2"/>
  <c r="Q63" i="2"/>
  <c r="AC63" i="2"/>
  <c r="X63" i="2"/>
  <c r="AB63" i="2"/>
  <c r="AA63" i="2"/>
  <c r="S63" i="2"/>
  <c r="AE63" i="2"/>
  <c r="H63" i="2"/>
  <c r="E242" i="2"/>
  <c r="AH242" i="2" s="1"/>
  <c r="K339" i="1"/>
  <c r="Y294" i="1"/>
  <c r="Y296" i="1" s="1"/>
  <c r="P302" i="2"/>
  <c r="AD302" i="2"/>
  <c r="L302" i="2"/>
  <c r="F302" i="2"/>
  <c r="Y302" i="2"/>
  <c r="AA302" i="2"/>
  <c r="Q302" i="2"/>
  <c r="AE302" i="2"/>
  <c r="W302" i="2"/>
  <c r="K302" i="2"/>
  <c r="R302" i="2"/>
  <c r="S302" i="2"/>
  <c r="AF302" i="2"/>
  <c r="Z302" i="2"/>
  <c r="T302" i="2"/>
  <c r="M302" i="2"/>
  <c r="AB302" i="2"/>
  <c r="O302" i="2"/>
  <c r="X302" i="2"/>
  <c r="N302" i="2"/>
  <c r="V302" i="2"/>
  <c r="H302" i="2"/>
  <c r="J302" i="2"/>
  <c r="U302" i="2"/>
  <c r="AC302" i="2"/>
  <c r="G302" i="2"/>
  <c r="I302" i="2"/>
  <c r="AB68" i="2"/>
  <c r="P68" i="2"/>
  <c r="W68" i="2"/>
  <c r="AC68" i="2"/>
  <c r="V68" i="2"/>
  <c r="Z68" i="2"/>
  <c r="AE68" i="2"/>
  <c r="L68" i="2"/>
  <c r="X68" i="2"/>
  <c r="G68" i="2"/>
  <c r="Y68" i="2"/>
  <c r="S68" i="2"/>
  <c r="H68" i="2"/>
  <c r="M68" i="2"/>
  <c r="F68" i="2"/>
  <c r="AA68" i="2"/>
  <c r="Q68" i="2"/>
  <c r="U68" i="2"/>
  <c r="I68" i="2"/>
  <c r="K68" i="2"/>
  <c r="J68" i="2"/>
  <c r="AF68" i="2"/>
  <c r="N68" i="2"/>
  <c r="O68" i="2"/>
  <c r="AD68" i="2"/>
  <c r="R68" i="2"/>
  <c r="T68" i="2"/>
  <c r="AB296" i="2"/>
  <c r="P296" i="2"/>
  <c r="J296" i="2"/>
  <c r="L296" i="2"/>
  <c r="AD296" i="2"/>
  <c r="K296" i="2"/>
  <c r="M296" i="2"/>
  <c r="W296" i="2"/>
  <c r="V296" i="2"/>
  <c r="R296" i="2"/>
  <c r="I296" i="2"/>
  <c r="F296" i="2"/>
  <c r="O296" i="2"/>
  <c r="U296" i="2"/>
  <c r="Q296" i="2"/>
  <c r="AF296" i="2"/>
  <c r="AE296" i="2"/>
  <c r="X296" i="2"/>
  <c r="Y296" i="2"/>
  <c r="T296" i="2"/>
  <c r="AC296" i="2"/>
  <c r="N296" i="2"/>
  <c r="S296" i="2"/>
  <c r="Z296" i="2"/>
  <c r="G296" i="2"/>
  <c r="AA296" i="2"/>
  <c r="H296" i="2"/>
  <c r="W140" i="1"/>
  <c r="W144" i="1" s="1"/>
  <c r="W155" i="1" s="1"/>
  <c r="E109" i="2" s="1"/>
  <c r="W341" i="1"/>
  <c r="E147" i="2"/>
  <c r="W298" i="1"/>
  <c r="F20" i="2"/>
  <c r="F21" i="2" s="1"/>
  <c r="AE20" i="2"/>
  <c r="AE21" i="2" s="1"/>
  <c r="O20" i="2"/>
  <c r="O21" i="2" s="1"/>
  <c r="AB288" i="1"/>
  <c r="AC288" i="1" s="1"/>
  <c r="N20" i="2"/>
  <c r="N21" i="2" s="1"/>
  <c r="AA20" i="2"/>
  <c r="AA21" i="2" s="1"/>
  <c r="W20" i="2"/>
  <c r="W21" i="2" s="1"/>
  <c r="AD20" i="2"/>
  <c r="AD21" i="2" s="1"/>
  <c r="Q20" i="2"/>
  <c r="Q21" i="2" s="1"/>
  <c r="U20" i="2"/>
  <c r="U21" i="2" s="1"/>
  <c r="S20" i="2"/>
  <c r="S21" i="2" s="1"/>
  <c r="AF20" i="2"/>
  <c r="AF21" i="2" s="1"/>
  <c r="H20" i="2"/>
  <c r="H21" i="2" s="1"/>
  <c r="V20" i="2"/>
  <c r="V21" i="2" s="1"/>
  <c r="E21" i="2"/>
  <c r="E40" i="2" s="1"/>
  <c r="T20" i="2"/>
  <c r="T21" i="2" s="1"/>
  <c r="I20" i="2"/>
  <c r="I21" i="2" s="1"/>
  <c r="AC20" i="2"/>
  <c r="AC21" i="2" s="1"/>
  <c r="X20" i="2"/>
  <c r="R20" i="2"/>
  <c r="R21" i="2" s="1"/>
  <c r="Z20" i="2"/>
  <c r="Z21" i="2" s="1"/>
  <c r="M20" i="2"/>
  <c r="Y20" i="2"/>
  <c r="Y21" i="2" s="1"/>
  <c r="J20" i="2"/>
  <c r="J21" i="2" s="1"/>
  <c r="G20" i="2"/>
  <c r="G21" i="2" s="1"/>
  <c r="L20" i="2"/>
  <c r="AB20" i="2"/>
  <c r="AB21" i="2" s="1"/>
  <c r="AB467" i="1"/>
  <c r="AC467" i="1" s="1"/>
  <c r="AB465" i="1"/>
  <c r="AC465" i="1" s="1"/>
  <c r="AB287" i="1"/>
  <c r="AC287" i="1" s="1"/>
  <c r="AB461" i="1"/>
  <c r="AC461" i="1" s="1"/>
  <c r="AB282" i="1"/>
  <c r="AC282" i="1" s="1"/>
  <c r="AB466" i="1"/>
  <c r="AC466" i="1" s="1"/>
  <c r="AB104" i="1"/>
  <c r="AC104" i="1" s="1"/>
  <c r="P333" i="1"/>
  <c r="P331" i="1"/>
  <c r="P327" i="1"/>
  <c r="E287" i="2" s="1"/>
  <c r="P283" i="1"/>
  <c r="P462" i="1"/>
  <c r="P335" i="1"/>
  <c r="P329" i="1"/>
  <c r="P289" i="1"/>
  <c r="P468" i="1"/>
  <c r="P292" i="1"/>
  <c r="P337" i="1"/>
  <c r="E59" i="2"/>
  <c r="P325" i="1"/>
  <c r="E249" i="2" s="1"/>
  <c r="AG211" i="2"/>
  <c r="AH211" i="2" s="1"/>
  <c r="O112" i="1"/>
  <c r="AB112" i="1" s="1"/>
  <c r="AC112" i="1" s="1"/>
  <c r="AB459" i="1"/>
  <c r="AC459" i="1" s="1"/>
  <c r="AA210" i="2"/>
  <c r="AA212" i="2" s="1"/>
  <c r="E212" i="2"/>
  <c r="K210" i="2"/>
  <c r="K212" i="2" s="1"/>
  <c r="U210" i="2"/>
  <c r="U212" i="2" s="1"/>
  <c r="T210" i="2"/>
  <c r="T212" i="2" s="1"/>
  <c r="S210" i="2"/>
  <c r="S212" i="2" s="1"/>
  <c r="Y210" i="2"/>
  <c r="Y212" i="2" s="1"/>
  <c r="AD210" i="2"/>
  <c r="AD212" i="2" s="1"/>
  <c r="AC210" i="2"/>
  <c r="AC212" i="2" s="1"/>
  <c r="O210" i="2"/>
  <c r="O212" i="2" s="1"/>
  <c r="V210" i="2"/>
  <c r="V212" i="2" s="1"/>
  <c r="X210" i="2"/>
  <c r="X212" i="2" s="1"/>
  <c r="H210" i="2"/>
  <c r="H212" i="2" s="1"/>
  <c r="AB210" i="2"/>
  <c r="AB212" i="2" s="1"/>
  <c r="AF210" i="2"/>
  <c r="AF212" i="2" s="1"/>
  <c r="I210" i="2"/>
  <c r="I212" i="2" s="1"/>
  <c r="N210" i="2"/>
  <c r="N212" i="2" s="1"/>
  <c r="J210" i="2"/>
  <c r="J212" i="2" s="1"/>
  <c r="Z210" i="2"/>
  <c r="Z212" i="2" s="1"/>
  <c r="Q210" i="2"/>
  <c r="Q212" i="2" s="1"/>
  <c r="R210" i="2"/>
  <c r="R212" i="2" s="1"/>
  <c r="W210" i="2"/>
  <c r="W212" i="2" s="1"/>
  <c r="AE210" i="2"/>
  <c r="AE212" i="2" s="1"/>
  <c r="G210" i="2"/>
  <c r="G212" i="2" s="1"/>
  <c r="AB280" i="1"/>
  <c r="AC280" i="1" s="1"/>
  <c r="F283" i="2"/>
  <c r="J441" i="2"/>
  <c r="J443" i="2"/>
  <c r="J496" i="2" s="1"/>
  <c r="Q65" i="2" l="1"/>
  <c r="T65" i="2"/>
  <c r="AA65" i="2"/>
  <c r="N293" i="2"/>
  <c r="Y65" i="2"/>
  <c r="S293" i="2"/>
  <c r="AD65" i="2"/>
  <c r="G293" i="2"/>
  <c r="U65" i="2"/>
  <c r="T293" i="2"/>
  <c r="AB65" i="2"/>
  <c r="V65" i="2"/>
  <c r="H65" i="2"/>
  <c r="Y293" i="2"/>
  <c r="W65" i="2"/>
  <c r="K293" i="2"/>
  <c r="G65" i="2"/>
  <c r="X293" i="2"/>
  <c r="F169" i="2"/>
  <c r="Z65" i="2"/>
  <c r="S178" i="2"/>
  <c r="G178" i="2"/>
  <c r="R178" i="2"/>
  <c r="AE65" i="2"/>
  <c r="X65" i="2"/>
  <c r="H298" i="1"/>
  <c r="E123" i="2"/>
  <c r="E497" i="2" s="1"/>
  <c r="AG497" i="2" s="1"/>
  <c r="AH497" i="2" s="1"/>
  <c r="L293" i="2"/>
  <c r="J293" i="2"/>
  <c r="Y182" i="2"/>
  <c r="R341" i="1"/>
  <c r="S65" i="2"/>
  <c r="I65" i="2"/>
  <c r="AE182" i="2"/>
  <c r="AF65" i="2"/>
  <c r="Z182" i="2"/>
  <c r="J65" i="2"/>
  <c r="G182" i="2"/>
  <c r="L182" i="2"/>
  <c r="F65" i="2"/>
  <c r="AA182" i="2"/>
  <c r="AC65" i="2"/>
  <c r="I178" i="2"/>
  <c r="F178" i="2"/>
  <c r="AA293" i="2"/>
  <c r="R293" i="2"/>
  <c r="V178" i="2"/>
  <c r="X178" i="2"/>
  <c r="H178" i="2"/>
  <c r="P65" i="2"/>
  <c r="Q178" i="2"/>
  <c r="AB178" i="2"/>
  <c r="N178" i="2"/>
  <c r="J178" i="2"/>
  <c r="K178" i="2"/>
  <c r="O178" i="2"/>
  <c r="AA178" i="2"/>
  <c r="AD178" i="2"/>
  <c r="M178" i="2"/>
  <c r="Z178" i="2"/>
  <c r="Y178" i="2"/>
  <c r="U178" i="2"/>
  <c r="T178" i="2"/>
  <c r="I169" i="2"/>
  <c r="W178" i="2"/>
  <c r="AC178" i="2"/>
  <c r="AF178" i="2"/>
  <c r="L178" i="2"/>
  <c r="I293" i="2"/>
  <c r="AD293" i="2"/>
  <c r="N65" i="2"/>
  <c r="AE293" i="2"/>
  <c r="V293" i="2"/>
  <c r="AC293" i="2"/>
  <c r="R65" i="2"/>
  <c r="AG64" i="2"/>
  <c r="AH64" i="2" s="1"/>
  <c r="K65" i="2"/>
  <c r="S341" i="1"/>
  <c r="U191" i="2"/>
  <c r="Y191" i="2"/>
  <c r="Q191" i="2"/>
  <c r="AB293" i="2"/>
  <c r="U102" i="2"/>
  <c r="W102" i="2"/>
  <c r="J102" i="2"/>
  <c r="R102" i="2"/>
  <c r="G102" i="2"/>
  <c r="AE102" i="2"/>
  <c r="H102" i="2"/>
  <c r="AA102" i="2"/>
  <c r="L102" i="2"/>
  <c r="AF102" i="2"/>
  <c r="Y102" i="2"/>
  <c r="N102" i="2"/>
  <c r="T102" i="2"/>
  <c r="X102" i="2"/>
  <c r="AB102" i="2"/>
  <c r="P102" i="2"/>
  <c r="F102" i="2"/>
  <c r="I102" i="2"/>
  <c r="S102" i="2"/>
  <c r="AC102" i="2"/>
  <c r="K102" i="2"/>
  <c r="Q102" i="2"/>
  <c r="V102" i="2"/>
  <c r="M102" i="2"/>
  <c r="AD102" i="2"/>
  <c r="O102" i="2"/>
  <c r="Z102" i="2"/>
  <c r="R298" i="1"/>
  <c r="S298" i="1"/>
  <c r="E140" i="2"/>
  <c r="E141" i="2" s="1"/>
  <c r="M293" i="2"/>
  <c r="U293" i="2"/>
  <c r="H293" i="2"/>
  <c r="R140" i="1"/>
  <c r="R144" i="1" s="1"/>
  <c r="R155" i="1" s="1"/>
  <c r="E101" i="2" s="1"/>
  <c r="E103" i="2" s="1"/>
  <c r="AG292" i="2"/>
  <c r="AH292" i="2" s="1"/>
  <c r="AF293" i="2"/>
  <c r="AF191" i="2"/>
  <c r="F191" i="2"/>
  <c r="M191" i="2"/>
  <c r="K191" i="2"/>
  <c r="W293" i="2"/>
  <c r="AE191" i="2"/>
  <c r="S191" i="2"/>
  <c r="AA341" i="1"/>
  <c r="V191" i="2"/>
  <c r="AB191" i="2"/>
  <c r="J191" i="2"/>
  <c r="X191" i="2"/>
  <c r="N191" i="2"/>
  <c r="L191" i="2"/>
  <c r="O293" i="2"/>
  <c r="Q293" i="2"/>
  <c r="T191" i="2"/>
  <c r="W191" i="2"/>
  <c r="AD191" i="2"/>
  <c r="O191" i="2"/>
  <c r="H191" i="2"/>
  <c r="AA140" i="1"/>
  <c r="AA144" i="1" s="1"/>
  <c r="AA155" i="1" s="1"/>
  <c r="E115" i="2" s="1"/>
  <c r="P115" i="2" s="1"/>
  <c r="I191" i="2"/>
  <c r="Z191" i="2"/>
  <c r="I294" i="1"/>
  <c r="I296" i="1" s="1"/>
  <c r="U298" i="1"/>
  <c r="E144" i="2"/>
  <c r="J144" i="2" s="1"/>
  <c r="U341" i="1"/>
  <c r="I472" i="1"/>
  <c r="I474" i="1" s="1"/>
  <c r="E128" i="2"/>
  <c r="E514" i="2" s="1"/>
  <c r="J182" i="2"/>
  <c r="N182" i="2"/>
  <c r="F182" i="2"/>
  <c r="R182" i="2"/>
  <c r="H182" i="2"/>
  <c r="X182" i="2"/>
  <c r="K298" i="1"/>
  <c r="K341" i="1"/>
  <c r="AD182" i="2"/>
  <c r="AB182" i="2"/>
  <c r="Q182" i="2"/>
  <c r="O182" i="2"/>
  <c r="S182" i="2"/>
  <c r="T182" i="2"/>
  <c r="K182" i="2"/>
  <c r="M182" i="2"/>
  <c r="AF182" i="2"/>
  <c r="I182" i="2"/>
  <c r="P182" i="2"/>
  <c r="AC182" i="2"/>
  <c r="U182" i="2"/>
  <c r="V182" i="2"/>
  <c r="N169" i="2"/>
  <c r="R191" i="2"/>
  <c r="E153" i="2"/>
  <c r="N153" i="2" s="1"/>
  <c r="X169" i="2"/>
  <c r="G191" i="2"/>
  <c r="K169" i="2"/>
  <c r="P169" i="2"/>
  <c r="AC191" i="2"/>
  <c r="P191" i="2"/>
  <c r="AE169" i="2"/>
  <c r="O169" i="2"/>
  <c r="V169" i="2"/>
  <c r="AF169" i="2"/>
  <c r="AC169" i="2"/>
  <c r="H169" i="2"/>
  <c r="G169" i="2"/>
  <c r="P255" i="2"/>
  <c r="R169" i="2"/>
  <c r="Y169" i="2"/>
  <c r="W169" i="2"/>
  <c r="U169" i="2"/>
  <c r="Q169" i="2"/>
  <c r="AA169" i="2"/>
  <c r="AD169" i="2"/>
  <c r="AB169" i="2"/>
  <c r="T169" i="2"/>
  <c r="Z169" i="2"/>
  <c r="U188" i="2"/>
  <c r="Z188" i="2"/>
  <c r="AC188" i="2"/>
  <c r="Y188" i="2"/>
  <c r="AE188" i="2"/>
  <c r="M188" i="2"/>
  <c r="R188" i="2"/>
  <c r="J188" i="2"/>
  <c r="W188" i="2"/>
  <c r="AA188" i="2"/>
  <c r="L188" i="2"/>
  <c r="AB188" i="2"/>
  <c r="O188" i="2"/>
  <c r="N188" i="2"/>
  <c r="AD188" i="2"/>
  <c r="S188" i="2"/>
  <c r="Q188" i="2"/>
  <c r="F188" i="2"/>
  <c r="K188" i="2"/>
  <c r="H188" i="2"/>
  <c r="AF188" i="2"/>
  <c r="G188" i="2"/>
  <c r="I339" i="1"/>
  <c r="V188" i="2"/>
  <c r="I188" i="2"/>
  <c r="T188" i="2"/>
  <c r="X188" i="2"/>
  <c r="W255" i="2"/>
  <c r="AB255" i="2"/>
  <c r="X255" i="2"/>
  <c r="L255" i="2"/>
  <c r="Y255" i="2"/>
  <c r="O255" i="2"/>
  <c r="K255" i="2"/>
  <c r="E532" i="2"/>
  <c r="AH532" i="2" s="1"/>
  <c r="AH90" i="2"/>
  <c r="R255" i="2"/>
  <c r="AE255" i="2"/>
  <c r="AC255" i="2"/>
  <c r="G153" i="2"/>
  <c r="F600" i="2"/>
  <c r="F626" i="2"/>
  <c r="AG226" i="2"/>
  <c r="AH226" i="2" s="1"/>
  <c r="E131" i="2"/>
  <c r="M140" i="1"/>
  <c r="M144" i="1" s="1"/>
  <c r="M155" i="1" s="1"/>
  <c r="E93" i="2" s="1"/>
  <c r="M298" i="1"/>
  <c r="M341" i="1"/>
  <c r="W177" i="2"/>
  <c r="P177" i="2"/>
  <c r="P179" i="2" s="1"/>
  <c r="J177" i="2"/>
  <c r="I177" i="2"/>
  <c r="V177" i="2"/>
  <c r="AB177" i="2"/>
  <c r="X177" i="2"/>
  <c r="AA177" i="2"/>
  <c r="E179" i="2"/>
  <c r="AE177" i="2"/>
  <c r="AE179" i="2" s="1"/>
  <c r="K177" i="2"/>
  <c r="N177" i="2"/>
  <c r="L177" i="2"/>
  <c r="S177" i="2"/>
  <c r="Y177" i="2"/>
  <c r="T177" i="2"/>
  <c r="H177" i="2"/>
  <c r="AD177" i="2"/>
  <c r="O177" i="2"/>
  <c r="M177" i="2"/>
  <c r="AC177" i="2"/>
  <c r="U177" i="2"/>
  <c r="F177" i="2"/>
  <c r="G177" i="2"/>
  <c r="Z177" i="2"/>
  <c r="AF177" i="2"/>
  <c r="Q177" i="2"/>
  <c r="R177" i="2"/>
  <c r="AG267" i="2"/>
  <c r="AH267" i="2" s="1"/>
  <c r="AG185" i="2"/>
  <c r="AH185" i="2" s="1"/>
  <c r="AD255" i="2"/>
  <c r="N255" i="2"/>
  <c r="I255" i="2"/>
  <c r="AG264" i="2"/>
  <c r="AH264" i="2" s="1"/>
  <c r="Z255" i="2"/>
  <c r="P147" i="2"/>
  <c r="U147" i="2"/>
  <c r="L147" i="2"/>
  <c r="Y147" i="2"/>
  <c r="V147" i="2"/>
  <c r="X147" i="2"/>
  <c r="AE147" i="2"/>
  <c r="T147" i="2"/>
  <c r="J147" i="2"/>
  <c r="Q147" i="2"/>
  <c r="AC147" i="2"/>
  <c r="I147" i="2"/>
  <c r="M147" i="2"/>
  <c r="K147" i="2"/>
  <c r="AD147" i="2"/>
  <c r="R147" i="2"/>
  <c r="F147" i="2"/>
  <c r="G147" i="2"/>
  <c r="Z147" i="2"/>
  <c r="AA147" i="2"/>
  <c r="N147" i="2"/>
  <c r="W147" i="2"/>
  <c r="S147" i="2"/>
  <c r="O147" i="2"/>
  <c r="H147" i="2"/>
  <c r="AB147" i="2"/>
  <c r="AF147" i="2"/>
  <c r="AG253" i="2"/>
  <c r="AH253" i="2" s="1"/>
  <c r="F255" i="2"/>
  <c r="Y59" i="2"/>
  <c r="P59" i="2"/>
  <c r="P109" i="2"/>
  <c r="X109" i="2"/>
  <c r="I109" i="2"/>
  <c r="F109" i="2"/>
  <c r="O109" i="2"/>
  <c r="L109" i="2"/>
  <c r="M109" i="2"/>
  <c r="G109" i="2"/>
  <c r="AF109" i="2"/>
  <c r="H109" i="2"/>
  <c r="Z109" i="2"/>
  <c r="AD109" i="2"/>
  <c r="AA109" i="2"/>
  <c r="V109" i="2"/>
  <c r="Y109" i="2"/>
  <c r="S109" i="2"/>
  <c r="AE109" i="2"/>
  <c r="U109" i="2"/>
  <c r="W109" i="2"/>
  <c r="N109" i="2"/>
  <c r="R109" i="2"/>
  <c r="AC109" i="2"/>
  <c r="Q109" i="2"/>
  <c r="K109" i="2"/>
  <c r="AB109" i="2"/>
  <c r="J109" i="2"/>
  <c r="T109" i="2"/>
  <c r="AG296" i="2"/>
  <c r="AH296" i="2" s="1"/>
  <c r="AG68" i="2"/>
  <c r="AH68" i="2" s="1"/>
  <c r="P258" i="2"/>
  <c r="R258" i="2"/>
  <c r="I258" i="2"/>
  <c r="G258" i="2"/>
  <c r="AF258" i="2"/>
  <c r="AA258" i="2"/>
  <c r="H258" i="2"/>
  <c r="Q258" i="2"/>
  <c r="X258" i="2"/>
  <c r="T258" i="2"/>
  <c r="J258" i="2"/>
  <c r="M258" i="2"/>
  <c r="Z258" i="2"/>
  <c r="N258" i="2"/>
  <c r="AC258" i="2"/>
  <c r="AB258" i="2"/>
  <c r="Y258" i="2"/>
  <c r="W258" i="2"/>
  <c r="AD258" i="2"/>
  <c r="AE258" i="2"/>
  <c r="L258" i="2"/>
  <c r="U258" i="2"/>
  <c r="S258" i="2"/>
  <c r="F258" i="2"/>
  <c r="O258" i="2"/>
  <c r="V258" i="2"/>
  <c r="K258" i="2"/>
  <c r="AG305" i="2"/>
  <c r="AH305" i="2" s="1"/>
  <c r="AG77" i="2"/>
  <c r="AH77" i="2" s="1"/>
  <c r="AG291" i="2"/>
  <c r="AH291" i="2" s="1"/>
  <c r="F293" i="2"/>
  <c r="H255" i="2"/>
  <c r="V255" i="2"/>
  <c r="U255" i="2"/>
  <c r="AG302" i="2"/>
  <c r="AH302" i="2" s="1"/>
  <c r="E231" i="2"/>
  <c r="E320" i="2" s="1"/>
  <c r="S287" i="2"/>
  <c r="P287" i="2"/>
  <c r="AF255" i="2"/>
  <c r="T255" i="2"/>
  <c r="J255" i="2"/>
  <c r="S139" i="2"/>
  <c r="P139" i="2"/>
  <c r="I139" i="2"/>
  <c r="AF139" i="2"/>
  <c r="Z139" i="2"/>
  <c r="T139" i="2"/>
  <c r="Q139" i="2"/>
  <c r="H139" i="2"/>
  <c r="J139" i="2"/>
  <c r="AC139" i="2"/>
  <c r="AB139" i="2"/>
  <c r="R139" i="2"/>
  <c r="K139" i="2"/>
  <c r="U139" i="2"/>
  <c r="W139" i="2"/>
  <c r="N139" i="2"/>
  <c r="Y139" i="2"/>
  <c r="O139" i="2"/>
  <c r="G139" i="2"/>
  <c r="AE139" i="2"/>
  <c r="V139" i="2"/>
  <c r="L139" i="2"/>
  <c r="AA139" i="2"/>
  <c r="AD139" i="2"/>
  <c r="X139" i="2"/>
  <c r="M139" i="2"/>
  <c r="F139" i="2"/>
  <c r="AE249" i="2"/>
  <c r="P249" i="2"/>
  <c r="Y298" i="1"/>
  <c r="E150" i="2"/>
  <c r="Y341" i="1"/>
  <c r="Y140" i="1"/>
  <c r="Y144" i="1" s="1"/>
  <c r="Y155" i="1" s="1"/>
  <c r="E112" i="2" s="1"/>
  <c r="AG261" i="2"/>
  <c r="AH261" i="2" s="1"/>
  <c r="AG229" i="2"/>
  <c r="AH229" i="2" s="1"/>
  <c r="AG74" i="2"/>
  <c r="AH74" i="2" s="1"/>
  <c r="S255" i="2"/>
  <c r="M255" i="2"/>
  <c r="AG254" i="2"/>
  <c r="AH254" i="2" s="1"/>
  <c r="K245" i="2"/>
  <c r="P245" i="2"/>
  <c r="O245" i="2"/>
  <c r="R245" i="2"/>
  <c r="Q245" i="2"/>
  <c r="AA245" i="2"/>
  <c r="I245" i="2"/>
  <c r="AF245" i="2"/>
  <c r="AD245" i="2"/>
  <c r="N245" i="2"/>
  <c r="T245" i="2"/>
  <c r="Y245" i="2"/>
  <c r="H245" i="2"/>
  <c r="S245" i="2"/>
  <c r="X245" i="2"/>
  <c r="AB245" i="2"/>
  <c r="AC245" i="2"/>
  <c r="U245" i="2"/>
  <c r="V245" i="2"/>
  <c r="G245" i="2"/>
  <c r="W245" i="2"/>
  <c r="Z245" i="2"/>
  <c r="AE245" i="2"/>
  <c r="AG215" i="2"/>
  <c r="AH215" i="2" s="1"/>
  <c r="F217" i="2"/>
  <c r="AG217" i="2" s="1"/>
  <c r="AH217" i="2" s="1"/>
  <c r="AA106" i="2"/>
  <c r="P106" i="2"/>
  <c r="AE106" i="2"/>
  <c r="U106" i="2"/>
  <c r="R106" i="2"/>
  <c r="V106" i="2"/>
  <c r="J106" i="2"/>
  <c r="AB106" i="2"/>
  <c r="I106" i="2"/>
  <c r="O106" i="2"/>
  <c r="F106" i="2"/>
  <c r="K106" i="2"/>
  <c r="M106" i="2"/>
  <c r="G106" i="2"/>
  <c r="H106" i="2"/>
  <c r="Z106" i="2"/>
  <c r="L106" i="2"/>
  <c r="N106" i="2"/>
  <c r="AF106" i="2"/>
  <c r="W106" i="2"/>
  <c r="AD106" i="2"/>
  <c r="X106" i="2"/>
  <c r="T106" i="2"/>
  <c r="S106" i="2"/>
  <c r="Q106" i="2"/>
  <c r="AC106" i="2"/>
  <c r="Y106" i="2"/>
  <c r="AA255" i="2"/>
  <c r="G255" i="2"/>
  <c r="Q255" i="2"/>
  <c r="J449" i="2"/>
  <c r="AG20" i="2"/>
  <c r="AH20" i="2" s="1"/>
  <c r="X21" i="2"/>
  <c r="AC59" i="2"/>
  <c r="N59" i="2"/>
  <c r="AB59" i="2"/>
  <c r="L59" i="2"/>
  <c r="W59" i="2"/>
  <c r="X59" i="2"/>
  <c r="AD59" i="2"/>
  <c r="AA59" i="2"/>
  <c r="S59" i="2"/>
  <c r="O59" i="2"/>
  <c r="Z59" i="2"/>
  <c r="J59" i="2"/>
  <c r="AC287" i="2"/>
  <c r="K287" i="2"/>
  <c r="H59" i="2"/>
  <c r="F59" i="2"/>
  <c r="T59" i="2"/>
  <c r="V59" i="2"/>
  <c r="AF59" i="2"/>
  <c r="M59" i="2"/>
  <c r="U59" i="2"/>
  <c r="AE59" i="2"/>
  <c r="I59" i="2"/>
  <c r="G59" i="2"/>
  <c r="F249" i="2"/>
  <c r="O249" i="2"/>
  <c r="R287" i="2"/>
  <c r="I287" i="2"/>
  <c r="P472" i="1"/>
  <c r="P474" i="1" s="1"/>
  <c r="P476" i="1" s="1"/>
  <c r="E173" i="2" s="1"/>
  <c r="H287" i="2"/>
  <c r="Q287" i="2"/>
  <c r="Z287" i="2"/>
  <c r="M287" i="2"/>
  <c r="W287" i="2"/>
  <c r="X287" i="2"/>
  <c r="O287" i="2"/>
  <c r="V287" i="2"/>
  <c r="F287" i="2"/>
  <c r="AE287" i="2"/>
  <c r="AF249" i="2"/>
  <c r="AA249" i="2"/>
  <c r="Y249" i="2"/>
  <c r="K249" i="2"/>
  <c r="AD249" i="2"/>
  <c r="AC249" i="2"/>
  <c r="S249" i="2"/>
  <c r="Z249" i="2"/>
  <c r="J249" i="2"/>
  <c r="Q249" i="2"/>
  <c r="M249" i="2"/>
  <c r="N249" i="2"/>
  <c r="H249" i="2"/>
  <c r="V249" i="2"/>
  <c r="U249" i="2"/>
  <c r="X249" i="2"/>
  <c r="R249" i="2"/>
  <c r="W249" i="2"/>
  <c r="G249" i="2"/>
  <c r="I249" i="2"/>
  <c r="AB249" i="2"/>
  <c r="T249" i="2"/>
  <c r="L249" i="2"/>
  <c r="T287" i="2"/>
  <c r="AA287" i="2"/>
  <c r="G287" i="2"/>
  <c r="P339" i="1"/>
  <c r="P294" i="1"/>
  <c r="P296" i="1" s="1"/>
  <c r="P140" i="1" s="1"/>
  <c r="P144" i="1" s="1"/>
  <c r="P155" i="1" s="1"/>
  <c r="E97" i="2" s="1"/>
  <c r="U287" i="2"/>
  <c r="Y287" i="2"/>
  <c r="K59" i="2"/>
  <c r="AD287" i="2"/>
  <c r="AF287" i="2"/>
  <c r="AB287" i="2"/>
  <c r="J287" i="2"/>
  <c r="L287" i="2"/>
  <c r="N287" i="2"/>
  <c r="R59" i="2"/>
  <c r="Q59" i="2"/>
  <c r="O115" i="1"/>
  <c r="AB115" i="1" s="1"/>
  <c r="AC115" i="1" s="1"/>
  <c r="E277" i="2"/>
  <c r="E239" i="2"/>
  <c r="R179" i="2" l="1"/>
  <c r="AB179" i="2"/>
  <c r="G179" i="2"/>
  <c r="Y179" i="2"/>
  <c r="S179" i="2"/>
  <c r="E512" i="2"/>
  <c r="E521" i="2" s="1"/>
  <c r="M179" i="2"/>
  <c r="I179" i="2"/>
  <c r="Q179" i="2"/>
  <c r="AF179" i="2"/>
  <c r="E499" i="2"/>
  <c r="J499" i="2" s="1"/>
  <c r="J500" i="2" s="1"/>
  <c r="N179" i="2"/>
  <c r="J179" i="2"/>
  <c r="Z179" i="2"/>
  <c r="AC115" i="2"/>
  <c r="L179" i="2"/>
  <c r="O153" i="2"/>
  <c r="T179" i="2"/>
  <c r="AD153" i="2"/>
  <c r="L153" i="2"/>
  <c r="H153" i="2"/>
  <c r="V179" i="2"/>
  <c r="M153" i="2"/>
  <c r="K153" i="2"/>
  <c r="K179" i="2"/>
  <c r="Y153" i="2"/>
  <c r="F153" i="2"/>
  <c r="S153" i="2"/>
  <c r="AB153" i="2"/>
  <c r="AE153" i="2"/>
  <c r="Q153" i="2"/>
  <c r="R153" i="2"/>
  <c r="AC153" i="2"/>
  <c r="U153" i="2"/>
  <c r="I153" i="2"/>
  <c r="T153" i="2"/>
  <c r="W153" i="2"/>
  <c r="AF153" i="2"/>
  <c r="X153" i="2"/>
  <c r="H179" i="2"/>
  <c r="W179" i="2"/>
  <c r="AA179" i="2"/>
  <c r="AC179" i="2"/>
  <c r="AG178" i="2"/>
  <c r="AH178" i="2" s="1"/>
  <c r="AD179" i="2"/>
  <c r="AH128" i="2"/>
  <c r="U179" i="2"/>
  <c r="O179" i="2"/>
  <c r="X179" i="2"/>
  <c r="V153" i="2"/>
  <c r="Y101" i="2"/>
  <c r="Y103" i="2" s="1"/>
  <c r="H101" i="2"/>
  <c r="H103" i="2" s="1"/>
  <c r="U144" i="2"/>
  <c r="N101" i="2"/>
  <c r="N103" i="2" s="1"/>
  <c r="O101" i="2"/>
  <c r="O103" i="2" s="1"/>
  <c r="U101" i="2"/>
  <c r="U103" i="2" s="1"/>
  <c r="T101" i="2"/>
  <c r="T103" i="2" s="1"/>
  <c r="N115" i="2"/>
  <c r="G144" i="2"/>
  <c r="K101" i="2"/>
  <c r="K103" i="2" s="1"/>
  <c r="AB101" i="2"/>
  <c r="AB103" i="2" s="1"/>
  <c r="AA101" i="2"/>
  <c r="AA103" i="2" s="1"/>
  <c r="T115" i="2"/>
  <c r="AF144" i="2"/>
  <c r="F101" i="2"/>
  <c r="F103" i="2" s="1"/>
  <c r="Q101" i="2"/>
  <c r="Q103" i="2" s="1"/>
  <c r="AF101" i="2"/>
  <c r="AF103" i="2" s="1"/>
  <c r="I115" i="2"/>
  <c r="Q144" i="2"/>
  <c r="Z101" i="2"/>
  <c r="Z103" i="2" s="1"/>
  <c r="V101" i="2"/>
  <c r="V103" i="2" s="1"/>
  <c r="S101" i="2"/>
  <c r="S103" i="2" s="1"/>
  <c r="P101" i="2"/>
  <c r="P103" i="2" s="1"/>
  <c r="L115" i="2"/>
  <c r="AE144" i="2"/>
  <c r="J101" i="2"/>
  <c r="J103" i="2" s="1"/>
  <c r="W101" i="2"/>
  <c r="W103" i="2" s="1"/>
  <c r="X101" i="2"/>
  <c r="X103" i="2" s="1"/>
  <c r="W115" i="2"/>
  <c r="W144" i="2"/>
  <c r="AC101" i="2"/>
  <c r="AC103" i="2" s="1"/>
  <c r="AD101" i="2"/>
  <c r="AD103" i="2" s="1"/>
  <c r="R101" i="2"/>
  <c r="R103" i="2" s="1"/>
  <c r="AE101" i="2"/>
  <c r="AE103" i="2" s="1"/>
  <c r="I101" i="2"/>
  <c r="I103" i="2" s="1"/>
  <c r="G101" i="2"/>
  <c r="G103" i="2" s="1"/>
  <c r="AG102" i="2"/>
  <c r="AH102" i="2" s="1"/>
  <c r="AD140" i="2"/>
  <c r="AD141" i="2" s="1"/>
  <c r="M140" i="2"/>
  <c r="M141" i="2" s="1"/>
  <c r="X140" i="2"/>
  <c r="X141" i="2" s="1"/>
  <c r="W140" i="2"/>
  <c r="W141" i="2" s="1"/>
  <c r="K140" i="2"/>
  <c r="K141" i="2" s="1"/>
  <c r="S140" i="2"/>
  <c r="S141" i="2" s="1"/>
  <c r="T140" i="2"/>
  <c r="T141" i="2" s="1"/>
  <c r="AB140" i="2"/>
  <c r="AB141" i="2" s="1"/>
  <c r="AF140" i="2"/>
  <c r="AF141" i="2" s="1"/>
  <c r="AA140" i="2"/>
  <c r="AA141" i="2" s="1"/>
  <c r="Q140" i="2"/>
  <c r="Q141" i="2" s="1"/>
  <c r="O140" i="2"/>
  <c r="O141" i="2" s="1"/>
  <c r="N140" i="2"/>
  <c r="N141" i="2" s="1"/>
  <c r="I140" i="2"/>
  <c r="I141" i="2" s="1"/>
  <c r="H140" i="2"/>
  <c r="H141" i="2" s="1"/>
  <c r="F140" i="2"/>
  <c r="F141" i="2" s="1"/>
  <c r="AC140" i="2"/>
  <c r="AC141" i="2" s="1"/>
  <c r="J140" i="2"/>
  <c r="J141" i="2" s="1"/>
  <c r="Y140" i="2"/>
  <c r="Y141" i="2" s="1"/>
  <c r="AE140" i="2"/>
  <c r="AE141" i="2" s="1"/>
  <c r="U140" i="2"/>
  <c r="U141" i="2" s="1"/>
  <c r="V140" i="2"/>
  <c r="V141" i="2" s="1"/>
  <c r="Z140" i="2"/>
  <c r="Z141" i="2" s="1"/>
  <c r="P140" i="2"/>
  <c r="P141" i="2" s="1"/>
  <c r="R140" i="2"/>
  <c r="R141" i="2" s="1"/>
  <c r="G140" i="2"/>
  <c r="G141" i="2" s="1"/>
  <c r="L140" i="2"/>
  <c r="L141" i="2" s="1"/>
  <c r="F115" i="2"/>
  <c r="AD115" i="2"/>
  <c r="V115" i="2"/>
  <c r="H144" i="2"/>
  <c r="O144" i="2"/>
  <c r="M144" i="2"/>
  <c r="S115" i="2"/>
  <c r="AF115" i="2"/>
  <c r="G115" i="2"/>
  <c r="F144" i="2"/>
  <c r="AD144" i="2"/>
  <c r="V144" i="2"/>
  <c r="AA115" i="2"/>
  <c r="Q115" i="2"/>
  <c r="Y115" i="2"/>
  <c r="AG293" i="2"/>
  <c r="AH293" i="2" s="1"/>
  <c r="S144" i="2"/>
  <c r="N144" i="2"/>
  <c r="L144" i="2"/>
  <c r="X144" i="2"/>
  <c r="K115" i="2"/>
  <c r="H115" i="2"/>
  <c r="Z115" i="2"/>
  <c r="O115" i="2"/>
  <c r="K144" i="2"/>
  <c r="I144" i="2"/>
  <c r="Y144" i="2"/>
  <c r="T144" i="2"/>
  <c r="U115" i="2"/>
  <c r="R115" i="2"/>
  <c r="AE115" i="2"/>
  <c r="AB115" i="2"/>
  <c r="R144" i="2"/>
  <c r="AA144" i="2"/>
  <c r="AB144" i="2"/>
  <c r="P144" i="2"/>
  <c r="J115" i="2"/>
  <c r="X115" i="2"/>
  <c r="M115" i="2"/>
  <c r="Z144" i="2"/>
  <c r="AC144" i="2"/>
  <c r="AB499" i="2"/>
  <c r="AB500" i="2" s="1"/>
  <c r="AC499" i="2"/>
  <c r="AC500" i="2" s="1"/>
  <c r="AD499" i="2"/>
  <c r="AD500" i="2" s="1"/>
  <c r="S499" i="2"/>
  <c r="S500" i="2" s="1"/>
  <c r="Q499" i="2"/>
  <c r="Q500" i="2" s="1"/>
  <c r="H499" i="2"/>
  <c r="H500" i="2" s="1"/>
  <c r="F499" i="2"/>
  <c r="F500" i="2" s="1"/>
  <c r="P153" i="2"/>
  <c r="J153" i="2"/>
  <c r="Z153" i="2"/>
  <c r="AA153" i="2"/>
  <c r="AG182" i="2"/>
  <c r="AH182" i="2" s="1"/>
  <c r="AG191" i="2"/>
  <c r="AH191" i="2" s="1"/>
  <c r="AG188" i="2"/>
  <c r="AH188" i="2" s="1"/>
  <c r="AF150" i="2"/>
  <c r="P150" i="2"/>
  <c r="AD150" i="2"/>
  <c r="H150" i="2"/>
  <c r="K150" i="2"/>
  <c r="N150" i="2"/>
  <c r="Y150" i="2"/>
  <c r="L150" i="2"/>
  <c r="W150" i="2"/>
  <c r="AB150" i="2"/>
  <c r="S150" i="2"/>
  <c r="V150" i="2"/>
  <c r="U150" i="2"/>
  <c r="I150" i="2"/>
  <c r="AA150" i="2"/>
  <c r="O150" i="2"/>
  <c r="Q150" i="2"/>
  <c r="AC150" i="2"/>
  <c r="M150" i="2"/>
  <c r="J150" i="2"/>
  <c r="F150" i="2"/>
  <c r="Z150" i="2"/>
  <c r="T150" i="2"/>
  <c r="X150" i="2"/>
  <c r="R150" i="2"/>
  <c r="G150" i="2"/>
  <c r="AE150" i="2"/>
  <c r="AG255" i="2"/>
  <c r="AH255" i="2" s="1"/>
  <c r="K97" i="2"/>
  <c r="P97" i="2"/>
  <c r="AG258" i="2"/>
  <c r="AH258" i="2" s="1"/>
  <c r="AG109" i="2"/>
  <c r="AH109" i="2" s="1"/>
  <c r="P93" i="2"/>
  <c r="X93" i="2"/>
  <c r="V93" i="2"/>
  <c r="I93" i="2"/>
  <c r="R93" i="2"/>
  <c r="AB93" i="2"/>
  <c r="S93" i="2"/>
  <c r="AC93" i="2"/>
  <c r="AD93" i="2"/>
  <c r="Z93" i="2"/>
  <c r="H93" i="2"/>
  <c r="N93" i="2"/>
  <c r="O93" i="2"/>
  <c r="W93" i="2"/>
  <c r="G93" i="2"/>
  <c r="Q93" i="2"/>
  <c r="T93" i="2"/>
  <c r="AF93" i="2"/>
  <c r="AA93" i="2"/>
  <c r="AE93" i="2"/>
  <c r="U93" i="2"/>
  <c r="Y93" i="2"/>
  <c r="K93" i="2"/>
  <c r="F93" i="2"/>
  <c r="AG177" i="2"/>
  <c r="AH177" i="2" s="1"/>
  <c r="F179" i="2"/>
  <c r="AG139" i="2"/>
  <c r="AH139" i="2" s="1"/>
  <c r="I131" i="2"/>
  <c r="P131" i="2"/>
  <c r="AE131" i="2"/>
  <c r="AF131" i="2"/>
  <c r="K131" i="2"/>
  <c r="AD131" i="2"/>
  <c r="V131" i="2"/>
  <c r="W131" i="2"/>
  <c r="H131" i="2"/>
  <c r="Y131" i="2"/>
  <c r="R131" i="2"/>
  <c r="AA131" i="2"/>
  <c r="T131" i="2"/>
  <c r="Q131" i="2"/>
  <c r="G131" i="2"/>
  <c r="AB131" i="2"/>
  <c r="N131" i="2"/>
  <c r="S131" i="2"/>
  <c r="U131" i="2"/>
  <c r="Z131" i="2"/>
  <c r="O131" i="2"/>
  <c r="X131" i="2"/>
  <c r="AC131" i="2"/>
  <c r="F131" i="2"/>
  <c r="H173" i="2"/>
  <c r="P173" i="2"/>
  <c r="AG106" i="2"/>
  <c r="AH106" i="2" s="1"/>
  <c r="N112" i="2"/>
  <c r="P112" i="2"/>
  <c r="O112" i="2"/>
  <c r="J112" i="2"/>
  <c r="G112" i="2"/>
  <c r="AB112" i="2"/>
  <c r="AF112" i="2"/>
  <c r="H112" i="2"/>
  <c r="AC112" i="2"/>
  <c r="S112" i="2"/>
  <c r="T112" i="2"/>
  <c r="W112" i="2"/>
  <c r="AA112" i="2"/>
  <c r="Q112" i="2"/>
  <c r="R112" i="2"/>
  <c r="X112" i="2"/>
  <c r="Y112" i="2"/>
  <c r="AD112" i="2"/>
  <c r="AE112" i="2"/>
  <c r="K112" i="2"/>
  <c r="V112" i="2"/>
  <c r="Z112" i="2"/>
  <c r="U112" i="2"/>
  <c r="L112" i="2"/>
  <c r="F112" i="2"/>
  <c r="I112" i="2"/>
  <c r="M112" i="2"/>
  <c r="E523" i="2"/>
  <c r="AH514" i="2"/>
  <c r="AG147" i="2"/>
  <c r="AH147" i="2" s="1"/>
  <c r="Y173" i="2"/>
  <c r="O173" i="2"/>
  <c r="AD97" i="2"/>
  <c r="AA173" i="2"/>
  <c r="K173" i="2"/>
  <c r="AB173" i="2"/>
  <c r="V173" i="2"/>
  <c r="S173" i="2"/>
  <c r="J173" i="2"/>
  <c r="F173" i="2"/>
  <c r="T173" i="2"/>
  <c r="AF173" i="2"/>
  <c r="X97" i="2"/>
  <c r="I173" i="2"/>
  <c r="X173" i="2"/>
  <c r="R173" i="2"/>
  <c r="M97" i="2"/>
  <c r="Q173" i="2"/>
  <c r="W173" i="2"/>
  <c r="AD173" i="2"/>
  <c r="J97" i="2"/>
  <c r="M173" i="2"/>
  <c r="Z173" i="2"/>
  <c r="N173" i="2"/>
  <c r="AE173" i="2"/>
  <c r="G173" i="2"/>
  <c r="U173" i="2"/>
  <c r="AC173" i="2"/>
  <c r="L173" i="2"/>
  <c r="AG249" i="2"/>
  <c r="AH249" i="2" s="1"/>
  <c r="AB97" i="2"/>
  <c r="W97" i="2"/>
  <c r="AF97" i="2"/>
  <c r="G97" i="2"/>
  <c r="H97" i="2"/>
  <c r="F97" i="2"/>
  <c r="P341" i="1"/>
  <c r="AE97" i="2"/>
  <c r="N97" i="2"/>
  <c r="E135" i="2"/>
  <c r="P135" i="2" s="1"/>
  <c r="L97" i="2"/>
  <c r="T97" i="2"/>
  <c r="R97" i="2"/>
  <c r="P298" i="1"/>
  <c r="E534" i="2"/>
  <c r="I97" i="2"/>
  <c r="Y97" i="2"/>
  <c r="O97" i="2"/>
  <c r="V97" i="2"/>
  <c r="AC97" i="2"/>
  <c r="Q97" i="2"/>
  <c r="AA97" i="2"/>
  <c r="U97" i="2"/>
  <c r="Z97" i="2"/>
  <c r="S97" i="2"/>
  <c r="AG59" i="2"/>
  <c r="AH59" i="2" s="1"/>
  <c r="AG287" i="2"/>
  <c r="AH287" i="2" s="1"/>
  <c r="O135" i="1"/>
  <c r="O137" i="1" s="1"/>
  <c r="I476" i="1"/>
  <c r="I341" i="1"/>
  <c r="I140" i="1"/>
  <c r="E124" i="2"/>
  <c r="E504" i="2" s="1"/>
  <c r="I298" i="1"/>
  <c r="J456" i="2"/>
  <c r="J477" i="2" s="1"/>
  <c r="T499" i="2" l="1"/>
  <c r="T500" i="2" s="1"/>
  <c r="AA499" i="2"/>
  <c r="AA500" i="2" s="1"/>
  <c r="AE499" i="2"/>
  <c r="AE500" i="2" s="1"/>
  <c r="I499" i="2"/>
  <c r="I500" i="2" s="1"/>
  <c r="U499" i="2"/>
  <c r="U500" i="2" s="1"/>
  <c r="R499" i="2"/>
  <c r="R500" i="2" s="1"/>
  <c r="K499" i="2"/>
  <c r="K500" i="2" s="1"/>
  <c r="V499" i="2"/>
  <c r="V500" i="2" s="1"/>
  <c r="Y499" i="2"/>
  <c r="Y500" i="2" s="1"/>
  <c r="G499" i="2"/>
  <c r="G500" i="2" s="1"/>
  <c r="W499" i="2"/>
  <c r="W500" i="2" s="1"/>
  <c r="X499" i="2"/>
  <c r="X500" i="2" s="1"/>
  <c r="O499" i="2"/>
  <c r="O500" i="2" s="1"/>
  <c r="AF499" i="2"/>
  <c r="AF500" i="2" s="1"/>
  <c r="E500" i="2"/>
  <c r="P499" i="2"/>
  <c r="P500" i="2" s="1"/>
  <c r="N499" i="2"/>
  <c r="N500" i="2" s="1"/>
  <c r="Z499" i="2"/>
  <c r="Z500" i="2" s="1"/>
  <c r="AG179" i="2"/>
  <c r="AH179" i="2" s="1"/>
  <c r="AG140" i="2"/>
  <c r="AH140" i="2" s="1"/>
  <c r="AG141" i="2"/>
  <c r="AH141" i="2" s="1"/>
  <c r="AG144" i="2"/>
  <c r="AH144" i="2" s="1"/>
  <c r="AG115" i="2"/>
  <c r="AH115" i="2" s="1"/>
  <c r="AG504" i="2"/>
  <c r="AH504" i="2" s="1"/>
  <c r="E506" i="2"/>
  <c r="J534" i="2"/>
  <c r="J563" i="2" s="1"/>
  <c r="AG153" i="2"/>
  <c r="AH153" i="2" s="1"/>
  <c r="L534" i="2"/>
  <c r="H534" i="2"/>
  <c r="H637" i="2" s="1"/>
  <c r="F534" i="2"/>
  <c r="F563" i="2" s="1"/>
  <c r="AE534" i="2"/>
  <c r="AE637" i="2" s="1"/>
  <c r="AE638" i="2" s="1"/>
  <c r="O534" i="2"/>
  <c r="O563" i="2" s="1"/>
  <c r="P534" i="2"/>
  <c r="P563" i="2" s="1"/>
  <c r="K534" i="2"/>
  <c r="AG150" i="2"/>
  <c r="AH150" i="2" s="1"/>
  <c r="AG112" i="2"/>
  <c r="AH112" i="2" s="1"/>
  <c r="S534" i="2"/>
  <c r="Y534" i="2"/>
  <c r="Y563" i="2" s="1"/>
  <c r="N534" i="2"/>
  <c r="W534" i="2"/>
  <c r="W563" i="2" s="1"/>
  <c r="Z534" i="2"/>
  <c r="Z563" i="2" s="1"/>
  <c r="I534" i="2"/>
  <c r="AB534" i="2"/>
  <c r="AB637" i="2" s="1"/>
  <c r="AB638" i="2" s="1"/>
  <c r="U534" i="2"/>
  <c r="AA534" i="2"/>
  <c r="AA637" i="2" s="1"/>
  <c r="AA638" i="2" s="1"/>
  <c r="X534" i="2"/>
  <c r="X637" i="2" s="1"/>
  <c r="X638" i="2" s="1"/>
  <c r="Q534" i="2"/>
  <c r="R534" i="2"/>
  <c r="AC534" i="2"/>
  <c r="AC637" i="2" s="1"/>
  <c r="AC638" i="2" s="1"/>
  <c r="T534" i="2"/>
  <c r="AD534" i="2"/>
  <c r="AD563" i="2" s="1"/>
  <c r="V534" i="2"/>
  <c r="G534" i="2"/>
  <c r="AF534" i="2"/>
  <c r="AF637" i="2" s="1"/>
  <c r="AF638" i="2" s="1"/>
  <c r="M534" i="2"/>
  <c r="N135" i="2"/>
  <c r="N516" i="2" s="1"/>
  <c r="E516" i="2"/>
  <c r="J484" i="2"/>
  <c r="J487" i="2" s="1"/>
  <c r="J488" i="2" s="1"/>
  <c r="J489" i="2" s="1"/>
  <c r="J480" i="2"/>
  <c r="J481" i="2" s="1"/>
  <c r="J482" i="2" s="1"/>
  <c r="J16" i="2" s="1"/>
  <c r="L135" i="2"/>
  <c r="L516" i="2" s="1"/>
  <c r="W135" i="2"/>
  <c r="W516" i="2" s="1"/>
  <c r="W554" i="2" s="1"/>
  <c r="M135" i="2"/>
  <c r="M516" i="2" s="1"/>
  <c r="O135" i="2"/>
  <c r="O516" i="2" s="1"/>
  <c r="I135" i="2"/>
  <c r="I516" i="2" s="1"/>
  <c r="H135" i="2"/>
  <c r="H516" i="2" s="1"/>
  <c r="R135" i="2"/>
  <c r="R516" i="2" s="1"/>
  <c r="T135" i="2"/>
  <c r="T516" i="2" s="1"/>
  <c r="J135" i="2"/>
  <c r="J516" i="2" s="1"/>
  <c r="AF135" i="2"/>
  <c r="AF516" i="2" s="1"/>
  <c r="F135" i="2"/>
  <c r="F516" i="2" s="1"/>
  <c r="G135" i="2"/>
  <c r="G516" i="2" s="1"/>
  <c r="U135" i="2"/>
  <c r="U516" i="2" s="1"/>
  <c r="K135" i="2"/>
  <c r="K516" i="2" s="1"/>
  <c r="AC135" i="2"/>
  <c r="AC516" i="2" s="1"/>
  <c r="AC554" i="2" s="1"/>
  <c r="AG173" i="2"/>
  <c r="AH173" i="2" s="1"/>
  <c r="AD135" i="2"/>
  <c r="AD516" i="2" s="1"/>
  <c r="AD554" i="2" s="1"/>
  <c r="Z135" i="2"/>
  <c r="Z516" i="2" s="1"/>
  <c r="Z554" i="2" s="1"/>
  <c r="Y135" i="2"/>
  <c r="Y516" i="2" s="1"/>
  <c r="Y554" i="2" s="1"/>
  <c r="Q135" i="2"/>
  <c r="Q516" i="2" s="1"/>
  <c r="S135" i="2"/>
  <c r="S516" i="2" s="1"/>
  <c r="AA135" i="2"/>
  <c r="AA516" i="2" s="1"/>
  <c r="AA554" i="2" s="1"/>
  <c r="AE135" i="2"/>
  <c r="V135" i="2"/>
  <c r="V516" i="2" s="1"/>
  <c r="P516" i="2"/>
  <c r="AB135" i="2"/>
  <c r="AB516" i="2" s="1"/>
  <c r="AB554" i="2" s="1"/>
  <c r="X135" i="2"/>
  <c r="X516" i="2" s="1"/>
  <c r="X554" i="2" s="1"/>
  <c r="AG97" i="2"/>
  <c r="AH97" i="2" s="1"/>
  <c r="AB135" i="1"/>
  <c r="AC135" i="1" s="1"/>
  <c r="O283" i="1"/>
  <c r="O335" i="1"/>
  <c r="AB335" i="1" s="1"/>
  <c r="AC335" i="1" s="1"/>
  <c r="O333" i="1"/>
  <c r="AB333" i="1" s="1"/>
  <c r="AC333" i="1" s="1"/>
  <c r="O462" i="1"/>
  <c r="O337" i="1"/>
  <c r="AB337" i="1" s="1"/>
  <c r="AC337" i="1" s="1"/>
  <c r="O331" i="1"/>
  <c r="AB331" i="1" s="1"/>
  <c r="AC331" i="1" s="1"/>
  <c r="O327" i="1"/>
  <c r="O292" i="1"/>
  <c r="AB292" i="1" s="1"/>
  <c r="AC292" i="1" s="1"/>
  <c r="O468" i="1"/>
  <c r="AB468" i="1" s="1"/>
  <c r="AC468" i="1" s="1"/>
  <c r="E58" i="2"/>
  <c r="P58" i="2" s="1"/>
  <c r="P60" i="2" s="1"/>
  <c r="O329" i="1"/>
  <c r="AB329" i="1" s="1"/>
  <c r="AC329" i="1" s="1"/>
  <c r="O289" i="1"/>
  <c r="AB289" i="1" s="1"/>
  <c r="AC289" i="1" s="1"/>
  <c r="O325" i="1"/>
  <c r="AB137" i="1"/>
  <c r="AC137" i="1" s="1"/>
  <c r="E162" i="2"/>
  <c r="E513" i="2"/>
  <c r="E522" i="2" s="1"/>
  <c r="E125" i="2"/>
  <c r="I144" i="1"/>
  <c r="I501" i="2" l="1"/>
  <c r="I123" i="2" s="1"/>
  <c r="V501" i="2"/>
  <c r="V85" i="2" s="1"/>
  <c r="V530" i="2" s="1"/>
  <c r="AF501" i="2"/>
  <c r="AF237" i="2" s="1"/>
  <c r="H501" i="2"/>
  <c r="H85" i="2" s="1"/>
  <c r="H530" i="2" s="1"/>
  <c r="F501" i="2"/>
  <c r="AB501" i="2"/>
  <c r="AB47" i="2" s="1"/>
  <c r="S501" i="2"/>
  <c r="S47" i="2" s="1"/>
  <c r="Z501" i="2"/>
  <c r="AC501" i="2"/>
  <c r="Q501" i="2"/>
  <c r="AE501" i="2"/>
  <c r="AE85" i="2" s="1"/>
  <c r="AE530" i="2" s="1"/>
  <c r="AA501" i="2"/>
  <c r="AA85" i="2" s="1"/>
  <c r="AA530" i="2" s="1"/>
  <c r="T501" i="2"/>
  <c r="O501" i="2"/>
  <c r="AD501" i="2"/>
  <c r="AD275" i="2" s="1"/>
  <c r="N501" i="2"/>
  <c r="N8" i="2" s="1"/>
  <c r="U501" i="2"/>
  <c r="P501" i="2"/>
  <c r="J501" i="2"/>
  <c r="J275" i="2" s="1"/>
  <c r="W501" i="2"/>
  <c r="W237" i="2" s="1"/>
  <c r="Y501" i="2"/>
  <c r="Y161" i="2" s="1"/>
  <c r="G501" i="2"/>
  <c r="R501" i="2"/>
  <c r="R85" i="2" s="1"/>
  <c r="R530" i="2" s="1"/>
  <c r="R621" i="2" s="1"/>
  <c r="K501" i="2"/>
  <c r="K275" i="2" s="1"/>
  <c r="X501" i="2"/>
  <c r="X275" i="2" s="1"/>
  <c r="W506" i="2"/>
  <c r="W507" i="2" s="1"/>
  <c r="E507" i="2"/>
  <c r="AC506" i="2"/>
  <c r="AC507" i="2" s="1"/>
  <c r="AF506" i="2"/>
  <c r="AF507" i="2" s="1"/>
  <c r="AB506" i="2"/>
  <c r="AB507" i="2" s="1"/>
  <c r="X506" i="2"/>
  <c r="X507" i="2" s="1"/>
  <c r="G506" i="2"/>
  <c r="G507" i="2" s="1"/>
  <c r="R506" i="2"/>
  <c r="R507" i="2" s="1"/>
  <c r="AA506" i="2"/>
  <c r="AA507" i="2" s="1"/>
  <c r="Z506" i="2"/>
  <c r="Z507" i="2" s="1"/>
  <c r="AD506" i="2"/>
  <c r="AD507" i="2" s="1"/>
  <c r="Y506" i="2"/>
  <c r="Y507" i="2" s="1"/>
  <c r="N506" i="2"/>
  <c r="N507" i="2" s="1"/>
  <c r="AE506" i="2"/>
  <c r="AE507" i="2" s="1"/>
  <c r="V506" i="2"/>
  <c r="V507" i="2" s="1"/>
  <c r="F506" i="2"/>
  <c r="K506" i="2"/>
  <c r="K507" i="2" s="1"/>
  <c r="O506" i="2"/>
  <c r="O507" i="2" s="1"/>
  <c r="O508" i="2" s="1"/>
  <c r="H506" i="2"/>
  <c r="H507" i="2" s="1"/>
  <c r="J506" i="2"/>
  <c r="J507" i="2" s="1"/>
  <c r="P506" i="2"/>
  <c r="P507" i="2" s="1"/>
  <c r="L506" i="2"/>
  <c r="L507" i="2" s="1"/>
  <c r="M506" i="2"/>
  <c r="M507" i="2" s="1"/>
  <c r="T506" i="2"/>
  <c r="T507" i="2" s="1"/>
  <c r="I506" i="2"/>
  <c r="I507" i="2" s="1"/>
  <c r="S506" i="2"/>
  <c r="S507" i="2" s="1"/>
  <c r="S508" i="2" s="1"/>
  <c r="U506" i="2"/>
  <c r="U507" i="2" s="1"/>
  <c r="Q506" i="2"/>
  <c r="Q507" i="2" s="1"/>
  <c r="H563" i="2"/>
  <c r="J637" i="2"/>
  <c r="O637" i="2"/>
  <c r="P637" i="2"/>
  <c r="K563" i="2"/>
  <c r="K637" i="2"/>
  <c r="AA563" i="2"/>
  <c r="AB563" i="2"/>
  <c r="Y637" i="2"/>
  <c r="Y638" i="2" s="1"/>
  <c r="W637" i="2"/>
  <c r="W638" i="2" s="1"/>
  <c r="T563" i="2"/>
  <c r="T637" i="2"/>
  <c r="I563" i="2"/>
  <c r="I637" i="2"/>
  <c r="R563" i="2"/>
  <c r="R637" i="2"/>
  <c r="M563" i="2"/>
  <c r="M637" i="2"/>
  <c r="Q563" i="2"/>
  <c r="Q637" i="2"/>
  <c r="N563" i="2"/>
  <c r="N637" i="2"/>
  <c r="G563" i="2"/>
  <c r="G637" i="2"/>
  <c r="S563" i="2"/>
  <c r="S637" i="2"/>
  <c r="Z637" i="2"/>
  <c r="Z638" i="2" s="1"/>
  <c r="AC563" i="2"/>
  <c r="AG534" i="2"/>
  <c r="AH534" i="2" s="1"/>
  <c r="AD637" i="2"/>
  <c r="AD638" i="2" s="1"/>
  <c r="X563" i="2"/>
  <c r="AG135" i="2"/>
  <c r="AH135" i="2" s="1"/>
  <c r="AG516" i="2"/>
  <c r="E248" i="2"/>
  <c r="P248" i="2" s="1"/>
  <c r="P250" i="2" s="1"/>
  <c r="O339" i="1"/>
  <c r="AB339" i="1" s="1"/>
  <c r="AC339" i="1" s="1"/>
  <c r="AB325" i="1"/>
  <c r="AC325" i="1" s="1"/>
  <c r="O294" i="1"/>
  <c r="AB283" i="1"/>
  <c r="AC283" i="1" s="1"/>
  <c r="O472" i="1"/>
  <c r="AB462" i="1"/>
  <c r="AC462" i="1" s="1"/>
  <c r="E60" i="2"/>
  <c r="E79" i="2" s="1"/>
  <c r="AA58" i="2"/>
  <c r="AA60" i="2" s="1"/>
  <c r="T58" i="2"/>
  <c r="T60" i="2" s="1"/>
  <c r="G58" i="2"/>
  <c r="G60" i="2" s="1"/>
  <c r="U58" i="2"/>
  <c r="U60" i="2" s="1"/>
  <c r="H58" i="2"/>
  <c r="H60" i="2" s="1"/>
  <c r="R58" i="2"/>
  <c r="R60" i="2" s="1"/>
  <c r="Q58" i="2"/>
  <c r="Q60" i="2" s="1"/>
  <c r="K58" i="2"/>
  <c r="K60" i="2" s="1"/>
  <c r="I58" i="2"/>
  <c r="I60" i="2" s="1"/>
  <c r="N58" i="2"/>
  <c r="N60" i="2" s="1"/>
  <c r="AF58" i="2"/>
  <c r="AF60" i="2" s="1"/>
  <c r="X58" i="2"/>
  <c r="X60" i="2" s="1"/>
  <c r="S58" i="2"/>
  <c r="S60" i="2" s="1"/>
  <c r="AD58" i="2"/>
  <c r="AD60" i="2" s="1"/>
  <c r="AB58" i="2"/>
  <c r="AB60" i="2" s="1"/>
  <c r="AC58" i="2"/>
  <c r="AC60" i="2" s="1"/>
  <c r="W58" i="2"/>
  <c r="W60" i="2" s="1"/>
  <c r="AE58" i="2"/>
  <c r="AE60" i="2" s="1"/>
  <c r="V58" i="2"/>
  <c r="V60" i="2" s="1"/>
  <c r="Y58" i="2"/>
  <c r="Y60" i="2" s="1"/>
  <c r="Z58" i="2"/>
  <c r="Z60" i="2" s="1"/>
  <c r="O58" i="2"/>
  <c r="O60" i="2" s="1"/>
  <c r="J58" i="2"/>
  <c r="J60" i="2" s="1"/>
  <c r="F58" i="2"/>
  <c r="E286" i="2"/>
  <c r="P286" i="2" s="1"/>
  <c r="P288" i="2" s="1"/>
  <c r="AB327" i="1"/>
  <c r="AC327" i="1" s="1"/>
  <c r="I155" i="1"/>
  <c r="E163" i="2"/>
  <c r="I275" i="2" l="1"/>
  <c r="I85" i="2"/>
  <c r="I530" i="2" s="1"/>
  <c r="I559" i="2" s="1"/>
  <c r="I161" i="2"/>
  <c r="V47" i="2"/>
  <c r="V123" i="2"/>
  <c r="V512" i="2" s="1"/>
  <c r="V275" i="2"/>
  <c r="V237" i="2"/>
  <c r="V199" i="2"/>
  <c r="V161" i="2"/>
  <c r="V8" i="2"/>
  <c r="I47" i="2"/>
  <c r="I237" i="2"/>
  <c r="J85" i="2"/>
  <c r="J530" i="2" s="1"/>
  <c r="J559" i="2" s="1"/>
  <c r="J8" i="2"/>
  <c r="AF47" i="2"/>
  <c r="J237" i="2"/>
  <c r="J123" i="2"/>
  <c r="AF199" i="2"/>
  <c r="J199" i="2"/>
  <c r="AF123" i="2"/>
  <c r="AF512" i="2" s="1"/>
  <c r="AE8" i="2"/>
  <c r="AF275" i="2"/>
  <c r="J161" i="2"/>
  <c r="AF8" i="2"/>
  <c r="AF161" i="2"/>
  <c r="X85" i="2"/>
  <c r="X530" i="2" s="1"/>
  <c r="AE237" i="2"/>
  <c r="I8" i="2"/>
  <c r="AE47" i="2"/>
  <c r="AE199" i="2"/>
  <c r="AE123" i="2"/>
  <c r="AE512" i="2" s="1"/>
  <c r="I199" i="2"/>
  <c r="X8" i="2"/>
  <c r="X237" i="2"/>
  <c r="X123" i="2"/>
  <c r="X512" i="2" s="1"/>
  <c r="X550" i="2" s="1"/>
  <c r="X594" i="2" s="1"/>
  <c r="X620" i="2" s="1"/>
  <c r="Y47" i="2"/>
  <c r="AA161" i="2"/>
  <c r="AA8" i="2"/>
  <c r="AA47" i="2"/>
  <c r="W161" i="2"/>
  <c r="AA237" i="2"/>
  <c r="X199" i="2"/>
  <c r="AA275" i="2"/>
  <c r="X47" i="2"/>
  <c r="X161" i="2"/>
  <c r="S237" i="2"/>
  <c r="S199" i="2"/>
  <c r="AD161" i="2"/>
  <c r="S85" i="2"/>
  <c r="S530" i="2" s="1"/>
  <c r="S621" i="2" s="1"/>
  <c r="S161" i="2"/>
  <c r="S8" i="2"/>
  <c r="S123" i="2"/>
  <c r="S275" i="2"/>
  <c r="Y199" i="2"/>
  <c r="Y123" i="2"/>
  <c r="Y512" i="2" s="1"/>
  <c r="Y550" i="2" s="1"/>
  <c r="Y594" i="2" s="1"/>
  <c r="Y620" i="2" s="1"/>
  <c r="Y8" i="2"/>
  <c r="Y275" i="2"/>
  <c r="Y85" i="2"/>
  <c r="Y530" i="2" s="1"/>
  <c r="Y237" i="2"/>
  <c r="R559" i="2"/>
  <c r="AD123" i="2"/>
  <c r="AD512" i="2" s="1"/>
  <c r="AD550" i="2" s="1"/>
  <c r="AD594" i="2" s="1"/>
  <c r="AD620" i="2" s="1"/>
  <c r="H123" i="2"/>
  <c r="H161" i="2"/>
  <c r="AD85" i="2"/>
  <c r="AD530" i="2" s="1"/>
  <c r="R161" i="2"/>
  <c r="AD47" i="2"/>
  <c r="AD199" i="2"/>
  <c r="R8" i="2"/>
  <c r="R47" i="2"/>
  <c r="R199" i="2"/>
  <c r="AD237" i="2"/>
  <c r="R275" i="2"/>
  <c r="AD8" i="2"/>
  <c r="R123" i="2"/>
  <c r="H559" i="2"/>
  <c r="H621" i="2"/>
  <c r="J47" i="2"/>
  <c r="R237" i="2"/>
  <c r="AB8" i="2"/>
  <c r="W85" i="2"/>
  <c r="W530" i="2" s="1"/>
  <c r="W47" i="2"/>
  <c r="AB85" i="2"/>
  <c r="AB530" i="2" s="1"/>
  <c r="AB237" i="2"/>
  <c r="W123" i="2"/>
  <c r="W512" i="2" s="1"/>
  <c r="W550" i="2" s="1"/>
  <c r="W594" i="2" s="1"/>
  <c r="W620" i="2" s="1"/>
  <c r="AB275" i="2"/>
  <c r="AB199" i="2"/>
  <c r="W275" i="2"/>
  <c r="W8" i="2"/>
  <c r="AF85" i="2"/>
  <c r="AF530" i="2" s="1"/>
  <c r="H47" i="2"/>
  <c r="H237" i="2"/>
  <c r="H199" i="2"/>
  <c r="H8" i="2"/>
  <c r="H275" i="2"/>
  <c r="AB161" i="2"/>
  <c r="W199" i="2"/>
  <c r="AB123" i="2"/>
  <c r="AB512" i="2" s="1"/>
  <c r="AB550" i="2" s="1"/>
  <c r="AB594" i="2" s="1"/>
  <c r="AB620" i="2" s="1"/>
  <c r="K85" i="2"/>
  <c r="K530" i="2" s="1"/>
  <c r="K559" i="2" s="1"/>
  <c r="N161" i="2"/>
  <c r="AC161" i="2"/>
  <c r="AC275" i="2"/>
  <c r="AC85" i="2"/>
  <c r="AC530" i="2" s="1"/>
  <c r="AC199" i="2"/>
  <c r="AC237" i="2"/>
  <c r="AC123" i="2"/>
  <c r="AC512" i="2" s="1"/>
  <c r="AC550" i="2" s="1"/>
  <c r="AC594" i="2" s="1"/>
  <c r="AC620" i="2" s="1"/>
  <c r="AC47" i="2"/>
  <c r="AC8" i="2"/>
  <c r="N237" i="2"/>
  <c r="N199" i="2"/>
  <c r="K8" i="2"/>
  <c r="Z8" i="2"/>
  <c r="Z47" i="2"/>
  <c r="Z161" i="2"/>
  <c r="Z199" i="2"/>
  <c r="Z275" i="2"/>
  <c r="Z237" i="2"/>
  <c r="Z123" i="2"/>
  <c r="Z512" i="2" s="1"/>
  <c r="Z550" i="2" s="1"/>
  <c r="Z594" i="2" s="1"/>
  <c r="Z620" i="2" s="1"/>
  <c r="Z85" i="2"/>
  <c r="Z530" i="2" s="1"/>
  <c r="N123" i="2"/>
  <c r="K161" i="2"/>
  <c r="G275" i="2"/>
  <c r="G47" i="2"/>
  <c r="G199" i="2"/>
  <c r="G161" i="2"/>
  <c r="G237" i="2"/>
  <c r="G8" i="2"/>
  <c r="G123" i="2"/>
  <c r="G85" i="2"/>
  <c r="G530" i="2" s="1"/>
  <c r="K199" i="2"/>
  <c r="K47" i="2"/>
  <c r="O47" i="2"/>
  <c r="O199" i="2"/>
  <c r="O161" i="2"/>
  <c r="O123" i="2"/>
  <c r="O275" i="2"/>
  <c r="O8" i="2"/>
  <c r="O237" i="2"/>
  <c r="O85" i="2"/>
  <c r="O530" i="2" s="1"/>
  <c r="K237" i="2"/>
  <c r="T275" i="2"/>
  <c r="T161" i="2"/>
  <c r="T85" i="2"/>
  <c r="T530" i="2" s="1"/>
  <c r="T123" i="2"/>
  <c r="T199" i="2"/>
  <c r="T237" i="2"/>
  <c r="T47" i="2"/>
  <c r="T8" i="2"/>
  <c r="N85" i="2"/>
  <c r="N530" i="2" s="1"/>
  <c r="N559" i="2" s="1"/>
  <c r="K123" i="2"/>
  <c r="AA199" i="2"/>
  <c r="AA123" i="2"/>
  <c r="AA512" i="2" s="1"/>
  <c r="AA550" i="2" s="1"/>
  <c r="AA594" i="2" s="1"/>
  <c r="AA620" i="2" s="1"/>
  <c r="P47" i="2"/>
  <c r="P85" i="2"/>
  <c r="P530" i="2" s="1"/>
  <c r="P123" i="2"/>
  <c r="P161" i="2"/>
  <c r="P199" i="2"/>
  <c r="P237" i="2"/>
  <c r="P275" i="2"/>
  <c r="P8" i="2"/>
  <c r="AE275" i="2"/>
  <c r="AE161" i="2"/>
  <c r="N275" i="2"/>
  <c r="N47" i="2"/>
  <c r="U237" i="2"/>
  <c r="U199" i="2"/>
  <c r="U85" i="2"/>
  <c r="U530" i="2" s="1"/>
  <c r="U47" i="2"/>
  <c r="U275" i="2"/>
  <c r="U161" i="2"/>
  <c r="U123" i="2"/>
  <c r="U8" i="2"/>
  <c r="Q275" i="2"/>
  <c r="Q123" i="2"/>
  <c r="Q85" i="2"/>
  <c r="Q530" i="2" s="1"/>
  <c r="Q161" i="2"/>
  <c r="Q47" i="2"/>
  <c r="Q199" i="2"/>
  <c r="Q237" i="2"/>
  <c r="Q8" i="2"/>
  <c r="I508" i="2"/>
  <c r="M508" i="2"/>
  <c r="L508" i="2"/>
  <c r="Q508" i="2"/>
  <c r="T508" i="2"/>
  <c r="P508" i="2"/>
  <c r="J508" i="2"/>
  <c r="U508" i="2"/>
  <c r="K508" i="2"/>
  <c r="H508" i="2"/>
  <c r="F507" i="2"/>
  <c r="AG507" i="2" s="1"/>
  <c r="AH507" i="2" s="1"/>
  <c r="AG506" i="2"/>
  <c r="AH506" i="2" s="1"/>
  <c r="Z508" i="2"/>
  <c r="AA508" i="2"/>
  <c r="R508" i="2"/>
  <c r="AD508" i="2"/>
  <c r="Y508" i="2"/>
  <c r="N508" i="2"/>
  <c r="AB508" i="2"/>
  <c r="G508" i="2"/>
  <c r="AF508" i="2"/>
  <c r="AC508" i="2"/>
  <c r="X508" i="2"/>
  <c r="AE508" i="2"/>
  <c r="W508" i="2"/>
  <c r="V508" i="2"/>
  <c r="F508" i="2"/>
  <c r="E288" i="2"/>
  <c r="E307" i="2" s="1"/>
  <c r="E322" i="2" s="1"/>
  <c r="AB286" i="2"/>
  <c r="AB288" i="2" s="1"/>
  <c r="AC286" i="2"/>
  <c r="AC288" i="2" s="1"/>
  <c r="G286" i="2"/>
  <c r="G288" i="2" s="1"/>
  <c r="S286" i="2"/>
  <c r="S288" i="2" s="1"/>
  <c r="O286" i="2"/>
  <c r="O288" i="2" s="1"/>
  <c r="I286" i="2"/>
  <c r="I288" i="2" s="1"/>
  <c r="Y286" i="2"/>
  <c r="Y288" i="2" s="1"/>
  <c r="K286" i="2"/>
  <c r="K288" i="2" s="1"/>
  <c r="Z286" i="2"/>
  <c r="Z288" i="2" s="1"/>
  <c r="AF286" i="2"/>
  <c r="AF288" i="2" s="1"/>
  <c r="W286" i="2"/>
  <c r="W288" i="2" s="1"/>
  <c r="N286" i="2"/>
  <c r="N288" i="2" s="1"/>
  <c r="X286" i="2"/>
  <c r="X288" i="2" s="1"/>
  <c r="V286" i="2"/>
  <c r="V288" i="2" s="1"/>
  <c r="AE286" i="2"/>
  <c r="AE288" i="2" s="1"/>
  <c r="R286" i="2"/>
  <c r="R288" i="2" s="1"/>
  <c r="AA286" i="2"/>
  <c r="AA288" i="2" s="1"/>
  <c r="J286" i="2"/>
  <c r="J288" i="2" s="1"/>
  <c r="Q286" i="2"/>
  <c r="Q288" i="2" s="1"/>
  <c r="F286" i="2"/>
  <c r="U286" i="2"/>
  <c r="U288" i="2" s="1"/>
  <c r="H286" i="2"/>
  <c r="H288" i="2" s="1"/>
  <c r="T286" i="2"/>
  <c r="T288" i="2" s="1"/>
  <c r="AD286" i="2"/>
  <c r="AD288" i="2" s="1"/>
  <c r="F60" i="2"/>
  <c r="O474" i="1"/>
  <c r="AB472" i="1"/>
  <c r="AC472" i="1" s="1"/>
  <c r="O296" i="1"/>
  <c r="AB294" i="1"/>
  <c r="AC294" i="1" s="1"/>
  <c r="E250" i="2"/>
  <c r="E269" i="2" s="1"/>
  <c r="E321" i="2" s="1"/>
  <c r="S248" i="2"/>
  <c r="S250" i="2" s="1"/>
  <c r="K248" i="2"/>
  <c r="K250" i="2" s="1"/>
  <c r="V248" i="2"/>
  <c r="V250" i="2" s="1"/>
  <c r="N248" i="2"/>
  <c r="N250" i="2" s="1"/>
  <c r="W248" i="2"/>
  <c r="W250" i="2" s="1"/>
  <c r="AA248" i="2"/>
  <c r="AA250" i="2" s="1"/>
  <c r="Z248" i="2"/>
  <c r="Z250" i="2" s="1"/>
  <c r="Y248" i="2"/>
  <c r="Y250" i="2" s="1"/>
  <c r="O248" i="2"/>
  <c r="O250" i="2" s="1"/>
  <c r="H248" i="2"/>
  <c r="H250" i="2" s="1"/>
  <c r="J248" i="2"/>
  <c r="J250" i="2" s="1"/>
  <c r="AD248" i="2"/>
  <c r="AD250" i="2" s="1"/>
  <c r="Q248" i="2"/>
  <c r="Q250" i="2" s="1"/>
  <c r="U248" i="2"/>
  <c r="U250" i="2" s="1"/>
  <c r="R248" i="2"/>
  <c r="R250" i="2" s="1"/>
  <c r="AC248" i="2"/>
  <c r="AC250" i="2" s="1"/>
  <c r="I248" i="2"/>
  <c r="I250" i="2" s="1"/>
  <c r="X248" i="2"/>
  <c r="X250" i="2" s="1"/>
  <c r="AE248" i="2"/>
  <c r="AE250" i="2" s="1"/>
  <c r="AF248" i="2"/>
  <c r="AF250" i="2" s="1"/>
  <c r="F248" i="2"/>
  <c r="T248" i="2"/>
  <c r="T250" i="2" s="1"/>
  <c r="G248" i="2"/>
  <c r="G250" i="2" s="1"/>
  <c r="AB248" i="2"/>
  <c r="AB250" i="2" s="1"/>
  <c r="F161" i="2"/>
  <c r="F8" i="2"/>
  <c r="F199" i="2"/>
  <c r="F237" i="2"/>
  <c r="F123" i="2"/>
  <c r="F275" i="2"/>
  <c r="F85" i="2"/>
  <c r="F530" i="2" s="1"/>
  <c r="F47" i="2"/>
  <c r="E86" i="2"/>
  <c r="I621" i="2" l="1"/>
  <c r="I512" i="2"/>
  <c r="J621" i="2"/>
  <c r="J512" i="2"/>
  <c r="R512" i="2"/>
  <c r="S559" i="2"/>
  <c r="K512" i="2"/>
  <c r="S512" i="2"/>
  <c r="N621" i="2"/>
  <c r="K621" i="2"/>
  <c r="H512" i="2"/>
  <c r="U512" i="2"/>
  <c r="N512" i="2"/>
  <c r="P512" i="2"/>
  <c r="T512" i="2"/>
  <c r="G512" i="2"/>
  <c r="P621" i="2"/>
  <c r="P559" i="2"/>
  <c r="G621" i="2"/>
  <c r="G559" i="2"/>
  <c r="Q559" i="2"/>
  <c r="Q621" i="2"/>
  <c r="T559" i="2"/>
  <c r="T621" i="2"/>
  <c r="O512" i="2"/>
  <c r="Q512" i="2"/>
  <c r="O621" i="2"/>
  <c r="O559" i="2"/>
  <c r="AG508" i="2"/>
  <c r="AH508" i="2" s="1"/>
  <c r="F288" i="2"/>
  <c r="F250" i="2"/>
  <c r="O476" i="1"/>
  <c r="AB474" i="1"/>
  <c r="AC474" i="1" s="1"/>
  <c r="O140" i="1"/>
  <c r="E134" i="2"/>
  <c r="P134" i="2" s="1"/>
  <c r="P136" i="2" s="1"/>
  <c r="O341" i="1"/>
  <c r="AB341" i="1" s="1"/>
  <c r="AC341" i="1" s="1"/>
  <c r="O298" i="1"/>
  <c r="AB298" i="1" s="1"/>
  <c r="AC298" i="1" s="1"/>
  <c r="AB296" i="1"/>
  <c r="AC296" i="1" s="1"/>
  <c r="E531" i="2"/>
  <c r="E87" i="2"/>
  <c r="F512" i="2"/>
  <c r="P9" i="2" l="1"/>
  <c r="P48" i="2"/>
  <c r="P49" i="2" s="1"/>
  <c r="P79" i="2" s="1"/>
  <c r="P86" i="2"/>
  <c r="P124" i="2"/>
  <c r="P162" i="2"/>
  <c r="P163" i="2" s="1"/>
  <c r="P200" i="2"/>
  <c r="P201" i="2" s="1"/>
  <c r="P231" i="2" s="1"/>
  <c r="P238" i="2"/>
  <c r="P239" i="2" s="1"/>
  <c r="P269" i="2" s="1"/>
  <c r="P321" i="2" s="1"/>
  <c r="P276" i="2"/>
  <c r="P277" i="2" s="1"/>
  <c r="P307" i="2" s="1"/>
  <c r="P322" i="2" s="1"/>
  <c r="E136" i="2"/>
  <c r="E155" i="2" s="1"/>
  <c r="E319" i="2" s="1"/>
  <c r="E324" i="2" s="1"/>
  <c r="E362" i="2" s="1"/>
  <c r="T134" i="2"/>
  <c r="K134" i="2"/>
  <c r="U134" i="2"/>
  <c r="Q134" i="2"/>
  <c r="I134" i="2"/>
  <c r="S134" i="2"/>
  <c r="AC134" i="2"/>
  <c r="O134" i="2"/>
  <c r="AD134" i="2"/>
  <c r="E515" i="2"/>
  <c r="AE134" i="2"/>
  <c r="G134" i="2"/>
  <c r="H134" i="2"/>
  <c r="Z134" i="2"/>
  <c r="AA134" i="2"/>
  <c r="X134" i="2"/>
  <c r="N134" i="2"/>
  <c r="J134" i="2"/>
  <c r="J136" i="2" s="1"/>
  <c r="AF134" i="2"/>
  <c r="V134" i="2"/>
  <c r="W134" i="2"/>
  <c r="Y134" i="2"/>
  <c r="F134" i="2"/>
  <c r="R134" i="2"/>
  <c r="AB134" i="2"/>
  <c r="O144" i="1"/>
  <c r="AB140" i="1"/>
  <c r="AC140" i="1" s="1"/>
  <c r="E172" i="2"/>
  <c r="P172" i="2" s="1"/>
  <c r="P174" i="2" s="1"/>
  <c r="AB476" i="1"/>
  <c r="AC476" i="1" s="1"/>
  <c r="V162" i="2"/>
  <c r="V163" i="2" s="1"/>
  <c r="V200" i="2"/>
  <c r="V201" i="2" s="1"/>
  <c r="V231" i="2" s="1"/>
  <c r="V48" i="2"/>
  <c r="V49" i="2" s="1"/>
  <c r="V79" i="2" s="1"/>
  <c r="V86" i="2"/>
  <c r="V9" i="2"/>
  <c r="V10" i="2" s="1"/>
  <c r="V40" i="2" s="1"/>
  <c r="V276" i="2"/>
  <c r="V277" i="2" s="1"/>
  <c r="V307" i="2" s="1"/>
  <c r="V322" i="2" s="1"/>
  <c r="V124" i="2"/>
  <c r="V238" i="2"/>
  <c r="V239" i="2" s="1"/>
  <c r="V269" i="2" s="1"/>
  <c r="V321" i="2" s="1"/>
  <c r="H124" i="2"/>
  <c r="H162" i="2"/>
  <c r="H163" i="2" s="1"/>
  <c r="H9" i="2"/>
  <c r="H276" i="2"/>
  <c r="H277" i="2" s="1"/>
  <c r="H307" i="2" s="1"/>
  <c r="H322" i="2" s="1"/>
  <c r="H200" i="2"/>
  <c r="H201" i="2" s="1"/>
  <c r="H231" i="2" s="1"/>
  <c r="H86" i="2"/>
  <c r="H531" i="2" s="1"/>
  <c r="H48" i="2"/>
  <c r="H49" i="2" s="1"/>
  <c r="H79" i="2" s="1"/>
  <c r="H238" i="2"/>
  <c r="H239" i="2" s="1"/>
  <c r="H269" i="2" s="1"/>
  <c r="H321" i="2" s="1"/>
  <c r="K276" i="2"/>
  <c r="K277" i="2" s="1"/>
  <c r="K307" i="2" s="1"/>
  <c r="K322" i="2" s="1"/>
  <c r="K238" i="2"/>
  <c r="K239" i="2" s="1"/>
  <c r="K269" i="2" s="1"/>
  <c r="K321" i="2" s="1"/>
  <c r="K124" i="2"/>
  <c r="K48" i="2"/>
  <c r="K49" i="2" s="1"/>
  <c r="K79" i="2" s="1"/>
  <c r="K200" i="2"/>
  <c r="K201" i="2" s="1"/>
  <c r="K231" i="2" s="1"/>
  <c r="K9" i="2"/>
  <c r="K86" i="2"/>
  <c r="K531" i="2" s="1"/>
  <c r="K162" i="2"/>
  <c r="K163" i="2" s="1"/>
  <c r="Y48" i="2"/>
  <c r="Y49" i="2" s="1"/>
  <c r="Y79" i="2" s="1"/>
  <c r="Y238" i="2"/>
  <c r="Y239" i="2" s="1"/>
  <c r="Y269" i="2" s="1"/>
  <c r="Y321" i="2" s="1"/>
  <c r="Y200" i="2"/>
  <c r="Y201" i="2" s="1"/>
  <c r="Y231" i="2" s="1"/>
  <c r="Y9" i="2"/>
  <c r="Y10" i="2" s="1"/>
  <c r="Y40" i="2" s="1"/>
  <c r="Y86" i="2"/>
  <c r="Y124" i="2"/>
  <c r="Y276" i="2"/>
  <c r="Y277" i="2" s="1"/>
  <c r="Y307" i="2" s="1"/>
  <c r="Y322" i="2" s="1"/>
  <c r="Y162" i="2"/>
  <c r="Y163" i="2" s="1"/>
  <c r="J124" i="2"/>
  <c r="J200" i="2"/>
  <c r="J201" i="2" s="1"/>
  <c r="J162" i="2"/>
  <c r="J163" i="2" s="1"/>
  <c r="J276" i="2"/>
  <c r="J277" i="2" s="1"/>
  <c r="J9" i="2"/>
  <c r="J10" i="2" s="1"/>
  <c r="J48" i="2"/>
  <c r="J49" i="2" s="1"/>
  <c r="J86" i="2"/>
  <c r="J531" i="2" s="1"/>
  <c r="J238" i="2"/>
  <c r="J239" i="2" s="1"/>
  <c r="O86" i="2"/>
  <c r="O531" i="2" s="1"/>
  <c r="O238" i="2"/>
  <c r="O239" i="2" s="1"/>
  <c r="O269" i="2" s="1"/>
  <c r="O321" i="2" s="1"/>
  <c r="O9" i="2"/>
  <c r="O10" i="2" s="1"/>
  <c r="O162" i="2"/>
  <c r="O163" i="2" s="1"/>
  <c r="O124" i="2"/>
  <c r="O276" i="2"/>
  <c r="O277" i="2" s="1"/>
  <c r="O307" i="2" s="1"/>
  <c r="O322" i="2" s="1"/>
  <c r="O200" i="2"/>
  <c r="O201" i="2" s="1"/>
  <c r="O231" i="2" s="1"/>
  <c r="O48" i="2"/>
  <c r="O49" i="2" s="1"/>
  <c r="O79" i="2" s="1"/>
  <c r="L9" i="2"/>
  <c r="L124" i="2"/>
  <c r="L200" i="2"/>
  <c r="L48" i="2"/>
  <c r="L276" i="2"/>
  <c r="L162" i="2"/>
  <c r="L86" i="2"/>
  <c r="L531" i="2" s="1"/>
  <c r="L238" i="2"/>
  <c r="N200" i="2"/>
  <c r="N201" i="2" s="1"/>
  <c r="N231" i="2" s="1"/>
  <c r="N86" i="2"/>
  <c r="N531" i="2" s="1"/>
  <c r="N276" i="2"/>
  <c r="N277" i="2" s="1"/>
  <c r="N307" i="2" s="1"/>
  <c r="N322" i="2" s="1"/>
  <c r="N124" i="2"/>
  <c r="N48" i="2"/>
  <c r="N49" i="2" s="1"/>
  <c r="N79" i="2" s="1"/>
  <c r="N162" i="2"/>
  <c r="N163" i="2" s="1"/>
  <c r="N9" i="2"/>
  <c r="N10" i="2" s="1"/>
  <c r="N238" i="2"/>
  <c r="N239" i="2" s="1"/>
  <c r="N269" i="2" s="1"/>
  <c r="N321" i="2" s="1"/>
  <c r="I86" i="2"/>
  <c r="I531" i="2" s="1"/>
  <c r="I9" i="2"/>
  <c r="I238" i="2"/>
  <c r="I239" i="2" s="1"/>
  <c r="I269" i="2" s="1"/>
  <c r="I321" i="2" s="1"/>
  <c r="I162" i="2"/>
  <c r="I163" i="2" s="1"/>
  <c r="I124" i="2"/>
  <c r="I200" i="2"/>
  <c r="I201" i="2" s="1"/>
  <c r="I231" i="2" s="1"/>
  <c r="I48" i="2"/>
  <c r="I49" i="2" s="1"/>
  <c r="I79" i="2" s="1"/>
  <c r="I276" i="2"/>
  <c r="I277" i="2" s="1"/>
  <c r="I307" i="2" s="1"/>
  <c r="I322" i="2" s="1"/>
  <c r="Z48" i="2"/>
  <c r="Z49" i="2" s="1"/>
  <c r="Z79" i="2" s="1"/>
  <c r="Z200" i="2"/>
  <c r="Z201" i="2" s="1"/>
  <c r="Z231" i="2" s="1"/>
  <c r="Z276" i="2"/>
  <c r="Z277" i="2" s="1"/>
  <c r="Z307" i="2" s="1"/>
  <c r="Z322" i="2" s="1"/>
  <c r="Z9" i="2"/>
  <c r="Z10" i="2" s="1"/>
  <c r="Z40" i="2" s="1"/>
  <c r="Z86" i="2"/>
  <c r="Z238" i="2"/>
  <c r="Z239" i="2" s="1"/>
  <c r="Z269" i="2" s="1"/>
  <c r="Z321" i="2" s="1"/>
  <c r="Z124" i="2"/>
  <c r="Z162" i="2"/>
  <c r="Z163" i="2" s="1"/>
  <c r="T200" i="2"/>
  <c r="T201" i="2" s="1"/>
  <c r="T231" i="2" s="1"/>
  <c r="T238" i="2"/>
  <c r="T239" i="2" s="1"/>
  <c r="T269" i="2" s="1"/>
  <c r="T321" i="2" s="1"/>
  <c r="T48" i="2"/>
  <c r="T49" i="2" s="1"/>
  <c r="T79" i="2" s="1"/>
  <c r="T124" i="2"/>
  <c r="T9" i="2"/>
  <c r="T162" i="2"/>
  <c r="T163" i="2" s="1"/>
  <c r="T86" i="2"/>
  <c r="T276" i="2"/>
  <c r="T277" i="2" s="1"/>
  <c r="T307" i="2" s="1"/>
  <c r="T322" i="2" s="1"/>
  <c r="AC48" i="2"/>
  <c r="AC49" i="2" s="1"/>
  <c r="AC79" i="2" s="1"/>
  <c r="AC200" i="2"/>
  <c r="AC201" i="2" s="1"/>
  <c r="AC231" i="2" s="1"/>
  <c r="AC9" i="2"/>
  <c r="AC10" i="2" s="1"/>
  <c r="AC40" i="2" s="1"/>
  <c r="AC276" i="2"/>
  <c r="AC277" i="2" s="1"/>
  <c r="AC307" i="2" s="1"/>
  <c r="AC322" i="2" s="1"/>
  <c r="AC86" i="2"/>
  <c r="AC238" i="2"/>
  <c r="AC239" i="2" s="1"/>
  <c r="AC269" i="2" s="1"/>
  <c r="AC321" i="2" s="1"/>
  <c r="AC124" i="2"/>
  <c r="AC162" i="2"/>
  <c r="AC163" i="2" s="1"/>
  <c r="J93" i="2"/>
  <c r="J207" i="2"/>
  <c r="J55" i="2"/>
  <c r="X238" i="2"/>
  <c r="X239" i="2" s="1"/>
  <c r="X269" i="2" s="1"/>
  <c r="X321" i="2" s="1"/>
  <c r="X86" i="2"/>
  <c r="X276" i="2"/>
  <c r="X277" i="2" s="1"/>
  <c r="X307" i="2" s="1"/>
  <c r="X322" i="2" s="1"/>
  <c r="X48" i="2"/>
  <c r="X49" i="2" s="1"/>
  <c r="X79" i="2" s="1"/>
  <c r="X9" i="2"/>
  <c r="X10" i="2" s="1"/>
  <c r="X40" i="2" s="1"/>
  <c r="X200" i="2"/>
  <c r="X201" i="2" s="1"/>
  <c r="X231" i="2" s="1"/>
  <c r="X124" i="2"/>
  <c r="X162" i="2"/>
  <c r="X163" i="2" s="1"/>
  <c r="W200" i="2"/>
  <c r="W201" i="2" s="1"/>
  <c r="W231" i="2" s="1"/>
  <c r="W9" i="2"/>
  <c r="W10" i="2" s="1"/>
  <c r="W40" i="2" s="1"/>
  <c r="W86" i="2"/>
  <c r="W162" i="2"/>
  <c r="W163" i="2" s="1"/>
  <c r="W48" i="2"/>
  <c r="W49" i="2" s="1"/>
  <c r="W79" i="2" s="1"/>
  <c r="W276" i="2"/>
  <c r="W277" i="2" s="1"/>
  <c r="W307" i="2" s="1"/>
  <c r="W322" i="2" s="1"/>
  <c r="W238" i="2"/>
  <c r="W239" i="2" s="1"/>
  <c r="W269" i="2" s="1"/>
  <c r="W321" i="2" s="1"/>
  <c r="W124" i="2"/>
  <c r="AB124" i="2"/>
  <c r="AB200" i="2"/>
  <c r="AB201" i="2" s="1"/>
  <c r="AB231" i="2" s="1"/>
  <c r="AB48" i="2"/>
  <c r="AB49" i="2" s="1"/>
  <c r="AB79" i="2" s="1"/>
  <c r="AB162" i="2"/>
  <c r="AB163" i="2" s="1"/>
  <c r="AB86" i="2"/>
  <c r="AB9" i="2"/>
  <c r="AB10" i="2" s="1"/>
  <c r="AB40" i="2" s="1"/>
  <c r="AB238" i="2"/>
  <c r="AB239" i="2" s="1"/>
  <c r="AB269" i="2" s="1"/>
  <c r="AB321" i="2" s="1"/>
  <c r="AB276" i="2"/>
  <c r="AB277" i="2" s="1"/>
  <c r="AB307" i="2" s="1"/>
  <c r="AB322" i="2" s="1"/>
  <c r="G48" i="2"/>
  <c r="G49" i="2" s="1"/>
  <c r="G79" i="2" s="1"/>
  <c r="G124" i="2"/>
  <c r="G200" i="2"/>
  <c r="G201" i="2" s="1"/>
  <c r="G231" i="2" s="1"/>
  <c r="G86" i="2"/>
  <c r="G531" i="2" s="1"/>
  <c r="G238" i="2"/>
  <c r="G239" i="2" s="1"/>
  <c r="G269" i="2" s="1"/>
  <c r="G321" i="2" s="1"/>
  <c r="G276" i="2"/>
  <c r="G277" i="2" s="1"/>
  <c r="G307" i="2" s="1"/>
  <c r="G322" i="2" s="1"/>
  <c r="G162" i="2"/>
  <c r="G163" i="2" s="1"/>
  <c r="G9" i="2"/>
  <c r="AF124" i="2"/>
  <c r="AF9" i="2"/>
  <c r="AF10" i="2" s="1"/>
  <c r="AF40" i="2" s="1"/>
  <c r="AF276" i="2"/>
  <c r="AF277" i="2" s="1"/>
  <c r="AF307" i="2" s="1"/>
  <c r="AF322" i="2" s="1"/>
  <c r="AF238" i="2"/>
  <c r="AF239" i="2" s="1"/>
  <c r="AF269" i="2" s="1"/>
  <c r="AF321" i="2" s="1"/>
  <c r="AF162" i="2"/>
  <c r="AF163" i="2" s="1"/>
  <c r="AF86" i="2"/>
  <c r="AF48" i="2"/>
  <c r="AF49" i="2" s="1"/>
  <c r="AF79" i="2" s="1"/>
  <c r="AF200" i="2"/>
  <c r="AF201" i="2" s="1"/>
  <c r="AF231" i="2" s="1"/>
  <c r="AE124" i="2"/>
  <c r="AE162" i="2"/>
  <c r="AE163" i="2" s="1"/>
  <c r="AE200" i="2"/>
  <c r="AE201" i="2" s="1"/>
  <c r="AE231" i="2" s="1"/>
  <c r="AE9" i="2"/>
  <c r="AE10" i="2" s="1"/>
  <c r="AE40" i="2" s="1"/>
  <c r="AE238" i="2"/>
  <c r="AE239" i="2" s="1"/>
  <c r="AE269" i="2" s="1"/>
  <c r="AE321" i="2" s="1"/>
  <c r="AE86" i="2"/>
  <c r="AE276" i="2"/>
  <c r="AE277" i="2" s="1"/>
  <c r="AE307" i="2" s="1"/>
  <c r="AE322" i="2" s="1"/>
  <c r="AE48" i="2"/>
  <c r="AE49" i="2" s="1"/>
  <c r="AE79" i="2" s="1"/>
  <c r="AA238" i="2"/>
  <c r="AA239" i="2" s="1"/>
  <c r="AA269" i="2" s="1"/>
  <c r="AA321" i="2" s="1"/>
  <c r="AA86" i="2"/>
  <c r="AA162" i="2"/>
  <c r="AA163" i="2" s="1"/>
  <c r="AA9" i="2"/>
  <c r="AA10" i="2" s="1"/>
  <c r="AA40" i="2" s="1"/>
  <c r="AA276" i="2"/>
  <c r="AA277" i="2" s="1"/>
  <c r="AA307" i="2" s="1"/>
  <c r="AA322" i="2" s="1"/>
  <c r="AA48" i="2"/>
  <c r="AA49" i="2" s="1"/>
  <c r="AA79" i="2" s="1"/>
  <c r="AA200" i="2"/>
  <c r="AA201" i="2" s="1"/>
  <c r="AA231" i="2" s="1"/>
  <c r="AA124" i="2"/>
  <c r="F559" i="2"/>
  <c r="M48" i="2"/>
  <c r="M162" i="2"/>
  <c r="M276" i="2"/>
  <c r="M124" i="2"/>
  <c r="M200" i="2"/>
  <c r="M86" i="2"/>
  <c r="M531" i="2" s="1"/>
  <c r="M9" i="2"/>
  <c r="M238" i="2"/>
  <c r="U9" i="2"/>
  <c r="U238" i="2"/>
  <c r="U239" i="2" s="1"/>
  <c r="U269" i="2" s="1"/>
  <c r="U321" i="2" s="1"/>
  <c r="U276" i="2"/>
  <c r="U277" i="2" s="1"/>
  <c r="U307" i="2" s="1"/>
  <c r="U322" i="2" s="1"/>
  <c r="U124" i="2"/>
  <c r="U162" i="2"/>
  <c r="U163" i="2" s="1"/>
  <c r="U48" i="2"/>
  <c r="U49" i="2" s="1"/>
  <c r="U79" i="2" s="1"/>
  <c r="U86" i="2"/>
  <c r="U200" i="2"/>
  <c r="U201" i="2" s="1"/>
  <c r="U231" i="2" s="1"/>
  <c r="AD124" i="2"/>
  <c r="AD276" i="2"/>
  <c r="AD277" i="2" s="1"/>
  <c r="AD307" i="2" s="1"/>
  <c r="AD322" i="2" s="1"/>
  <c r="AD162" i="2"/>
  <c r="AD163" i="2" s="1"/>
  <c r="AD9" i="2"/>
  <c r="AD10" i="2" s="1"/>
  <c r="AD40" i="2" s="1"/>
  <c r="AD200" i="2"/>
  <c r="AD201" i="2" s="1"/>
  <c r="AD231" i="2" s="1"/>
  <c r="AD48" i="2"/>
  <c r="AD49" i="2" s="1"/>
  <c r="AD79" i="2" s="1"/>
  <c r="AD238" i="2"/>
  <c r="AD239" i="2" s="1"/>
  <c r="AD269" i="2" s="1"/>
  <c r="AD321" i="2" s="1"/>
  <c r="AD86" i="2"/>
  <c r="R124" i="2"/>
  <c r="R48" i="2"/>
  <c r="R49" i="2" s="1"/>
  <c r="R79" i="2" s="1"/>
  <c r="R276" i="2"/>
  <c r="R277" i="2" s="1"/>
  <c r="R307" i="2" s="1"/>
  <c r="R322" i="2" s="1"/>
  <c r="R238" i="2"/>
  <c r="R239" i="2" s="1"/>
  <c r="R269" i="2" s="1"/>
  <c r="R321" i="2" s="1"/>
  <c r="R162" i="2"/>
  <c r="R163" i="2" s="1"/>
  <c r="R86" i="2"/>
  <c r="R531" i="2" s="1"/>
  <c r="R200" i="2"/>
  <c r="R201" i="2" s="1"/>
  <c r="R231" i="2" s="1"/>
  <c r="R9" i="2"/>
  <c r="Q48" i="2"/>
  <c r="Q49" i="2" s="1"/>
  <c r="Q79" i="2" s="1"/>
  <c r="Q162" i="2"/>
  <c r="Q163" i="2" s="1"/>
  <c r="Q238" i="2"/>
  <c r="Q239" i="2" s="1"/>
  <c r="Q269" i="2" s="1"/>
  <c r="Q321" i="2" s="1"/>
  <c r="Q86" i="2"/>
  <c r="Q531" i="2" s="1"/>
  <c r="Q9" i="2"/>
  <c r="Q276" i="2"/>
  <c r="Q277" i="2" s="1"/>
  <c r="Q307" i="2" s="1"/>
  <c r="Q322" i="2" s="1"/>
  <c r="Q124" i="2"/>
  <c r="Q200" i="2"/>
  <c r="Q201" i="2" s="1"/>
  <c r="Q231" i="2" s="1"/>
  <c r="S48" i="2"/>
  <c r="S49" i="2" s="1"/>
  <c r="S79" i="2" s="1"/>
  <c r="S162" i="2"/>
  <c r="S163" i="2" s="1"/>
  <c r="S124" i="2"/>
  <c r="S238" i="2"/>
  <c r="S239" i="2" s="1"/>
  <c r="S269" i="2" s="1"/>
  <c r="S321" i="2" s="1"/>
  <c r="S276" i="2"/>
  <c r="S277" i="2" s="1"/>
  <c r="S307" i="2" s="1"/>
  <c r="S322" i="2" s="1"/>
  <c r="S86" i="2"/>
  <c r="S200" i="2"/>
  <c r="S201" i="2" s="1"/>
  <c r="S231" i="2" s="1"/>
  <c r="S9" i="2"/>
  <c r="H513" i="2" l="1"/>
  <c r="H522" i="2" s="1"/>
  <c r="J513" i="2"/>
  <c r="J522" i="2" s="1"/>
  <c r="J551" i="2" s="1"/>
  <c r="J571" i="2" s="1"/>
  <c r="U513" i="2"/>
  <c r="U522" i="2" s="1"/>
  <c r="M513" i="2"/>
  <c r="M522" i="2" s="1"/>
  <c r="M551" i="2" s="1"/>
  <c r="M571" i="2" s="1"/>
  <c r="S513" i="2"/>
  <c r="S522" i="2" s="1"/>
  <c r="S551" i="2" s="1"/>
  <c r="S571" i="2" s="1"/>
  <c r="R513" i="2"/>
  <c r="R522" i="2" s="1"/>
  <c r="R551" i="2" s="1"/>
  <c r="R571" i="2" s="1"/>
  <c r="G513" i="2"/>
  <c r="G522" i="2" s="1"/>
  <c r="G551" i="2" s="1"/>
  <c r="G571" i="2" s="1"/>
  <c r="I513" i="2"/>
  <c r="I522" i="2" s="1"/>
  <c r="I551" i="2" s="1"/>
  <c r="I571" i="2" s="1"/>
  <c r="O513" i="2"/>
  <c r="O522" i="2" s="1"/>
  <c r="O551" i="2" s="1"/>
  <c r="O571" i="2" s="1"/>
  <c r="P125" i="2"/>
  <c r="P155" i="2" s="1"/>
  <c r="P319" i="2" s="1"/>
  <c r="P513" i="2"/>
  <c r="P522" i="2" s="1"/>
  <c r="P551" i="2" s="1"/>
  <c r="P571" i="2" s="1"/>
  <c r="T513" i="2"/>
  <c r="T522" i="2" s="1"/>
  <c r="T551" i="2" s="1"/>
  <c r="T571" i="2" s="1"/>
  <c r="N513" i="2"/>
  <c r="N522" i="2" s="1"/>
  <c r="N551" i="2" s="1"/>
  <c r="N571" i="2" s="1"/>
  <c r="K513" i="2"/>
  <c r="K522" i="2" s="1"/>
  <c r="K551" i="2" s="1"/>
  <c r="K571" i="2" s="1"/>
  <c r="Q513" i="2"/>
  <c r="Q522" i="2" s="1"/>
  <c r="Q551" i="2" s="1"/>
  <c r="Q571" i="2" s="1"/>
  <c r="L513" i="2"/>
  <c r="L522" i="2" s="1"/>
  <c r="Q10" i="2"/>
  <c r="Q40" i="2" s="1"/>
  <c r="K10" i="2"/>
  <c r="K40" i="2" s="1"/>
  <c r="U10" i="2"/>
  <c r="U40" i="2" s="1"/>
  <c r="T10" i="2"/>
  <c r="T40" i="2" s="1"/>
  <c r="S10" i="2"/>
  <c r="S40" i="2" s="1"/>
  <c r="R10" i="2"/>
  <c r="R40" i="2" s="1"/>
  <c r="G10" i="2"/>
  <c r="G40" i="2" s="1"/>
  <c r="H10" i="2"/>
  <c r="H40" i="2" s="1"/>
  <c r="I10" i="2"/>
  <c r="I40" i="2" s="1"/>
  <c r="P10" i="2"/>
  <c r="P40" i="2" s="1"/>
  <c r="P193" i="2"/>
  <c r="I560" i="2"/>
  <c r="I623" i="2"/>
  <c r="O560" i="2"/>
  <c r="O623" i="2"/>
  <c r="Q623" i="2"/>
  <c r="Q560" i="2"/>
  <c r="G560" i="2"/>
  <c r="G623" i="2"/>
  <c r="J560" i="2"/>
  <c r="J623" i="2"/>
  <c r="K560" i="2"/>
  <c r="K623" i="2"/>
  <c r="H623" i="2"/>
  <c r="H560" i="2"/>
  <c r="R623" i="2"/>
  <c r="R560" i="2"/>
  <c r="M623" i="2"/>
  <c r="M560" i="2"/>
  <c r="N623" i="2"/>
  <c r="N560" i="2"/>
  <c r="AB87" i="2"/>
  <c r="AB531" i="2"/>
  <c r="W87" i="2"/>
  <c r="W531" i="2"/>
  <c r="T87" i="2"/>
  <c r="T531" i="2"/>
  <c r="AA87" i="2"/>
  <c r="AA531" i="2"/>
  <c r="X87" i="2"/>
  <c r="X531" i="2"/>
  <c r="AD87" i="2"/>
  <c r="AD531" i="2"/>
  <c r="AC87" i="2"/>
  <c r="AC531" i="2"/>
  <c r="Z87" i="2"/>
  <c r="Z531" i="2"/>
  <c r="Y87" i="2"/>
  <c r="Y531" i="2"/>
  <c r="U87" i="2"/>
  <c r="U531" i="2"/>
  <c r="V87" i="2"/>
  <c r="V531" i="2"/>
  <c r="P87" i="2"/>
  <c r="P531" i="2"/>
  <c r="S87" i="2"/>
  <c r="S531" i="2"/>
  <c r="AE87" i="2"/>
  <c r="AE531" i="2"/>
  <c r="AF87" i="2"/>
  <c r="AF531" i="2"/>
  <c r="P368" i="2"/>
  <c r="P320" i="2"/>
  <c r="N40" i="2"/>
  <c r="O40" i="2"/>
  <c r="E326" i="2"/>
  <c r="W136" i="2"/>
  <c r="W515" i="2"/>
  <c r="S136" i="2"/>
  <c r="S515" i="2"/>
  <c r="R515" i="2"/>
  <c r="R136" i="2"/>
  <c r="N136" i="2"/>
  <c r="N515" i="2"/>
  <c r="H136" i="2"/>
  <c r="H515" i="2"/>
  <c r="AD136" i="2"/>
  <c r="AD515" i="2"/>
  <c r="I136" i="2"/>
  <c r="I515" i="2"/>
  <c r="K136" i="2"/>
  <c r="K515" i="2"/>
  <c r="U136" i="2"/>
  <c r="U515" i="2"/>
  <c r="O155" i="1"/>
  <c r="AB144" i="1"/>
  <c r="AC144" i="1" s="1"/>
  <c r="F136" i="2"/>
  <c r="F515" i="2"/>
  <c r="V136" i="2"/>
  <c r="V515" i="2"/>
  <c r="X136" i="2"/>
  <c r="X515" i="2"/>
  <c r="G515" i="2"/>
  <c r="G136" i="2"/>
  <c r="O136" i="2"/>
  <c r="O515" i="2"/>
  <c r="Q136" i="2"/>
  <c r="Q515" i="2"/>
  <c r="T136" i="2"/>
  <c r="T515" i="2"/>
  <c r="W172" i="2"/>
  <c r="W174" i="2" s="1"/>
  <c r="W193" i="2" s="1"/>
  <c r="K172" i="2"/>
  <c r="K174" i="2" s="1"/>
  <c r="K193" i="2" s="1"/>
  <c r="AC172" i="2"/>
  <c r="AC174" i="2" s="1"/>
  <c r="AC193" i="2" s="1"/>
  <c r="V172" i="2"/>
  <c r="V174" i="2" s="1"/>
  <c r="V193" i="2" s="1"/>
  <c r="E174" i="2"/>
  <c r="E193" i="2" s="1"/>
  <c r="S172" i="2"/>
  <c r="S174" i="2" s="1"/>
  <c r="S193" i="2" s="1"/>
  <c r="X172" i="2"/>
  <c r="X174" i="2" s="1"/>
  <c r="X193" i="2" s="1"/>
  <c r="J172" i="2"/>
  <c r="J174" i="2" s="1"/>
  <c r="U172" i="2"/>
  <c r="U174" i="2" s="1"/>
  <c r="U193" i="2" s="1"/>
  <c r="N172" i="2"/>
  <c r="N174" i="2" s="1"/>
  <c r="N193" i="2" s="1"/>
  <c r="Z172" i="2"/>
  <c r="Z174" i="2" s="1"/>
  <c r="Z193" i="2" s="1"/>
  <c r="AD172" i="2"/>
  <c r="AD174" i="2" s="1"/>
  <c r="AD193" i="2" s="1"/>
  <c r="R172" i="2"/>
  <c r="R174" i="2" s="1"/>
  <c r="R193" i="2" s="1"/>
  <c r="G172" i="2"/>
  <c r="G174" i="2" s="1"/>
  <c r="G193" i="2" s="1"/>
  <c r="Y172" i="2"/>
  <c r="Y174" i="2" s="1"/>
  <c r="Y193" i="2" s="1"/>
  <c r="I172" i="2"/>
  <c r="I174" i="2" s="1"/>
  <c r="I193" i="2" s="1"/>
  <c r="AA172" i="2"/>
  <c r="AA174" i="2" s="1"/>
  <c r="AA193" i="2" s="1"/>
  <c r="AE172" i="2"/>
  <c r="AE174" i="2" s="1"/>
  <c r="AE193" i="2" s="1"/>
  <c r="Q172" i="2"/>
  <c r="Q174" i="2" s="1"/>
  <c r="Q193" i="2" s="1"/>
  <c r="F172" i="2"/>
  <c r="H172" i="2"/>
  <c r="H174" i="2" s="1"/>
  <c r="H193" i="2" s="1"/>
  <c r="O172" i="2"/>
  <c r="O174" i="2" s="1"/>
  <c r="O193" i="2" s="1"/>
  <c r="AF172" i="2"/>
  <c r="AF174" i="2" s="1"/>
  <c r="AF193" i="2" s="1"/>
  <c r="T172" i="2"/>
  <c r="T174" i="2" s="1"/>
  <c r="T193" i="2" s="1"/>
  <c r="AB172" i="2"/>
  <c r="AB174" i="2" s="1"/>
  <c r="AB193" i="2" s="1"/>
  <c r="P515" i="2"/>
  <c r="Z136" i="2"/>
  <c r="Z515" i="2"/>
  <c r="AB515" i="2"/>
  <c r="AB136" i="2"/>
  <c r="Y515" i="2"/>
  <c r="Y136" i="2"/>
  <c r="AF515" i="2"/>
  <c r="AF136" i="2"/>
  <c r="AA136" i="2"/>
  <c r="AA515" i="2"/>
  <c r="AE136" i="2"/>
  <c r="AE515" i="2"/>
  <c r="AC136" i="2"/>
  <c r="AC515" i="2"/>
  <c r="S320" i="2"/>
  <c r="S125" i="2"/>
  <c r="Q125" i="2"/>
  <c r="R320" i="2"/>
  <c r="AE513" i="2"/>
  <c r="AE125" i="2"/>
  <c r="AF513" i="2"/>
  <c r="AF125" i="2"/>
  <c r="AB513" i="2"/>
  <c r="AB125" i="2"/>
  <c r="W320" i="2"/>
  <c r="T320" i="2"/>
  <c r="I125" i="2"/>
  <c r="I87" i="2"/>
  <c r="N320" i="2"/>
  <c r="O125" i="2"/>
  <c r="O87" i="2"/>
  <c r="J79" i="2"/>
  <c r="J231" i="2"/>
  <c r="Y513" i="2"/>
  <c r="Y125" i="2"/>
  <c r="H87" i="2"/>
  <c r="V320" i="2"/>
  <c r="AA513" i="2"/>
  <c r="AA125" i="2"/>
  <c r="AF320" i="2"/>
  <c r="G87" i="2"/>
  <c r="W513" i="2"/>
  <c r="W125" i="2"/>
  <c r="T125" i="2"/>
  <c r="N125" i="2"/>
  <c r="J40" i="2"/>
  <c r="J125" i="2"/>
  <c r="K320" i="2"/>
  <c r="H320" i="2"/>
  <c r="H125" i="2"/>
  <c r="E393" i="2"/>
  <c r="R87" i="2"/>
  <c r="R125" i="2"/>
  <c r="AD320" i="2"/>
  <c r="AD513" i="2"/>
  <c r="AD125" i="2"/>
  <c r="AA320" i="2"/>
  <c r="AE320" i="2"/>
  <c r="G320" i="2"/>
  <c r="X513" i="2"/>
  <c r="X125" i="2"/>
  <c r="AC513" i="2"/>
  <c r="AC125" i="2"/>
  <c r="Z513" i="2"/>
  <c r="Z125" i="2"/>
  <c r="O320" i="2"/>
  <c r="F48" i="2"/>
  <c r="F200" i="2"/>
  <c r="F276" i="2"/>
  <c r="F86" i="2"/>
  <c r="F531" i="2" s="1"/>
  <c r="F238" i="2"/>
  <c r="F162" i="2"/>
  <c r="F9" i="2"/>
  <c r="F10" i="2" s="1"/>
  <c r="F124" i="2"/>
  <c r="Q320" i="2"/>
  <c r="Q87" i="2"/>
  <c r="U320" i="2"/>
  <c r="U125" i="2"/>
  <c r="G125" i="2"/>
  <c r="AB320" i="2"/>
  <c r="X320" i="2"/>
  <c r="AC320" i="2"/>
  <c r="Z320" i="2"/>
  <c r="I320" i="2"/>
  <c r="N87" i="2"/>
  <c r="J245" i="2"/>
  <c r="J283" i="2"/>
  <c r="J131" i="2"/>
  <c r="J169" i="2"/>
  <c r="J87" i="2"/>
  <c r="Y320" i="2"/>
  <c r="K87" i="2"/>
  <c r="K125" i="2"/>
  <c r="V513" i="2"/>
  <c r="V522" i="2" s="1"/>
  <c r="V125" i="2"/>
  <c r="F513" i="2" l="1"/>
  <c r="F522" i="2" s="1"/>
  <c r="P324" i="2"/>
  <c r="P362" i="2" s="1"/>
  <c r="P376" i="2"/>
  <c r="P375" i="2"/>
  <c r="P374" i="2"/>
  <c r="P373" i="2"/>
  <c r="P622" i="2"/>
  <c r="P596" i="2"/>
  <c r="O596" i="2"/>
  <c r="O622" i="2"/>
  <c r="O659" i="2" s="1"/>
  <c r="T596" i="2"/>
  <c r="T622" i="2"/>
  <c r="S596" i="2"/>
  <c r="S622" i="2"/>
  <c r="S623" i="2"/>
  <c r="S560" i="2"/>
  <c r="R596" i="2"/>
  <c r="R622" i="2"/>
  <c r="R659" i="2" s="1"/>
  <c r="F22" i="17" s="1"/>
  <c r="J622" i="2"/>
  <c r="J659" i="2" s="1"/>
  <c r="F14" i="17" s="1"/>
  <c r="J596" i="2"/>
  <c r="I622" i="2"/>
  <c r="I659" i="2" s="1"/>
  <c r="I596" i="2"/>
  <c r="P623" i="2"/>
  <c r="P560" i="2"/>
  <c r="K596" i="2"/>
  <c r="K622" i="2"/>
  <c r="T623" i="2"/>
  <c r="T560" i="2"/>
  <c r="G596" i="2"/>
  <c r="G622" i="2"/>
  <c r="M622" i="2"/>
  <c r="M659" i="2" s="1"/>
  <c r="F17" i="17" s="1"/>
  <c r="M596" i="2"/>
  <c r="N596" i="2"/>
  <c r="N622" i="2"/>
  <c r="N659" i="2" s="1"/>
  <c r="Q596" i="2"/>
  <c r="Q622" i="2"/>
  <c r="H551" i="2"/>
  <c r="H571" i="2" s="1"/>
  <c r="I194" i="2"/>
  <c r="H194" i="2"/>
  <c r="G194" i="2"/>
  <c r="AA155" i="2"/>
  <c r="AA319" i="2" s="1"/>
  <c r="AA324" i="2" s="1"/>
  <c r="N155" i="2"/>
  <c r="N319" i="2" s="1"/>
  <c r="N324" i="2" s="1"/>
  <c r="N362" i="2" s="1"/>
  <c r="W155" i="2"/>
  <c r="W319" i="2" s="1"/>
  <c r="W324" i="2" s="1"/>
  <c r="W326" i="2" s="1"/>
  <c r="G155" i="2"/>
  <c r="G319" i="2" s="1"/>
  <c r="G324" i="2" s="1"/>
  <c r="U155" i="2"/>
  <c r="U319" i="2" s="1"/>
  <c r="U324" i="2" s="1"/>
  <c r="U362" i="2" s="1"/>
  <c r="S155" i="2"/>
  <c r="S319" i="2" s="1"/>
  <c r="S324" i="2" s="1"/>
  <c r="S362" i="2" s="1"/>
  <c r="H155" i="2"/>
  <c r="I155" i="2"/>
  <c r="I319" i="2" s="1"/>
  <c r="I324" i="2" s="1"/>
  <c r="I362" i="2" s="1"/>
  <c r="AC155" i="2"/>
  <c r="AC319" i="2" s="1"/>
  <c r="AC324" i="2" s="1"/>
  <c r="AD155" i="2"/>
  <c r="AD319" i="2" s="1"/>
  <c r="AD324" i="2" s="1"/>
  <c r="R155" i="2"/>
  <c r="R319" i="2" s="1"/>
  <c r="R324" i="2" s="1"/>
  <c r="R362" i="2" s="1"/>
  <c r="Z155" i="2"/>
  <c r="Z319" i="2" s="1"/>
  <c r="Z324" i="2" s="1"/>
  <c r="X155" i="2"/>
  <c r="X319" i="2" s="1"/>
  <c r="X324" i="2" s="1"/>
  <c r="T155" i="2"/>
  <c r="T319" i="2" s="1"/>
  <c r="T324" i="2" s="1"/>
  <c r="T362" i="2" s="1"/>
  <c r="Y155" i="2"/>
  <c r="Y319" i="2" s="1"/>
  <c r="Y324" i="2" s="1"/>
  <c r="AB155" i="2"/>
  <c r="AB319" i="2" s="1"/>
  <c r="AB324" i="2" s="1"/>
  <c r="O155" i="2"/>
  <c r="O319" i="2" s="1"/>
  <c r="O324" i="2" s="1"/>
  <c r="O362" i="2" s="1"/>
  <c r="AF155" i="2"/>
  <c r="AF319" i="2" s="1"/>
  <c r="AF324" i="2" s="1"/>
  <c r="Q155" i="2"/>
  <c r="Q319" i="2" s="1"/>
  <c r="Q324" i="2" s="1"/>
  <c r="Q362" i="2" s="1"/>
  <c r="AD553" i="2"/>
  <c r="W553" i="2"/>
  <c r="AC553" i="2"/>
  <c r="AA553" i="2"/>
  <c r="X553" i="2"/>
  <c r="E96" i="2"/>
  <c r="P96" i="2" s="1"/>
  <c r="AB155" i="1"/>
  <c r="AC155" i="1" s="1"/>
  <c r="AC1" i="1" s="1"/>
  <c r="AB553" i="2"/>
  <c r="V155" i="2"/>
  <c r="V319" i="2" s="1"/>
  <c r="V324" i="2" s="1"/>
  <c r="V362" i="2" s="1"/>
  <c r="Y553" i="2"/>
  <c r="Z553" i="2"/>
  <c r="AE155" i="2"/>
  <c r="AE319" i="2" s="1"/>
  <c r="AE324" i="2" s="1"/>
  <c r="F174" i="2"/>
  <c r="K155" i="2"/>
  <c r="K319" i="2" s="1"/>
  <c r="K324" i="2" s="1"/>
  <c r="K362" i="2" s="1"/>
  <c r="U517" i="2"/>
  <c r="AG238" i="2"/>
  <c r="AH238" i="2" s="1"/>
  <c r="F239" i="2"/>
  <c r="AG200" i="2"/>
  <c r="AH200" i="2" s="1"/>
  <c r="F201" i="2"/>
  <c r="X551" i="2"/>
  <c r="X595" i="2" s="1"/>
  <c r="X621" i="2" s="1"/>
  <c r="X517" i="2"/>
  <c r="AD551" i="2"/>
  <c r="AD595" i="2" s="1"/>
  <c r="AD621" i="2" s="1"/>
  <c r="AD517" i="2"/>
  <c r="E395" i="2"/>
  <c r="W551" i="2"/>
  <c r="W595" i="2" s="1"/>
  <c r="W621" i="2" s="1"/>
  <c r="W517" i="2"/>
  <c r="AA551" i="2"/>
  <c r="AA595" i="2" s="1"/>
  <c r="AA621" i="2" s="1"/>
  <c r="AA517" i="2"/>
  <c r="AG124" i="2"/>
  <c r="AH124" i="2" s="1"/>
  <c r="F125" i="2"/>
  <c r="AG86" i="2"/>
  <c r="AH86" i="2" s="1"/>
  <c r="F87" i="2"/>
  <c r="AG48" i="2"/>
  <c r="AH48" i="2" s="1"/>
  <c r="F49" i="2"/>
  <c r="J307" i="2"/>
  <c r="J322" i="2" s="1"/>
  <c r="N517" i="2"/>
  <c r="O517" i="2"/>
  <c r="I517" i="2"/>
  <c r="AB551" i="2"/>
  <c r="AB595" i="2" s="1"/>
  <c r="AB621" i="2" s="1"/>
  <c r="AB517" i="2"/>
  <c r="AE517" i="2"/>
  <c r="Q517" i="2"/>
  <c r="V517" i="2"/>
  <c r="P517" i="2"/>
  <c r="J193" i="2"/>
  <c r="AG9" i="2"/>
  <c r="AH9" i="2" s="1"/>
  <c r="AG276" i="2"/>
  <c r="AH276" i="2" s="1"/>
  <c r="F277" i="2"/>
  <c r="J269" i="2"/>
  <c r="J321" i="2" s="1"/>
  <c r="AC551" i="2"/>
  <c r="AC595" i="2" s="1"/>
  <c r="AC621" i="2" s="1"/>
  <c r="AC517" i="2"/>
  <c r="R517" i="2"/>
  <c r="H517" i="2"/>
  <c r="T517" i="2"/>
  <c r="J320" i="2"/>
  <c r="K517" i="2"/>
  <c r="J515" i="2"/>
  <c r="G517" i="2"/>
  <c r="AG162" i="2"/>
  <c r="AH162" i="2" s="1"/>
  <c r="F163" i="2"/>
  <c r="Z551" i="2"/>
  <c r="Z595" i="2" s="1"/>
  <c r="Z621" i="2" s="1"/>
  <c r="Z517" i="2"/>
  <c r="J155" i="2"/>
  <c r="J319" i="2" s="1"/>
  <c r="Y551" i="2"/>
  <c r="Y595" i="2" s="1"/>
  <c r="Y621" i="2" s="1"/>
  <c r="Y517" i="2"/>
  <c r="AF517" i="2"/>
  <c r="S517" i="2"/>
  <c r="P326" i="2" l="1"/>
  <c r="P98" i="2"/>
  <c r="P117" i="2" s="1"/>
  <c r="P533" i="2"/>
  <c r="S659" i="2"/>
  <c r="F19" i="17"/>
  <c r="F18" i="17"/>
  <c r="P659" i="2"/>
  <c r="F20" i="17" s="1"/>
  <c r="H596" i="2"/>
  <c r="H622" i="2"/>
  <c r="G326" i="2"/>
  <c r="G362" i="2"/>
  <c r="J194" i="2"/>
  <c r="H319" i="2"/>
  <c r="H324" i="2" s="1"/>
  <c r="H96" i="2"/>
  <c r="H533" i="2" s="1"/>
  <c r="I96" i="2"/>
  <c r="I533" i="2" s="1"/>
  <c r="AD96" i="2"/>
  <c r="AD533" i="2" s="1"/>
  <c r="Y96" i="2"/>
  <c r="Y533" i="2" s="1"/>
  <c r="W96" i="2"/>
  <c r="W533" i="2" s="1"/>
  <c r="K96" i="2"/>
  <c r="K533" i="2" s="1"/>
  <c r="R96" i="2"/>
  <c r="R533" i="2" s="1"/>
  <c r="N96" i="2"/>
  <c r="N533" i="2" s="1"/>
  <c r="AE96" i="2"/>
  <c r="AE533" i="2" s="1"/>
  <c r="S96" i="2"/>
  <c r="S533" i="2" s="1"/>
  <c r="AB96" i="2"/>
  <c r="AB533" i="2" s="1"/>
  <c r="AC96" i="2"/>
  <c r="AC533" i="2" s="1"/>
  <c r="F96" i="2"/>
  <c r="F533" i="2" s="1"/>
  <c r="U96" i="2"/>
  <c r="U533" i="2" s="1"/>
  <c r="U535" i="2" s="1"/>
  <c r="G96" i="2"/>
  <c r="G533" i="2" s="1"/>
  <c r="AA96" i="2"/>
  <c r="AA533" i="2" s="1"/>
  <c r="X96" i="2"/>
  <c r="X533" i="2" s="1"/>
  <c r="E533" i="2"/>
  <c r="E535" i="2" s="1"/>
  <c r="J96" i="2"/>
  <c r="J533" i="2" s="1"/>
  <c r="V96" i="2"/>
  <c r="V533" i="2" s="1"/>
  <c r="V535" i="2" s="1"/>
  <c r="Q96" i="2"/>
  <c r="Q533" i="2" s="1"/>
  <c r="Z96" i="2"/>
  <c r="Z533" i="2" s="1"/>
  <c r="E98" i="2"/>
  <c r="E117" i="2" s="1"/>
  <c r="AF96" i="2"/>
  <c r="AF533" i="2" s="1"/>
  <c r="T96" i="2"/>
  <c r="T533" i="2" s="1"/>
  <c r="O96" i="2"/>
  <c r="O533" i="2" s="1"/>
  <c r="T326" i="2"/>
  <c r="J517" i="2"/>
  <c r="W362" i="2"/>
  <c r="V326" i="2"/>
  <c r="S326" i="2"/>
  <c r="N326" i="2"/>
  <c r="K326" i="2"/>
  <c r="R326" i="2"/>
  <c r="J324" i="2"/>
  <c r="U326" i="2"/>
  <c r="AF362" i="2"/>
  <c r="AF326" i="2"/>
  <c r="Z326" i="2"/>
  <c r="Z362" i="2"/>
  <c r="F40" i="2"/>
  <c r="I326" i="2"/>
  <c r="AD326" i="2"/>
  <c r="AD362" i="2"/>
  <c r="F560" i="2"/>
  <c r="AG513" i="2"/>
  <c r="F517" i="2"/>
  <c r="Q326" i="2"/>
  <c r="O326" i="2"/>
  <c r="F231" i="2"/>
  <c r="AA362" i="2"/>
  <c r="AA326" i="2"/>
  <c r="X362" i="2"/>
  <c r="X326" i="2"/>
  <c r="F193" i="2"/>
  <c r="F307" i="2"/>
  <c r="F79" i="2"/>
  <c r="AE326" i="2"/>
  <c r="AE362" i="2"/>
  <c r="Y362" i="2"/>
  <c r="Y326" i="2"/>
  <c r="AC362" i="2"/>
  <c r="AC326" i="2"/>
  <c r="F155" i="2"/>
  <c r="AB362" i="2"/>
  <c r="AB326" i="2"/>
  <c r="F269" i="2"/>
  <c r="P372" i="2" l="1"/>
  <c r="P383" i="2"/>
  <c r="P380" i="2"/>
  <c r="P371" i="2"/>
  <c r="P367" i="2"/>
  <c r="P389" i="2"/>
  <c r="P390" i="2"/>
  <c r="P377" i="2"/>
  <c r="P379" i="2"/>
  <c r="P381" i="2"/>
  <c r="P388" i="2"/>
  <c r="P384" i="2"/>
  <c r="P387" i="2"/>
  <c r="P385" i="2"/>
  <c r="P378" i="2"/>
  <c r="P382" i="2"/>
  <c r="P632" i="2"/>
  <c r="P562" i="2"/>
  <c r="P386" i="2"/>
  <c r="P328" i="2"/>
  <c r="P330" i="2" s="1"/>
  <c r="P644" i="2" s="1"/>
  <c r="T535" i="2"/>
  <c r="T562" i="2"/>
  <c r="T632" i="2"/>
  <c r="H562" i="2"/>
  <c r="H632" i="2"/>
  <c r="O562" i="2"/>
  <c r="O632" i="2"/>
  <c r="N562" i="2"/>
  <c r="N632" i="2"/>
  <c r="G562" i="2"/>
  <c r="G632" i="2"/>
  <c r="R562" i="2"/>
  <c r="R632" i="2"/>
  <c r="K562" i="2"/>
  <c r="K632" i="2"/>
  <c r="Q562" i="2"/>
  <c r="Q632" i="2"/>
  <c r="J562" i="2"/>
  <c r="J632" i="2"/>
  <c r="S535" i="2"/>
  <c r="S562" i="2"/>
  <c r="S632" i="2"/>
  <c r="I562" i="2"/>
  <c r="I632" i="2"/>
  <c r="J326" i="2"/>
  <c r="J362" i="2"/>
  <c r="H326" i="2"/>
  <c r="H362" i="2"/>
  <c r="F194" i="2"/>
  <c r="W98" i="2"/>
  <c r="W117" i="2" s="1"/>
  <c r="Z98" i="2"/>
  <c r="Z117" i="2" s="1"/>
  <c r="J98" i="2"/>
  <c r="J117" i="2" s="1"/>
  <c r="AA98" i="2"/>
  <c r="AA117" i="2" s="1"/>
  <c r="AC98" i="2"/>
  <c r="AC117" i="2" s="1"/>
  <c r="N98" i="2"/>
  <c r="N117" i="2" s="1"/>
  <c r="Y98" i="2"/>
  <c r="Y117" i="2" s="1"/>
  <c r="X98" i="2"/>
  <c r="X117" i="2" s="1"/>
  <c r="H98" i="2"/>
  <c r="H117" i="2" s="1"/>
  <c r="AF98" i="2"/>
  <c r="AF117" i="2" s="1"/>
  <c r="AF632" i="2"/>
  <c r="AF633" i="2" s="1"/>
  <c r="Q98" i="2"/>
  <c r="Q117" i="2" s="1"/>
  <c r="G98" i="2"/>
  <c r="G117" i="2" s="1"/>
  <c r="AB98" i="2"/>
  <c r="AB117" i="2" s="1"/>
  <c r="R98" i="2"/>
  <c r="R117" i="2" s="1"/>
  <c r="AD98" i="2"/>
  <c r="AD117" i="2" s="1"/>
  <c r="O98" i="2"/>
  <c r="O117" i="2" s="1"/>
  <c r="E328" i="2"/>
  <c r="E330" i="2" s="1"/>
  <c r="E331" i="2" s="1"/>
  <c r="F98" i="2"/>
  <c r="AE632" i="2"/>
  <c r="AE633" i="2" s="1"/>
  <c r="AE98" i="2"/>
  <c r="AE117" i="2" s="1"/>
  <c r="T98" i="2"/>
  <c r="T117" i="2" s="1"/>
  <c r="V98" i="2"/>
  <c r="V117" i="2" s="1"/>
  <c r="U98" i="2"/>
  <c r="U117" i="2" s="1"/>
  <c r="S98" i="2"/>
  <c r="S117" i="2" s="1"/>
  <c r="K98" i="2"/>
  <c r="K117" i="2" s="1"/>
  <c r="I98" i="2"/>
  <c r="I117" i="2" s="1"/>
  <c r="F321" i="2"/>
  <c r="F322" i="2"/>
  <c r="AH513" i="2"/>
  <c r="F320" i="2"/>
  <c r="F319" i="2"/>
  <c r="P331" i="2" l="1"/>
  <c r="AC367" i="2"/>
  <c r="AC522" i="2" s="1"/>
  <c r="AC369" i="2"/>
  <c r="W367" i="2"/>
  <c r="W522" i="2" s="1"/>
  <c r="W369" i="2"/>
  <c r="AA367" i="2"/>
  <c r="AA522" i="2" s="1"/>
  <c r="AA369" i="2"/>
  <c r="K367" i="2"/>
  <c r="K369" i="2"/>
  <c r="G367" i="2"/>
  <c r="G369" i="2"/>
  <c r="S367" i="2"/>
  <c r="S369" i="2"/>
  <c r="H367" i="2"/>
  <c r="H369" i="2"/>
  <c r="X367" i="2"/>
  <c r="X522" i="2" s="1"/>
  <c r="X369" i="2"/>
  <c r="T367" i="2"/>
  <c r="T369" i="2"/>
  <c r="AE367" i="2"/>
  <c r="AE522" i="2" s="1"/>
  <c r="AE369" i="2"/>
  <c r="AD367" i="2"/>
  <c r="AD522" i="2" s="1"/>
  <c r="AD369" i="2"/>
  <c r="Q367" i="2"/>
  <c r="Q369" i="2"/>
  <c r="Y367" i="2"/>
  <c r="Y522" i="2" s="1"/>
  <c r="Y369" i="2"/>
  <c r="J367" i="2"/>
  <c r="J369" i="2"/>
  <c r="I367" i="2"/>
  <c r="I369" i="2"/>
  <c r="AB367" i="2"/>
  <c r="AB522" i="2" s="1"/>
  <c r="AB369" i="2"/>
  <c r="U367" i="2"/>
  <c r="U369" i="2"/>
  <c r="V367" i="2"/>
  <c r="V369" i="2"/>
  <c r="O367" i="2"/>
  <c r="O369" i="2"/>
  <c r="R367" i="2"/>
  <c r="R369" i="2"/>
  <c r="AF367" i="2"/>
  <c r="AF522" i="2" s="1"/>
  <c r="AF369" i="2"/>
  <c r="N367" i="2"/>
  <c r="N369" i="2"/>
  <c r="Z367" i="2"/>
  <c r="Z522" i="2" s="1"/>
  <c r="Z369" i="2"/>
  <c r="S379" i="2"/>
  <c r="S368" i="2"/>
  <c r="AD379" i="2"/>
  <c r="AD368" i="2"/>
  <c r="Q379" i="2"/>
  <c r="Q368" i="2"/>
  <c r="Y379" i="2"/>
  <c r="Y368" i="2"/>
  <c r="J379" i="2"/>
  <c r="J368" i="2"/>
  <c r="U379" i="2"/>
  <c r="U368" i="2"/>
  <c r="T379" i="2"/>
  <c r="T368" i="2"/>
  <c r="O379" i="2"/>
  <c r="O368" i="2"/>
  <c r="R379" i="2"/>
  <c r="R368" i="2"/>
  <c r="G379" i="2"/>
  <c r="G368" i="2"/>
  <c r="AF379" i="2"/>
  <c r="AF368" i="2"/>
  <c r="X379" i="2"/>
  <c r="X368" i="2"/>
  <c r="N379" i="2"/>
  <c r="N368" i="2"/>
  <c r="AA379" i="2"/>
  <c r="AA368" i="2"/>
  <c r="Z379" i="2"/>
  <c r="Z368" i="2"/>
  <c r="I379" i="2"/>
  <c r="I368" i="2"/>
  <c r="AB379" i="2"/>
  <c r="AB368" i="2"/>
  <c r="H379" i="2"/>
  <c r="H368" i="2"/>
  <c r="W379" i="2"/>
  <c r="W368" i="2"/>
  <c r="V379" i="2"/>
  <c r="V368" i="2"/>
  <c r="K379" i="2"/>
  <c r="K368" i="2"/>
  <c r="AE379" i="2"/>
  <c r="AE368" i="2"/>
  <c r="AC379" i="2"/>
  <c r="AC368" i="2"/>
  <c r="AE372" i="2"/>
  <c r="AE378" i="2"/>
  <c r="AC372" i="2"/>
  <c r="AC378" i="2"/>
  <c r="V372" i="2"/>
  <c r="V378" i="2"/>
  <c r="I372" i="2"/>
  <c r="I378" i="2"/>
  <c r="S372" i="2"/>
  <c r="S378" i="2"/>
  <c r="AD372" i="2"/>
  <c r="AD378" i="2"/>
  <c r="AB372" i="2"/>
  <c r="AB378" i="2"/>
  <c r="Q372" i="2"/>
  <c r="Q378" i="2"/>
  <c r="H372" i="2"/>
  <c r="H378" i="2"/>
  <c r="Y372" i="2"/>
  <c r="Y378" i="2"/>
  <c r="J372" i="2"/>
  <c r="J378" i="2"/>
  <c r="W372" i="2"/>
  <c r="W378" i="2"/>
  <c r="K372" i="2"/>
  <c r="K378" i="2"/>
  <c r="U372" i="2"/>
  <c r="U378" i="2"/>
  <c r="T372" i="2"/>
  <c r="T378" i="2"/>
  <c r="O372" i="2"/>
  <c r="O378" i="2"/>
  <c r="R372" i="2"/>
  <c r="R378" i="2"/>
  <c r="G372" i="2"/>
  <c r="G378" i="2"/>
  <c r="AF372" i="2"/>
  <c r="AF378" i="2"/>
  <c r="X372" i="2"/>
  <c r="X378" i="2"/>
  <c r="N372" i="2"/>
  <c r="N378" i="2"/>
  <c r="AA372" i="2"/>
  <c r="AA378" i="2"/>
  <c r="Z372" i="2"/>
  <c r="Z378" i="2"/>
  <c r="AE328" i="2"/>
  <c r="AE381" i="2"/>
  <c r="AC328" i="2"/>
  <c r="AC381" i="2"/>
  <c r="V328" i="2"/>
  <c r="V381" i="2"/>
  <c r="I381" i="2"/>
  <c r="S386" i="2"/>
  <c r="S381" i="2"/>
  <c r="AD380" i="2"/>
  <c r="AD381" i="2"/>
  <c r="AB375" i="2"/>
  <c r="AB381" i="2"/>
  <c r="Q387" i="2"/>
  <c r="Q381" i="2"/>
  <c r="H381" i="2"/>
  <c r="Y328" i="2"/>
  <c r="Y381" i="2"/>
  <c r="J381" i="2"/>
  <c r="W328" i="2"/>
  <c r="W381" i="2"/>
  <c r="K381" i="2"/>
  <c r="U328" i="2"/>
  <c r="U381" i="2"/>
  <c r="T328" i="2"/>
  <c r="T381" i="2"/>
  <c r="O381" i="2"/>
  <c r="R328" i="2"/>
  <c r="R381" i="2"/>
  <c r="G381" i="2"/>
  <c r="AF328" i="2"/>
  <c r="AF381" i="2"/>
  <c r="X328" i="2"/>
  <c r="X381" i="2"/>
  <c r="N381" i="2"/>
  <c r="AA385" i="2"/>
  <c r="AA381" i="2"/>
  <c r="Z384" i="2"/>
  <c r="Z381" i="2"/>
  <c r="J328" i="2"/>
  <c r="J330" i="2" s="1"/>
  <c r="K328" i="2"/>
  <c r="K330" i="2" s="1"/>
  <c r="O328" i="2"/>
  <c r="O330" i="2" s="1"/>
  <c r="N380" i="2"/>
  <c r="I371" i="2"/>
  <c r="H328" i="2"/>
  <c r="H330" i="2" s="1"/>
  <c r="G328" i="2"/>
  <c r="G330" i="2" s="1"/>
  <c r="Y380" i="2"/>
  <c r="AF389" i="2"/>
  <c r="X386" i="2"/>
  <c r="X390" i="2"/>
  <c r="X375" i="2"/>
  <c r="X399" i="2"/>
  <c r="X377" i="2"/>
  <c r="X388" i="2"/>
  <c r="N376" i="2"/>
  <c r="X385" i="2"/>
  <c r="X382" i="2"/>
  <c r="X387" i="2"/>
  <c r="X373" i="2"/>
  <c r="Z385" i="2"/>
  <c r="N375" i="2"/>
  <c r="X380" i="2"/>
  <c r="N371" i="2"/>
  <c r="AA380" i="2"/>
  <c r="AA386" i="2"/>
  <c r="X374" i="2"/>
  <c r="X389" i="2"/>
  <c r="X371" i="2"/>
  <c r="X384" i="2"/>
  <c r="J383" i="2"/>
  <c r="J375" i="2"/>
  <c r="W374" i="2"/>
  <c r="H383" i="2"/>
  <c r="J388" i="2"/>
  <c r="J377" i="2"/>
  <c r="J390" i="2"/>
  <c r="Y382" i="2"/>
  <c r="Y388" i="2"/>
  <c r="Y375" i="2"/>
  <c r="Y374" i="2"/>
  <c r="J389" i="2"/>
  <c r="H373" i="2"/>
  <c r="Y376" i="2"/>
  <c r="Y390" i="2"/>
  <c r="W380" i="2"/>
  <c r="G390" i="2"/>
  <c r="O377" i="2"/>
  <c r="R387" i="2"/>
  <c r="R374" i="2"/>
  <c r="J374" i="2"/>
  <c r="J384" i="2"/>
  <c r="W399" i="2"/>
  <c r="W377" i="2"/>
  <c r="W386" i="2"/>
  <c r="Y373" i="2"/>
  <c r="H389" i="2"/>
  <c r="J380" i="2"/>
  <c r="J376" i="2"/>
  <c r="Y389" i="2"/>
  <c r="Y384" i="2"/>
  <c r="G383" i="2"/>
  <c r="AF386" i="2"/>
  <c r="J371" i="2"/>
  <c r="J382" i="2"/>
  <c r="J386" i="2"/>
  <c r="J373" i="2"/>
  <c r="J385" i="2"/>
  <c r="J399" i="2"/>
  <c r="W371" i="2"/>
  <c r="W387" i="2"/>
  <c r="W385" i="2"/>
  <c r="Y371" i="2"/>
  <c r="W375" i="2"/>
  <c r="J387" i="2"/>
  <c r="H387" i="2"/>
  <c r="Y385" i="2"/>
  <c r="W388" i="2"/>
  <c r="Y399" i="2"/>
  <c r="W373" i="2"/>
  <c r="W376" i="2"/>
  <c r="W389" i="2"/>
  <c r="Y383" i="2"/>
  <c r="Y377" i="2"/>
  <c r="Y387" i="2"/>
  <c r="Y386" i="2"/>
  <c r="O388" i="2"/>
  <c r="R377" i="2"/>
  <c r="R373" i="2"/>
  <c r="AF375" i="2"/>
  <c r="AF371" i="2"/>
  <c r="AB389" i="2"/>
  <c r="O399" i="2"/>
  <c r="O374" i="2"/>
  <c r="AF377" i="2"/>
  <c r="AF384" i="2"/>
  <c r="AD371" i="2"/>
  <c r="AD390" i="2"/>
  <c r="Q385" i="2"/>
  <c r="AB387" i="2"/>
  <c r="AC399" i="2"/>
  <c r="AB382" i="2"/>
  <c r="AB374" i="2"/>
  <c r="AD387" i="2"/>
  <c r="AC384" i="2"/>
  <c r="Q373" i="2"/>
  <c r="K374" i="2"/>
  <c r="Q386" i="2"/>
  <c r="K387" i="2"/>
  <c r="AC376" i="2"/>
  <c r="AD385" i="2"/>
  <c r="AD389" i="2"/>
  <c r="H399" i="2"/>
  <c r="H384" i="2"/>
  <c r="G387" i="2"/>
  <c r="G374" i="2"/>
  <c r="G399" i="2"/>
  <c r="O383" i="2"/>
  <c r="O390" i="2"/>
  <c r="O376" i="2"/>
  <c r="R380" i="2"/>
  <c r="O373" i="2"/>
  <c r="H371" i="2"/>
  <c r="G385" i="2"/>
  <c r="AF380" i="2"/>
  <c r="AF373" i="2"/>
  <c r="AC375" i="2"/>
  <c r="AE388" i="2"/>
  <c r="AF383" i="2"/>
  <c r="AC390" i="2"/>
  <c r="AC373" i="2"/>
  <c r="AC371" i="2"/>
  <c r="AC389" i="2"/>
  <c r="AF388" i="2"/>
  <c r="T383" i="2"/>
  <c r="U383" i="2"/>
  <c r="AE377" i="2"/>
  <c r="AF399" i="2"/>
  <c r="AF382" i="2"/>
  <c r="AF385" i="2"/>
  <c r="AC386" i="2"/>
  <c r="O380" i="2"/>
  <c r="R386" i="2"/>
  <c r="O371" i="2"/>
  <c r="H386" i="2"/>
  <c r="H375" i="2"/>
  <c r="H374" i="2"/>
  <c r="G388" i="2"/>
  <c r="O386" i="2"/>
  <c r="G386" i="2"/>
  <c r="O389" i="2"/>
  <c r="G377" i="2"/>
  <c r="G376" i="2"/>
  <c r="G382" i="2"/>
  <c r="G375" i="2"/>
  <c r="H377" i="2"/>
  <c r="G371" i="2"/>
  <c r="T373" i="2"/>
  <c r="AF390" i="2"/>
  <c r="T376" i="2"/>
  <c r="AE374" i="2"/>
  <c r="AE384" i="2"/>
  <c r="T374" i="2"/>
  <c r="AE375" i="2"/>
  <c r="AE387" i="2"/>
  <c r="V399" i="2"/>
  <c r="AF387" i="2"/>
  <c r="U385" i="2"/>
  <c r="V386" i="2"/>
  <c r="H385" i="2"/>
  <c r="R399" i="2"/>
  <c r="O384" i="2"/>
  <c r="R388" i="2"/>
  <c r="R375" i="2"/>
  <c r="O387" i="2"/>
  <c r="H390" i="2"/>
  <c r="H376" i="2"/>
  <c r="R383" i="2"/>
  <c r="O375" i="2"/>
  <c r="R376" i="2"/>
  <c r="H380" i="2"/>
  <c r="R384" i="2"/>
  <c r="R389" i="2"/>
  <c r="K382" i="2"/>
  <c r="O382" i="2"/>
  <c r="R390" i="2"/>
  <c r="H388" i="2"/>
  <c r="K384" i="2"/>
  <c r="R385" i="2"/>
  <c r="R382" i="2"/>
  <c r="G380" i="2"/>
  <c r="H382" i="2"/>
  <c r="R371" i="2"/>
  <c r="G373" i="2"/>
  <c r="G389" i="2"/>
  <c r="G384" i="2"/>
  <c r="O385" i="2"/>
  <c r="T385" i="2"/>
  <c r="AC374" i="2"/>
  <c r="AC377" i="2"/>
  <c r="AF376" i="2"/>
  <c r="T377" i="2"/>
  <c r="AC382" i="2"/>
  <c r="T380" i="2"/>
  <c r="U384" i="2"/>
  <c r="AC385" i="2"/>
  <c r="AC383" i="2"/>
  <c r="AF374" i="2"/>
  <c r="AC387" i="2"/>
  <c r="S374" i="2"/>
  <c r="I390" i="2"/>
  <c r="S373" i="2"/>
  <c r="AD328" i="2"/>
  <c r="AD330" i="2" s="1"/>
  <c r="AD331" i="2" s="1"/>
  <c r="AD388" i="2"/>
  <c r="AD373" i="2"/>
  <c r="AD384" i="2"/>
  <c r="AD377" i="2"/>
  <c r="AD376" i="2"/>
  <c r="AD374" i="2"/>
  <c r="AD383" i="2"/>
  <c r="AD375" i="2"/>
  <c r="AD386" i="2"/>
  <c r="AD382" i="2"/>
  <c r="AD399" i="2"/>
  <c r="AB328" i="2"/>
  <c r="AB330" i="2" s="1"/>
  <c r="AB331" i="2" s="1"/>
  <c r="AB371" i="2"/>
  <c r="AB383" i="2"/>
  <c r="AB385" i="2"/>
  <c r="AB377" i="2"/>
  <c r="AB384" i="2"/>
  <c r="AB386" i="2"/>
  <c r="AB399" i="2"/>
  <c r="AB390" i="2"/>
  <c r="AB388" i="2"/>
  <c r="AB376" i="2"/>
  <c r="AB380" i="2"/>
  <c r="AB373" i="2"/>
  <c r="Q328" i="2"/>
  <c r="Q330" i="2" s="1"/>
  <c r="Q377" i="2"/>
  <c r="Q371" i="2"/>
  <c r="Q382" i="2"/>
  <c r="Q388" i="2"/>
  <c r="Q383" i="2"/>
  <c r="Q376" i="2"/>
  <c r="Q384" i="2"/>
  <c r="Q399" i="2"/>
  <c r="Q390" i="2"/>
  <c r="Q380" i="2"/>
  <c r="Q375" i="2"/>
  <c r="Q374" i="2"/>
  <c r="Q389" i="2"/>
  <c r="E397" i="2"/>
  <c r="E401" i="2" s="1"/>
  <c r="E403" i="2" s="1"/>
  <c r="N328" i="2"/>
  <c r="N330" i="2" s="1"/>
  <c r="N389" i="2"/>
  <c r="N373" i="2"/>
  <c r="N384" i="2"/>
  <c r="N382" i="2"/>
  <c r="N383" i="2"/>
  <c r="N386" i="2"/>
  <c r="N388" i="2"/>
  <c r="N399" i="2"/>
  <c r="N374" i="2"/>
  <c r="N387" i="2"/>
  <c r="N377" i="2"/>
  <c r="N385" i="2"/>
  <c r="N390" i="2"/>
  <c r="AA328" i="2"/>
  <c r="AA330" i="2" s="1"/>
  <c r="AA331" i="2" s="1"/>
  <c r="AA377" i="2"/>
  <c r="AA389" i="2"/>
  <c r="AA376" i="2"/>
  <c r="AA390" i="2"/>
  <c r="AA373" i="2"/>
  <c r="AA384" i="2"/>
  <c r="AA387" i="2"/>
  <c r="AA382" i="2"/>
  <c r="AA374" i="2"/>
  <c r="AA383" i="2"/>
  <c r="AA375" i="2"/>
  <c r="AA388" i="2"/>
  <c r="AA371" i="2"/>
  <c r="AA399" i="2"/>
  <c r="Z328" i="2"/>
  <c r="Z330" i="2" s="1"/>
  <c r="Z331" i="2" s="1"/>
  <c r="Z383" i="2"/>
  <c r="Z371" i="2"/>
  <c r="Z399" i="2"/>
  <c r="Z386" i="2"/>
  <c r="Z380" i="2"/>
  <c r="Z382" i="2"/>
  <c r="Z376" i="2"/>
  <c r="Z387" i="2"/>
  <c r="Z377" i="2"/>
  <c r="Z373" i="2"/>
  <c r="Z374" i="2"/>
  <c r="Z375" i="2"/>
  <c r="Z390" i="2"/>
  <c r="Z388" i="2"/>
  <c r="Z389" i="2"/>
  <c r="I328" i="2"/>
  <c r="I330" i="2" s="1"/>
  <c r="I386" i="2"/>
  <c r="I383" i="2"/>
  <c r="I399" i="2"/>
  <c r="I387" i="2"/>
  <c r="I373" i="2"/>
  <c r="I385" i="2"/>
  <c r="I376" i="2"/>
  <c r="I380" i="2"/>
  <c r="I377" i="2"/>
  <c r="I382" i="2"/>
  <c r="I384" i="2"/>
  <c r="I388" i="2"/>
  <c r="I375" i="2"/>
  <c r="S328" i="2"/>
  <c r="S330" i="2" s="1"/>
  <c r="S385" i="2"/>
  <c r="S382" i="2"/>
  <c r="S371" i="2"/>
  <c r="S377" i="2"/>
  <c r="S376" i="2"/>
  <c r="S383" i="2"/>
  <c r="S380" i="2"/>
  <c r="S388" i="2"/>
  <c r="S387" i="2"/>
  <c r="S384" i="2"/>
  <c r="S399" i="2"/>
  <c r="S389" i="2"/>
  <c r="P399" i="2"/>
  <c r="X632" i="2"/>
  <c r="X633" i="2" s="1"/>
  <c r="X562" i="2"/>
  <c r="W562" i="2"/>
  <c r="W632" i="2"/>
  <c r="W633" i="2" s="1"/>
  <c r="I389" i="2"/>
  <c r="I374" i="2"/>
  <c r="S375" i="2"/>
  <c r="S390" i="2"/>
  <c r="K535" i="2"/>
  <c r="F117" i="2"/>
  <c r="K375" i="2"/>
  <c r="K376" i="2"/>
  <c r="K389" i="2"/>
  <c r="K388" i="2"/>
  <c r="K386" i="2"/>
  <c r="V377" i="2"/>
  <c r="AE371" i="2"/>
  <c r="U373" i="2"/>
  <c r="U386" i="2"/>
  <c r="V382" i="2"/>
  <c r="U390" i="2"/>
  <c r="T390" i="2"/>
  <c r="V383" i="2"/>
  <c r="V373" i="2"/>
  <c r="U399" i="2"/>
  <c r="V374" i="2"/>
  <c r="T375" i="2"/>
  <c r="AE399" i="2"/>
  <c r="AE389" i="2"/>
  <c r="O535" i="2"/>
  <c r="R535" i="2"/>
  <c r="G535" i="2"/>
  <c r="Y632" i="2"/>
  <c r="Y633" i="2" s="1"/>
  <c r="Y562" i="2"/>
  <c r="J535" i="2"/>
  <c r="K390" i="2"/>
  <c r="AE373" i="2"/>
  <c r="AE376" i="2"/>
  <c r="V387" i="2"/>
  <c r="V380" i="2"/>
  <c r="AE390" i="2"/>
  <c r="V376" i="2"/>
  <c r="T382" i="2"/>
  <c r="T387" i="2"/>
  <c r="U387" i="2"/>
  <c r="V385" i="2"/>
  <c r="AE385" i="2"/>
  <c r="U382" i="2"/>
  <c r="X376" i="2"/>
  <c r="AC380" i="2"/>
  <c r="U377" i="2"/>
  <c r="W382" i="2"/>
  <c r="U388" i="2"/>
  <c r="V388" i="2"/>
  <c r="AE386" i="2"/>
  <c r="X383" i="2"/>
  <c r="T384" i="2"/>
  <c r="H535" i="2"/>
  <c r="AC562" i="2"/>
  <c r="AC632" i="2"/>
  <c r="AC633" i="2" s="1"/>
  <c r="K385" i="2"/>
  <c r="K371" i="2"/>
  <c r="K377" i="2"/>
  <c r="I535" i="2"/>
  <c r="P535" i="2"/>
  <c r="F562" i="2"/>
  <c r="F535" i="2"/>
  <c r="K380" i="2"/>
  <c r="K399" i="2"/>
  <c r="K373" i="2"/>
  <c r="K383" i="2"/>
  <c r="T388" i="2"/>
  <c r="V384" i="2"/>
  <c r="T389" i="2"/>
  <c r="U380" i="2"/>
  <c r="U375" i="2"/>
  <c r="U374" i="2"/>
  <c r="U389" i="2"/>
  <c r="V390" i="2"/>
  <c r="U371" i="2"/>
  <c r="V371" i="2"/>
  <c r="AC388" i="2"/>
  <c r="W383" i="2"/>
  <c r="U376" i="2"/>
  <c r="V375" i="2"/>
  <c r="T371" i="2"/>
  <c r="AE382" i="2"/>
  <c r="T386" i="2"/>
  <c r="W390" i="2"/>
  <c r="AE380" i="2"/>
  <c r="T399" i="2"/>
  <c r="V389" i="2"/>
  <c r="AE383" i="2"/>
  <c r="W384" i="2"/>
  <c r="AD562" i="2"/>
  <c r="AD632" i="2"/>
  <c r="AD633" i="2" s="1"/>
  <c r="AB632" i="2"/>
  <c r="AB633" i="2" s="1"/>
  <c r="AB562" i="2"/>
  <c r="Q535" i="2"/>
  <c r="N535" i="2"/>
  <c r="AA632" i="2"/>
  <c r="AA633" i="2" s="1"/>
  <c r="AA562" i="2"/>
  <c r="Z562" i="2"/>
  <c r="Z632" i="2"/>
  <c r="Z633" i="2" s="1"/>
  <c r="F324" i="2"/>
  <c r="E404" i="2" l="1"/>
  <c r="P601" i="2"/>
  <c r="P602" i="2" s="1"/>
  <c r="I601" i="2"/>
  <c r="I602" i="2" s="1"/>
  <c r="O601" i="2"/>
  <c r="O602" i="2" s="1"/>
  <c r="J601" i="2"/>
  <c r="J602" i="2" s="1"/>
  <c r="N601" i="2"/>
  <c r="N602" i="2" s="1"/>
  <c r="H601" i="2"/>
  <c r="H602" i="2" s="1"/>
  <c r="G601" i="2"/>
  <c r="G602" i="2" s="1"/>
  <c r="T601" i="2"/>
  <c r="T602" i="2" s="1"/>
  <c r="S601" i="2"/>
  <c r="S602" i="2" s="1"/>
  <c r="K601" i="2"/>
  <c r="K602" i="2" s="1"/>
  <c r="P611" i="2"/>
  <c r="Q601" i="2"/>
  <c r="Q602" i="2" s="1"/>
  <c r="R601" i="2"/>
  <c r="R602" i="2" s="1"/>
  <c r="P606" i="2"/>
  <c r="K611" i="2"/>
  <c r="H611" i="2"/>
  <c r="O611" i="2"/>
  <c r="J611" i="2"/>
  <c r="K595" i="2"/>
  <c r="Q611" i="2"/>
  <c r="T595" i="2"/>
  <c r="R611" i="2"/>
  <c r="G611" i="2"/>
  <c r="H595" i="2"/>
  <c r="T611" i="2"/>
  <c r="N611" i="2"/>
  <c r="I595" i="2"/>
  <c r="Q595" i="2"/>
  <c r="O595" i="2"/>
  <c r="J595" i="2"/>
  <c r="S595" i="2"/>
  <c r="I611" i="2"/>
  <c r="M611" i="2"/>
  <c r="R595" i="2"/>
  <c r="S611" i="2"/>
  <c r="G595" i="2"/>
  <c r="N595" i="2"/>
  <c r="P595" i="2"/>
  <c r="K597" i="2"/>
  <c r="M597" i="2"/>
  <c r="M653" i="2" s="1"/>
  <c r="I597" i="2"/>
  <c r="I653" i="2" s="1"/>
  <c r="G597" i="2"/>
  <c r="H597" i="2"/>
  <c r="R597" i="2"/>
  <c r="R653" i="2" s="1"/>
  <c r="J597" i="2"/>
  <c r="J653" i="2" s="1"/>
  <c r="O597" i="2"/>
  <c r="O653" i="2" s="1"/>
  <c r="N597" i="2"/>
  <c r="N653" i="2" s="1"/>
  <c r="Q597" i="2"/>
  <c r="S597" i="2"/>
  <c r="S653" i="2" s="1"/>
  <c r="P597" i="2"/>
  <c r="P653" i="2" s="1"/>
  <c r="T597" i="2"/>
  <c r="O606" i="2"/>
  <c r="R606" i="2"/>
  <c r="Q606" i="2"/>
  <c r="J606" i="2"/>
  <c r="T606" i="2"/>
  <c r="N606" i="2"/>
  <c r="H606" i="2"/>
  <c r="K606" i="2"/>
  <c r="S606" i="2"/>
  <c r="G606" i="2"/>
  <c r="I606" i="2"/>
  <c r="O331" i="2"/>
  <c r="O644" i="2"/>
  <c r="I331" i="2"/>
  <c r="I644" i="2"/>
  <c r="K331" i="2"/>
  <c r="K644" i="2"/>
  <c r="J331" i="2"/>
  <c r="J644" i="2"/>
  <c r="S331" i="2"/>
  <c r="S644" i="2"/>
  <c r="G331" i="2"/>
  <c r="G644" i="2"/>
  <c r="Q331" i="2"/>
  <c r="Q644" i="2"/>
  <c r="H331" i="2"/>
  <c r="H644" i="2"/>
  <c r="N331" i="2"/>
  <c r="N644" i="2"/>
  <c r="X397" i="2"/>
  <c r="X330" i="2"/>
  <c r="X331" i="2" s="1"/>
  <c r="W397" i="2"/>
  <c r="W330" i="2"/>
  <c r="W331" i="2" s="1"/>
  <c r="AC397" i="2"/>
  <c r="AC330" i="2"/>
  <c r="AC331" i="2" s="1"/>
  <c r="AF397" i="2"/>
  <c r="AF330" i="2"/>
  <c r="AF331" i="2" s="1"/>
  <c r="T397" i="2"/>
  <c r="T401" i="2" s="1"/>
  <c r="G24" i="4" s="1"/>
  <c r="T330" i="2"/>
  <c r="AE397" i="2"/>
  <c r="AE330" i="2"/>
  <c r="AE331" i="2" s="1"/>
  <c r="U397" i="2"/>
  <c r="U401" i="2" s="1"/>
  <c r="G25" i="4" s="1"/>
  <c r="U330" i="2"/>
  <c r="U331" i="2" s="1"/>
  <c r="Y397" i="2"/>
  <c r="Y330" i="2"/>
  <c r="Y331" i="2" s="1"/>
  <c r="R397" i="2"/>
  <c r="R401" i="2" s="1"/>
  <c r="G22" i="4" s="1"/>
  <c r="R330" i="2"/>
  <c r="V397" i="2"/>
  <c r="V401" i="2" s="1"/>
  <c r="V330" i="2"/>
  <c r="V331" i="2" s="1"/>
  <c r="J397" i="2"/>
  <c r="J401" i="2" s="1"/>
  <c r="G397" i="2"/>
  <c r="G401" i="2" s="1"/>
  <c r="H397" i="2"/>
  <c r="H401" i="2" s="1"/>
  <c r="O397" i="2"/>
  <c r="O401" i="2" s="1"/>
  <c r="G19" i="4" s="1"/>
  <c r="K397" i="2"/>
  <c r="K401" i="2" s="1"/>
  <c r="S540" i="2"/>
  <c r="F367" i="2"/>
  <c r="F369" i="2"/>
  <c r="AA525" i="2"/>
  <c r="AA524" i="2"/>
  <c r="AD525" i="2"/>
  <c r="AD524" i="2"/>
  <c r="AC525" i="2"/>
  <c r="AC524" i="2"/>
  <c r="AB525" i="2"/>
  <c r="AB524" i="2"/>
  <c r="AE525" i="2"/>
  <c r="AE524" i="2"/>
  <c r="X525" i="2"/>
  <c r="X524" i="2"/>
  <c r="Y525" i="2"/>
  <c r="Y524" i="2"/>
  <c r="W525" i="2"/>
  <c r="W524" i="2"/>
  <c r="Z525" i="2"/>
  <c r="Z524" i="2"/>
  <c r="AF525" i="2"/>
  <c r="AF524" i="2"/>
  <c r="F379" i="2"/>
  <c r="F368" i="2"/>
  <c r="F372" i="2"/>
  <c r="F378" i="2"/>
  <c r="F381" i="2"/>
  <c r="I397" i="2"/>
  <c r="I401" i="2" s="1"/>
  <c r="X606" i="2"/>
  <c r="X607" i="2" s="1"/>
  <c r="AF606" i="2"/>
  <c r="AF607" i="2" s="1"/>
  <c r="E644" i="2"/>
  <c r="AB606" i="2"/>
  <c r="AB607" i="2" s="1"/>
  <c r="Y606" i="2"/>
  <c r="Y607" i="2" s="1"/>
  <c r="Z606" i="2"/>
  <c r="Z607" i="2" s="1"/>
  <c r="AD606" i="2"/>
  <c r="AD607" i="2" s="1"/>
  <c r="AC606" i="2"/>
  <c r="AC607" i="2" s="1"/>
  <c r="W606" i="2"/>
  <c r="W607" i="2" s="1"/>
  <c r="AE606" i="2"/>
  <c r="AE607" i="2" s="1"/>
  <c r="AA606" i="2"/>
  <c r="AA607" i="2" s="1"/>
  <c r="Z397" i="2"/>
  <c r="AA397" i="2"/>
  <c r="Q397" i="2"/>
  <c r="Q401" i="2" s="1"/>
  <c r="G21" i="4" s="1"/>
  <c r="S397" i="2"/>
  <c r="S401" i="2" s="1"/>
  <c r="G23" i="4" s="1"/>
  <c r="AB397" i="2"/>
  <c r="P397" i="2"/>
  <c r="P401" i="2" s="1"/>
  <c r="G20" i="4" s="1"/>
  <c r="N397" i="2"/>
  <c r="N401" i="2" s="1"/>
  <c r="G18" i="4" s="1"/>
  <c r="F383" i="2"/>
  <c r="F373" i="2"/>
  <c r="F375" i="2"/>
  <c r="F376" i="2"/>
  <c r="F386" i="2"/>
  <c r="F328" i="2"/>
  <c r="F377" i="2"/>
  <c r="F371" i="2"/>
  <c r="F387" i="2"/>
  <c r="F389" i="2"/>
  <c r="F399" i="2"/>
  <c r="F385" i="2"/>
  <c r="F382" i="2"/>
  <c r="F380" i="2"/>
  <c r="F384" i="2"/>
  <c r="F388" i="2"/>
  <c r="F374" i="2"/>
  <c r="F390" i="2"/>
  <c r="AD397" i="2"/>
  <c r="F362" i="2"/>
  <c r="F326" i="2"/>
  <c r="R331" i="2" l="1"/>
  <c r="R644" i="2"/>
  <c r="T331" i="2"/>
  <c r="T644" i="2"/>
  <c r="AE581" i="2"/>
  <c r="AE582" i="2" s="1"/>
  <c r="AC581" i="2"/>
  <c r="AC582" i="2" s="1"/>
  <c r="X586" i="2"/>
  <c r="X587" i="2" s="1"/>
  <c r="G12" i="4"/>
  <c r="G15" i="4"/>
  <c r="G11" i="4"/>
  <c r="G13" i="4"/>
  <c r="Y586" i="2"/>
  <c r="Y587" i="2" s="1"/>
  <c r="F330" i="2"/>
  <c r="F331" i="2" s="1"/>
  <c r="F551" i="2"/>
  <c r="F571" i="2" s="1"/>
  <c r="F596" i="2" s="1"/>
  <c r="G14" i="4"/>
  <c r="W586" i="2"/>
  <c r="W587" i="2" s="1"/>
  <c r="W581" i="2"/>
  <c r="W582" i="2" s="1"/>
  <c r="AC586" i="2"/>
  <c r="AC587" i="2" s="1"/>
  <c r="Y581" i="2"/>
  <c r="Y582" i="2" s="1"/>
  <c r="X581" i="2"/>
  <c r="X582" i="2" s="1"/>
  <c r="AE586" i="2"/>
  <c r="AE587" i="2" s="1"/>
  <c r="AB581" i="2"/>
  <c r="AB582" i="2" s="1"/>
  <c r="AB586" i="2"/>
  <c r="AB587" i="2" s="1"/>
  <c r="AA581" i="2"/>
  <c r="AA582" i="2" s="1"/>
  <c r="AA586" i="2"/>
  <c r="AA587" i="2" s="1"/>
  <c r="AD586" i="2"/>
  <c r="AD587" i="2" s="1"/>
  <c r="AD581" i="2"/>
  <c r="AD582" i="2" s="1"/>
  <c r="C591" i="2"/>
  <c r="F601" i="2"/>
  <c r="F602" i="2" s="1"/>
  <c r="Z611" i="2"/>
  <c r="Z612" i="2" s="1"/>
  <c r="AF611" i="2"/>
  <c r="AF612" i="2" s="1"/>
  <c r="AD611" i="2"/>
  <c r="AD612" i="2" s="1"/>
  <c r="W611" i="2"/>
  <c r="W612" i="2" s="1"/>
  <c r="F595" i="2"/>
  <c r="E650" i="2"/>
  <c r="F611" i="2"/>
  <c r="Y611" i="2"/>
  <c r="Y612" i="2" s="1"/>
  <c r="F597" i="2"/>
  <c r="X611" i="2"/>
  <c r="X612" i="2" s="1"/>
  <c r="AE611" i="2"/>
  <c r="AE612" i="2" s="1"/>
  <c r="AB611" i="2"/>
  <c r="AB612" i="2" s="1"/>
  <c r="AA611" i="2"/>
  <c r="AA612" i="2" s="1"/>
  <c r="F606" i="2"/>
  <c r="AC611" i="2"/>
  <c r="AC612" i="2" s="1"/>
  <c r="F397" i="2"/>
  <c r="Z581" i="2"/>
  <c r="Z582" i="2" s="1"/>
  <c r="Z586" i="2"/>
  <c r="Z587" i="2" s="1"/>
  <c r="R591" i="2" l="1"/>
  <c r="J591" i="2"/>
  <c r="G591" i="2"/>
  <c r="K591" i="2"/>
  <c r="N591" i="2"/>
  <c r="I591" i="2"/>
  <c r="T591" i="2"/>
  <c r="S591" i="2"/>
  <c r="P591" i="2"/>
  <c r="H591" i="2"/>
  <c r="M591" i="2"/>
  <c r="Q591" i="2"/>
  <c r="O591" i="2"/>
  <c r="T650" i="2"/>
  <c r="S650" i="2"/>
  <c r="N650" i="2"/>
  <c r="P650" i="2"/>
  <c r="K650" i="2"/>
  <c r="H650" i="2"/>
  <c r="M650" i="2"/>
  <c r="J650" i="2"/>
  <c r="Q650" i="2"/>
  <c r="O650" i="2"/>
  <c r="G650" i="2"/>
  <c r="I650" i="2"/>
  <c r="R650" i="2"/>
  <c r="F622" i="2"/>
  <c r="AH523" i="2"/>
  <c r="F591" i="2"/>
  <c r="C617" i="2"/>
  <c r="L541" i="2"/>
  <c r="P541" i="2"/>
  <c r="F541" i="2"/>
  <c r="G541" i="2"/>
  <c r="K540" i="2"/>
  <c r="R540" i="2"/>
  <c r="H540" i="2"/>
  <c r="Q540" i="2"/>
  <c r="J541" i="2"/>
  <c r="N541" i="2"/>
  <c r="E541" i="2"/>
  <c r="I540" i="2"/>
  <c r="G540" i="2"/>
  <c r="F623" i="2"/>
  <c r="H541" i="2"/>
  <c r="F617" i="2"/>
  <c r="F627" i="2"/>
  <c r="F628" i="2" s="1"/>
  <c r="R541" i="2"/>
  <c r="E539" i="2"/>
  <c r="J540" i="2"/>
  <c r="Q541" i="2"/>
  <c r="M541" i="2"/>
  <c r="F621" i="2"/>
  <c r="O540" i="2"/>
  <c r="K541" i="2"/>
  <c r="O541" i="2"/>
  <c r="E540" i="2"/>
  <c r="F540" i="2"/>
  <c r="E656" i="2"/>
  <c r="F656" i="2" s="1"/>
  <c r="G656" i="2" s="1"/>
  <c r="H656" i="2" s="1"/>
  <c r="I656" i="2" s="1"/>
  <c r="J656" i="2" s="1"/>
  <c r="K656" i="2" s="1"/>
  <c r="M656" i="2" s="1"/>
  <c r="N656" i="2" s="1"/>
  <c r="O656" i="2" s="1"/>
  <c r="P656" i="2" s="1"/>
  <c r="Q656" i="2" s="1"/>
  <c r="R656" i="2" s="1"/>
  <c r="S656" i="2" s="1"/>
  <c r="T656" i="2" s="1"/>
  <c r="I541" i="2"/>
  <c r="N540" i="2"/>
  <c r="P540" i="2"/>
  <c r="F401" i="2"/>
  <c r="F650" i="2"/>
  <c r="F644" i="2"/>
  <c r="F637" i="2" l="1"/>
  <c r="F632" i="2"/>
  <c r="G10" i="4"/>
  <c r="F13" i="17"/>
  <c r="M223" i="15" l="1"/>
  <c r="M36" i="15" s="1"/>
  <c r="K223" i="15"/>
  <c r="K36" i="15" s="1"/>
  <c r="J223" i="15"/>
  <c r="J36" i="15" s="1"/>
  <c r="I223" i="15"/>
  <c r="I36" i="15" s="1"/>
  <c r="G223" i="15"/>
  <c r="G36" i="15" s="1"/>
  <c r="E223" i="15"/>
  <c r="E36" i="15" s="1"/>
  <c r="P107" i="15"/>
  <c r="G14" i="15" s="1"/>
  <c r="N223" i="15"/>
  <c r="N36" i="15" s="1"/>
  <c r="L223" i="15"/>
  <c r="L36" i="15" s="1"/>
  <c r="H223" i="15"/>
  <c r="H36" i="15" s="1"/>
  <c r="F223" i="15"/>
  <c r="F36" i="15" s="1"/>
  <c r="O107" i="15"/>
  <c r="F14" i="15" s="1"/>
  <c r="L445" i="2" s="1"/>
  <c r="L463" i="2" s="1"/>
  <c r="O103" i="15" l="1"/>
  <c r="Q103" i="15"/>
  <c r="H14" i="15" s="1"/>
  <c r="S105" i="15"/>
  <c r="J14" i="15" s="1"/>
  <c r="L470" i="2" l="1"/>
  <c r="L493" i="2"/>
  <c r="L444" i="2"/>
  <c r="J26" i="15"/>
  <c r="E442" i="2" s="1"/>
  <c r="L442" i="2"/>
  <c r="AG442" i="2" s="1"/>
  <c r="O105" i="15"/>
  <c r="R105" i="15" s="1"/>
  <c r="AH442" i="2" l="1"/>
  <c r="T105" i="15"/>
  <c r="K14" i="15" s="1"/>
  <c r="I14" i="15"/>
  <c r="L494" i="2"/>
  <c r="D223" i="15"/>
  <c r="D36" i="15" s="1"/>
  <c r="L473" i="2"/>
  <c r="L466" i="2"/>
  <c r="L474" i="2" l="1"/>
  <c r="L101" i="2"/>
  <c r="L24" i="2"/>
  <c r="L63" i="2"/>
  <c r="L467" i="2"/>
  <c r="L441" i="2"/>
  <c r="L443" i="2"/>
  <c r="L496" i="2" s="1"/>
  <c r="L499" i="2" l="1"/>
  <c r="L449" i="2"/>
  <c r="L26" i="2"/>
  <c r="L103" i="2"/>
  <c r="L475" i="2"/>
  <c r="L65" i="2"/>
  <c r="L468" i="2"/>
  <c r="L500" i="2" l="1"/>
  <c r="L58" i="2"/>
  <c r="L210" i="2"/>
  <c r="L96" i="2"/>
  <c r="L19" i="2"/>
  <c r="L248" i="2"/>
  <c r="L172" i="2"/>
  <c r="L134" i="2"/>
  <c r="L286" i="2"/>
  <c r="L456" i="2"/>
  <c r="L477" i="2" s="1"/>
  <c r="L501" i="2" l="1"/>
  <c r="L484" i="2"/>
  <c r="L487" i="2" s="1"/>
  <c r="L488" i="2" s="1"/>
  <c r="L489" i="2" s="1"/>
  <c r="L480" i="2"/>
  <c r="L481" i="2" s="1"/>
  <c r="L482" i="2" s="1"/>
  <c r="L16" i="2" s="1"/>
  <c r="L21" i="2"/>
  <c r="L98" i="2"/>
  <c r="L136" i="2"/>
  <c r="L212" i="2"/>
  <c r="L174" i="2"/>
  <c r="L60" i="2"/>
  <c r="L250" i="2"/>
  <c r="L288" i="2"/>
  <c r="L55" i="2" l="1"/>
  <c r="L93" i="2"/>
  <c r="L533" i="2" s="1"/>
  <c r="L207" i="2"/>
  <c r="L283" i="2"/>
  <c r="L169" i="2"/>
  <c r="L245" i="2"/>
  <c r="L131" i="2"/>
  <c r="L515" i="2" l="1"/>
  <c r="L47" i="2"/>
  <c r="L161" i="2"/>
  <c r="L199" i="2"/>
  <c r="L237" i="2"/>
  <c r="L85" i="2"/>
  <c r="L530" i="2" s="1"/>
  <c r="L123" i="2"/>
  <c r="L275" i="2"/>
  <c r="L8" i="2"/>
  <c r="L10" i="2" s="1"/>
  <c r="L87" i="2" l="1"/>
  <c r="L239" i="2"/>
  <c r="L163" i="2"/>
  <c r="L49" i="2"/>
  <c r="L201" i="2"/>
  <c r="L277" i="2"/>
  <c r="L512" i="2"/>
  <c r="L125" i="2"/>
  <c r="L193" i="2" l="1"/>
  <c r="L79" i="2"/>
  <c r="L40" i="2"/>
  <c r="L517" i="2"/>
  <c r="L117" i="2"/>
  <c r="L155" i="2"/>
  <c r="L231" i="2"/>
  <c r="L535" i="2"/>
  <c r="L307" i="2"/>
  <c r="L269" i="2"/>
  <c r="L367" i="2" l="1"/>
  <c r="L369" i="2"/>
  <c r="L319" i="2"/>
  <c r="L320" i="2"/>
  <c r="L376" i="2"/>
  <c r="L375" i="2"/>
  <c r="L368" i="2"/>
  <c r="L373" i="2"/>
  <c r="L374" i="2"/>
  <c r="L322" i="2"/>
  <c r="L328" i="2"/>
  <c r="L378" i="2"/>
  <c r="L372" i="2"/>
  <c r="L380" i="2"/>
  <c r="L383" i="2"/>
  <c r="L399" i="2"/>
  <c r="L379" i="2"/>
  <c r="L387" i="2"/>
  <c r="L384" i="2"/>
  <c r="L381" i="2"/>
  <c r="L371" i="2"/>
  <c r="L377" i="2"/>
  <c r="L388" i="2"/>
  <c r="L382" i="2"/>
  <c r="L385" i="2"/>
  <c r="L389" i="2"/>
  <c r="L386" i="2"/>
  <c r="L390" i="2"/>
  <c r="L321" i="2"/>
  <c r="L540" i="2" l="1"/>
  <c r="L324" i="2"/>
  <c r="L362" i="2" s="1"/>
  <c r="L397" i="2"/>
  <c r="L401" i="2" s="1"/>
  <c r="L326" i="2" l="1"/>
  <c r="L330" i="2" s="1"/>
  <c r="L331" i="2" l="1"/>
  <c r="E16" i="17"/>
  <c r="G16" i="4"/>
  <c r="AH516" i="2" l="1"/>
  <c r="D515" i="2"/>
  <c r="D524" i="2" s="1"/>
  <c r="E517" i="2"/>
  <c r="D516" i="2"/>
  <c r="D525" i="2" s="1"/>
  <c r="E525" i="2" l="1"/>
  <c r="P525" i="2"/>
  <c r="I525" i="2"/>
  <c r="I554" i="2" s="1"/>
  <c r="S525" i="2"/>
  <c r="R525" i="2"/>
  <c r="H525" i="2"/>
  <c r="H554" i="2" s="1"/>
  <c r="U525" i="2"/>
  <c r="Q525" i="2"/>
  <c r="N525" i="2"/>
  <c r="T525" i="2"/>
  <c r="T554" i="2" s="1"/>
  <c r="K525" i="2"/>
  <c r="K554" i="2" s="1"/>
  <c r="O525" i="2"/>
  <c r="J525" i="2"/>
  <c r="J554" i="2" s="1"/>
  <c r="G525" i="2"/>
  <c r="G554" i="2" s="1"/>
  <c r="F525" i="2"/>
  <c r="L525" i="2"/>
  <c r="L543" i="2" s="1"/>
  <c r="E524" i="2"/>
  <c r="E542" i="2" s="1"/>
  <c r="P524" i="2"/>
  <c r="O524" i="2"/>
  <c r="J524" i="2"/>
  <c r="J553" i="2" s="1"/>
  <c r="G524" i="2"/>
  <c r="G553" i="2" s="1"/>
  <c r="I524" i="2"/>
  <c r="I553" i="2" s="1"/>
  <c r="S524" i="2"/>
  <c r="R524" i="2"/>
  <c r="H524" i="2"/>
  <c r="H553" i="2" s="1"/>
  <c r="U524" i="2"/>
  <c r="Q524" i="2"/>
  <c r="N524" i="2"/>
  <c r="T524" i="2"/>
  <c r="T553" i="2" s="1"/>
  <c r="K524" i="2"/>
  <c r="K553" i="2" s="1"/>
  <c r="F524" i="2"/>
  <c r="L524" i="2"/>
  <c r="V525" i="2"/>
  <c r="V524" i="2"/>
  <c r="T580" i="2" l="1"/>
  <c r="T631" i="2" s="1"/>
  <c r="T633" i="2" s="1"/>
  <c r="T605" i="2"/>
  <c r="T607" i="2" s="1"/>
  <c r="T610" i="2"/>
  <c r="T585" i="2"/>
  <c r="K610" i="2"/>
  <c r="K585" i="2"/>
  <c r="O553" i="2"/>
  <c r="O542" i="2"/>
  <c r="S554" i="2"/>
  <c r="S543" i="2"/>
  <c r="O554" i="2"/>
  <c r="O543" i="2"/>
  <c r="Q553" i="2"/>
  <c r="Q542" i="2"/>
  <c r="Q554" i="2"/>
  <c r="Q543" i="2"/>
  <c r="S553" i="2"/>
  <c r="S542" i="2"/>
  <c r="H610" i="2"/>
  <c r="H585" i="2"/>
  <c r="G610" i="2"/>
  <c r="G585" i="2"/>
  <c r="R554" i="2"/>
  <c r="R543" i="2"/>
  <c r="G605" i="2"/>
  <c r="G607" i="2" s="1"/>
  <c r="G580" i="2"/>
  <c r="G631" i="2" s="1"/>
  <c r="G633" i="2" s="1"/>
  <c r="J605" i="2"/>
  <c r="J580" i="2"/>
  <c r="N553" i="2"/>
  <c r="N542" i="2"/>
  <c r="J585" i="2"/>
  <c r="J610" i="2"/>
  <c r="N554" i="2"/>
  <c r="N543" i="2"/>
  <c r="K580" i="2"/>
  <c r="K631" i="2" s="1"/>
  <c r="K633" i="2" s="1"/>
  <c r="K605" i="2"/>
  <c r="K607" i="2" s="1"/>
  <c r="R553" i="2"/>
  <c r="R542" i="2"/>
  <c r="H580" i="2"/>
  <c r="H631" i="2" s="1"/>
  <c r="H633" i="2" s="1"/>
  <c r="H605" i="2"/>
  <c r="H607" i="2" s="1"/>
  <c r="K543" i="2"/>
  <c r="I580" i="2"/>
  <c r="I605" i="2"/>
  <c r="P553" i="2"/>
  <c r="P542" i="2"/>
  <c r="I610" i="2"/>
  <c r="I585" i="2"/>
  <c r="P554" i="2"/>
  <c r="P543" i="2"/>
  <c r="E526" i="2"/>
  <c r="E527" i="2" s="1"/>
  <c r="E528" i="2" s="1"/>
  <c r="L542" i="2"/>
  <c r="F543" i="2"/>
  <c r="F554" i="2"/>
  <c r="I542" i="2"/>
  <c r="H543" i="2"/>
  <c r="K542" i="2"/>
  <c r="I543" i="2"/>
  <c r="J542" i="2"/>
  <c r="G542" i="2"/>
  <c r="G543" i="2"/>
  <c r="F542" i="2"/>
  <c r="F553" i="2"/>
  <c r="H542" i="2"/>
  <c r="J543" i="2"/>
  <c r="E543" i="2"/>
  <c r="E544" i="2" s="1"/>
  <c r="E546" i="2" s="1"/>
  <c r="I612" i="2" l="1"/>
  <c r="I652" i="2" s="1"/>
  <c r="I636" i="2"/>
  <c r="I638" i="2" s="1"/>
  <c r="I658" i="2" s="1"/>
  <c r="R585" i="2"/>
  <c r="R610" i="2"/>
  <c r="R605" i="2"/>
  <c r="R580" i="2"/>
  <c r="N580" i="2"/>
  <c r="N605" i="2"/>
  <c r="G612" i="2"/>
  <c r="G652" i="2" s="1"/>
  <c r="G636" i="2"/>
  <c r="G638" i="2" s="1"/>
  <c r="G658" i="2" s="1"/>
  <c r="Q605" i="2"/>
  <c r="Q607" i="2" s="1"/>
  <c r="Q580" i="2"/>
  <c r="Q631" i="2" s="1"/>
  <c r="Q633" i="2" s="1"/>
  <c r="K612" i="2"/>
  <c r="K652" i="2" s="1"/>
  <c r="K636" i="2"/>
  <c r="K638" i="2" s="1"/>
  <c r="K658" i="2" s="1"/>
  <c r="E15" i="17" s="1"/>
  <c r="P605" i="2"/>
  <c r="P580" i="2"/>
  <c r="J612" i="2"/>
  <c r="J652" i="2" s="1"/>
  <c r="J636" i="2"/>
  <c r="J638" i="2" s="1"/>
  <c r="J658" i="2" s="1"/>
  <c r="E14" i="17" s="1"/>
  <c r="O605" i="2"/>
  <c r="O580" i="2"/>
  <c r="I631" i="2"/>
  <c r="I633" i="2" s="1"/>
  <c r="I607" i="2"/>
  <c r="J631" i="2"/>
  <c r="J633" i="2" s="1"/>
  <c r="J607" i="2"/>
  <c r="H636" i="2"/>
  <c r="H638" i="2" s="1"/>
  <c r="H658" i="2" s="1"/>
  <c r="H612" i="2"/>
  <c r="H652" i="2" s="1"/>
  <c r="O585" i="2"/>
  <c r="O610" i="2"/>
  <c r="T612" i="2"/>
  <c r="T652" i="2" s="1"/>
  <c r="T636" i="2"/>
  <c r="T638" i="2" s="1"/>
  <c r="T658" i="2" s="1"/>
  <c r="E23" i="17" s="1"/>
  <c r="Q585" i="2"/>
  <c r="Q610" i="2"/>
  <c r="P610" i="2"/>
  <c r="P585" i="2"/>
  <c r="N610" i="2"/>
  <c r="N585" i="2"/>
  <c r="S605" i="2"/>
  <c r="S580" i="2"/>
  <c r="S610" i="2"/>
  <c r="S585" i="2"/>
  <c r="F610" i="2"/>
  <c r="F585" i="2"/>
  <c r="F580" i="2"/>
  <c r="F605" i="2"/>
  <c r="F607" i="2" s="1"/>
  <c r="S636" i="2" l="1"/>
  <c r="S638" i="2" s="1"/>
  <c r="S658" i="2" s="1"/>
  <c r="S612" i="2"/>
  <c r="S652" i="2" s="1"/>
  <c r="P631" i="2"/>
  <c r="P633" i="2" s="1"/>
  <c r="P607" i="2"/>
  <c r="R612" i="2"/>
  <c r="R652" i="2" s="1"/>
  <c r="R636" i="2"/>
  <c r="R638" i="2" s="1"/>
  <c r="R658" i="2" s="1"/>
  <c r="E22" i="17" s="1"/>
  <c r="R607" i="2"/>
  <c r="R631" i="2"/>
  <c r="R633" i="2" s="1"/>
  <c r="N636" i="2"/>
  <c r="N638" i="2" s="1"/>
  <c r="N658" i="2" s="1"/>
  <c r="E18" i="17" s="1"/>
  <c r="N612" i="2"/>
  <c r="N652" i="2" s="1"/>
  <c r="O631" i="2"/>
  <c r="O633" i="2" s="1"/>
  <c r="O607" i="2"/>
  <c r="Q612" i="2"/>
  <c r="Q652" i="2" s="1"/>
  <c r="Q636" i="2"/>
  <c r="Q638" i="2" s="1"/>
  <c r="Q658" i="2" s="1"/>
  <c r="E21" i="17" s="1"/>
  <c r="S607" i="2"/>
  <c r="S631" i="2"/>
  <c r="S633" i="2" s="1"/>
  <c r="N607" i="2"/>
  <c r="N631" i="2"/>
  <c r="N633" i="2" s="1"/>
  <c r="O612" i="2"/>
  <c r="O652" i="2" s="1"/>
  <c r="O636" i="2"/>
  <c r="O638" i="2" s="1"/>
  <c r="O658" i="2" s="1"/>
  <c r="E19" i="17" s="1"/>
  <c r="P636" i="2"/>
  <c r="P638" i="2" s="1"/>
  <c r="P658" i="2" s="1"/>
  <c r="E20" i="17" s="1"/>
  <c r="P612" i="2"/>
  <c r="P652" i="2" s="1"/>
  <c r="F636" i="2"/>
  <c r="F638" i="2" s="1"/>
  <c r="F658" i="2" s="1"/>
  <c r="E10" i="17" s="1"/>
  <c r="F612" i="2"/>
  <c r="F652" i="2" s="1"/>
  <c r="E13" i="17"/>
  <c r="E12" i="17"/>
  <c r="E11" i="17"/>
  <c r="F631" i="2"/>
  <c r="F633" i="2" s="1"/>
  <c r="G12" i="17"/>
  <c r="Q113" i="15" l="1"/>
  <c r="H15" i="15" s="1"/>
  <c r="O113" i="15"/>
  <c r="C222" i="15"/>
  <c r="O222" i="15" s="1"/>
  <c r="O223" i="15" s="1"/>
  <c r="O115" i="15"/>
  <c r="R115" i="15" s="1"/>
  <c r="P117" i="15"/>
  <c r="G15" i="15" s="1"/>
  <c r="G26" i="15" s="1"/>
  <c r="O117" i="15"/>
  <c r="F15" i="15" s="1"/>
  <c r="M445" i="2" s="1"/>
  <c r="M463" i="2" l="1"/>
  <c r="M627" i="2"/>
  <c r="M561" i="2"/>
  <c r="M552" i="2"/>
  <c r="M575" i="2" s="1"/>
  <c r="M601" i="2"/>
  <c r="M444" i="2"/>
  <c r="AG444" i="2" s="1"/>
  <c r="H26" i="15"/>
  <c r="E444" i="2" s="1"/>
  <c r="F26" i="15"/>
  <c r="E445" i="2" s="1"/>
  <c r="T115" i="15"/>
  <c r="K15" i="15" s="1"/>
  <c r="I15" i="15"/>
  <c r="AG445" i="2"/>
  <c r="C223" i="15"/>
  <c r="C36" i="15" s="1"/>
  <c r="M600" i="2" l="1"/>
  <c r="M602" i="2" s="1"/>
  <c r="M626" i="2"/>
  <c r="M628" i="2" s="1"/>
  <c r="AE414" i="2"/>
  <c r="G415" i="2"/>
  <c r="AD414" i="2"/>
  <c r="F414" i="2"/>
  <c r="V415" i="2"/>
  <c r="N415" i="2"/>
  <c r="M414" i="2"/>
  <c r="M415" i="2"/>
  <c r="W415" i="2"/>
  <c r="Q415" i="2"/>
  <c r="Y414" i="2"/>
  <c r="AF414" i="2"/>
  <c r="P415" i="2"/>
  <c r="G414" i="2"/>
  <c r="H415" i="2"/>
  <c r="T414" i="2"/>
  <c r="Y415" i="2"/>
  <c r="I415" i="2"/>
  <c r="AE415" i="2"/>
  <c r="AF415" i="2"/>
  <c r="S415" i="2"/>
  <c r="K414" i="2"/>
  <c r="AA415" i="2"/>
  <c r="H414" i="2"/>
  <c r="R415" i="2"/>
  <c r="K415" i="2"/>
  <c r="AA414" i="2"/>
  <c r="AC414" i="2"/>
  <c r="AH444" i="2"/>
  <c r="U415" i="2"/>
  <c r="J414" i="2"/>
  <c r="L415" i="2"/>
  <c r="AC415" i="2"/>
  <c r="W414" i="2"/>
  <c r="AB414" i="2"/>
  <c r="L414" i="2"/>
  <c r="O414" i="2"/>
  <c r="P414" i="2"/>
  <c r="Z415" i="2"/>
  <c r="X415" i="2"/>
  <c r="T415" i="2"/>
  <c r="AB415" i="2"/>
  <c r="Q414" i="2"/>
  <c r="R414" i="2"/>
  <c r="N414" i="2"/>
  <c r="V414" i="2"/>
  <c r="U414" i="2"/>
  <c r="F415" i="2"/>
  <c r="AD415" i="2"/>
  <c r="J415" i="2"/>
  <c r="O415" i="2"/>
  <c r="X414" i="2"/>
  <c r="Z414" i="2"/>
  <c r="S414" i="2"/>
  <c r="I414" i="2"/>
  <c r="M443" i="2"/>
  <c r="M496" i="2" s="1"/>
  <c r="I26" i="15"/>
  <c r="E443" i="2" s="1"/>
  <c r="M441" i="2"/>
  <c r="AG441" i="2" s="1"/>
  <c r="K26" i="15"/>
  <c r="E441" i="2" s="1"/>
  <c r="AH445" i="2"/>
  <c r="M493" i="2"/>
  <c r="M470" i="2"/>
  <c r="AG463" i="2"/>
  <c r="AH463" i="2" s="1"/>
  <c r="M499" i="2" l="1"/>
  <c r="AG496" i="2"/>
  <c r="AH496" i="2" s="1"/>
  <c r="AG443" i="2"/>
  <c r="AH443" i="2" s="1"/>
  <c r="M449" i="2"/>
  <c r="E449" i="2"/>
  <c r="M452" i="2" s="1"/>
  <c r="P342" i="2"/>
  <c r="P356" i="2" s="1"/>
  <c r="P358" i="2" s="1"/>
  <c r="D20" i="4" s="1"/>
  <c r="P366" i="2"/>
  <c r="AG415" i="2"/>
  <c r="AH415" i="2" s="1"/>
  <c r="AG414" i="2"/>
  <c r="AH414" i="2" s="1"/>
  <c r="AH441" i="2"/>
  <c r="AA366" i="2"/>
  <c r="AA342" i="2"/>
  <c r="AA356" i="2" s="1"/>
  <c r="AA358" i="2" s="1"/>
  <c r="Z366" i="2"/>
  <c r="H366" i="2"/>
  <c r="H391" i="2" s="1"/>
  <c r="H393" i="2" s="1"/>
  <c r="AA413" i="2"/>
  <c r="Y342" i="2"/>
  <c r="Y356" i="2" s="1"/>
  <c r="Y358" i="2" s="1"/>
  <c r="O413" i="2"/>
  <c r="J413" i="2"/>
  <c r="N366" i="2"/>
  <c r="N391" i="2" s="1"/>
  <c r="N393" i="2" s="1"/>
  <c r="R366" i="2"/>
  <c r="R391" i="2" s="1"/>
  <c r="R393" i="2" s="1"/>
  <c r="AC366" i="2"/>
  <c r="S413" i="2"/>
  <c r="J342" i="2"/>
  <c r="J356" i="2" s="1"/>
  <c r="J358" i="2" s="1"/>
  <c r="M413" i="2"/>
  <c r="AB413" i="2"/>
  <c r="W413" i="2"/>
  <c r="L366" i="2"/>
  <c r="L391" i="2" s="1"/>
  <c r="L393" i="2" s="1"/>
  <c r="N413" i="2"/>
  <c r="AE342" i="2"/>
  <c r="AE356" i="2" s="1"/>
  <c r="AE358" i="2" s="1"/>
  <c r="H413" i="2"/>
  <c r="R413" i="2"/>
  <c r="K413" i="2"/>
  <c r="U413" i="2"/>
  <c r="W342" i="2"/>
  <c r="W356" i="2" s="1"/>
  <c r="W358" i="2" s="1"/>
  <c r="I366" i="2"/>
  <c r="I391" i="2" s="1"/>
  <c r="I393" i="2" s="1"/>
  <c r="AB366" i="2"/>
  <c r="AD342" i="2"/>
  <c r="AD356" i="2" s="1"/>
  <c r="AD358" i="2" s="1"/>
  <c r="M366" i="2"/>
  <c r="U366" i="2"/>
  <c r="U391" i="2" s="1"/>
  <c r="U393" i="2" s="1"/>
  <c r="AD413" i="2"/>
  <c r="Y413" i="2"/>
  <c r="J366" i="2"/>
  <c r="J391" i="2" s="1"/>
  <c r="J393" i="2" s="1"/>
  <c r="Q342" i="2"/>
  <c r="Q356" i="2" s="1"/>
  <c r="Q358" i="2" s="1"/>
  <c r="D21" i="4" s="1"/>
  <c r="AC413" i="2"/>
  <c r="G342" i="2"/>
  <c r="G356" i="2" s="1"/>
  <c r="G358" i="2" s="1"/>
  <c r="V413" i="2"/>
  <c r="T342" i="2"/>
  <c r="T356" i="2" s="1"/>
  <c r="T358" i="2" s="1"/>
  <c r="D24" i="4" s="1"/>
  <c r="AE366" i="2"/>
  <c r="P413" i="2"/>
  <c r="AE413" i="2"/>
  <c r="O342" i="2"/>
  <c r="O356" i="2" s="1"/>
  <c r="O358" i="2" s="1"/>
  <c r="D19" i="4" s="1"/>
  <c r="G366" i="2"/>
  <c r="G391" i="2" s="1"/>
  <c r="G393" i="2" s="1"/>
  <c r="Q366" i="2"/>
  <c r="Q391" i="2" s="1"/>
  <c r="Q393" i="2" s="1"/>
  <c r="Q413" i="2"/>
  <c r="L413" i="2"/>
  <c r="R342" i="2"/>
  <c r="R356" i="2" s="1"/>
  <c r="R358" i="2" s="1"/>
  <c r="D22" i="4" s="1"/>
  <c r="N342" i="2"/>
  <c r="N356" i="2" s="1"/>
  <c r="N358" i="2" s="1"/>
  <c r="D18" i="4" s="1"/>
  <c r="W366" i="2"/>
  <c r="X366" i="2"/>
  <c r="K366" i="2"/>
  <c r="K391" i="2" s="1"/>
  <c r="K393" i="2" s="1"/>
  <c r="Z342" i="2"/>
  <c r="Z356" i="2" s="1"/>
  <c r="Z358" i="2" s="1"/>
  <c r="K342" i="2"/>
  <c r="K356" i="2" s="1"/>
  <c r="K358" i="2" s="1"/>
  <c r="AB342" i="2"/>
  <c r="AB356" i="2" s="1"/>
  <c r="AB358" i="2" s="1"/>
  <c r="L342" i="2"/>
  <c r="L356" i="2" s="1"/>
  <c r="L358" i="2" s="1"/>
  <c r="M342" i="2"/>
  <c r="M356" i="2" s="1"/>
  <c r="M358" i="2" s="1"/>
  <c r="D17" i="4" s="1"/>
  <c r="Y366" i="2"/>
  <c r="F366" i="2"/>
  <c r="F391" i="2" s="1"/>
  <c r="F393" i="2" s="1"/>
  <c r="H342" i="2"/>
  <c r="H356" i="2" s="1"/>
  <c r="H358" i="2" s="1"/>
  <c r="I413" i="2"/>
  <c r="AC342" i="2"/>
  <c r="AC356" i="2" s="1"/>
  <c r="AC358" i="2" s="1"/>
  <c r="V342" i="2"/>
  <c r="V356" i="2" s="1"/>
  <c r="V358" i="2" s="1"/>
  <c r="V366" i="2"/>
  <c r="AF342" i="2"/>
  <c r="AF356" i="2" s="1"/>
  <c r="AF358" i="2" s="1"/>
  <c r="S342" i="2"/>
  <c r="S356" i="2" s="1"/>
  <c r="S358" i="2" s="1"/>
  <c r="D23" i="4" s="1"/>
  <c r="X342" i="2"/>
  <c r="X356" i="2" s="1"/>
  <c r="X358" i="2" s="1"/>
  <c r="F342" i="2"/>
  <c r="F413" i="2"/>
  <c r="AD366" i="2"/>
  <c r="AF366" i="2"/>
  <c r="T413" i="2"/>
  <c r="T366" i="2"/>
  <c r="T391" i="2" s="1"/>
  <c r="T393" i="2" s="1"/>
  <c r="I342" i="2"/>
  <c r="I356" i="2" s="1"/>
  <c r="I358" i="2" s="1"/>
  <c r="G413" i="2"/>
  <c r="Z413" i="2"/>
  <c r="U342" i="2"/>
  <c r="U356" i="2" s="1"/>
  <c r="U358" i="2" s="1"/>
  <c r="D25" i="4" s="1"/>
  <c r="AF413" i="2"/>
  <c r="S366" i="2"/>
  <c r="S391" i="2" s="1"/>
  <c r="S393" i="2" s="1"/>
  <c r="X413" i="2"/>
  <c r="O366" i="2"/>
  <c r="O391" i="2" s="1"/>
  <c r="O393" i="2" s="1"/>
  <c r="M456" i="2"/>
  <c r="M477" i="2" s="1"/>
  <c r="AG449" i="2"/>
  <c r="AG470" i="2"/>
  <c r="AH470" i="2" s="1"/>
  <c r="M466" i="2"/>
  <c r="M473" i="2"/>
  <c r="M494" i="2"/>
  <c r="AG493" i="2"/>
  <c r="AH493" i="2" s="1"/>
  <c r="M500" i="2" l="1"/>
  <c r="AG499" i="2"/>
  <c r="AH499" i="2" s="1"/>
  <c r="P391" i="2"/>
  <c r="P393" i="2" s="1"/>
  <c r="E20" i="4" s="1"/>
  <c r="F20" i="4" s="1"/>
  <c r="H20" i="4" s="1"/>
  <c r="AH449" i="2"/>
  <c r="X521" i="2"/>
  <c r="X526" i="2" s="1"/>
  <c r="X393" i="2"/>
  <c r="X395" i="2" s="1"/>
  <c r="X403" i="2" s="1"/>
  <c r="X404" i="2" s="1"/>
  <c r="AA521" i="2"/>
  <c r="AA526" i="2" s="1"/>
  <c r="AA393" i="2"/>
  <c r="AA395" i="2" s="1"/>
  <c r="AA403" i="2" s="1"/>
  <c r="AA404" i="2" s="1"/>
  <c r="Y521" i="2"/>
  <c r="Y526" i="2" s="1"/>
  <c r="Y393" i="2"/>
  <c r="Y395" i="2" s="1"/>
  <c r="Y403" i="2" s="1"/>
  <c r="Y404" i="2" s="1"/>
  <c r="W521" i="2"/>
  <c r="W526" i="2" s="1"/>
  <c r="W393" i="2"/>
  <c r="W395" i="2" s="1"/>
  <c r="W403" i="2" s="1"/>
  <c r="W404" i="2" s="1"/>
  <c r="AB521" i="2"/>
  <c r="AB526" i="2" s="1"/>
  <c r="AB393" i="2"/>
  <c r="AB395" i="2" s="1"/>
  <c r="AB403" i="2" s="1"/>
  <c r="AB404" i="2" s="1"/>
  <c r="T521" i="2"/>
  <c r="V521" i="2"/>
  <c r="V526" i="2" s="1"/>
  <c r="V393" i="2"/>
  <c r="AE521" i="2"/>
  <c r="AE526" i="2" s="1"/>
  <c r="AE393" i="2"/>
  <c r="AE395" i="2" s="1"/>
  <c r="AE403" i="2" s="1"/>
  <c r="AE404" i="2" s="1"/>
  <c r="AF521" i="2"/>
  <c r="AF526" i="2" s="1"/>
  <c r="AF393" i="2"/>
  <c r="AF395" i="2" s="1"/>
  <c r="AF403" i="2" s="1"/>
  <c r="AF404" i="2" s="1"/>
  <c r="U521" i="2"/>
  <c r="U526" i="2" s="1"/>
  <c r="AD521" i="2"/>
  <c r="AD526" i="2" s="1"/>
  <c r="AD393" i="2"/>
  <c r="AD395" i="2" s="1"/>
  <c r="AD403" i="2" s="1"/>
  <c r="AD404" i="2" s="1"/>
  <c r="S521" i="2"/>
  <c r="S550" i="2" s="1"/>
  <c r="S569" i="2" s="1"/>
  <c r="AC521" i="2"/>
  <c r="AC526" i="2" s="1"/>
  <c r="AC393" i="2"/>
  <c r="AC395" i="2" s="1"/>
  <c r="AC403" i="2" s="1"/>
  <c r="AC404" i="2" s="1"/>
  <c r="Z521" i="2"/>
  <c r="Z526" i="2" s="1"/>
  <c r="Z393" i="2"/>
  <c r="Z395" i="2" s="1"/>
  <c r="Z403" i="2" s="1"/>
  <c r="Z404" i="2" s="1"/>
  <c r="E456" i="2"/>
  <c r="M459" i="2" s="1"/>
  <c r="U452" i="2"/>
  <c r="U453" i="2" s="1"/>
  <c r="W452" i="2"/>
  <c r="O452" i="2"/>
  <c r="O453" i="2" s="1"/>
  <c r="R452" i="2"/>
  <c r="R453" i="2" s="1"/>
  <c r="Q452" i="2"/>
  <c r="Q453" i="2" s="1"/>
  <c r="AD452" i="2"/>
  <c r="N452" i="2"/>
  <c r="N453" i="2" s="1"/>
  <c r="P452" i="2"/>
  <c r="P453" i="2" s="1"/>
  <c r="AA452" i="2"/>
  <c r="G452" i="2"/>
  <c r="G453" i="2" s="1"/>
  <c r="AF452" i="2"/>
  <c r="Y452" i="2"/>
  <c r="AC452" i="2"/>
  <c r="Z452" i="2"/>
  <c r="AB452" i="2"/>
  <c r="AE452" i="2"/>
  <c r="T452" i="2"/>
  <c r="T453" i="2" s="1"/>
  <c r="V452" i="2"/>
  <c r="X452" i="2"/>
  <c r="S452" i="2"/>
  <c r="S453" i="2" s="1"/>
  <c r="K452" i="2"/>
  <c r="K453" i="2" s="1"/>
  <c r="I452" i="2"/>
  <c r="I453" i="2" s="1"/>
  <c r="F452" i="2"/>
  <c r="F453" i="2" s="1"/>
  <c r="H452" i="2"/>
  <c r="H453" i="2" s="1"/>
  <c r="J452" i="2"/>
  <c r="J453" i="2" s="1"/>
  <c r="L452" i="2"/>
  <c r="L453" i="2" s="1"/>
  <c r="AG413" i="2"/>
  <c r="AH413" i="2" s="1"/>
  <c r="D16" i="4"/>
  <c r="D14" i="4"/>
  <c r="D15" i="4"/>
  <c r="P521" i="2"/>
  <c r="P550" i="2" s="1"/>
  <c r="P569" i="2" s="1"/>
  <c r="Q521" i="2"/>
  <c r="Q550" i="2" s="1"/>
  <c r="Q569" i="2" s="1"/>
  <c r="D11" i="4"/>
  <c r="E12" i="4"/>
  <c r="H521" i="2"/>
  <c r="H550" i="2" s="1"/>
  <c r="H569" i="2" s="1"/>
  <c r="F356" i="2"/>
  <c r="F358" i="2" s="1"/>
  <c r="D10" i="4" s="1"/>
  <c r="AG342" i="2"/>
  <c r="D12" i="4"/>
  <c r="K521" i="2"/>
  <c r="K550" i="2" s="1"/>
  <c r="K569" i="2" s="1"/>
  <c r="E15" i="4"/>
  <c r="G521" i="2"/>
  <c r="G550" i="2" s="1"/>
  <c r="G569" i="2" s="1"/>
  <c r="E11" i="4"/>
  <c r="D13" i="4"/>
  <c r="F521" i="2"/>
  <c r="AG366" i="2"/>
  <c r="AH366" i="2" s="1"/>
  <c r="I521" i="2"/>
  <c r="I550" i="2" s="1"/>
  <c r="I569" i="2" s="1"/>
  <c r="E13" i="4"/>
  <c r="L521" i="2"/>
  <c r="R521" i="2"/>
  <c r="R550" i="2" s="1"/>
  <c r="R569" i="2" s="1"/>
  <c r="O521" i="2"/>
  <c r="O550" i="2" s="1"/>
  <c r="O569" i="2" s="1"/>
  <c r="E14" i="4"/>
  <c r="J521" i="2"/>
  <c r="J550" i="2" s="1"/>
  <c r="J569" i="2" s="1"/>
  <c r="N521" i="2"/>
  <c r="N550" i="2" s="1"/>
  <c r="N569" i="2" s="1"/>
  <c r="M474" i="2"/>
  <c r="AG473" i="2"/>
  <c r="AH473" i="2" s="1"/>
  <c r="M467" i="2"/>
  <c r="AG466" i="2"/>
  <c r="AH466" i="2" s="1"/>
  <c r="M453" i="2"/>
  <c r="AG456" i="2"/>
  <c r="M63" i="2"/>
  <c r="M24" i="2"/>
  <c r="AG494" i="2"/>
  <c r="AH494" i="2" s="1"/>
  <c r="M101" i="2"/>
  <c r="E77" i="4" l="1"/>
  <c r="P395" i="2"/>
  <c r="P403" i="2" s="1"/>
  <c r="P572" i="2" s="1"/>
  <c r="P647" i="2" s="1"/>
  <c r="M501" i="2"/>
  <c r="AG501" i="2" s="1"/>
  <c r="AH501" i="2" s="1"/>
  <c r="AG500" i="2"/>
  <c r="AH500" i="2" s="1"/>
  <c r="AH456" i="2"/>
  <c r="J594" i="2"/>
  <c r="J654" i="2" s="1"/>
  <c r="J620" i="2"/>
  <c r="J660" i="2" s="1"/>
  <c r="G14" i="17" s="1"/>
  <c r="I620" i="2"/>
  <c r="I660" i="2" s="1"/>
  <c r="I594" i="2"/>
  <c r="I654" i="2" s="1"/>
  <c r="K620" i="2"/>
  <c r="K659" i="2" s="1"/>
  <c r="F15" i="17" s="1"/>
  <c r="K594" i="2"/>
  <c r="K653" i="2" s="1"/>
  <c r="Q395" i="2"/>
  <c r="Q403" i="2" s="1"/>
  <c r="Q404" i="2" s="1"/>
  <c r="E21" i="4"/>
  <c r="F21" i="4" s="1"/>
  <c r="O620" i="2"/>
  <c r="O660" i="2" s="1"/>
  <c r="G19" i="17" s="1"/>
  <c r="O594" i="2"/>
  <c r="O654" i="2" s="1"/>
  <c r="P620" i="2"/>
  <c r="P660" i="2" s="1"/>
  <c r="G20" i="17" s="1"/>
  <c r="P594" i="2"/>
  <c r="P654" i="2" s="1"/>
  <c r="S620" i="2"/>
  <c r="S660" i="2" s="1"/>
  <c r="S594" i="2"/>
  <c r="S654" i="2" s="1"/>
  <c r="O395" i="2"/>
  <c r="O403" i="2" s="1"/>
  <c r="O404" i="2" s="1"/>
  <c r="E19" i="4"/>
  <c r="F19" i="4" s="1"/>
  <c r="H19" i="4" s="1"/>
  <c r="V395" i="2"/>
  <c r="V403" i="2" s="1"/>
  <c r="V404" i="2" s="1"/>
  <c r="Q620" i="2"/>
  <c r="Q659" i="2" s="1"/>
  <c r="F21" i="17" s="1"/>
  <c r="Q594" i="2"/>
  <c r="Q653" i="2" s="1"/>
  <c r="R620" i="2"/>
  <c r="R660" i="2" s="1"/>
  <c r="G22" i="17" s="1"/>
  <c r="R594" i="2"/>
  <c r="R654" i="2" s="1"/>
  <c r="R395" i="2"/>
  <c r="R403" i="2" s="1"/>
  <c r="R404" i="2" s="1"/>
  <c r="E22" i="4"/>
  <c r="F22" i="4" s="1"/>
  <c r="H22" i="4" s="1"/>
  <c r="H620" i="2"/>
  <c r="H659" i="2" s="1"/>
  <c r="H594" i="2"/>
  <c r="H653" i="2" s="1"/>
  <c r="U395" i="2"/>
  <c r="U403" i="2" s="1"/>
  <c r="U404" i="2" s="1"/>
  <c r="E25" i="4"/>
  <c r="F25" i="4" s="1"/>
  <c r="T395" i="2"/>
  <c r="T403" i="2" s="1"/>
  <c r="E24" i="4"/>
  <c r="F24" i="4" s="1"/>
  <c r="H24" i="4" s="1"/>
  <c r="N395" i="2"/>
  <c r="N403" i="2" s="1"/>
  <c r="N404" i="2" s="1"/>
  <c r="E18" i="4"/>
  <c r="F18" i="4" s="1"/>
  <c r="H18" i="4" s="1"/>
  <c r="T526" i="2"/>
  <c r="T550" i="2"/>
  <c r="T569" i="2" s="1"/>
  <c r="N594" i="2"/>
  <c r="N654" i="2" s="1"/>
  <c r="N620" i="2"/>
  <c r="N660" i="2" s="1"/>
  <c r="G18" i="17" s="1"/>
  <c r="F16" i="17"/>
  <c r="G594" i="2"/>
  <c r="G653" i="2" s="1"/>
  <c r="G620" i="2"/>
  <c r="G659" i="2" s="1"/>
  <c r="S395" i="2"/>
  <c r="S403" i="2" s="1"/>
  <c r="S404" i="2" s="1"/>
  <c r="E23" i="4"/>
  <c r="F23" i="4" s="1"/>
  <c r="S526" i="2"/>
  <c r="S539" i="2"/>
  <c r="S544" i="2" s="1"/>
  <c r="AG453" i="2"/>
  <c r="AH453" i="2" s="1"/>
  <c r="AG452" i="2"/>
  <c r="AH452" i="2" s="1"/>
  <c r="AB459" i="2"/>
  <c r="AE459" i="2"/>
  <c r="N459" i="2"/>
  <c r="N460" i="2" s="1"/>
  <c r="S459" i="2"/>
  <c r="S460" i="2" s="1"/>
  <c r="AF459" i="2"/>
  <c r="Q459" i="2"/>
  <c r="Q460" i="2" s="1"/>
  <c r="Z459" i="2"/>
  <c r="AD459" i="2"/>
  <c r="AC459" i="2"/>
  <c r="R459" i="2"/>
  <c r="R460" i="2" s="1"/>
  <c r="G459" i="2"/>
  <c r="G460" i="2" s="1"/>
  <c r="O459" i="2"/>
  <c r="O460" i="2" s="1"/>
  <c r="AA459" i="2"/>
  <c r="P459" i="2"/>
  <c r="P460" i="2" s="1"/>
  <c r="V459" i="2"/>
  <c r="Y459" i="2"/>
  <c r="U459" i="2"/>
  <c r="U460" i="2" s="1"/>
  <c r="W459" i="2"/>
  <c r="T459" i="2"/>
  <c r="T460" i="2" s="1"/>
  <c r="X459" i="2"/>
  <c r="K459" i="2"/>
  <c r="K460" i="2" s="1"/>
  <c r="H459" i="2"/>
  <c r="H460" i="2" s="1"/>
  <c r="F459" i="2"/>
  <c r="F460" i="2" s="1"/>
  <c r="I459" i="2"/>
  <c r="I460" i="2" s="1"/>
  <c r="J459" i="2"/>
  <c r="J460" i="2" s="1"/>
  <c r="L459" i="2"/>
  <c r="L460" i="2" s="1"/>
  <c r="H395" i="2"/>
  <c r="H403" i="2" s="1"/>
  <c r="I395" i="2"/>
  <c r="I403" i="2" s="1"/>
  <c r="O526" i="2"/>
  <c r="O539" i="2"/>
  <c r="O544" i="2" s="1"/>
  <c r="K539" i="2"/>
  <c r="K544" i="2" s="1"/>
  <c r="K526" i="2"/>
  <c r="F539" i="2"/>
  <c r="F544" i="2" s="1"/>
  <c r="F550" i="2"/>
  <c r="F569" i="2" s="1"/>
  <c r="F526" i="2"/>
  <c r="Q526" i="2"/>
  <c r="Q539" i="2"/>
  <c r="Q544" i="2" s="1"/>
  <c r="J395" i="2"/>
  <c r="J403" i="2" s="1"/>
  <c r="N539" i="2"/>
  <c r="N544" i="2" s="1"/>
  <c r="N526" i="2"/>
  <c r="R539" i="2"/>
  <c r="R544" i="2" s="1"/>
  <c r="R526" i="2"/>
  <c r="F395" i="2"/>
  <c r="E10" i="4"/>
  <c r="F12" i="4"/>
  <c r="F14" i="4"/>
  <c r="H14" i="4" s="1"/>
  <c r="F11" i="4"/>
  <c r="H11" i="4" s="1"/>
  <c r="E68" i="4" s="1"/>
  <c r="J539" i="2"/>
  <c r="J544" i="2" s="1"/>
  <c r="J526" i="2"/>
  <c r="AG356" i="2"/>
  <c r="AH342" i="2"/>
  <c r="P526" i="2"/>
  <c r="P539" i="2"/>
  <c r="P544" i="2" s="1"/>
  <c r="F13" i="4"/>
  <c r="H13" i="4" s="1"/>
  <c r="D31" i="4"/>
  <c r="L539" i="2"/>
  <c r="L544" i="2" s="1"/>
  <c r="L526" i="2"/>
  <c r="H539" i="2"/>
  <c r="H544" i="2" s="1"/>
  <c r="H526" i="2"/>
  <c r="G539" i="2"/>
  <c r="G544" i="2" s="1"/>
  <c r="G526" i="2"/>
  <c r="I539" i="2"/>
  <c r="I544" i="2" s="1"/>
  <c r="I526" i="2"/>
  <c r="F15" i="4"/>
  <c r="G395" i="2"/>
  <c r="G403" i="2" s="1"/>
  <c r="K395" i="2"/>
  <c r="K403" i="2" s="1"/>
  <c r="M484" i="2"/>
  <c r="M480" i="2"/>
  <c r="AG477" i="2"/>
  <c r="AH477" i="2" s="1"/>
  <c r="AG101" i="2"/>
  <c r="AH101" i="2" s="1"/>
  <c r="M103" i="2"/>
  <c r="AG103" i="2" s="1"/>
  <c r="AH103" i="2" s="1"/>
  <c r="M26" i="2"/>
  <c r="AG26" i="2" s="1"/>
  <c r="AH26" i="2" s="1"/>
  <c r="AG24" i="2"/>
  <c r="AH24" i="2" s="1"/>
  <c r="M468" i="2"/>
  <c r="AG467" i="2"/>
  <c r="AH467" i="2" s="1"/>
  <c r="M65" i="2"/>
  <c r="AG65" i="2" s="1"/>
  <c r="AH65" i="2" s="1"/>
  <c r="AG63" i="2"/>
  <c r="AH63" i="2" s="1"/>
  <c r="M460" i="2"/>
  <c r="M475" i="2"/>
  <c r="AG474" i="2"/>
  <c r="AH474" i="2" s="1"/>
  <c r="E76" i="4" l="1"/>
  <c r="E75" i="4"/>
  <c r="E79" i="4"/>
  <c r="E71" i="4"/>
  <c r="E81" i="4"/>
  <c r="E70" i="4"/>
  <c r="H15" i="4"/>
  <c r="E72" i="4" s="1"/>
  <c r="H25" i="4"/>
  <c r="H12" i="4"/>
  <c r="E69" i="4" s="1"/>
  <c r="H23" i="4"/>
  <c r="E80" i="4" s="1"/>
  <c r="H21" i="4"/>
  <c r="E78" i="4" s="1"/>
  <c r="P404" i="2"/>
  <c r="P570" i="2"/>
  <c r="P581" i="2"/>
  <c r="P582" i="2" s="1"/>
  <c r="P586" i="2"/>
  <c r="P587" i="2" s="1"/>
  <c r="P646" i="2" s="1"/>
  <c r="P576" i="2"/>
  <c r="P577" i="2" s="1"/>
  <c r="P566" i="2"/>
  <c r="D44" i="4"/>
  <c r="D72" i="4" s="1"/>
  <c r="D41" i="4"/>
  <c r="D69" i="4" s="1"/>
  <c r="D48" i="4"/>
  <c r="D76" i="4" s="1"/>
  <c r="D49" i="4"/>
  <c r="D77" i="4" s="1"/>
  <c r="D50" i="4"/>
  <c r="D78" i="4" s="1"/>
  <c r="D54" i="4"/>
  <c r="D82" i="4" s="1"/>
  <c r="D52" i="4"/>
  <c r="D80" i="4" s="1"/>
  <c r="D46" i="4"/>
  <c r="D74" i="4" s="1"/>
  <c r="D47" i="4"/>
  <c r="D75" i="4" s="1"/>
  <c r="D51" i="4"/>
  <c r="D79" i="4" s="1"/>
  <c r="D53" i="4"/>
  <c r="D81" i="4" s="1"/>
  <c r="D40" i="4"/>
  <c r="D68" i="4" s="1"/>
  <c r="D45" i="4"/>
  <c r="D73" i="4" s="1"/>
  <c r="D43" i="4"/>
  <c r="D71" i="4" s="1"/>
  <c r="D42" i="4"/>
  <c r="D70" i="4" s="1"/>
  <c r="T594" i="2"/>
  <c r="T653" i="2" s="1"/>
  <c r="T620" i="2"/>
  <c r="T659" i="2" s="1"/>
  <c r="F23" i="17" s="1"/>
  <c r="G566" i="2"/>
  <c r="G576" i="2"/>
  <c r="G577" i="2" s="1"/>
  <c r="G570" i="2"/>
  <c r="G586" i="2"/>
  <c r="G587" i="2" s="1"/>
  <c r="G646" i="2" s="1"/>
  <c r="G572" i="2"/>
  <c r="G581" i="2"/>
  <c r="G582" i="2" s="1"/>
  <c r="I566" i="2"/>
  <c r="I576" i="2"/>
  <c r="I577" i="2" s="1"/>
  <c r="I586" i="2"/>
  <c r="I587" i="2" s="1"/>
  <c r="I646" i="2" s="1"/>
  <c r="I570" i="2"/>
  <c r="I572" i="2"/>
  <c r="I647" i="2" s="1"/>
  <c r="I581" i="2"/>
  <c r="I582" i="2" s="1"/>
  <c r="H404" i="2"/>
  <c r="H566" i="2"/>
  <c r="H576" i="2"/>
  <c r="H577" i="2" s="1"/>
  <c r="H586" i="2"/>
  <c r="H587" i="2" s="1"/>
  <c r="H646" i="2" s="1"/>
  <c r="H570" i="2"/>
  <c r="H572" i="2"/>
  <c r="H581" i="2"/>
  <c r="H582" i="2" s="1"/>
  <c r="N566" i="2"/>
  <c r="N576" i="2"/>
  <c r="N577" i="2" s="1"/>
  <c r="N570" i="2"/>
  <c r="N586" i="2"/>
  <c r="N587" i="2" s="1"/>
  <c r="N646" i="2" s="1"/>
  <c r="N572" i="2"/>
  <c r="N647" i="2" s="1"/>
  <c r="N581" i="2"/>
  <c r="N582" i="2" s="1"/>
  <c r="R566" i="2"/>
  <c r="R576" i="2"/>
  <c r="R577" i="2" s="1"/>
  <c r="R570" i="2"/>
  <c r="R586" i="2"/>
  <c r="R587" i="2" s="1"/>
  <c r="R646" i="2" s="1"/>
  <c r="R572" i="2"/>
  <c r="R647" i="2" s="1"/>
  <c r="R581" i="2"/>
  <c r="R582" i="2" s="1"/>
  <c r="O566" i="2"/>
  <c r="O576" i="2"/>
  <c r="O577" i="2" s="1"/>
  <c r="O586" i="2"/>
  <c r="O587" i="2" s="1"/>
  <c r="O646" i="2" s="1"/>
  <c r="O570" i="2"/>
  <c r="O572" i="2"/>
  <c r="O647" i="2" s="1"/>
  <c r="O581" i="2"/>
  <c r="O582" i="2" s="1"/>
  <c r="T404" i="2"/>
  <c r="T566" i="2"/>
  <c r="T576" i="2"/>
  <c r="T577" i="2" s="1"/>
  <c r="T586" i="2"/>
  <c r="T587" i="2" s="1"/>
  <c r="T646" i="2" s="1"/>
  <c r="T570" i="2"/>
  <c r="T572" i="2"/>
  <c r="T581" i="2"/>
  <c r="T582" i="2" s="1"/>
  <c r="Q566" i="2"/>
  <c r="Q576" i="2"/>
  <c r="Q577" i="2" s="1"/>
  <c r="Q586" i="2"/>
  <c r="Q587" i="2" s="1"/>
  <c r="Q646" i="2" s="1"/>
  <c r="Q570" i="2"/>
  <c r="Q572" i="2"/>
  <c r="Q581" i="2"/>
  <c r="Q582" i="2" s="1"/>
  <c r="K404" i="2"/>
  <c r="K566" i="2"/>
  <c r="K576" i="2"/>
  <c r="K577" i="2" s="1"/>
  <c r="K586" i="2"/>
  <c r="K587" i="2" s="1"/>
  <c r="K646" i="2" s="1"/>
  <c r="K570" i="2"/>
  <c r="K572" i="2"/>
  <c r="K581" i="2"/>
  <c r="K582" i="2" s="1"/>
  <c r="J566" i="2"/>
  <c r="J576" i="2"/>
  <c r="J577" i="2" s="1"/>
  <c r="J586" i="2"/>
  <c r="J587" i="2" s="1"/>
  <c r="J646" i="2" s="1"/>
  <c r="J570" i="2"/>
  <c r="J572" i="2"/>
  <c r="J647" i="2" s="1"/>
  <c r="J581" i="2"/>
  <c r="J582" i="2" s="1"/>
  <c r="S566" i="2"/>
  <c r="S576" i="2"/>
  <c r="S577" i="2" s="1"/>
  <c r="S570" i="2"/>
  <c r="S586" i="2"/>
  <c r="S587" i="2" s="1"/>
  <c r="S646" i="2" s="1"/>
  <c r="S572" i="2"/>
  <c r="S647" i="2" s="1"/>
  <c r="S581" i="2"/>
  <c r="S582" i="2" s="1"/>
  <c r="G404" i="2"/>
  <c r="I404" i="2"/>
  <c r="M123" i="2"/>
  <c r="AG123" i="2" s="1"/>
  <c r="AH123" i="2" s="1"/>
  <c r="M199" i="2"/>
  <c r="M237" i="2"/>
  <c r="M275" i="2"/>
  <c r="M8" i="2"/>
  <c r="M47" i="2"/>
  <c r="M161" i="2"/>
  <c r="M85" i="2"/>
  <c r="AG460" i="2"/>
  <c r="AH460" i="2" s="1"/>
  <c r="AG459" i="2"/>
  <c r="AH459" i="2" s="1"/>
  <c r="F10" i="4"/>
  <c r="F12" i="17"/>
  <c r="AH356" i="2"/>
  <c r="AG358" i="2"/>
  <c r="AH358" i="2" s="1"/>
  <c r="F620" i="2"/>
  <c r="F659" i="2" s="1"/>
  <c r="F10" i="17" s="1"/>
  <c r="F594" i="2"/>
  <c r="F653" i="2" s="1"/>
  <c r="F11" i="17"/>
  <c r="E16" i="4"/>
  <c r="F16" i="4" s="1"/>
  <c r="L395" i="2"/>
  <c r="L403" i="2" s="1"/>
  <c r="J404" i="2"/>
  <c r="F403" i="2"/>
  <c r="G13" i="17"/>
  <c r="D56" i="4"/>
  <c r="D83" i="4" s="1"/>
  <c r="D39" i="4"/>
  <c r="D67" i="4" s="1"/>
  <c r="M210" i="2"/>
  <c r="M19" i="2"/>
  <c r="AG468" i="2"/>
  <c r="AH468" i="2" s="1"/>
  <c r="M96" i="2"/>
  <c r="M58" i="2"/>
  <c r="M369" i="2"/>
  <c r="AG369" i="2" s="1"/>
  <c r="AH369" i="2" s="1"/>
  <c r="AG480" i="2"/>
  <c r="AH480" i="2" s="1"/>
  <c r="M481" i="2"/>
  <c r="M248" i="2"/>
  <c r="AG475" i="2"/>
  <c r="AH475" i="2" s="1"/>
  <c r="M172" i="2"/>
  <c r="M134" i="2"/>
  <c r="M286" i="2"/>
  <c r="M487" i="2"/>
  <c r="AG484" i="2"/>
  <c r="AH484" i="2" s="1"/>
  <c r="E82" i="4" l="1"/>
  <c r="H10" i="4"/>
  <c r="E67" i="4" s="1"/>
  <c r="H16" i="4"/>
  <c r="E73" i="4" s="1"/>
  <c r="P648" i="2"/>
  <c r="AG8" i="2"/>
  <c r="AH8" i="2" s="1"/>
  <c r="M10" i="2"/>
  <c r="AG10" i="2" s="1"/>
  <c r="AH10" i="2" s="1"/>
  <c r="M125" i="2"/>
  <c r="AG125" i="2" s="1"/>
  <c r="AH125" i="2" s="1"/>
  <c r="L404" i="2"/>
  <c r="J648" i="2"/>
  <c r="H647" i="2"/>
  <c r="T647" i="2"/>
  <c r="G647" i="2"/>
  <c r="S648" i="2"/>
  <c r="I648" i="2"/>
  <c r="N648" i="2"/>
  <c r="Q647" i="2"/>
  <c r="R648" i="2"/>
  <c r="K647" i="2"/>
  <c r="O648" i="2"/>
  <c r="AG85" i="2"/>
  <c r="AH85" i="2" s="1"/>
  <c r="M530" i="2"/>
  <c r="M512" i="2"/>
  <c r="AG512" i="2" s="1"/>
  <c r="M49" i="2"/>
  <c r="AG49" i="2" s="1"/>
  <c r="AH49" i="2" s="1"/>
  <c r="AG47" i="2"/>
  <c r="AH47" i="2" s="1"/>
  <c r="M277" i="2"/>
  <c r="AG277" i="2" s="1"/>
  <c r="AH277" i="2" s="1"/>
  <c r="AG275" i="2"/>
  <c r="AH275" i="2" s="1"/>
  <c r="M163" i="2"/>
  <c r="AG163" i="2" s="1"/>
  <c r="AH163" i="2" s="1"/>
  <c r="AG161" i="2"/>
  <c r="AH161" i="2" s="1"/>
  <c r="M239" i="2"/>
  <c r="AG239" i="2" s="1"/>
  <c r="AH239" i="2" s="1"/>
  <c r="AG237" i="2"/>
  <c r="AH237" i="2" s="1"/>
  <c r="M87" i="2"/>
  <c r="AG87" i="2" s="1"/>
  <c r="AH87" i="2" s="1"/>
  <c r="M201" i="2"/>
  <c r="AG201" i="2" s="1"/>
  <c r="AH201" i="2" s="1"/>
  <c r="AG199" i="2"/>
  <c r="AH199" i="2" s="1"/>
  <c r="F404" i="2"/>
  <c r="F572" i="2"/>
  <c r="F586" i="2"/>
  <c r="F587" i="2" s="1"/>
  <c r="F646" i="2" s="1"/>
  <c r="F566" i="2"/>
  <c r="F581" i="2"/>
  <c r="F582" i="2" s="1"/>
  <c r="F576" i="2"/>
  <c r="F577" i="2" s="1"/>
  <c r="F570" i="2"/>
  <c r="AG248" i="2"/>
  <c r="AH248" i="2" s="1"/>
  <c r="M250" i="2"/>
  <c r="AG250" i="2" s="1"/>
  <c r="AH250" i="2" s="1"/>
  <c r="AG481" i="2"/>
  <c r="AH481" i="2" s="1"/>
  <c r="M482" i="2"/>
  <c r="M16" i="2" s="1"/>
  <c r="AG16" i="2" s="1"/>
  <c r="AH16" i="2" s="1"/>
  <c r="AG58" i="2"/>
  <c r="AH58" i="2" s="1"/>
  <c r="M60" i="2"/>
  <c r="AG60" i="2" s="1"/>
  <c r="AH60" i="2" s="1"/>
  <c r="M488" i="2"/>
  <c r="AG487" i="2"/>
  <c r="AH487" i="2" s="1"/>
  <c r="AG96" i="2"/>
  <c r="AH96" i="2" s="1"/>
  <c r="M98" i="2"/>
  <c r="AG98" i="2" s="1"/>
  <c r="AH98" i="2" s="1"/>
  <c r="M174" i="2"/>
  <c r="AG174" i="2" s="1"/>
  <c r="AH174" i="2" s="1"/>
  <c r="AG172" i="2"/>
  <c r="AH172" i="2" s="1"/>
  <c r="AG134" i="2"/>
  <c r="AH134" i="2" s="1"/>
  <c r="M136" i="2"/>
  <c r="AG136" i="2" s="1"/>
  <c r="AH136" i="2" s="1"/>
  <c r="AG19" i="2"/>
  <c r="AH19" i="2" s="1"/>
  <c r="M21" i="2"/>
  <c r="AG286" i="2"/>
  <c r="AH286" i="2" s="1"/>
  <c r="M288" i="2"/>
  <c r="AG288" i="2" s="1"/>
  <c r="AH288" i="2" s="1"/>
  <c r="M212" i="2"/>
  <c r="AG212" i="2" s="1"/>
  <c r="AH212" i="2" s="1"/>
  <c r="AG210" i="2"/>
  <c r="AH210" i="2" s="1"/>
  <c r="AG530" i="2" l="1"/>
  <c r="AH530" i="2" s="1"/>
  <c r="M621" i="2"/>
  <c r="M595" i="2"/>
  <c r="M559" i="2"/>
  <c r="M521" i="2"/>
  <c r="AH512" i="2"/>
  <c r="F647" i="2"/>
  <c r="AG488" i="2"/>
  <c r="AH488" i="2" s="1"/>
  <c r="M489" i="2"/>
  <c r="AG482" i="2"/>
  <c r="AH482" i="2" s="1"/>
  <c r="M93" i="2"/>
  <c r="M533" i="2" s="1"/>
  <c r="M55" i="2"/>
  <c r="M207" i="2"/>
  <c r="M40" i="2"/>
  <c r="AG40" i="2" s="1"/>
  <c r="AH40" i="2" s="1"/>
  <c r="AG21" i="2"/>
  <c r="AH21" i="2" s="1"/>
  <c r="AG521" i="2" l="1"/>
  <c r="AH521" i="2" s="1"/>
  <c r="M550" i="2"/>
  <c r="M569" i="2" s="1"/>
  <c r="M606" i="2"/>
  <c r="M562" i="2"/>
  <c r="M632" i="2"/>
  <c r="M539" i="2"/>
  <c r="M231" i="2"/>
  <c r="AG231" i="2" s="1"/>
  <c r="AH231" i="2" s="1"/>
  <c r="AG207" i="2"/>
  <c r="AH207" i="2" s="1"/>
  <c r="M117" i="2"/>
  <c r="AG93" i="2"/>
  <c r="AH93" i="2" s="1"/>
  <c r="M535" i="2"/>
  <c r="AG535" i="2" s="1"/>
  <c r="AH535" i="2" s="1"/>
  <c r="M283" i="2"/>
  <c r="M245" i="2"/>
  <c r="M131" i="2"/>
  <c r="AG489" i="2"/>
  <c r="AH489" i="2" s="1"/>
  <c r="M169" i="2"/>
  <c r="AG55" i="2"/>
  <c r="AH55" i="2" s="1"/>
  <c r="M79" i="2"/>
  <c r="AG79" i="2" s="1"/>
  <c r="AH79" i="2" s="1"/>
  <c r="M620" i="2" l="1"/>
  <c r="M594" i="2"/>
  <c r="M371" i="2"/>
  <c r="AG371" i="2" s="1"/>
  <c r="AH371" i="2" s="1"/>
  <c r="AG117" i="2"/>
  <c r="AH117" i="2" s="1"/>
  <c r="AG245" i="2"/>
  <c r="AH245" i="2" s="1"/>
  <c r="M269" i="2"/>
  <c r="M307" i="2"/>
  <c r="AG283" i="2"/>
  <c r="AH283" i="2" s="1"/>
  <c r="AG533" i="2"/>
  <c r="AH533" i="2" s="1"/>
  <c r="M387" i="2"/>
  <c r="AG387" i="2" s="1"/>
  <c r="AH387" i="2" s="1"/>
  <c r="M388" i="2"/>
  <c r="AG388" i="2" s="1"/>
  <c r="AH388" i="2" s="1"/>
  <c r="M386" i="2"/>
  <c r="AG386" i="2" s="1"/>
  <c r="AH386" i="2" s="1"/>
  <c r="M382" i="2"/>
  <c r="AG382" i="2" s="1"/>
  <c r="AH382" i="2" s="1"/>
  <c r="M377" i="2"/>
  <c r="AG377" i="2" s="1"/>
  <c r="AH377" i="2" s="1"/>
  <c r="M383" i="2"/>
  <c r="AG383" i="2" s="1"/>
  <c r="AH383" i="2" s="1"/>
  <c r="M384" i="2"/>
  <c r="AG384" i="2" s="1"/>
  <c r="AH384" i="2" s="1"/>
  <c r="M367" i="2"/>
  <c r="M328" i="2"/>
  <c r="AG328" i="2" s="1"/>
  <c r="AH328" i="2" s="1"/>
  <c r="M372" i="2"/>
  <c r="AG372" i="2" s="1"/>
  <c r="AH372" i="2" s="1"/>
  <c r="M381" i="2"/>
  <c r="AG381" i="2" s="1"/>
  <c r="AH381" i="2" s="1"/>
  <c r="M389" i="2"/>
  <c r="AG389" i="2" s="1"/>
  <c r="AH389" i="2" s="1"/>
  <c r="M378" i="2"/>
  <c r="AG378" i="2" s="1"/>
  <c r="AH378" i="2" s="1"/>
  <c r="M385" i="2"/>
  <c r="AG385" i="2" s="1"/>
  <c r="AH385" i="2" s="1"/>
  <c r="M390" i="2"/>
  <c r="AG390" i="2" s="1"/>
  <c r="AH390" i="2" s="1"/>
  <c r="M399" i="2"/>
  <c r="AG399" i="2" s="1"/>
  <c r="AH399" i="2" s="1"/>
  <c r="M193" i="2"/>
  <c r="AG193" i="2" s="1"/>
  <c r="AH193" i="2" s="1"/>
  <c r="AG169" i="2"/>
  <c r="AH169" i="2" s="1"/>
  <c r="M320" i="2"/>
  <c r="AG320" i="2" s="1"/>
  <c r="AH320" i="2" s="1"/>
  <c r="M368" i="2"/>
  <c r="AG368" i="2" s="1"/>
  <c r="AH368" i="2" s="1"/>
  <c r="M155" i="2"/>
  <c r="AG131" i="2"/>
  <c r="M515" i="2"/>
  <c r="M380" i="2" l="1"/>
  <c r="AG380" i="2" s="1"/>
  <c r="AH380" i="2" s="1"/>
  <c r="M379" i="2"/>
  <c r="AG379" i="2" s="1"/>
  <c r="AH379" i="2" s="1"/>
  <c r="M517" i="2"/>
  <c r="AG367" i="2"/>
  <c r="AH367" i="2" s="1"/>
  <c r="M322" i="2"/>
  <c r="AG322" i="2" s="1"/>
  <c r="AH322" i="2" s="1"/>
  <c r="AG307" i="2"/>
  <c r="AH307" i="2" s="1"/>
  <c r="M321" i="2"/>
  <c r="AG321" i="2" s="1"/>
  <c r="AH321" i="2" s="1"/>
  <c r="AG269" i="2"/>
  <c r="AH269" i="2" s="1"/>
  <c r="M319" i="2"/>
  <c r="AG155" i="2"/>
  <c r="AH155" i="2" s="1"/>
  <c r="AG522" i="2"/>
  <c r="AH522" i="2" s="1"/>
  <c r="M375" i="2"/>
  <c r="AG375" i="2" s="1"/>
  <c r="AH375" i="2" s="1"/>
  <c r="M376" i="2"/>
  <c r="AG376" i="2" s="1"/>
  <c r="AH376" i="2" s="1"/>
  <c r="M374" i="2"/>
  <c r="AG374" i="2" s="1"/>
  <c r="AH374" i="2" s="1"/>
  <c r="M373" i="2"/>
  <c r="M397" i="2"/>
  <c r="M401" i="2" s="1"/>
  <c r="G17" i="4" s="1"/>
  <c r="G31" i="4" s="1"/>
  <c r="AH131" i="2"/>
  <c r="AG515" i="2"/>
  <c r="M391" i="2" l="1"/>
  <c r="AG391" i="2" s="1"/>
  <c r="AH391" i="2" s="1"/>
  <c r="M524" i="2"/>
  <c r="M553" i="2" s="1"/>
  <c r="M525" i="2"/>
  <c r="M554" i="2" s="1"/>
  <c r="M324" i="2"/>
  <c r="M362" i="2" s="1"/>
  <c r="AG319" i="2"/>
  <c r="AH319" i="2" s="1"/>
  <c r="AH515" i="2"/>
  <c r="AG517" i="2"/>
  <c r="AH517" i="2" s="1"/>
  <c r="AG401" i="2"/>
  <c r="AH401" i="2" s="1"/>
  <c r="AG397" i="2"/>
  <c r="AH397" i="2" s="1"/>
  <c r="AG373" i="2"/>
  <c r="AH373" i="2" s="1"/>
  <c r="M540" i="2"/>
  <c r="M393" i="2" l="1"/>
  <c r="AG525" i="2"/>
  <c r="AH525" i="2" s="1"/>
  <c r="M585" i="2"/>
  <c r="M610" i="2"/>
  <c r="M605" i="2"/>
  <c r="M580" i="2"/>
  <c r="M542" i="2"/>
  <c r="AG524" i="2"/>
  <c r="AH524" i="2" s="1"/>
  <c r="AG324" i="2"/>
  <c r="AH324" i="2" s="1"/>
  <c r="M326" i="2"/>
  <c r="M526" i="2"/>
  <c r="AG526" i="2" s="1"/>
  <c r="AH526" i="2" s="1"/>
  <c r="M543" i="2"/>
  <c r="M631" i="2" l="1"/>
  <c r="M633" i="2" s="1"/>
  <c r="M660" i="2" s="1"/>
  <c r="G17" i="17" s="1"/>
  <c r="M607" i="2"/>
  <c r="M654" i="2" s="1"/>
  <c r="M544" i="2"/>
  <c r="M636" i="2"/>
  <c r="M638" i="2" s="1"/>
  <c r="M658" i="2" s="1"/>
  <c r="E17" i="17" s="1"/>
  <c r="M612" i="2"/>
  <c r="M652" i="2" s="1"/>
  <c r="M330" i="2"/>
  <c r="M644" i="2" s="1"/>
  <c r="AG326" i="2"/>
  <c r="AG362" i="2"/>
  <c r="AH362" i="2" s="1"/>
  <c r="M395" i="2" l="1"/>
  <c r="AG393" i="2"/>
  <c r="AH393" i="2" s="1"/>
  <c r="E17" i="4"/>
  <c r="AG330" i="2"/>
  <c r="AH326" i="2"/>
  <c r="M331" i="2"/>
  <c r="AG331" i="2" l="1"/>
  <c r="AH330" i="2"/>
  <c r="F17" i="4"/>
  <c r="H17" i="4" s="1"/>
  <c r="E31" i="4"/>
  <c r="M403" i="2"/>
  <c r="AG395" i="2"/>
  <c r="AH395" i="2" s="1"/>
  <c r="AH1" i="2" s="1"/>
  <c r="E74" i="4" l="1"/>
  <c r="M566" i="2"/>
  <c r="M576" i="2"/>
  <c r="M577" i="2" s="1"/>
  <c r="M586" i="2"/>
  <c r="M587" i="2" s="1"/>
  <c r="M646" i="2" s="1"/>
  <c r="M572" i="2"/>
  <c r="M647" i="2" s="1"/>
  <c r="M570" i="2"/>
  <c r="M581" i="2"/>
  <c r="M582" i="2" s="1"/>
  <c r="E56" i="4"/>
  <c r="F31" i="4"/>
  <c r="H31" i="4" s="1"/>
  <c r="M404" i="2"/>
  <c r="I16" i="4" l="1"/>
  <c r="F73" i="4" s="1"/>
  <c r="E83" i="4"/>
  <c r="I17" i="4"/>
  <c r="F74" i="4" s="1"/>
  <c r="I20" i="4"/>
  <c r="F77" i="4" s="1"/>
  <c r="I19" i="4"/>
  <c r="F76" i="4" s="1"/>
  <c r="I24" i="4"/>
  <c r="F81" i="4" s="1"/>
  <c r="I21" i="4"/>
  <c r="F78" i="4" s="1"/>
  <c r="I23" i="4"/>
  <c r="F80" i="4" s="1"/>
  <c r="I18" i="4"/>
  <c r="F75" i="4" s="1"/>
  <c r="I25" i="4"/>
  <c r="F82" i="4" s="1"/>
  <c r="I22" i="4"/>
  <c r="F79" i="4" s="1"/>
  <c r="M648" i="2"/>
  <c r="I12" i="4"/>
  <c r="F69" i="4" s="1"/>
  <c r="I14" i="4"/>
  <c r="F71" i="4" s="1"/>
  <c r="I13" i="4"/>
  <c r="F70" i="4" s="1"/>
  <c r="I15" i="4"/>
  <c r="F72" i="4" s="1"/>
  <c r="I11" i="4"/>
  <c r="F68" i="4" s="1"/>
  <c r="I31" i="4"/>
  <c r="F83" i="4" s="1"/>
  <c r="I10" i="4"/>
  <c r="F67" i="4" s="1"/>
</calcChain>
</file>

<file path=xl/sharedStrings.xml><?xml version="1.0" encoding="utf-8"?>
<sst xmlns="http://schemas.openxmlformats.org/spreadsheetml/2006/main" count="2633" uniqueCount="1177">
  <si>
    <t>Total</t>
  </si>
  <si>
    <t>Station Equipment</t>
  </si>
  <si>
    <t>Primary Distribution Plant</t>
  </si>
  <si>
    <t>Customer Services</t>
  </si>
  <si>
    <t>Meters</t>
  </si>
  <si>
    <t>Lighting Systems</t>
  </si>
  <si>
    <t>Description</t>
  </si>
  <si>
    <t>Name</t>
  </si>
  <si>
    <t>Vector</t>
  </si>
  <si>
    <t>System</t>
  </si>
  <si>
    <t>Demand</t>
  </si>
  <si>
    <t>Energy</t>
  </si>
  <si>
    <t>Customer</t>
  </si>
  <si>
    <t>Total Check</t>
  </si>
  <si>
    <t>Status</t>
  </si>
  <si>
    <t>Plant in Service</t>
  </si>
  <si>
    <t>PDIST</t>
  </si>
  <si>
    <t>LAND AND LAND RIGHTS</t>
  </si>
  <si>
    <t>P360</t>
  </si>
  <si>
    <t>Total Intangible Plant</t>
  </si>
  <si>
    <t>PINT</t>
  </si>
  <si>
    <t>Distribution</t>
  </si>
  <si>
    <t>STATION EQUIPMENT</t>
  </si>
  <si>
    <t>P362</t>
  </si>
  <si>
    <t>F001</t>
  </si>
  <si>
    <t>POLES, TOWERS AND FIXTURES</t>
  </si>
  <si>
    <t>P364</t>
  </si>
  <si>
    <t>F002</t>
  </si>
  <si>
    <t>OVERHEAD CONDUCTORS AND DEVICE</t>
  </si>
  <si>
    <t>P365</t>
  </si>
  <si>
    <t>F003</t>
  </si>
  <si>
    <t>UNDERGROUND CONDUIT</t>
  </si>
  <si>
    <t>P366</t>
  </si>
  <si>
    <t>F004</t>
  </si>
  <si>
    <t>UNDERGROUND CONDUCTORS AND DEV</t>
  </si>
  <si>
    <t>P367</t>
  </si>
  <si>
    <t>LINE TRANSFORMERS</t>
  </si>
  <si>
    <t>P368</t>
  </si>
  <si>
    <t>F005</t>
  </si>
  <si>
    <t>SERVICES</t>
  </si>
  <si>
    <t>P369</t>
  </si>
  <si>
    <t>F006</t>
  </si>
  <si>
    <t>METERS</t>
  </si>
  <si>
    <t>P370</t>
  </si>
  <si>
    <t>F007</t>
  </si>
  <si>
    <t>INSTALLATIONS ON CONSUMERS PRE</t>
  </si>
  <si>
    <t>P371</t>
  </si>
  <si>
    <t>STREET LIGHTING AND SIGNAL SYS</t>
  </si>
  <si>
    <t>P373</t>
  </si>
  <si>
    <t>F008</t>
  </si>
  <si>
    <t>Total Distribution Plant</t>
  </si>
  <si>
    <t>General Plant</t>
  </si>
  <si>
    <t>P389</t>
  </si>
  <si>
    <t>STRUCTURES AND IMPROVEMENTS</t>
  </si>
  <si>
    <t>P390</t>
  </si>
  <si>
    <t>OFFICE FURNITURE AND EQUIPMENT</t>
  </si>
  <si>
    <t>P391</t>
  </si>
  <si>
    <t>TRANSPORTATION EQUIPMENT</t>
  </si>
  <si>
    <t>P392</t>
  </si>
  <si>
    <t>STORES EQUIPMENT</t>
  </si>
  <si>
    <t>P393</t>
  </si>
  <si>
    <t>TOOLS, SHOP &amp; GARAGE EQUIPMENT</t>
  </si>
  <si>
    <t>P394</t>
  </si>
  <si>
    <t>LABORATORY EQUIPMENT</t>
  </si>
  <si>
    <t>P395</t>
  </si>
  <si>
    <t>POWER OPERATED EQUIPMENT</t>
  </si>
  <si>
    <t>P396</t>
  </si>
  <si>
    <t>COMMUNICATION EQUIPMENT</t>
  </si>
  <si>
    <t>P397</t>
  </si>
  <si>
    <t>Total General Plant</t>
  </si>
  <si>
    <t>PGP</t>
  </si>
  <si>
    <t>Total Plant in Service</t>
  </si>
  <si>
    <t>TPIS</t>
  </si>
  <si>
    <t>Construction Work in Progress (CWIP)</t>
  </si>
  <si>
    <t xml:space="preserve">  Total Construction Work in Progress</t>
  </si>
  <si>
    <t>TCWIP</t>
  </si>
  <si>
    <t>Rate Base</t>
  </si>
  <si>
    <t>Utility Plant</t>
  </si>
  <si>
    <t xml:space="preserve">    Total Utility Plant</t>
  </si>
  <si>
    <t>TUP</t>
  </si>
  <si>
    <t>Less: Acummulated Provision for Depreciation</t>
  </si>
  <si>
    <t xml:space="preserve">  General Plant</t>
  </si>
  <si>
    <t>TADEPR</t>
  </si>
  <si>
    <t>Net Utility Plant</t>
  </si>
  <si>
    <t>NTPLANT</t>
  </si>
  <si>
    <t>Working Capital</t>
  </si>
  <si>
    <t>Operation and Maintenance Expenses</t>
  </si>
  <si>
    <t>CWC</t>
  </si>
  <si>
    <t>OMLPP</t>
  </si>
  <si>
    <t>PREPAY</t>
  </si>
  <si>
    <t xml:space="preserve">  Total Working Capital</t>
  </si>
  <si>
    <t>TWC</t>
  </si>
  <si>
    <t>Less: Customer Deposits</t>
  </si>
  <si>
    <t>CSTDEP</t>
  </si>
  <si>
    <t>Net Rate Base</t>
  </si>
  <si>
    <t>RB</t>
  </si>
  <si>
    <t>Purchased Power</t>
  </si>
  <si>
    <t>OMPP</t>
  </si>
  <si>
    <t>Distribution Operation Expense</t>
  </si>
  <si>
    <t>OPERATION SUPERVISION AND ENGI</t>
  </si>
  <si>
    <t>OM580</t>
  </si>
  <si>
    <t>LOAD DISPATCHING</t>
  </si>
  <si>
    <t>OM581</t>
  </si>
  <si>
    <t>OVERHEAD LINE EXPENSES</t>
  </si>
  <si>
    <t>OM583</t>
  </si>
  <si>
    <t>UNDERGROUND LINE EXPENSES</t>
  </si>
  <si>
    <t>OM584</t>
  </si>
  <si>
    <t>STREET LIGHTING EXPENSE</t>
  </si>
  <si>
    <t>OM585</t>
  </si>
  <si>
    <t>METER EXPENSES</t>
  </si>
  <si>
    <t>OM586</t>
  </si>
  <si>
    <t>CUSTOMER INSTALLATIONS EXPENSE</t>
  </si>
  <si>
    <t>OM587</t>
  </si>
  <si>
    <t>MISCELLANEOUS DISTRIBUTION EXP</t>
  </si>
  <si>
    <t>OM588</t>
  </si>
  <si>
    <t>RENTS</t>
  </si>
  <si>
    <t>OM589</t>
  </si>
  <si>
    <t>Total Distribution Operation Expense</t>
  </si>
  <si>
    <t>OMDO</t>
  </si>
  <si>
    <t>Distribution Maintenance Expense</t>
  </si>
  <si>
    <t>MAINTENANCE SUPERVISION AND EN</t>
  </si>
  <si>
    <t>OM590</t>
  </si>
  <si>
    <t>MAINTENANCE OF STATION EQUIPME</t>
  </si>
  <si>
    <t>OM592</t>
  </si>
  <si>
    <t>MAINTENANCE OF OVERHEAD LINES</t>
  </si>
  <si>
    <t>OM593</t>
  </si>
  <si>
    <t>MAINTENANCE OF UNDERGROUND LIN</t>
  </si>
  <si>
    <t>OM594</t>
  </si>
  <si>
    <t>MAINTENANCE OF LINE TRANSFORME</t>
  </si>
  <si>
    <t>OM595</t>
  </si>
  <si>
    <t>MAINTENANCE OF METERS</t>
  </si>
  <si>
    <t>OM597</t>
  </si>
  <si>
    <t>OM598</t>
  </si>
  <si>
    <t>Total Distribution Maintenance Expense</t>
  </si>
  <si>
    <t>OMDM</t>
  </si>
  <si>
    <t>OMSUB</t>
  </si>
  <si>
    <t>Operation and Maintenance Expenses (Continued)</t>
  </si>
  <si>
    <t>Customer Accounts Expense</t>
  </si>
  <si>
    <t>SUPERVISION/CUSTOMER ACCTS</t>
  </si>
  <si>
    <t>OM901</t>
  </si>
  <si>
    <t>F009</t>
  </si>
  <si>
    <t>METER READING EXPENSES</t>
  </si>
  <si>
    <t>OM902</t>
  </si>
  <si>
    <t>OM903</t>
  </si>
  <si>
    <t>UNCOLLECTIBLE ACCOUNTS</t>
  </si>
  <si>
    <t>OM904</t>
  </si>
  <si>
    <t>Total Customer Accounts Expense</t>
  </si>
  <si>
    <t>OMCA</t>
  </si>
  <si>
    <t>Customer Service Expense</t>
  </si>
  <si>
    <t>OM907</t>
  </si>
  <si>
    <t>F010</t>
  </si>
  <si>
    <t>CUSTOMER ASSISTANCE EXPENSES</t>
  </si>
  <si>
    <t>OM908</t>
  </si>
  <si>
    <t>INFORMATIONAL AND INSTRUCTIONA</t>
  </si>
  <si>
    <t>OM909</t>
  </si>
  <si>
    <t>MISCELLANEOUS CUSTOMER SERVICE</t>
  </si>
  <si>
    <t>OM910</t>
  </si>
  <si>
    <t>Total Customer Service Expense</t>
  </si>
  <si>
    <t>OMCS</t>
  </si>
  <si>
    <t>Administrative and General Expense</t>
  </si>
  <si>
    <t>ADMIN. &amp; GEN. SALARIES-</t>
  </si>
  <si>
    <t>OM920</t>
  </si>
  <si>
    <t>OFFICE SUPPLIES AND EXPENSES</t>
  </si>
  <si>
    <t>OM921</t>
  </si>
  <si>
    <t>OUTSIDE SERVICES EMPLOYED</t>
  </si>
  <si>
    <t>OM923</t>
  </si>
  <si>
    <t>PROPERTY INSURANCE</t>
  </si>
  <si>
    <t>OM924</t>
  </si>
  <si>
    <t>INJURIES AND DAMAGES - INSURAN</t>
  </si>
  <si>
    <t>OM925</t>
  </si>
  <si>
    <t>EMPLOYEE BENEFITS</t>
  </si>
  <si>
    <t>OM926</t>
  </si>
  <si>
    <t>REGULATORY COMMISSION EXPENSES</t>
  </si>
  <si>
    <t>OM928</t>
  </si>
  <si>
    <t>MISCELLANEOUS GENERAL EXPENSES</t>
  </si>
  <si>
    <t>OM930</t>
  </si>
  <si>
    <t>RENTS AND LEASES</t>
  </si>
  <si>
    <t>OM931</t>
  </si>
  <si>
    <t>MAINTENANCE OF GENERAL PLANT</t>
  </si>
  <si>
    <t>Total Administrative and General Expense</t>
  </si>
  <si>
    <t>OMAG</t>
  </si>
  <si>
    <t>Total Operation and Maintenance Expenses</t>
  </si>
  <si>
    <t>TOM</t>
  </si>
  <si>
    <t>Labor Expenses</t>
  </si>
  <si>
    <t>Other Expenses</t>
  </si>
  <si>
    <t>Depreciation Expenses</t>
  </si>
  <si>
    <t>Total Depreciation Expense</t>
  </si>
  <si>
    <t>TDEPR</t>
  </si>
  <si>
    <t>Property Taxes</t>
  </si>
  <si>
    <t>PTAX</t>
  </si>
  <si>
    <t>OT</t>
  </si>
  <si>
    <t>Interest -- LTD</t>
  </si>
  <si>
    <t>INTLTD</t>
  </si>
  <si>
    <t>Interest -- Other</t>
  </si>
  <si>
    <t>INTOTH</t>
  </si>
  <si>
    <t>Other Deductions</t>
  </si>
  <si>
    <t>DEDUCT</t>
  </si>
  <si>
    <t>Total Other Expenses</t>
  </si>
  <si>
    <t>TOE</t>
  </si>
  <si>
    <t>Functional Vectors</t>
  </si>
  <si>
    <t>Poles, Towers and Fixtures</t>
  </si>
  <si>
    <t>Overhead Conductors and Devices</t>
  </si>
  <si>
    <t>Underground Conductors and Devices</t>
  </si>
  <si>
    <t>Line Transformers</t>
  </si>
  <si>
    <t>Services</t>
  </si>
  <si>
    <t>Street Lighting</t>
  </si>
  <si>
    <t>Meter Reading</t>
  </si>
  <si>
    <t>Billing</t>
  </si>
  <si>
    <t>Allocation</t>
  </si>
  <si>
    <t xml:space="preserve">  Demand</t>
  </si>
  <si>
    <t>PLPPD</t>
  </si>
  <si>
    <t>D01</t>
  </si>
  <si>
    <t xml:space="preserve">  Energy</t>
  </si>
  <si>
    <t>PLPPE</t>
  </si>
  <si>
    <t>E01</t>
  </si>
  <si>
    <t>Total Purchase Power</t>
  </si>
  <si>
    <t>PLPPT</t>
  </si>
  <si>
    <t>PLSED</t>
  </si>
  <si>
    <t>D02</t>
  </si>
  <si>
    <t>PLDPD</t>
  </si>
  <si>
    <t>D03</t>
  </si>
  <si>
    <t xml:space="preserve">  Customer</t>
  </si>
  <si>
    <t>PLDPC</t>
  </si>
  <si>
    <t>C01</t>
  </si>
  <si>
    <t>Total Primary Distribution Plant</t>
  </si>
  <si>
    <t>PLCSD</t>
  </si>
  <si>
    <t>PLCSC</t>
  </si>
  <si>
    <t>C02</t>
  </si>
  <si>
    <t>Total Customer Services</t>
  </si>
  <si>
    <t>PLMC</t>
  </si>
  <si>
    <t>C03</t>
  </si>
  <si>
    <t>PLLSC</t>
  </si>
  <si>
    <t>C04</t>
  </si>
  <si>
    <t>PLMRBC</t>
  </si>
  <si>
    <t>C05</t>
  </si>
  <si>
    <t>C06</t>
  </si>
  <si>
    <t>PLT</t>
  </si>
  <si>
    <t>NPPPD</t>
  </si>
  <si>
    <t>NPPPE</t>
  </si>
  <si>
    <t>NPPPT</t>
  </si>
  <si>
    <t>NPSED</t>
  </si>
  <si>
    <t>NPDPD</t>
  </si>
  <si>
    <t>NPDPC</t>
  </si>
  <si>
    <t>NPCSD</t>
  </si>
  <si>
    <t>NPCSC</t>
  </si>
  <si>
    <t>NPMC</t>
  </si>
  <si>
    <t>NPLSC</t>
  </si>
  <si>
    <t>NPMRBC</t>
  </si>
  <si>
    <t>NPT</t>
  </si>
  <si>
    <t>Net Cost Rate Base</t>
  </si>
  <si>
    <t>RBPPD</t>
  </si>
  <si>
    <t>RBPPE</t>
  </si>
  <si>
    <t>RBPPT</t>
  </si>
  <si>
    <t>RBSED</t>
  </si>
  <si>
    <t>RBDPD</t>
  </si>
  <si>
    <t>RBDPC</t>
  </si>
  <si>
    <t>RBCSD</t>
  </si>
  <si>
    <t>RBCSC</t>
  </si>
  <si>
    <t>RBMC</t>
  </si>
  <si>
    <t>RBLSC</t>
  </si>
  <si>
    <t>RBMRBC</t>
  </si>
  <si>
    <t>RBT</t>
  </si>
  <si>
    <t>OMPPD</t>
  </si>
  <si>
    <t>OMPPE</t>
  </si>
  <si>
    <t>OMPPT</t>
  </si>
  <si>
    <t>OMSED</t>
  </si>
  <si>
    <t>OMDPD</t>
  </si>
  <si>
    <t>OMDPC</t>
  </si>
  <si>
    <t>OMCSD</t>
  </si>
  <si>
    <t>OMCSC</t>
  </si>
  <si>
    <t>OMMC</t>
  </si>
  <si>
    <t>OMLSC</t>
  </si>
  <si>
    <t>OMMRBC</t>
  </si>
  <si>
    <t>OMT</t>
  </si>
  <si>
    <t>LBPPD</t>
  </si>
  <si>
    <t>LBPPE</t>
  </si>
  <si>
    <t>LBPPT</t>
  </si>
  <si>
    <t>LBSED</t>
  </si>
  <si>
    <t>LBDPD</t>
  </si>
  <si>
    <t>LBDPC</t>
  </si>
  <si>
    <t>LBCSD</t>
  </si>
  <si>
    <t>LBCSC</t>
  </si>
  <si>
    <t>LBMC</t>
  </si>
  <si>
    <t>LBLSC</t>
  </si>
  <si>
    <t>LBMRBC</t>
  </si>
  <si>
    <t>LBT</t>
  </si>
  <si>
    <t>DPPPD</t>
  </si>
  <si>
    <t>DPPPE</t>
  </si>
  <si>
    <t>DPPPT</t>
  </si>
  <si>
    <t>DPSED</t>
  </si>
  <si>
    <t>DPDPD</t>
  </si>
  <si>
    <t>DPDPC</t>
  </si>
  <si>
    <t>DPCSD</t>
  </si>
  <si>
    <t>DPCSC</t>
  </si>
  <si>
    <t>DPMC</t>
  </si>
  <si>
    <t>DPLSC</t>
  </si>
  <si>
    <t>DPMRBC</t>
  </si>
  <si>
    <t>DPT</t>
  </si>
  <si>
    <t>PTPPD</t>
  </si>
  <si>
    <t>PTPPE</t>
  </si>
  <si>
    <t>PTPPT</t>
  </si>
  <si>
    <t>PTSED</t>
  </si>
  <si>
    <t>PTDPD</t>
  </si>
  <si>
    <t>PTDPC</t>
  </si>
  <si>
    <t>PTCSD</t>
  </si>
  <si>
    <t>PTCSC</t>
  </si>
  <si>
    <t>PTMC</t>
  </si>
  <si>
    <t>PTLSC</t>
  </si>
  <si>
    <t>PTMRBC</t>
  </si>
  <si>
    <t>PTT</t>
  </si>
  <si>
    <t>Other Taxes</t>
  </si>
  <si>
    <t>OTPPD</t>
  </si>
  <si>
    <t>OTPPE</t>
  </si>
  <si>
    <t>OTPPT</t>
  </si>
  <si>
    <t>OTSED</t>
  </si>
  <si>
    <t>OTDPD</t>
  </si>
  <si>
    <t>OTDPC</t>
  </si>
  <si>
    <t>OTCSD</t>
  </si>
  <si>
    <t>OTCSC</t>
  </si>
  <si>
    <t>OTMC</t>
  </si>
  <si>
    <t>OTLSC</t>
  </si>
  <si>
    <t>OTMRBC</t>
  </si>
  <si>
    <t>OTT</t>
  </si>
  <si>
    <t>Operating Revenues</t>
  </si>
  <si>
    <t>REVUC</t>
  </si>
  <si>
    <t>Total Operating Revenues</t>
  </si>
  <si>
    <t>TOR</t>
  </si>
  <si>
    <t>Operating Expenses</t>
  </si>
  <si>
    <t xml:space="preserve">   Operation and Maintenance Expenses</t>
  </si>
  <si>
    <t xml:space="preserve">   Depreciation and Amortization Expenses</t>
  </si>
  <si>
    <t xml:space="preserve">   Property Taxes</t>
  </si>
  <si>
    <t xml:space="preserve">   Other Taxes</t>
  </si>
  <si>
    <t>Total Operating Expenses</t>
  </si>
  <si>
    <t>Utility Operating Margin</t>
  </si>
  <si>
    <t>Rate of Return</t>
  </si>
  <si>
    <t>Energy Allocation Factors</t>
  </si>
  <si>
    <t>Energy Usage by Class</t>
  </si>
  <si>
    <t>Demand Allocation Factors</t>
  </si>
  <si>
    <t>Purchase Power -- Average 12 CP</t>
  </si>
  <si>
    <t>Station Equipment -- Maximum Class Demand</t>
  </si>
  <si>
    <t>Primary Distribution Plant -- Maximum Class Demand</t>
  </si>
  <si>
    <t>Customer Allocation Factors</t>
  </si>
  <si>
    <t>Primary Distribution Plant -- Average Number of Customers</t>
  </si>
  <si>
    <t>Customer Services -- Average Number of Customers</t>
  </si>
  <si>
    <t>Meter Costs -- Weighted Cost of Meters</t>
  </si>
  <si>
    <t>Lighting Systems -- Lighting Customers</t>
  </si>
  <si>
    <t>Meter Reading and Billing -- Weighted Cost</t>
  </si>
  <si>
    <t>Margin</t>
  </si>
  <si>
    <t>Revenue</t>
  </si>
  <si>
    <t>Rev</t>
  </si>
  <si>
    <t>Transmission</t>
  </si>
  <si>
    <t>CONDUCTORS AND DEVICES</t>
  </si>
  <si>
    <t>P350</t>
  </si>
  <si>
    <t>P353</t>
  </si>
  <si>
    <t>P355</t>
  </si>
  <si>
    <t>P356</t>
  </si>
  <si>
    <t>Pri &amp; Sec. Distr Plant</t>
  </si>
  <si>
    <t>Primary &amp; Secondary Distribution Plant</t>
  </si>
  <si>
    <t>Intangible Plant</t>
  </si>
  <si>
    <t>Total Transmission Plant</t>
  </si>
  <si>
    <t>ORGANIZATION</t>
  </si>
  <si>
    <t>P301</t>
  </si>
  <si>
    <t>MISCELLANEOUS EQUIPMENT</t>
  </si>
  <si>
    <t>P398</t>
  </si>
  <si>
    <t>COMPLETED CONSTR NOT CLASSIFIED</t>
  </si>
  <si>
    <t>P106</t>
  </si>
  <si>
    <t>Plant in Service (Continued)</t>
  </si>
  <si>
    <t xml:space="preserve">  Total Utility Plant</t>
  </si>
  <si>
    <t xml:space="preserve">  Transmission</t>
  </si>
  <si>
    <t xml:space="preserve">  Electric Plant Amortization</t>
  </si>
  <si>
    <t xml:space="preserve">  Retirement Work in Progress</t>
  </si>
  <si>
    <t>Transmission Expenses</t>
  </si>
  <si>
    <t>STATION EXPENSES</t>
  </si>
  <si>
    <t>MAINTENACE SUPERVISION AND ENG</t>
  </si>
  <si>
    <t>OPERATION SUPERVISION AND ENG</t>
  </si>
  <si>
    <t>MAINT OF STATION EQUIPMENT</t>
  </si>
  <si>
    <t>MAINT OF OVERHEAD LINES</t>
  </si>
  <si>
    <t>Total Transmission Expenses</t>
  </si>
  <si>
    <t>OM582</t>
  </si>
  <si>
    <t>PURCHASED POWER</t>
  </si>
  <si>
    <t>MAINTENANCE OF ST LIGHTS &amp; SIG SYSTEMS</t>
  </si>
  <si>
    <t>OM596</t>
  </si>
  <si>
    <t>Total Distribution Operation and Maintenance Expenses</t>
  </si>
  <si>
    <t>Transmission and Distribution Expenses</t>
  </si>
  <si>
    <t>MAINTENANCE OF MISC DISTR PLANT</t>
  </si>
  <si>
    <t>SUPERVISION</t>
  </si>
  <si>
    <t>DUPLICATE CHARGES-CR</t>
  </si>
  <si>
    <t>OM929</t>
  </si>
  <si>
    <t>AMORT ELECT PLANT ACQUISIT ADJ</t>
  </si>
  <si>
    <t>Total Cost of Service (O&amp;M + Other Expenses)</t>
  </si>
  <si>
    <t>PTRAN</t>
  </si>
  <si>
    <t>F011</t>
  </si>
  <si>
    <t>PT&amp;D</t>
  </si>
  <si>
    <t>ADEPREPA</t>
  </si>
  <si>
    <t>RWIP</t>
  </si>
  <si>
    <t>ADEPRTP</t>
  </si>
  <si>
    <t>M&amp;S</t>
  </si>
  <si>
    <t>OM555</t>
  </si>
  <si>
    <t>OTHER EXPENSES</t>
  </si>
  <si>
    <t>Total Purchased Power</t>
  </si>
  <si>
    <t>OM557</t>
  </si>
  <si>
    <t>TPP</t>
  </si>
  <si>
    <t>Purchased Power Expenses</t>
  </si>
  <si>
    <t>OM560</t>
  </si>
  <si>
    <t>OM561</t>
  </si>
  <si>
    <t>OM562</t>
  </si>
  <si>
    <t>OM563</t>
  </si>
  <si>
    <t>OM568</t>
  </si>
  <si>
    <t>OM570</t>
  </si>
  <si>
    <t>OM571</t>
  </si>
  <si>
    <t>Sub-Total Transmission, Distribution, Cust Acct and Cust Service</t>
  </si>
  <si>
    <t>OMSUB2</t>
  </si>
  <si>
    <t>Operation and Maintenance Expenses Less Purchase Power</t>
  </si>
  <si>
    <t>Cash Working Capital - Operation and Maintenance Expenses</t>
  </si>
  <si>
    <t>DEPRTP</t>
  </si>
  <si>
    <t>DEPRGP</t>
  </si>
  <si>
    <t>DEPRLTEP</t>
  </si>
  <si>
    <t>DEPRAADJ</t>
  </si>
  <si>
    <t>P352</t>
  </si>
  <si>
    <t>TOWERS AND FIXTURES</t>
  </si>
  <si>
    <t>POLES AND FIXTURES</t>
  </si>
  <si>
    <t>P354</t>
  </si>
  <si>
    <t>ROADS AND TRAILS</t>
  </si>
  <si>
    <t>P359</t>
  </si>
  <si>
    <t>P361</t>
  </si>
  <si>
    <t xml:space="preserve">  CWIP Transmission</t>
  </si>
  <si>
    <t xml:space="preserve">  Dist-Structures</t>
  </si>
  <si>
    <t xml:space="preserve">  Dist-Station</t>
  </si>
  <si>
    <t xml:space="preserve">  Dist-Poles and Fixtures</t>
  </si>
  <si>
    <t xml:space="preserve">  Dist-OH Conductor</t>
  </si>
  <si>
    <t xml:space="preserve">  Dist-UG Conductor</t>
  </si>
  <si>
    <t xml:space="preserve">  Dist-Line Transformers</t>
  </si>
  <si>
    <t xml:space="preserve">  Dist-Services</t>
  </si>
  <si>
    <t xml:space="preserve">  Dist-Meters</t>
  </si>
  <si>
    <t xml:space="preserve">  Dist-Installations on Customer Premises</t>
  </si>
  <si>
    <t xml:space="preserve">  Dist-Lighting &amp; Signal Systems</t>
  </si>
  <si>
    <t>ADEPRD1</t>
  </si>
  <si>
    <t>ADEPRD2</t>
  </si>
  <si>
    <t>ADEPRD3</t>
  </si>
  <si>
    <t>ADEPRD4</t>
  </si>
  <si>
    <t>ADEPRD5</t>
  </si>
  <si>
    <t>ADEPRD6</t>
  </si>
  <si>
    <t>ADEPRD7</t>
  </si>
  <si>
    <t>ADEPRD8</t>
  </si>
  <si>
    <t>ADEPRD9</t>
  </si>
  <si>
    <t>ADEPRD10</t>
  </si>
  <si>
    <t>ADEPRD11</t>
  </si>
  <si>
    <t xml:space="preserve">  Dist-UG Conduit</t>
  </si>
  <si>
    <t>ADEPRD12</t>
  </si>
  <si>
    <t xml:space="preserve">  CWIP General Plant</t>
  </si>
  <si>
    <t>METER EXPENSES - LOAD MANAGEMENT</t>
  </si>
  <si>
    <t>OM586x</t>
  </si>
  <si>
    <t>RECORDS AND COLLECTION</t>
  </si>
  <si>
    <t>MISC CUST ACCOUNTS</t>
  </si>
  <si>
    <t>CUSTOMER ASSISTANCE EXP-LOAD MGMT</t>
  </si>
  <si>
    <t>OM908x</t>
  </si>
  <si>
    <t>INFORM AND INSTRUC -LOAD MGMT</t>
  </si>
  <si>
    <t>OM909x</t>
  </si>
  <si>
    <t>DEPRDP1</t>
  </si>
  <si>
    <t>DEPRDP2</t>
  </si>
  <si>
    <t>DEPRDP3</t>
  </si>
  <si>
    <t>DEPRDP4</t>
  </si>
  <si>
    <t>DEPRDP5</t>
  </si>
  <si>
    <t>DEPRDP6</t>
  </si>
  <si>
    <t>DEPRDP7</t>
  </si>
  <si>
    <t>DEPRDP8</t>
  </si>
  <si>
    <t>DEPRDP9</t>
  </si>
  <si>
    <t>DEPRDP10</t>
  </si>
  <si>
    <t>DEPRDP11</t>
  </si>
  <si>
    <t>DEPRDP12</t>
  </si>
  <si>
    <t>Load Management</t>
  </si>
  <si>
    <t>F012</t>
  </si>
  <si>
    <t>PLD</t>
  </si>
  <si>
    <t>Labor Expenses (Continued)</t>
  </si>
  <si>
    <t>LBPP</t>
  </si>
  <si>
    <t>LB557</t>
  </si>
  <si>
    <t>LB561</t>
  </si>
  <si>
    <t>LB562</t>
  </si>
  <si>
    <t>LB563</t>
  </si>
  <si>
    <t>LB568</t>
  </si>
  <si>
    <t>LB570</t>
  </si>
  <si>
    <t>LB571</t>
  </si>
  <si>
    <t>LB580</t>
  </si>
  <si>
    <t>LB581</t>
  </si>
  <si>
    <t>LB582</t>
  </si>
  <si>
    <t>LB583</t>
  </si>
  <si>
    <t>LB584</t>
  </si>
  <si>
    <t>LB585</t>
  </si>
  <si>
    <t>LB586</t>
  </si>
  <si>
    <t>LB586x</t>
  </si>
  <si>
    <t>LB587</t>
  </si>
  <si>
    <t>LB588</t>
  </si>
  <si>
    <t>LB589</t>
  </si>
  <si>
    <t>LBDO</t>
  </si>
  <si>
    <t>LB590</t>
  </si>
  <si>
    <t>LB592</t>
  </si>
  <si>
    <t>LB593</t>
  </si>
  <si>
    <t>LB594</t>
  </si>
  <si>
    <t>LB595</t>
  </si>
  <si>
    <t>LB596</t>
  </si>
  <si>
    <t>LB597</t>
  </si>
  <si>
    <t>LB598</t>
  </si>
  <si>
    <t>LBDM</t>
  </si>
  <si>
    <t>LBSUB</t>
  </si>
  <si>
    <t>LB901</t>
  </si>
  <si>
    <t>LB902</t>
  </si>
  <si>
    <t>LB903</t>
  </si>
  <si>
    <t>LB904</t>
  </si>
  <si>
    <t>LBCA</t>
  </si>
  <si>
    <t>LB907</t>
  </si>
  <si>
    <t>LB908</t>
  </si>
  <si>
    <t>LB908x</t>
  </si>
  <si>
    <t>LB909</t>
  </si>
  <si>
    <t>LB909x</t>
  </si>
  <si>
    <t>LB910</t>
  </si>
  <si>
    <t>LBCS</t>
  </si>
  <si>
    <t>LBSUB2</t>
  </si>
  <si>
    <t>LB920</t>
  </si>
  <si>
    <t>LB921</t>
  </si>
  <si>
    <t>LB923</t>
  </si>
  <si>
    <t>LB924</t>
  </si>
  <si>
    <t>LB925</t>
  </si>
  <si>
    <t>LB926</t>
  </si>
  <si>
    <t>LB928</t>
  </si>
  <si>
    <t>LB929</t>
  </si>
  <si>
    <t>LB930</t>
  </si>
  <si>
    <t>LB931</t>
  </si>
  <si>
    <t>LBAG</t>
  </si>
  <si>
    <t>TLB</t>
  </si>
  <si>
    <t>LBLPP</t>
  </si>
  <si>
    <t>LB555</t>
  </si>
  <si>
    <t>LB560</t>
  </si>
  <si>
    <t>Total Purchased Power Labor</t>
  </si>
  <si>
    <t>Total Transmission Labor Expenses</t>
  </si>
  <si>
    <t>Transmission Labor Expenses</t>
  </si>
  <si>
    <t>Distribution Operation Labor Expense</t>
  </si>
  <si>
    <t>Total Distribution Operation Labor Expense</t>
  </si>
  <si>
    <t>Distribution Maintenance Labor Expense</t>
  </si>
  <si>
    <t>Total Distribution Maintenance Labor Expense</t>
  </si>
  <si>
    <t>Total Distribution Operation and Maintenance Labor Expenses</t>
  </si>
  <si>
    <t>Transmission and Distribution Labor Expenses</t>
  </si>
  <si>
    <t>Purchased Power, Transmission and Distribution Labor Expenses</t>
  </si>
  <si>
    <t>Total Customer Accounts Labor Expense</t>
  </si>
  <si>
    <t>Total Customer Service Labor Expense</t>
  </si>
  <si>
    <t>Sub-Total Trans, Distr, Cust Acct and Cust Service Labor Exp</t>
  </si>
  <si>
    <t>Meter Reading, Billing and Customer Service</t>
  </si>
  <si>
    <t>F013</t>
  </si>
  <si>
    <t>F014</t>
  </si>
  <si>
    <t>Intallations on Customer Premises - Plant in Service</t>
  </si>
  <si>
    <t>Intallations on Customer Premises - Accum Depr</t>
  </si>
  <si>
    <t>OM588x</t>
  </si>
  <si>
    <t>F015</t>
  </si>
  <si>
    <t>F016</t>
  </si>
  <si>
    <t>CWIP1</t>
  </si>
  <si>
    <t>CWIP2</t>
  </si>
  <si>
    <t>CWIP3</t>
  </si>
  <si>
    <t>CWIP4</t>
  </si>
  <si>
    <t>CWIP5</t>
  </si>
  <si>
    <t>Customers (Monthly Bills)</t>
  </si>
  <si>
    <t>Average Customers (Bills/12)</t>
  </si>
  <si>
    <t>Average Customers (Lighting = Lights)</t>
  </si>
  <si>
    <t>R01</t>
  </si>
  <si>
    <t>Cust01</t>
  </si>
  <si>
    <t>Cust02</t>
  </si>
  <si>
    <t>Cust03</t>
  </si>
  <si>
    <t>Cust04</t>
  </si>
  <si>
    <t>NCP</t>
  </si>
  <si>
    <t>Allocation Factors</t>
  </si>
  <si>
    <t>Total Operating Revenue -- Actual</t>
  </si>
  <si>
    <t>Pro-Forma Adjustments:</t>
  </si>
  <si>
    <t>Total Pro-Forma Operating Revenue</t>
  </si>
  <si>
    <t>Total Operating Expenses -- Actual</t>
  </si>
  <si>
    <t>Total Pro-forma Operating Expenses</t>
  </si>
  <si>
    <t>Utility Operating Margin -- Pro-Forma</t>
  </si>
  <si>
    <t>LEASED PROP. ON CONSUMERS PREMISES</t>
  </si>
  <si>
    <t>P372</t>
  </si>
  <si>
    <t>WATER HEATER - HEAT PUMP PROGRAM</t>
  </si>
  <si>
    <t>OM913</t>
  </si>
  <si>
    <t>ASSOCIATED DUES</t>
  </si>
  <si>
    <t xml:space="preserve">  Distribution Plant</t>
  </si>
  <si>
    <t>Average</t>
  </si>
  <si>
    <t>Cost of Service Summary -- Unadjusted Results</t>
  </si>
  <si>
    <t>Customers</t>
  </si>
  <si>
    <t>OTHER TANGIBLE PROPERTY</t>
  </si>
  <si>
    <t>P399</t>
  </si>
  <si>
    <t>MISC. TRANSMISSION EXPENSES</t>
  </si>
  <si>
    <t>OM566</t>
  </si>
  <si>
    <t>DEMONSTRATION AND SELLING EXP</t>
  </si>
  <si>
    <t>OM912</t>
  </si>
  <si>
    <t>LB566</t>
  </si>
  <si>
    <t>LB912</t>
  </si>
  <si>
    <t>LB913</t>
  </si>
  <si>
    <t>Customer Specific Assignment</t>
  </si>
  <si>
    <t>Transmission Residual</t>
  </si>
  <si>
    <t xml:space="preserve">Transmission Plant In Service </t>
  </si>
  <si>
    <t>Transmission Residual Demand Allocator</t>
  </si>
  <si>
    <t>TRDA</t>
  </si>
  <si>
    <t>TA1</t>
  </si>
  <si>
    <t>Transmission Total</t>
  </si>
  <si>
    <t>T01</t>
  </si>
  <si>
    <t>Distribution Residual Demand Allocator</t>
  </si>
  <si>
    <t xml:space="preserve">Distribution Plant In Service </t>
  </si>
  <si>
    <t>Distribution Residual</t>
  </si>
  <si>
    <t>Distribution Total</t>
  </si>
  <si>
    <t>DDA</t>
  </si>
  <si>
    <t>DA1</t>
  </si>
  <si>
    <t>DT1</t>
  </si>
  <si>
    <t>Substation Residual Demand Allocator</t>
  </si>
  <si>
    <t xml:space="preserve">Substation Plant In Service </t>
  </si>
  <si>
    <t>Substation Residual</t>
  </si>
  <si>
    <t>Substation Total</t>
  </si>
  <si>
    <t>SDA</t>
  </si>
  <si>
    <t>ST1</t>
  </si>
  <si>
    <t>SA1</t>
  </si>
  <si>
    <t xml:space="preserve">Average Customers </t>
  </si>
  <si>
    <t>Cust05</t>
  </si>
  <si>
    <t>Cust06</t>
  </si>
  <si>
    <t>CSA</t>
  </si>
  <si>
    <t>Customer Services Allocator</t>
  </si>
  <si>
    <t>Customer Services Demand</t>
  </si>
  <si>
    <t>CSD</t>
  </si>
  <si>
    <t>Transmission Plant Allocator</t>
  </si>
  <si>
    <t>TOMDA</t>
  </si>
  <si>
    <t>TOMA</t>
  </si>
  <si>
    <t>T02</t>
  </si>
  <si>
    <t>DOMDA</t>
  </si>
  <si>
    <t>DOMA</t>
  </si>
  <si>
    <t>DOM</t>
  </si>
  <si>
    <t>SOMDA</t>
  </si>
  <si>
    <t>STOM</t>
  </si>
  <si>
    <t>SOMA</t>
  </si>
  <si>
    <t>Transmission O&amp;M Allocator</t>
  </si>
  <si>
    <t>Distribution O&amp;M Allocator</t>
  </si>
  <si>
    <t>Distribution Plant Allocator</t>
  </si>
  <si>
    <t>Substation Plant Allocator</t>
  </si>
  <si>
    <t>Substation O&amp;M Allocator</t>
  </si>
  <si>
    <t>ADVERTISING EXPENSES</t>
  </si>
  <si>
    <t>MDSE-JOBBING-CONTRACT</t>
  </si>
  <si>
    <t>MISC SALES EXPENSE</t>
  </si>
  <si>
    <t>OM916</t>
  </si>
  <si>
    <t>LB915</t>
  </si>
  <si>
    <t>LB916</t>
  </si>
  <si>
    <t>Coincident</t>
  </si>
  <si>
    <t>Purchased Power Demand</t>
  </si>
  <si>
    <t>Purchased Power Energy</t>
  </si>
  <si>
    <t>Distribution Demand</t>
  </si>
  <si>
    <t>Distribution Customer</t>
  </si>
  <si>
    <t>Operating Expenses-Unit Costs</t>
  </si>
  <si>
    <t>Rate Base-Unit Costs</t>
  </si>
  <si>
    <t>Purchased Power Residual Demand Allocator</t>
  </si>
  <si>
    <t xml:space="preserve">Purchased Power Demand Costs </t>
  </si>
  <si>
    <t>Purchased Power Demand Residual</t>
  </si>
  <si>
    <t>Purchased Power Demand Total</t>
  </si>
  <si>
    <t>Purchased Power Demand Allocator</t>
  </si>
  <si>
    <t>PPDT</t>
  </si>
  <si>
    <t>PPDA</t>
  </si>
  <si>
    <t>PPDRA</t>
  </si>
  <si>
    <t>Purchased Power Residual Energy Allocator</t>
  </si>
  <si>
    <t xml:space="preserve">Purchased Power Energy Costs </t>
  </si>
  <si>
    <t>Purchased Power Energy Residual</t>
  </si>
  <si>
    <t>Purchased Power Energy Total</t>
  </si>
  <si>
    <t>Purchased Power Energy Allocator</t>
  </si>
  <si>
    <t>PPERA</t>
  </si>
  <si>
    <t>PPET</t>
  </si>
  <si>
    <t>PPEA</t>
  </si>
  <si>
    <t>Unit Revenue Requirement @ Current Class Revenues</t>
  </si>
  <si>
    <t xml:space="preserve">Distribution Demand </t>
  </si>
  <si>
    <t xml:space="preserve">Distribution Customer </t>
  </si>
  <si>
    <t>Distribution Customer (Per Customer Per Month)</t>
  </si>
  <si>
    <t>Distribution Customer Margin (Per Customer Per Month)</t>
  </si>
  <si>
    <t>Total Distribution Customer (Per Customer Per Month)</t>
  </si>
  <si>
    <t>Unit Revenue Requirement @ Total System Rate of Return</t>
  </si>
  <si>
    <t>Expenses</t>
  </si>
  <si>
    <t>Operating</t>
  </si>
  <si>
    <t>Summary of Rates of Return by Class</t>
  </si>
  <si>
    <t>Summary of Billing Determinants and Demand Analysis</t>
  </si>
  <si>
    <t>Meter Costs</t>
  </si>
  <si>
    <t>Kwh's</t>
  </si>
  <si>
    <t>Average Demand</t>
  </si>
  <si>
    <t>Coincidence Factor</t>
  </si>
  <si>
    <t>Coincident Demand</t>
  </si>
  <si>
    <t>Max Demand</t>
  </si>
  <si>
    <t>Individual</t>
  </si>
  <si>
    <t>Sum of</t>
  </si>
  <si>
    <t>Demands</t>
  </si>
  <si>
    <t>Summer</t>
  </si>
  <si>
    <t>Winter</t>
  </si>
  <si>
    <t>SIC</t>
  </si>
  <si>
    <t>Coin Demand</t>
  </si>
  <si>
    <t>Winter CP Demands</t>
  </si>
  <si>
    <t>Summer CP Demands</t>
  </si>
  <si>
    <t>Class Maximum Demands</t>
  </si>
  <si>
    <t>Class Demand</t>
  </si>
  <si>
    <t>During</t>
  </si>
  <si>
    <t>Peak Month</t>
  </si>
  <si>
    <t>Pro-Forma Operating Expenses</t>
  </si>
  <si>
    <t>Unit Revenue Requirement @ Specified Rate of Return</t>
  </si>
  <si>
    <t>Service Costs</t>
  </si>
  <si>
    <t xml:space="preserve">Services </t>
  </si>
  <si>
    <t>SERV</t>
  </si>
  <si>
    <t>N/A</t>
  </si>
  <si>
    <t>MISC. INTANGIBLE</t>
  </si>
  <si>
    <t>P303</t>
  </si>
  <si>
    <t>ELECTRIC PLANT PURCHASED OR SOLD</t>
  </si>
  <si>
    <t>P102</t>
  </si>
  <si>
    <t>Mapping</t>
  </si>
  <si>
    <t>MISC DISTR EXP -- MAPPING</t>
  </si>
  <si>
    <t>OM911</t>
  </si>
  <si>
    <t>OM935</t>
  </si>
  <si>
    <t>LB911</t>
  </si>
  <si>
    <t>Metered CP</t>
  </si>
  <si>
    <t>Calculated CP</t>
  </si>
  <si>
    <t>Difference</t>
  </si>
  <si>
    <t>12 - Month</t>
  </si>
  <si>
    <t xml:space="preserve">Customer </t>
  </si>
  <si>
    <t>Sales</t>
  </si>
  <si>
    <t>Loss Factor</t>
  </si>
  <si>
    <t>Energy Including Losses</t>
  </si>
  <si>
    <t>Sum of the Individual Customer Demands</t>
  </si>
  <si>
    <t>Misc. Service Revenue</t>
  </si>
  <si>
    <t>MISCSERV</t>
  </si>
  <si>
    <t>Pro-forma Rate Base</t>
  </si>
  <si>
    <t>Pro-forma Rate Base Adjustments</t>
  </si>
  <si>
    <t xml:space="preserve">  </t>
  </si>
  <si>
    <t>Total Transmission and Distribution Plant</t>
  </si>
  <si>
    <t>Rate</t>
  </si>
  <si>
    <t>Lighting</t>
  </si>
  <si>
    <t>Diversified Load Factor</t>
  </si>
  <si>
    <t>Non-Coincident Demand</t>
  </si>
  <si>
    <t>Individual Customer Load Factor</t>
  </si>
  <si>
    <t>Sum of Individual Customer Demands</t>
  </si>
  <si>
    <t>Rate     Code</t>
  </si>
  <si>
    <t>Revenue Requirement Calculated at a Rate of Return of</t>
  </si>
  <si>
    <t>Energy Charge ($/kWh)</t>
  </si>
  <si>
    <t>Production &amp; Purchased Power</t>
  </si>
  <si>
    <t xml:space="preserve">  Total Sales of Electric Energy</t>
  </si>
  <si>
    <t xml:space="preserve">  Other Electric Revenues</t>
  </si>
  <si>
    <t xml:space="preserve">  Asset Retirement Costs</t>
  </si>
  <si>
    <t xml:space="preserve">  Steam Prod Plant</t>
  </si>
  <si>
    <t>Steam Production</t>
  </si>
  <si>
    <t>BOILER PLANT EQUIPMENT</t>
  </si>
  <si>
    <t>ENGINES AND ENGINE DRIVEN GENERATORS</t>
  </si>
  <si>
    <t>TURBOGENERATOR UNITS</t>
  </si>
  <si>
    <t>ACCESSORY ELEC EQUIP</t>
  </si>
  <si>
    <t>ASSET RETIREMENT COST FOR STEAM PROD</t>
  </si>
  <si>
    <t>MISC POWER PLANT EQUIPMENT</t>
  </si>
  <si>
    <t>P310</t>
  </si>
  <si>
    <t>P312</t>
  </si>
  <si>
    <t>P313</t>
  </si>
  <si>
    <t>P314</t>
  </si>
  <si>
    <t>P315</t>
  </si>
  <si>
    <t>P316</t>
  </si>
  <si>
    <t>P317</t>
  </si>
  <si>
    <t>P311</t>
  </si>
  <si>
    <t>PPROD</t>
  </si>
  <si>
    <t>Total Steam Production Plant</t>
  </si>
  <si>
    <t>Total Production, Transmission &amp; Distribution Plant</t>
  </si>
  <si>
    <t>PPT&amp;D</t>
  </si>
  <si>
    <t>F017</t>
  </si>
  <si>
    <t xml:space="preserve">  CWIP Production</t>
  </si>
  <si>
    <t>Steam Power Production Operations Expense</t>
  </si>
  <si>
    <t>Steam Power Production Maintenance Expense</t>
  </si>
  <si>
    <t>Total Steam Production Maintenance Expense</t>
  </si>
  <si>
    <t>Total Steam Production Operation and Maintenance Expenses</t>
  </si>
  <si>
    <t>Total Steam Production Operation Expense</t>
  </si>
  <si>
    <t>OPERATION SUPV AND ENGINEERING</t>
  </si>
  <si>
    <t>FUEL</t>
  </si>
  <si>
    <t>STEAM EXPENSES</t>
  </si>
  <si>
    <t>STEAM FROM OTHER SOURCES</t>
  </si>
  <si>
    <t>STEAM TRANSFERRED - CREDIT</t>
  </si>
  <si>
    <t>ELECTRIC EXPENSES</t>
  </si>
  <si>
    <t>MISC STEAM POWER EXPENSES</t>
  </si>
  <si>
    <t>ALLOWANCES</t>
  </si>
  <si>
    <t>MAINENANCE SUPV AND ENGINEERING</t>
  </si>
  <si>
    <t>MAINTENANCE OF STRUCTURES</t>
  </si>
  <si>
    <t>MAINTENANCE OF BOILER PLANT</t>
  </si>
  <si>
    <t>MAINTENANCE OF ELECTRIC PLANT</t>
  </si>
  <si>
    <t>MAINTENANCE OF MISC STEAM PLANT</t>
  </si>
  <si>
    <t>OM500</t>
  </si>
  <si>
    <t>OM501</t>
  </si>
  <si>
    <t>OM502</t>
  </si>
  <si>
    <t>OM503</t>
  </si>
  <si>
    <t>OM504</t>
  </si>
  <si>
    <t>OM505</t>
  </si>
  <si>
    <t>OM506</t>
  </si>
  <si>
    <t>OM507</t>
  </si>
  <si>
    <t>OM509</t>
  </si>
  <si>
    <t>OMPO</t>
  </si>
  <si>
    <t>OMPM</t>
  </si>
  <si>
    <t>OM510</t>
  </si>
  <si>
    <t>OM511</t>
  </si>
  <si>
    <t>OM512</t>
  </si>
  <si>
    <t>OM513</t>
  </si>
  <si>
    <t>OM514</t>
  </si>
  <si>
    <t>Production - Demand</t>
  </si>
  <si>
    <t>Production - Energy</t>
  </si>
  <si>
    <t>OMP</t>
  </si>
  <si>
    <t>Production, Purchased Power, Trans and Distr Expenses</t>
  </si>
  <si>
    <t>Steam Production, Transmission and Distribution Expenses</t>
  </si>
  <si>
    <t>DEPRPP</t>
  </si>
  <si>
    <t>FRANCHISES</t>
  </si>
  <si>
    <t>P302</t>
  </si>
  <si>
    <t>Electric Plant Acquisition Adjustment</t>
  </si>
  <si>
    <t>RENEWABLE ENERGY CR EXP</t>
  </si>
  <si>
    <t>OM559</t>
  </si>
  <si>
    <t xml:space="preserve">  Steam Production</t>
  </si>
  <si>
    <t xml:space="preserve">   Total Accumulated Depreciation &amp; Amort</t>
  </si>
  <si>
    <t xml:space="preserve">  Accum Amtz - Electric Plant Acquisition</t>
  </si>
  <si>
    <t xml:space="preserve">  Accum Amtz - Electric Plant in Service </t>
  </si>
  <si>
    <t xml:space="preserve">  General Plant </t>
  </si>
  <si>
    <t>ADEPRPP</t>
  </si>
  <si>
    <t xml:space="preserve">  CWIP Distribution</t>
  </si>
  <si>
    <t>LB500</t>
  </si>
  <si>
    <t>LB501</t>
  </si>
  <si>
    <t>LB502</t>
  </si>
  <si>
    <t>LB503</t>
  </si>
  <si>
    <t>LB504</t>
  </si>
  <si>
    <t>LB505</t>
  </si>
  <si>
    <t>LB506</t>
  </si>
  <si>
    <t>LB507</t>
  </si>
  <si>
    <t>LB509</t>
  </si>
  <si>
    <t>LBPO</t>
  </si>
  <si>
    <t>LB510</t>
  </si>
  <si>
    <t>LB511</t>
  </si>
  <si>
    <t>LB512</t>
  </si>
  <si>
    <t>LB513</t>
  </si>
  <si>
    <t>LB514</t>
  </si>
  <si>
    <t>LBPM</t>
  </si>
  <si>
    <t>LBP</t>
  </si>
  <si>
    <t>Regulatory Liabilities</t>
  </si>
  <si>
    <t>REGLIAB</t>
  </si>
  <si>
    <t>TOTAL</t>
  </si>
  <si>
    <t>Rate Class</t>
  </si>
  <si>
    <t>KWH</t>
  </si>
  <si>
    <t>Cost of Service Summary -- Adjusted Results</t>
  </si>
  <si>
    <t>Other Allocation Factors</t>
  </si>
  <si>
    <t>on Rate Base</t>
  </si>
  <si>
    <t>Rate Schedule</t>
  </si>
  <si>
    <t>Code</t>
  </si>
  <si>
    <t>Rate               Code</t>
  </si>
  <si>
    <t>Allocation            Factor</t>
  </si>
  <si>
    <t xml:space="preserve">Average             Number               of Services </t>
  </si>
  <si>
    <t>Summary of Cost-Based Charges</t>
  </si>
  <si>
    <t>At Current Class Rate of Return</t>
  </si>
  <si>
    <t>Customer Charge ($/month)</t>
  </si>
  <si>
    <t>Demand Charge ($/kW)</t>
  </si>
  <si>
    <t>At Current Total System Rate of Return</t>
  </si>
  <si>
    <t>At Specified Total System Rate of Return</t>
  </si>
  <si>
    <t>NPTD</t>
  </si>
  <si>
    <t>PLTD</t>
  </si>
  <si>
    <t>RBTD</t>
  </si>
  <si>
    <t>OMTD</t>
  </si>
  <si>
    <t>LBTD</t>
  </si>
  <si>
    <t>DPTD</t>
  </si>
  <si>
    <t>PTTD</t>
  </si>
  <si>
    <t>OTTD</t>
  </si>
  <si>
    <t>12 Month Sum of Coincident Demands</t>
  </si>
  <si>
    <t>SICD</t>
  </si>
  <si>
    <t>Transmission Demand</t>
  </si>
  <si>
    <t>Production &amp; Purchase Power</t>
  </si>
  <si>
    <t>Production &amp; Purchased Power Demand</t>
  </si>
  <si>
    <t>Production &amp; Purchased Power Energy</t>
  </si>
  <si>
    <t>Purchased Power Energy (per KWH)</t>
  </si>
  <si>
    <t>Distribution Customer (per Customer)</t>
  </si>
  <si>
    <t>Production &amp; Purchased Power Energy (Per KWH)</t>
  </si>
  <si>
    <t>Production &amp; Purchased Power Energy Margin (Per KWH)</t>
  </si>
  <si>
    <t>Total Pro Forma Adjustments</t>
  </si>
  <si>
    <t>Average Customers (Lighting =45 Lights per Cust)</t>
  </si>
  <si>
    <t>Allocation Factors (continued)</t>
  </si>
  <si>
    <t>Various</t>
  </si>
  <si>
    <t>%</t>
  </si>
  <si>
    <t xml:space="preserve"> Revenue</t>
  </si>
  <si>
    <t>Pro Forma</t>
  </si>
  <si>
    <t>Power Supply</t>
  </si>
  <si>
    <t>SYSTEM CONTROL &amp; LOAD DISPATCHING</t>
  </si>
  <si>
    <t>OM556</t>
  </si>
  <si>
    <t>TRANSMISION OF ELEC BY OTHERS</t>
  </si>
  <si>
    <t>OM564</t>
  </si>
  <si>
    <t>OM565</t>
  </si>
  <si>
    <t>OM567</t>
  </si>
  <si>
    <t>MAINTENANCE SUPERVISION AND ENG</t>
  </si>
  <si>
    <t>OM569</t>
  </si>
  <si>
    <t>MAINT MISC</t>
  </si>
  <si>
    <t xml:space="preserve">MAINT OF TRANS PLANT </t>
  </si>
  <si>
    <t>OM572</t>
  </si>
  <si>
    <t>OM573</t>
  </si>
  <si>
    <t>OM574</t>
  </si>
  <si>
    <t>MAINT OF UNDERGROUND LINES</t>
  </si>
  <si>
    <t>OM917</t>
  </si>
  <si>
    <t>TRANSPORTATION EXPENSES</t>
  </si>
  <si>
    <t>OM933</t>
  </si>
  <si>
    <t>OM932</t>
  </si>
  <si>
    <t>MAINT OF GENERAL PLANT</t>
  </si>
  <si>
    <t xml:space="preserve">SALES </t>
  </si>
  <si>
    <t>OM914</t>
  </si>
  <si>
    <t>DUPLICATE CHARGES - CREDIT</t>
  </si>
  <si>
    <t xml:space="preserve">  CWIP Other</t>
  </si>
  <si>
    <t>Deferred Debits &amp; Credits</t>
  </si>
  <si>
    <t>DDEB1</t>
  </si>
  <si>
    <t>DDEB2</t>
  </si>
  <si>
    <t>DDEB3</t>
  </si>
  <si>
    <t>DCRED1</t>
  </si>
  <si>
    <t xml:space="preserve">  Total Deferred Debits &amp; Credits</t>
  </si>
  <si>
    <t>Environmental Surcharge</t>
  </si>
  <si>
    <t>Fuel Adjustment Clause</t>
  </si>
  <si>
    <t>kWh</t>
  </si>
  <si>
    <t>Unitized Rate of Return</t>
  </si>
  <si>
    <t xml:space="preserve">Unitized </t>
  </si>
  <si>
    <t>Residential &amp; Commercial Rev</t>
  </si>
  <si>
    <t>RCRev</t>
  </si>
  <si>
    <t>12CP</t>
  </si>
  <si>
    <t>WCP</t>
  </si>
  <si>
    <t>SCP</t>
  </si>
  <si>
    <t>#</t>
  </si>
  <si>
    <t>Item</t>
  </si>
  <si>
    <t>Materials and Supplies (13-Month Avg)</t>
  </si>
  <si>
    <t>Prepayments (13-Month Average)</t>
  </si>
  <si>
    <t>$/Month</t>
  </si>
  <si>
    <t>$/KWH</t>
  </si>
  <si>
    <t>$/KW</t>
  </si>
  <si>
    <t>Summary of Cost-Based Rates</t>
  </si>
  <si>
    <t>Actual</t>
  </si>
  <si>
    <t>Linear Regression Inputs</t>
  </si>
  <si>
    <t>Unit Cost</t>
  </si>
  <si>
    <t>Size</t>
  </si>
  <si>
    <t>Cost</t>
  </si>
  <si>
    <t>Quantity</t>
  </si>
  <si>
    <t>($ per Unit)</t>
  </si>
  <si>
    <t>y*n^0.5</t>
  </si>
  <si>
    <t>n^0.5</t>
  </si>
  <si>
    <t>xn^0.5</t>
  </si>
  <si>
    <t>Zero Intercept Linear Regression Results</t>
  </si>
  <si>
    <t>LINEST Array</t>
  </si>
  <si>
    <t>Size Coefficient  ($ per MCM)</t>
  </si>
  <si>
    <t>Zero Intercept ($ per Unit)</t>
  </si>
  <si>
    <t>R-Square</t>
  </si>
  <si>
    <t>Plant Classification</t>
  </si>
  <si>
    <t>Total Number of Units</t>
  </si>
  <si>
    <t>Zero Intercept ($/Unit)</t>
  </si>
  <si>
    <t>Minimum System ($/Unit)</t>
  </si>
  <si>
    <t>Use Min System (M) or Zero Intercept (Z)?</t>
  </si>
  <si>
    <t>Zero Intercept or Min System Cost ($)</t>
  </si>
  <si>
    <t>Total Cost of Sample</t>
  </si>
  <si>
    <t>Percentage of Total</t>
  </si>
  <si>
    <t>Percentage Classified as Customer-Related</t>
  </si>
  <si>
    <t>Percentage Classified as Demand-Related</t>
  </si>
  <si>
    <t>Account 365 - Overhead Conductors and Devices</t>
  </si>
  <si>
    <t>Z</t>
  </si>
  <si>
    <t>Account 367 - Underground Conductors and Devices</t>
  </si>
  <si>
    <t>Account 368 - Line Transformers</t>
  </si>
  <si>
    <t>Incl?</t>
  </si>
  <si>
    <t>Qty</t>
  </si>
  <si>
    <t xml:space="preserve">* Only single-phase up to 50 KVA should be included </t>
  </si>
  <si>
    <t>in the Customer-related component per NARUC CAM</t>
  </si>
  <si>
    <t>Descripton</t>
  </si>
  <si>
    <t>Acct</t>
  </si>
  <si>
    <t>Zero Intercept &amp; Minimum System Analyses</t>
  </si>
  <si>
    <t>Meter Reading Billing and Cust Acct Service</t>
  </si>
  <si>
    <t>Production &amp; Purchased Power Demand (per KWH or KW)</t>
  </si>
  <si>
    <t>Transmission Demand (per KWH or KW)</t>
  </si>
  <si>
    <t>Distribution Demand (per KWH or KW)</t>
  </si>
  <si>
    <t>Production &amp; Purchased Power Demand (Per KWH or KW)</t>
  </si>
  <si>
    <t>Production &amp; Purchased Power Demand Margin (Per KWH or KW)</t>
  </si>
  <si>
    <t>Transmission Demand (Per KWH or KW)</t>
  </si>
  <si>
    <t>Transmission Demand Margin (Per KWH or KW)</t>
  </si>
  <si>
    <t>Total Transmission Demand (Per KWH or KW)</t>
  </si>
  <si>
    <t>Distribution Demand (Per KWH or KW)</t>
  </si>
  <si>
    <t>Distribution Demand Margin (Per KWH or KW)</t>
  </si>
  <si>
    <t>Total Distribution Demand (Per KWH or KW)</t>
  </si>
  <si>
    <t>SubTotal Demand $</t>
  </si>
  <si>
    <t>SubTotal Energy $</t>
  </si>
  <si>
    <t>SubTotal $</t>
  </si>
  <si>
    <t>SubTotal Demand %</t>
  </si>
  <si>
    <t>SubTotal Energy %</t>
  </si>
  <si>
    <t>AMORT Property Losses &amp; Unrecover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</si>
  <si>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</si>
  <si>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</si>
  <si>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</si>
  <si>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</si>
  <si>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</si>
  <si>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</si>
  <si>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</si>
  <si>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</si>
  <si>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</si>
  <si>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</si>
  <si>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</si>
  <si>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</si>
  <si>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Share of</t>
  </si>
  <si>
    <t>&lt;reserved&gt;</t>
  </si>
  <si>
    <t>Variance</t>
  </si>
  <si>
    <t>Reconciliation</t>
  </si>
  <si>
    <t>Method</t>
  </si>
  <si>
    <t xml:space="preserve">Distribution </t>
  </si>
  <si>
    <t>Labor Expenses - for Labor Allocator</t>
  </si>
  <si>
    <t>Energy Usage (kWh)</t>
  </si>
  <si>
    <t>LB932</t>
  </si>
  <si>
    <t>GENERAL</t>
  </si>
  <si>
    <t>Variance:</t>
  </si>
  <si>
    <t xml:space="preserve">Share of </t>
  </si>
  <si>
    <t>Target</t>
  </si>
  <si>
    <t>Classified Cost-Based Rates</t>
  </si>
  <si>
    <t>Year-End Customer Normalization</t>
  </si>
  <si>
    <t>Total PFAs:</t>
  </si>
  <si>
    <t>(3)</t>
  </si>
  <si>
    <t>(4)</t>
  </si>
  <si>
    <t>(5)</t>
  </si>
  <si>
    <t>&lt; Reported</t>
  </si>
  <si>
    <t>&lt; Variance</t>
  </si>
  <si>
    <t>LB935</t>
  </si>
  <si>
    <t>After Proposed Rate Revisions</t>
  </si>
  <si>
    <t>NARUC CAM *</t>
  </si>
  <si>
    <t>under the Zero Intercept method.</t>
  </si>
  <si>
    <t>Proposed Increase</t>
  </si>
  <si>
    <t>Other</t>
  </si>
  <si>
    <t>OTHER</t>
  </si>
  <si>
    <t>Billing Demand</t>
  </si>
  <si>
    <t>Demand $</t>
  </si>
  <si>
    <t>Energy $</t>
  </si>
  <si>
    <t>Metering $</t>
  </si>
  <si>
    <t>Sub/Wheeling $</t>
  </si>
  <si>
    <t>FAC $</t>
  </si>
  <si>
    <t>ES $</t>
  </si>
  <si>
    <t>TOTAL $</t>
  </si>
  <si>
    <t>RATE E2 TOTAL</t>
  </si>
  <si>
    <t>DLC TOTAL</t>
  </si>
  <si>
    <t>DLC $</t>
  </si>
  <si>
    <t>Total w/o Lighting</t>
  </si>
  <si>
    <t>Installed Meters</t>
  </si>
  <si>
    <t>Avg Meter           Cost</t>
  </si>
  <si>
    <t>Total             Cost</t>
  </si>
  <si>
    <t>Average         Service           Cost</t>
  </si>
  <si>
    <t>Total                         Cost</t>
  </si>
  <si>
    <t>Allocation Factor</t>
  </si>
  <si>
    <t>Interest Expense</t>
  </si>
  <si>
    <t>Depreciation Normalization</t>
  </si>
  <si>
    <t xml:space="preserve">Right of Way </t>
  </si>
  <si>
    <t>Year End Customers</t>
  </si>
  <si>
    <t>Donations, Promo Ads &amp; Dues</t>
  </si>
  <si>
    <t>Directors Expenses</t>
  </si>
  <si>
    <t>Wages &amp; Salaries</t>
  </si>
  <si>
    <t>401k Contributions</t>
  </si>
  <si>
    <t>Rate Case Costs</t>
  </si>
  <si>
    <t>Toggle:  0=no, 1=yes</t>
  </si>
  <si>
    <t>Increase</t>
  </si>
  <si>
    <t>FARMERS RECC</t>
  </si>
  <si>
    <t>FARMERS R.E.C.C.</t>
  </si>
  <si>
    <t>RATE C TOTAL</t>
  </si>
  <si>
    <t>GREEN POWER</t>
  </si>
  <si>
    <t>Green Power $</t>
  </si>
  <si>
    <t>Panel Production Credit</t>
  </si>
  <si>
    <t>PJM Auction Credit Demand Chg</t>
  </si>
  <si>
    <t>TOTAL EKPC $</t>
  </si>
  <si>
    <t>Landfill KWH</t>
  </si>
  <si>
    <t>Landfill $</t>
  </si>
  <si>
    <t>CONDUCTOR,ACSR, #4</t>
  </si>
  <si>
    <t>CONDUCTOR,ACSR, #2</t>
  </si>
  <si>
    <t>CONDUCTOR,ACSR,1/0</t>
  </si>
  <si>
    <t>CONDUCTOR,ACSR,2/0</t>
  </si>
  <si>
    <t>CONDUCTOR,ACSR,3/0</t>
  </si>
  <si>
    <t>CONDUCTOR,ACSR,4/0</t>
  </si>
  <si>
    <t>CONDUCTOR,ACSR,12/7,PETREL ,101</t>
  </si>
  <si>
    <t>CONDUCTOR,ACSR,397</t>
  </si>
  <si>
    <t>CONDUCTOR,ALUMOWELD ,STRAND, 452</t>
  </si>
  <si>
    <t>CONDUCTOR,AAC,37,ARBUTUS</t>
  </si>
  <si>
    <t>CONDUCTOR,COPPER, #6</t>
  </si>
  <si>
    <t>CONDUCTOR,COPPER, #4</t>
  </si>
  <si>
    <t>CONDUCTOR,COPPER, #2</t>
  </si>
  <si>
    <t>CONDUCTOR,COPPER,1/0</t>
  </si>
  <si>
    <t>CONDUCTOR,COPPER,2/0</t>
  </si>
  <si>
    <t>CONDUCTOR,CWC ,#6A</t>
  </si>
  <si>
    <t>CONDUCTOR,STEEL, #6</t>
  </si>
  <si>
    <t>CABLE,URD,PRIMARY,ALUM,       #2</t>
  </si>
  <si>
    <t>CABLE,URD,PRIMARY,ALUM,25KV,  #1</t>
  </si>
  <si>
    <t>CABLE,URD,PRIMARY,ALUM25KV,  1/0</t>
  </si>
  <si>
    <t>CABLE,URD,PRIMARY,ALUM,15KV,4/0</t>
  </si>
  <si>
    <t>CABLE,URD,PRIMARY,ALUM,25KV, 4/0</t>
  </si>
  <si>
    <t>CABLE,URD,PRIMARY,25KV,500,ALUM</t>
  </si>
  <si>
    <t>CABLE,URD,PRIMARY,25KV,750,ALUM</t>
  </si>
  <si>
    <t>TRANSFORMER 15KVA CONV</t>
  </si>
  <si>
    <t>TRANSFORMER 25KVA CONV</t>
  </si>
  <si>
    <t>TRANSFORMER 167KVA CONV</t>
  </si>
  <si>
    <t>TRANSFORMER 250KVA &amp;   333KVA CONV</t>
  </si>
  <si>
    <t>TRANSFORMER 500KVA AUTO</t>
  </si>
  <si>
    <t>TRANSFORMER PAD MT 3PH 1500KVA</t>
  </si>
  <si>
    <t>TRANSFORMER PAD MT 3PH 2500KVA</t>
  </si>
  <si>
    <t>TRANSFORMER PAD MT 3PH 3000 KVA</t>
  </si>
  <si>
    <t>TRANSFORMER 15KVA PAD MOUNT lPH</t>
  </si>
  <si>
    <t>TRANSFORMER 25KVA PJ..D MOUNT lPH</t>
  </si>
  <si>
    <t>TRANSFORMER 50 &amp; 75KVA PAD MT lP</t>
  </si>
  <si>
    <t>TRANSFORMER 100&amp;167KVA PAD MT lP</t>
  </si>
  <si>
    <t>TRANSFORMER 250KVA PAD MT lP</t>
  </si>
  <si>
    <t>TRANSFORMER 5000KVA AUTO PAD</t>
  </si>
  <si>
    <t>TRANSFORMER 5KVA CONV</t>
  </si>
  <si>
    <t>TRANSFORMER 37 1/2KVA CONV</t>
  </si>
  <si>
    <t>TRANSFORMER 50KVA CONV</t>
  </si>
  <si>
    <t>TRANSFORMER 75KVA CONV</t>
  </si>
  <si>
    <t>TRANSFORMER PAD MT 3P 75/300KVA</t>
  </si>
  <si>
    <t>TRANSFORMER 10KVA CONV</t>
  </si>
  <si>
    <t>TRANSFORMER 1000KVA AUTO</t>
  </si>
  <si>
    <t>TRANSFORMER PAD MT 3PHASE 500KVA</t>
  </si>
  <si>
    <t>TRANSFORMER PD MT 3P 750/1000KVA</t>
  </si>
  <si>
    <t>TRANSFORMER 100KVA CONV</t>
  </si>
  <si>
    <t>CONDUCTOR,CWC ,#5A</t>
  </si>
  <si>
    <t xml:space="preserve">Schedule R - Residential Rate </t>
  </si>
  <si>
    <t>Schedule R - Pay As You Go ("Prepay")</t>
  </si>
  <si>
    <t>Schedule R - Residential Time of Day Rate</t>
  </si>
  <si>
    <t>Schedule C - Comm. &amp; Indust. Service Rate &lt; 50 kW</t>
  </si>
  <si>
    <t>Schedule C - Comm. &amp; Indust. Service Rate &gt; 50 kW</t>
  </si>
  <si>
    <t>Residential Off Peak Electric Thermal Storage Tariff</t>
  </si>
  <si>
    <t>Small Comm. Off-Peak Electric Thermal Storage Tariff</t>
  </si>
  <si>
    <t>Schedule C - Large Commercial 10% Discount</t>
  </si>
  <si>
    <t>Schedule E - Large Industrial Rate</t>
  </si>
  <si>
    <t>Schedule LPC-2   Large Power Rate Tariff</t>
  </si>
  <si>
    <t xml:space="preserve">Schedule D - Large Comm/Ind Opt Time of Day Rate </t>
  </si>
  <si>
    <t>Net Metering Tariff</t>
  </si>
  <si>
    <t>Schedule LPE4 Interruptible 1500 Firm 200</t>
  </si>
  <si>
    <t>Schedule LPE-4  Large Power Time of DayRate Tariff</t>
  </si>
  <si>
    <t>Schedule C - TOD Comm - Three Phase</t>
  </si>
  <si>
    <t>Total CP Demand</t>
  </si>
  <si>
    <t>Hours/Mon&gt;</t>
  </si>
  <si>
    <t>Total NCP Demand</t>
  </si>
  <si>
    <t>CUSTOMERS</t>
  </si>
  <si>
    <t>AVG</t>
  </si>
  <si>
    <t>ENERGY KWH TOTAL</t>
  </si>
  <si>
    <t>TOTAL REVENUE $</t>
  </si>
  <si>
    <t>BILLING DEMAND KW</t>
  </si>
  <si>
    <t>Base Rate REVENUE $</t>
  </si>
  <si>
    <t>Other Production</t>
  </si>
  <si>
    <t>Total Other Production Plant</t>
  </si>
  <si>
    <t>PPRODO</t>
  </si>
  <si>
    <t>P340</t>
  </si>
  <si>
    <t>P341</t>
  </si>
  <si>
    <t>P342</t>
  </si>
  <si>
    <t>P343</t>
  </si>
  <si>
    <t>P344</t>
  </si>
  <si>
    <t>P345</t>
  </si>
  <si>
    <t>P346</t>
  </si>
  <si>
    <t>FUEL HOLDERS, PRODUCERS &amp; ACCESSORIES</t>
  </si>
  <si>
    <t>PRIME MOVERS</t>
  </si>
  <si>
    <t>GENERATORS</t>
  </si>
  <si>
    <t>Total FAC</t>
  </si>
  <si>
    <t>Total ES</t>
  </si>
  <si>
    <t>Life Insurance</t>
  </si>
  <si>
    <t>Outside Services</t>
  </si>
  <si>
    <t>NA</t>
  </si>
  <si>
    <t>Class</t>
  </si>
  <si>
    <t>Members</t>
  </si>
  <si>
    <t>CP TOD Demand</t>
  </si>
  <si>
    <t>NON-CP Demand</t>
  </si>
  <si>
    <t>Contract Demand</t>
  </si>
  <si>
    <t>Actual KWH</t>
  </si>
  <si>
    <t>Minimum KWH</t>
  </si>
  <si>
    <t>Billing KWH</t>
  </si>
  <si>
    <t>EV Credit</t>
  </si>
  <si>
    <t>Earnings Mechanism</t>
  </si>
  <si>
    <t>TOTAL EKPC w/o Credits $</t>
  </si>
  <si>
    <t>Calculated Purchased Power</t>
  </si>
  <si>
    <t>Reported Acct 555</t>
  </si>
  <si>
    <t>w/o L</t>
  </si>
  <si>
    <t>TRANSFORMER 1000KVA AUTO PAD</t>
  </si>
  <si>
    <t>Estimated ES Demand Share</t>
  </si>
  <si>
    <t>Estimated ES Energy Share</t>
  </si>
  <si>
    <t>YEC</t>
  </si>
  <si>
    <t>AVGC</t>
  </si>
  <si>
    <t>INCR(DECR)</t>
  </si>
  <si>
    <t>Health Insurance Premiums</t>
  </si>
  <si>
    <t>G&amp;T Capital Credits</t>
  </si>
  <si>
    <t>Payroll Taxes</t>
  </si>
  <si>
    <t>Non-Recurring Items</t>
  </si>
  <si>
    <t>OL</t>
  </si>
  <si>
    <t>for slide</t>
  </si>
  <si>
    <t>Before Increase</t>
  </si>
  <si>
    <t>ROR</t>
  </si>
  <si>
    <t>UROR</t>
  </si>
  <si>
    <t>After Increase</t>
  </si>
  <si>
    <t xml:space="preserve">Share of   </t>
  </si>
  <si>
    <t>Revenue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</si>
</sst>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0.000"/>
    <numFmt numFmtId="168" formatCode="0.0000"/>
    <numFmt numFmtId="169" formatCode="0.000000"/>
    <numFmt numFmtId="170" formatCode="_(* #,##0.0000_);_(* \(#,##0.0000\);_(* &quot;-&quot;??_);_(@_)"/>
    <numFmt numFmtId="171" formatCode="_(* #,##0.00000_);_(* \(#,##0.00000\);_(* &quot;-&quot;??_);_(@_)"/>
    <numFmt numFmtId="172" formatCode="_(* #,##0.000000_);_(* \(#,##0.000000\);_(* &quot;-&quot;??_);_(@_)"/>
    <numFmt numFmtId="173" formatCode="0.0000000"/>
    <numFmt numFmtId="174" formatCode="0.00000000"/>
    <numFmt numFmtId="175" formatCode="0.000000000"/>
    <numFmt numFmtId="176" formatCode="_(* #,##0.000000_);_(* \(#,##0.000000\);_(* &quot;-&quot;??????_);_(@_)"/>
    <numFmt numFmtId="177" formatCode="_(* #,##0.000_);_(* \(#,##0.000\);_(* &quot;-&quot;??_);_(@_)"/>
    <numFmt numFmtId="178" formatCode="_(* #,##0.0000000_);_(* \(#,##0.0000000\);_(* &quot;-&quot;??_);_(@_)"/>
    <numFmt numFmtId="179" formatCode="[$-409]mmm\-yy;@"/>
    <numFmt numFmtId="180" formatCode="mmm\ yyyy"/>
    <numFmt numFmtId="181" formatCode="_(&quot;$&quot;* #,##0.000_);_(&quot;$&quot;* \(#,##0.000\);_(&quot;$&quot;* &quot;-&quot;??_);_(@_)"/>
    <numFmt numFmtId="182" formatCode="0.0%"/>
    <numFmt numFmtId="183" formatCode="\(#\)"/>
    <numFmt numFmtId="184" formatCode="0.0000%"/>
    <numFmt numFmtId="185" formatCode="0.0000000%"/>
  </numFmts>
  <fonts count="20" x14ac:knownFonts="1">
    <font>
      <sz val="11"/>
      <name val="Times New Roman"/>
    </font>
    <font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7030A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1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166" fontId="2" fillId="0" borderId="0" xfId="1" applyNumberFormat="1" applyFont="1" applyAlignment="1">
      <alignment horizontal="center"/>
    </xf>
    <xf numFmtId="177" fontId="2" fillId="0" borderId="2" xfId="1" applyNumberFormat="1" applyFont="1" applyBorder="1" applyAlignment="1">
      <alignment horizontal="left"/>
    </xf>
    <xf numFmtId="177" fontId="2" fillId="0" borderId="2" xfId="1" applyNumberFormat="1" applyFont="1" applyBorder="1" applyAlignment="1">
      <alignment horizontal="right"/>
    </xf>
    <xf numFmtId="166" fontId="2" fillId="0" borderId="2" xfId="1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right"/>
    </xf>
    <xf numFmtId="43" fontId="3" fillId="0" borderId="0" xfId="1" applyFo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6" fontId="2" fillId="0" borderId="2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66" fontId="3" fillId="0" borderId="0" xfId="0" applyNumberFormat="1" applyFont="1"/>
    <xf numFmtId="44" fontId="3" fillId="0" borderId="3" xfId="0" applyNumberFormat="1" applyFont="1" applyBorder="1"/>
    <xf numFmtId="166" fontId="3" fillId="0" borderId="3" xfId="1" applyNumberFormat="1" applyFont="1" applyBorder="1"/>
    <xf numFmtId="171" fontId="3" fillId="0" borderId="0" xfId="1" applyNumberFormat="1" applyFont="1"/>
    <xf numFmtId="170" fontId="3" fillId="0" borderId="0" xfId="1" applyNumberFormat="1" applyFont="1"/>
    <xf numFmtId="177" fontId="3" fillId="0" borderId="0" xfId="1" applyNumberFormat="1" applyFont="1"/>
    <xf numFmtId="44" fontId="3" fillId="0" borderId="0" xfId="2" applyFont="1"/>
    <xf numFmtId="165" fontId="3" fillId="0" borderId="0" xfId="2" applyNumberFormat="1" applyFont="1"/>
    <xf numFmtId="168" fontId="3" fillId="0" borderId="0" xfId="0" applyNumberFormat="1" applyFont="1"/>
    <xf numFmtId="10" fontId="3" fillId="0" borderId="4" xfId="3" applyNumberFormat="1" applyFont="1" applyBorder="1"/>
    <xf numFmtId="10" fontId="3" fillId="0" borderId="5" xfId="0" applyNumberFormat="1" applyFont="1" applyBorder="1"/>
    <xf numFmtId="43" fontId="3" fillId="0" borderId="0" xfId="1" applyFont="1" applyFill="1"/>
    <xf numFmtId="172" fontId="3" fillId="0" borderId="0" xfId="1" applyNumberFormat="1" applyFont="1" applyFill="1"/>
    <xf numFmtId="166" fontId="3" fillId="0" borderId="0" xfId="1" applyNumberFormat="1" applyFont="1" applyFill="1"/>
    <xf numFmtId="43" fontId="2" fillId="0" borderId="0" xfId="1" applyFont="1" applyFill="1" applyBorder="1" applyAlignment="1">
      <alignment horizontal="center"/>
    </xf>
    <xf numFmtId="166" fontId="2" fillId="0" borderId="0" xfId="1" applyNumberFormat="1" applyFont="1" applyFill="1" applyBorder="1" applyAlignment="1"/>
    <xf numFmtId="43" fontId="2" fillId="0" borderId="0" xfId="1" applyFont="1" applyFill="1" applyBorder="1" applyAlignment="1">
      <alignment horizontal="right"/>
    </xf>
    <xf numFmtId="172" fontId="3" fillId="0" borderId="0" xfId="1" applyNumberFormat="1" applyFont="1" applyFill="1" applyBorder="1" applyAlignment="1">
      <alignment horizontal="center" wrapText="1"/>
    </xf>
    <xf numFmtId="172" fontId="3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Fill="1" applyAlignment="1">
      <alignment horizontal="right"/>
    </xf>
    <xf numFmtId="166" fontId="2" fillId="0" borderId="0" xfId="1" applyNumberFormat="1" applyFont="1" applyFill="1" applyAlignment="1">
      <alignment horizontal="center"/>
    </xf>
    <xf numFmtId="172" fontId="2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3" fontId="2" fillId="0" borderId="1" xfId="1" applyFont="1" applyFill="1" applyBorder="1" applyAlignment="1">
      <alignment horizontal="center"/>
    </xf>
    <xf numFmtId="43" fontId="2" fillId="0" borderId="1" xfId="1" applyFont="1" applyFill="1" applyBorder="1" applyAlignment="1">
      <alignment horizontal="right"/>
    </xf>
    <xf numFmtId="165" fontId="3" fillId="0" borderId="0" xfId="2" applyNumberFormat="1" applyFont="1" applyFill="1"/>
    <xf numFmtId="10" fontId="3" fillId="0" borderId="0" xfId="3" applyNumberFormat="1" applyFont="1" applyFill="1"/>
    <xf numFmtId="165" fontId="3" fillId="0" borderId="0" xfId="2" applyNumberFormat="1" applyFont="1" applyFill="1" applyBorder="1"/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65" fontId="3" fillId="0" borderId="6" xfId="2" applyNumberFormat="1" applyFont="1" applyFill="1" applyBorder="1" applyAlignment="1">
      <alignment vertical="center"/>
    </xf>
    <xf numFmtId="10" fontId="3" fillId="0" borderId="6" xfId="3" applyNumberFormat="1" applyFont="1" applyFill="1" applyBorder="1" applyAlignment="1">
      <alignment vertical="center"/>
    </xf>
    <xf numFmtId="43" fontId="3" fillId="0" borderId="6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Fill="1" applyAlignment="1">
      <alignment horizontal="right"/>
    </xf>
    <xf numFmtId="43" fontId="3" fillId="0" borderId="0" xfId="0" applyNumberFormat="1" applyFont="1"/>
    <xf numFmtId="166" fontId="3" fillId="0" borderId="0" xfId="1" applyNumberFormat="1" applyFont="1" applyFill="1" applyAlignment="1">
      <alignment vertical="center"/>
    </xf>
    <xf numFmtId="0" fontId="3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Continuous"/>
    </xf>
    <xf numFmtId="2" fontId="3" fillId="0" borderId="0" xfId="0" applyNumberFormat="1" applyFont="1"/>
    <xf numFmtId="165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2" fillId="0" borderId="0" xfId="0" quotePrefix="1" applyFont="1"/>
    <xf numFmtId="0" fontId="3" fillId="0" borderId="0" xfId="0" quotePrefix="1" applyFont="1"/>
    <xf numFmtId="169" fontId="3" fillId="0" borderId="0" xfId="0" applyNumberFormat="1" applyFont="1"/>
    <xf numFmtId="169" fontId="3" fillId="0" borderId="0" xfId="1" applyNumberFormat="1" applyFont="1" applyFill="1"/>
    <xf numFmtId="169" fontId="3" fillId="0" borderId="0" xfId="0" applyNumberFormat="1" applyFont="1" applyAlignment="1">
      <alignment horizontal="centerContinuous"/>
    </xf>
    <xf numFmtId="166" fontId="3" fillId="0" borderId="0" xfId="1" applyNumberFormat="1" applyFont="1" applyFill="1" applyAlignment="1">
      <alignment horizontal="centerContinuous"/>
    </xf>
    <xf numFmtId="171" fontId="3" fillId="0" borderId="0" xfId="1" applyNumberFormat="1" applyFont="1" applyFill="1"/>
    <xf numFmtId="165" fontId="3" fillId="0" borderId="3" xfId="2" applyNumberFormat="1" applyFont="1" applyFill="1" applyBorder="1"/>
    <xf numFmtId="10" fontId="2" fillId="0" borderId="9" xfId="3" applyNumberFormat="1" applyFont="1" applyFill="1" applyBorder="1"/>
    <xf numFmtId="164" fontId="3" fillId="0" borderId="0" xfId="2" applyNumberFormat="1" applyFont="1" applyFill="1"/>
    <xf numFmtId="43" fontId="6" fillId="0" borderId="0" xfId="1" applyFont="1" applyFill="1"/>
    <xf numFmtId="166" fontId="3" fillId="0" borderId="0" xfId="1" applyNumberFormat="1" applyFont="1" applyFill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1" fontId="3" fillId="0" borderId="0" xfId="0" applyNumberFormat="1" applyFont="1"/>
    <xf numFmtId="1" fontId="3" fillId="0" borderId="0" xfId="0" applyNumberFormat="1" applyFont="1" applyAlignment="1">
      <alignment horizontal="center"/>
    </xf>
    <xf numFmtId="166" fontId="3" fillId="0" borderId="0" xfId="1" applyNumberFormat="1" applyFont="1" applyFill="1" applyAlignment="1"/>
    <xf numFmtId="166" fontId="3" fillId="0" borderId="0" xfId="3" applyNumberFormat="1" applyFont="1" applyFill="1" applyAlignment="1"/>
    <xf numFmtId="165" fontId="3" fillId="0" borderId="0" xfId="2" applyNumberFormat="1" applyFont="1" applyFill="1" applyAlignment="1"/>
    <xf numFmtId="9" fontId="3" fillId="0" borderId="0" xfId="3" applyFont="1" applyFill="1"/>
    <xf numFmtId="0" fontId="3" fillId="0" borderId="3" xfId="0" applyFont="1" applyBorder="1" applyAlignment="1">
      <alignment horizontal="center"/>
    </xf>
    <xf numFmtId="166" fontId="3" fillId="0" borderId="3" xfId="1" applyNumberFormat="1" applyFont="1" applyFill="1" applyBorder="1" applyAlignment="1"/>
    <xf numFmtId="165" fontId="3" fillId="0" borderId="3" xfId="2" applyNumberFormat="1" applyFont="1" applyFill="1" applyBorder="1" applyAlignment="1"/>
    <xf numFmtId="166" fontId="3" fillId="0" borderId="3" xfId="0" applyNumberFormat="1" applyFont="1" applyBorder="1"/>
    <xf numFmtId="44" fontId="3" fillId="0" borderId="0" xfId="2" applyFont="1" applyFill="1"/>
    <xf numFmtId="166" fontId="2" fillId="0" borderId="0" xfId="1" applyNumberFormat="1" applyFont="1" applyFill="1" applyAlignment="1">
      <alignment horizontal="right"/>
    </xf>
    <xf numFmtId="166" fontId="7" fillId="0" borderId="0" xfId="1" applyNumberFormat="1" applyFont="1" applyFill="1" applyAlignment="1">
      <alignment horizontal="left"/>
    </xf>
    <xf numFmtId="166" fontId="7" fillId="0" borderId="0" xfId="1" applyNumberFormat="1" applyFont="1" applyFill="1" applyAlignment="1">
      <alignment horizontal="center"/>
    </xf>
    <xf numFmtId="180" fontId="7" fillId="0" borderId="0" xfId="1" applyNumberFormat="1" applyFont="1" applyFill="1" applyAlignment="1">
      <alignment horizontal="right"/>
    </xf>
    <xf numFmtId="166" fontId="7" fillId="0" borderId="0" xfId="1" applyNumberFormat="1" applyFont="1" applyFill="1" applyAlignment="1">
      <alignment horizontal="right"/>
    </xf>
    <xf numFmtId="0" fontId="6" fillId="0" borderId="0" xfId="0" applyFont="1"/>
    <xf numFmtId="166" fontId="3" fillId="0" borderId="0" xfId="0" applyNumberFormat="1" applyFont="1" applyAlignment="1">
      <alignment horizontal="center"/>
    </xf>
    <xf numFmtId="166" fontId="3" fillId="0" borderId="0" xfId="3" applyNumberFormat="1" applyFont="1" applyFill="1" applyAlignment="1">
      <alignment horizontal="right"/>
    </xf>
    <xf numFmtId="0" fontId="3" fillId="0" borderId="0" xfId="1" applyNumberFormat="1" applyFont="1" applyFill="1" applyAlignment="1">
      <alignment horizontal="center"/>
    </xf>
    <xf numFmtId="10" fontId="3" fillId="0" borderId="0" xfId="3" applyNumberFormat="1" applyFont="1" applyFill="1" applyAlignment="1">
      <alignment horizontal="right"/>
    </xf>
    <xf numFmtId="166" fontId="3" fillId="0" borderId="6" xfId="1" applyNumberFormat="1" applyFont="1" applyFill="1" applyBorder="1" applyAlignment="1">
      <alignment horizontal="center"/>
    </xf>
    <xf numFmtId="166" fontId="3" fillId="0" borderId="6" xfId="1" applyNumberFormat="1" applyFont="1" applyFill="1" applyBorder="1"/>
    <xf numFmtId="166" fontId="3" fillId="0" borderId="0" xfId="1" applyNumberFormat="1" applyFont="1" applyFill="1" applyAlignment="1">
      <alignment horizontal="center"/>
    </xf>
    <xf numFmtId="166" fontId="3" fillId="0" borderId="0" xfId="1" applyNumberFormat="1" applyFont="1" applyFill="1" applyBorder="1" applyAlignment="1">
      <alignment horizontal="center"/>
    </xf>
    <xf numFmtId="166" fontId="3" fillId="0" borderId="0" xfId="1" applyNumberFormat="1" applyFont="1" applyFill="1" applyBorder="1"/>
    <xf numFmtId="165" fontId="3" fillId="0" borderId="0" xfId="2" applyNumberFormat="1" applyFont="1" applyFill="1" applyAlignment="1">
      <alignment horizontal="center"/>
    </xf>
    <xf numFmtId="166" fontId="3" fillId="0" borderId="6" xfId="1" applyNumberFormat="1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70" fontId="3" fillId="0" borderId="0" xfId="1" applyNumberFormat="1" applyFont="1" applyFill="1"/>
    <xf numFmtId="166" fontId="3" fillId="0" borderId="3" xfId="1" applyNumberFormat="1" applyFont="1" applyFill="1" applyBorder="1"/>
    <xf numFmtId="44" fontId="3" fillId="0" borderId="0" xfId="0" applyNumberFormat="1" applyFont="1"/>
    <xf numFmtId="172" fontId="2" fillId="0" borderId="0" xfId="1" applyNumberFormat="1" applyFont="1" applyFill="1" applyBorder="1" applyAlignment="1">
      <alignment horizontal="center"/>
    </xf>
    <xf numFmtId="43" fontId="3" fillId="0" borderId="0" xfId="1" applyFont="1" applyFill="1" applyBorder="1"/>
    <xf numFmtId="171" fontId="3" fillId="0" borderId="0" xfId="1" applyNumberFormat="1" applyFont="1" applyFill="1" applyBorder="1"/>
    <xf numFmtId="0" fontId="3" fillId="0" borderId="0" xfId="0" quotePrefix="1" applyFont="1" applyAlignment="1">
      <alignment horizontal="left"/>
    </xf>
    <xf numFmtId="166" fontId="3" fillId="0" borderId="0" xfId="1" applyNumberFormat="1" applyFont="1" applyFill="1" applyAlignment="1">
      <alignment wrapText="1"/>
    </xf>
    <xf numFmtId="166" fontId="5" fillId="0" borderId="0" xfId="1" applyNumberFormat="1" applyFont="1" applyFill="1" applyAlignment="1">
      <alignment horizontal="right"/>
    </xf>
    <xf numFmtId="166" fontId="2" fillId="0" borderId="0" xfId="1" applyNumberFormat="1" applyFont="1" applyFill="1"/>
    <xf numFmtId="43" fontId="2" fillId="0" borderId="0" xfId="1" applyFont="1" applyFill="1" applyBorder="1"/>
    <xf numFmtId="10" fontId="2" fillId="0" borderId="0" xfId="3" applyNumberFormat="1" applyFont="1" applyFill="1" applyBorder="1"/>
    <xf numFmtId="0" fontId="3" fillId="0" borderId="3" xfId="0" applyFont="1" applyBorder="1"/>
    <xf numFmtId="0" fontId="5" fillId="0" borderId="0" xfId="0" applyFont="1"/>
    <xf numFmtId="44" fontId="3" fillId="0" borderId="0" xfId="0" applyNumberFormat="1" applyFont="1" applyAlignment="1">
      <alignment horizontal="center"/>
    </xf>
    <xf numFmtId="177" fontId="3" fillId="0" borderId="0" xfId="1" applyNumberFormat="1" applyFont="1" applyFill="1"/>
    <xf numFmtId="43" fontId="2" fillId="0" borderId="0" xfId="1" applyFont="1" applyFill="1" applyAlignment="1">
      <alignment horizontal="center"/>
    </xf>
    <xf numFmtId="182" fontId="3" fillId="0" borderId="0" xfId="3" applyNumberFormat="1" applyFont="1" applyFill="1" applyAlignment="1">
      <alignment horizontal="right"/>
    </xf>
    <xf numFmtId="182" fontId="3" fillId="0" borderId="6" xfId="3" applyNumberFormat="1" applyFont="1" applyFill="1" applyBorder="1" applyAlignment="1">
      <alignment horizontal="right" vertical="center"/>
    </xf>
    <xf numFmtId="0" fontId="2" fillId="0" borderId="0" xfId="1" applyNumberFormat="1" applyFont="1" applyFill="1"/>
    <xf numFmtId="177" fontId="2" fillId="0" borderId="0" xfId="1" applyNumberFormat="1" applyFont="1" applyFill="1" applyAlignment="1">
      <alignment horizontal="right"/>
    </xf>
    <xf numFmtId="183" fontId="2" fillId="0" borderId="2" xfId="0" quotePrefix="1" applyNumberFormat="1" applyFont="1" applyBorder="1" applyAlignment="1">
      <alignment horizontal="center"/>
    </xf>
    <xf numFmtId="0" fontId="8" fillId="0" borderId="0" xfId="0" applyFont="1"/>
    <xf numFmtId="165" fontId="3" fillId="0" borderId="0" xfId="2" applyNumberFormat="1" applyFont="1" applyFill="1" applyBorder="1" applyAlignment="1">
      <alignment vertical="center"/>
    </xf>
    <xf numFmtId="10" fontId="3" fillId="0" borderId="0" xfId="3" applyNumberFormat="1" applyFont="1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181" fontId="3" fillId="0" borderId="0" xfId="2" applyNumberFormat="1" applyFont="1"/>
    <xf numFmtId="182" fontId="3" fillId="0" borderId="0" xfId="3" applyNumberFormat="1" applyFont="1" applyFill="1"/>
    <xf numFmtId="182" fontId="3" fillId="0" borderId="0" xfId="1" applyNumberFormat="1" applyFont="1" applyFill="1" applyAlignment="1"/>
    <xf numFmtId="182" fontId="3" fillId="0" borderId="3" xfId="3" applyNumberFormat="1" applyFont="1" applyFill="1" applyBorder="1"/>
    <xf numFmtId="166" fontId="3" fillId="0" borderId="0" xfId="1" applyNumberFormat="1" applyFont="1"/>
    <xf numFmtId="166" fontId="10" fillId="0" borderId="0" xfId="1" applyNumberFormat="1" applyFont="1" applyFill="1"/>
    <xf numFmtId="9" fontId="3" fillId="0" borderId="0" xfId="3" applyFont="1"/>
    <xf numFmtId="182" fontId="3" fillId="0" borderId="0" xfId="3" applyNumberFormat="1" applyFont="1"/>
    <xf numFmtId="0" fontId="3" fillId="0" borderId="0" xfId="1" applyNumberFormat="1" applyFont="1"/>
    <xf numFmtId="10" fontId="2" fillId="0" borderId="9" xfId="3" applyNumberFormat="1" applyFont="1" applyFill="1" applyBorder="1" applyAlignment="1">
      <alignment horizontal="right"/>
    </xf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9" fontId="3" fillId="0" borderId="0" xfId="3" applyFont="1" applyAlignment="1">
      <alignment horizontal="center"/>
    </xf>
    <xf numFmtId="166" fontId="10" fillId="3" borderId="0" xfId="5" applyNumberFormat="1" applyFont="1" applyFill="1"/>
    <xf numFmtId="0" fontId="11" fillId="0" borderId="0" xfId="0" applyFont="1"/>
    <xf numFmtId="0" fontId="11" fillId="0" borderId="0" xfId="0" applyFont="1" applyAlignment="1">
      <alignment horizontal="center"/>
    </xf>
    <xf numFmtId="181" fontId="3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165" fontId="3" fillId="0" borderId="3" xfId="0" applyNumberFormat="1" applyFont="1" applyBorder="1"/>
    <xf numFmtId="0" fontId="2" fillId="0" borderId="7" xfId="0" applyFont="1" applyBorder="1"/>
    <xf numFmtId="0" fontId="2" fillId="0" borderId="8" xfId="0" applyFont="1" applyBorder="1"/>
    <xf numFmtId="172" fontId="3" fillId="0" borderId="0" xfId="0" applyNumberFormat="1" applyFont="1"/>
    <xf numFmtId="10" fontId="3" fillId="0" borderId="0" xfId="0" applyNumberFormat="1" applyFont="1"/>
    <xf numFmtId="167" fontId="3" fillId="0" borderId="0" xfId="0" applyNumberFormat="1" applyFont="1"/>
    <xf numFmtId="164" fontId="3" fillId="0" borderId="0" xfId="0" applyNumberFormat="1" applyFont="1"/>
    <xf numFmtId="165" fontId="3" fillId="0" borderId="4" xfId="0" applyNumberFormat="1" applyFont="1" applyBorder="1"/>
    <xf numFmtId="175" fontId="3" fillId="0" borderId="0" xfId="0" applyNumberFormat="1" applyFont="1"/>
    <xf numFmtId="174" fontId="3" fillId="0" borderId="0" xfId="0" applyNumberFormat="1" applyFont="1"/>
    <xf numFmtId="173" fontId="3" fillId="0" borderId="0" xfId="0" applyNumberFormat="1" applyFont="1"/>
    <xf numFmtId="172" fontId="3" fillId="0" borderId="0" xfId="0" applyNumberFormat="1" applyFont="1" applyAlignment="1">
      <alignment vertical="center"/>
    </xf>
    <xf numFmtId="172" fontId="6" fillId="0" borderId="0" xfId="0" applyNumberFormat="1" applyFont="1" applyAlignment="1">
      <alignment vertical="center"/>
    </xf>
    <xf numFmtId="176" fontId="3" fillId="0" borderId="0" xfId="0" applyNumberFormat="1" applyFont="1"/>
    <xf numFmtId="172" fontId="6" fillId="0" borderId="0" xfId="0" applyNumberFormat="1" applyFont="1"/>
    <xf numFmtId="10" fontId="3" fillId="0" borderId="0" xfId="0" applyNumberFormat="1" applyFont="1" applyAlignment="1">
      <alignment horizontal="left"/>
    </xf>
    <xf numFmtId="178" fontId="3" fillId="0" borderId="0" xfId="0" applyNumberFormat="1" applyFont="1"/>
    <xf numFmtId="171" fontId="3" fillId="0" borderId="0" xfId="0" applyNumberFormat="1" applyFont="1"/>
    <xf numFmtId="10" fontId="3" fillId="0" borderId="0" xfId="0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right"/>
    </xf>
    <xf numFmtId="166" fontId="13" fillId="0" borderId="0" xfId="1" applyNumberFormat="1" applyFont="1" applyFill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166" fontId="14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3" fillId="0" borderId="6" xfId="0" applyFont="1" applyBorder="1"/>
    <xf numFmtId="10" fontId="3" fillId="0" borderId="6" xfId="0" applyNumberFormat="1" applyFont="1" applyBorder="1"/>
    <xf numFmtId="0" fontId="3" fillId="0" borderId="0" xfId="1" applyNumberFormat="1" applyFont="1" applyFill="1" applyBorder="1" applyAlignment="1">
      <alignment horizontal="center"/>
    </xf>
    <xf numFmtId="10" fontId="3" fillId="0" borderId="0" xfId="3" applyNumberFormat="1" applyFont="1" applyFill="1" applyBorder="1" applyAlignment="1">
      <alignment horizontal="right"/>
    </xf>
    <xf numFmtId="10" fontId="3" fillId="0" borderId="6" xfId="3" applyNumberFormat="1" applyFont="1" applyFill="1" applyBorder="1" applyAlignment="1">
      <alignment horizontal="right"/>
    </xf>
    <xf numFmtId="44" fontId="3" fillId="0" borderId="0" xfId="2" applyFont="1" applyFill="1" applyAlignment="1">
      <alignment horizontal="right"/>
    </xf>
    <xf numFmtId="170" fontId="3" fillId="0" borderId="0" xfId="0" applyNumberFormat="1" applyFont="1"/>
    <xf numFmtId="177" fontId="3" fillId="0" borderId="0" xfId="1" applyNumberFormat="1" applyFont="1" applyFill="1" applyAlignment="1">
      <alignment horizontal="right"/>
    </xf>
    <xf numFmtId="1" fontId="3" fillId="0" borderId="0" xfId="0" applyNumberFormat="1" applyFont="1" applyAlignment="1">
      <alignment horizontal="left"/>
    </xf>
    <xf numFmtId="0" fontId="2" fillId="0" borderId="0" xfId="4" applyFont="1"/>
    <xf numFmtId="0" fontId="3" fillId="0" borderId="0" xfId="4" applyAlignment="1">
      <alignment horizontal="center"/>
    </xf>
    <xf numFmtId="0" fontId="3" fillId="0" borderId="0" xfId="4"/>
    <xf numFmtId="0" fontId="3" fillId="0" borderId="2" xfId="4" applyBorder="1"/>
    <xf numFmtId="0" fontId="3" fillId="0" borderId="2" xfId="4" applyBorder="1" applyAlignment="1">
      <alignment horizontal="center"/>
    </xf>
    <xf numFmtId="0" fontId="3" fillId="0" borderId="2" xfId="4" applyBorder="1" applyAlignment="1">
      <alignment horizontal="right"/>
    </xf>
    <xf numFmtId="166" fontId="0" fillId="0" borderId="0" xfId="5" applyNumberFormat="1" applyFont="1"/>
    <xf numFmtId="0" fontId="12" fillId="0" borderId="0" xfId="4" applyFont="1" applyAlignment="1">
      <alignment horizontal="center"/>
    </xf>
    <xf numFmtId="0" fontId="3" fillId="0" borderId="3" xfId="4" applyBorder="1"/>
    <xf numFmtId="0" fontId="3" fillId="0" borderId="3" xfId="4" applyBorder="1" applyAlignment="1">
      <alignment horizontal="center"/>
    </xf>
    <xf numFmtId="166" fontId="0" fillId="0" borderId="3" xfId="5" applyNumberFormat="1" applyFont="1" applyBorder="1"/>
    <xf numFmtId="166" fontId="3" fillId="0" borderId="0" xfId="4" applyNumberFormat="1"/>
    <xf numFmtId="10" fontId="3" fillId="0" borderId="0" xfId="3" applyNumberFormat="1" applyFont="1"/>
    <xf numFmtId="166" fontId="0" fillId="0" borderId="0" xfId="5" applyNumberFormat="1" applyFont="1" applyBorder="1"/>
    <xf numFmtId="166" fontId="10" fillId="4" borderId="0" xfId="5" applyNumberFormat="1" applyFont="1" applyFill="1"/>
    <xf numFmtId="2" fontId="11" fillId="0" borderId="0" xfId="0" applyNumberFormat="1" applyFont="1" applyAlignment="1">
      <alignment horizontal="center"/>
    </xf>
    <xf numFmtId="166" fontId="2" fillId="0" borderId="0" xfId="1" applyNumberFormat="1" applyFont="1" applyFill="1" applyBorder="1" applyAlignment="1">
      <alignment horizontal="right"/>
    </xf>
    <xf numFmtId="166" fontId="10" fillId="0" borderId="0" xfId="1" applyNumberFormat="1" applyFont="1" applyFill="1" applyAlignment="1">
      <alignment horizontal="center"/>
    </xf>
    <xf numFmtId="184" fontId="10" fillId="0" borderId="0" xfId="3" applyNumberFormat="1" applyFont="1" applyFill="1" applyAlignment="1">
      <alignment horizontal="center"/>
    </xf>
    <xf numFmtId="0" fontId="3" fillId="5" borderId="0" xfId="0" applyFont="1" applyFill="1"/>
    <xf numFmtId="165" fontId="3" fillId="5" borderId="0" xfId="0" applyNumberFormat="1" applyFont="1" applyFill="1"/>
    <xf numFmtId="165" fontId="3" fillId="5" borderId="0" xfId="2" applyNumberFormat="1" applyFont="1" applyFill="1"/>
    <xf numFmtId="0" fontId="3" fillId="5" borderId="0" xfId="0" applyFont="1" applyFill="1" applyAlignment="1">
      <alignment horizontal="center"/>
    </xf>
    <xf numFmtId="166" fontId="3" fillId="5" borderId="0" xfId="1" applyNumberFormat="1" applyFont="1" applyFill="1"/>
    <xf numFmtId="172" fontId="3" fillId="0" borderId="0" xfId="1" applyNumberFormat="1" applyFont="1" applyFill="1" applyBorder="1"/>
    <xf numFmtId="0" fontId="2" fillId="0" borderId="2" xfId="0" applyFont="1" applyBorder="1"/>
    <xf numFmtId="0" fontId="2" fillId="0" borderId="13" xfId="0" applyFont="1" applyBorder="1"/>
    <xf numFmtId="0" fontId="2" fillId="0" borderId="15" xfId="0" applyFont="1" applyBorder="1"/>
    <xf numFmtId="182" fontId="3" fillId="0" borderId="20" xfId="1" applyNumberFormat="1" applyFont="1" applyFill="1" applyBorder="1"/>
    <xf numFmtId="182" fontId="3" fillId="0" borderId="20" xfId="3" applyNumberFormat="1" applyFont="1" applyFill="1" applyBorder="1"/>
    <xf numFmtId="0" fontId="2" fillId="0" borderId="3" xfId="0" applyFont="1" applyBorder="1" applyAlignment="1">
      <alignment horizontal="center"/>
    </xf>
    <xf numFmtId="43" fontId="2" fillId="0" borderId="14" xfId="1" applyFont="1" applyFill="1" applyBorder="1"/>
    <xf numFmtId="43" fontId="2" fillId="0" borderId="16" xfId="1" applyFont="1" applyFill="1" applyBorder="1"/>
    <xf numFmtId="0" fontId="3" fillId="0" borderId="17" xfId="0" applyFont="1" applyBorder="1" applyAlignment="1">
      <alignment horizontal="left"/>
    </xf>
    <xf numFmtId="0" fontId="3" fillId="0" borderId="18" xfId="1" applyNumberFormat="1" applyFont="1" applyFill="1" applyBorder="1" applyAlignment="1">
      <alignment horizontal="center"/>
    </xf>
    <xf numFmtId="43" fontId="2" fillId="0" borderId="15" xfId="1" applyFont="1" applyFill="1" applyBorder="1" applyAlignment="1">
      <alignment horizontal="right"/>
    </xf>
    <xf numFmtId="0" fontId="2" fillId="0" borderId="15" xfId="0" applyFont="1" applyBorder="1" applyAlignment="1">
      <alignment horizontal="right"/>
    </xf>
    <xf numFmtId="166" fontId="2" fillId="0" borderId="16" xfId="1" applyNumberFormat="1" applyFont="1" applyFill="1" applyBorder="1" applyAlignment="1">
      <alignment horizontal="right"/>
    </xf>
    <xf numFmtId="43" fontId="3" fillId="0" borderId="18" xfId="1" applyFont="1" applyFill="1" applyBorder="1" applyAlignment="1">
      <alignment horizontal="right"/>
    </xf>
    <xf numFmtId="172" fontId="2" fillId="0" borderId="2" xfId="1" applyNumberFormat="1" applyFont="1" applyFill="1" applyBorder="1" applyAlignment="1">
      <alignment horizontal="right"/>
    </xf>
    <xf numFmtId="10" fontId="3" fillId="0" borderId="17" xfId="3" applyNumberFormat="1" applyFont="1" applyFill="1" applyBorder="1" applyAlignment="1">
      <alignment horizontal="right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3" fontId="3" fillId="0" borderId="12" xfId="1" applyFont="1" applyFill="1" applyBorder="1" applyAlignment="1">
      <alignment vertical="center"/>
    </xf>
    <xf numFmtId="182" fontId="3" fillId="0" borderId="4" xfId="3" applyNumberFormat="1" applyFont="1" applyFill="1" applyBorder="1" applyAlignment="1">
      <alignment vertical="center"/>
    </xf>
    <xf numFmtId="10" fontId="3" fillId="0" borderId="11" xfId="1" applyNumberFormat="1" applyFont="1" applyFill="1" applyBorder="1" applyAlignment="1">
      <alignment horizontal="right" vertical="center"/>
    </xf>
    <xf numFmtId="43" fontId="3" fillId="0" borderId="10" xfId="1" applyFont="1" applyFill="1" applyBorder="1" applyAlignment="1">
      <alignment horizontal="right" vertical="center"/>
    </xf>
    <xf numFmtId="10" fontId="3" fillId="0" borderId="11" xfId="0" applyNumberFormat="1" applyFont="1" applyBorder="1" applyAlignment="1">
      <alignment horizontal="right" vertical="center"/>
    </xf>
    <xf numFmtId="43" fontId="3" fillId="0" borderId="12" xfId="1" applyFont="1" applyFill="1" applyBorder="1" applyAlignment="1">
      <alignment horizontal="right" vertical="center"/>
    </xf>
    <xf numFmtId="10" fontId="3" fillId="0" borderId="13" xfId="3" applyNumberFormat="1" applyFont="1" applyFill="1" applyBorder="1" applyAlignment="1">
      <alignment horizontal="right"/>
    </xf>
    <xf numFmtId="43" fontId="3" fillId="0" borderId="14" xfId="1" applyFont="1" applyFill="1" applyBorder="1" applyAlignment="1">
      <alignment horizontal="right"/>
    </xf>
    <xf numFmtId="10" fontId="3" fillId="0" borderId="15" xfId="3" applyNumberFormat="1" applyFont="1" applyFill="1" applyBorder="1" applyAlignment="1">
      <alignment horizontal="right"/>
    </xf>
    <xf numFmtId="43" fontId="3" fillId="0" borderId="16" xfId="1" applyFont="1" applyFill="1" applyBorder="1" applyAlignment="1">
      <alignment horizontal="right"/>
    </xf>
    <xf numFmtId="43" fontId="2" fillId="0" borderId="19" xfId="1" applyFont="1" applyFill="1" applyBorder="1" applyAlignment="1">
      <alignment horizontal="center"/>
    </xf>
    <xf numFmtId="43" fontId="2" fillId="0" borderId="5" xfId="1" applyFont="1" applyFill="1" applyBorder="1" applyAlignment="1">
      <alignment horizontal="center"/>
    </xf>
    <xf numFmtId="166" fontId="3" fillId="0" borderId="0" xfId="0" applyNumberFormat="1" applyFont="1" applyAlignment="1">
      <alignment horizontal="right"/>
    </xf>
    <xf numFmtId="182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" fontId="3" fillId="0" borderId="3" xfId="0" applyNumberFormat="1" applyFont="1" applyBorder="1"/>
    <xf numFmtId="166" fontId="3" fillId="0" borderId="3" xfId="0" applyNumberFormat="1" applyFont="1" applyBorder="1" applyAlignment="1">
      <alignment horizontal="right"/>
    </xf>
    <xf numFmtId="182" fontId="3" fillId="0" borderId="3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10" fontId="9" fillId="0" borderId="0" xfId="3" applyNumberFormat="1" applyFont="1" applyFill="1" applyBorder="1" applyAlignment="1">
      <alignment vertical="center"/>
    </xf>
    <xf numFmtId="10" fontId="9" fillId="0" borderId="10" xfId="3" applyNumberFormat="1" applyFont="1" applyFill="1" applyBorder="1" applyAlignment="1">
      <alignment horizontal="right" vertical="center"/>
    </xf>
    <xf numFmtId="166" fontId="3" fillId="0" borderId="10" xfId="1" applyNumberFormat="1" applyFont="1" applyFill="1" applyBorder="1"/>
    <xf numFmtId="185" fontId="15" fillId="5" borderId="0" xfId="0" applyNumberFormat="1" applyFont="1" applyFill="1" applyAlignment="1">
      <alignment horizontal="center"/>
    </xf>
    <xf numFmtId="43" fontId="2" fillId="0" borderId="13" xfId="1" applyFont="1" applyFill="1" applyBorder="1" applyAlignment="1">
      <alignment horizontal="center"/>
    </xf>
    <xf numFmtId="43" fontId="2" fillId="0" borderId="3" xfId="1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43" fontId="3" fillId="0" borderId="11" xfId="1" applyFont="1" applyFill="1" applyBorder="1" applyAlignment="1">
      <alignment horizontal="center"/>
    </xf>
    <xf numFmtId="43" fontId="3" fillId="0" borderId="10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right"/>
    </xf>
    <xf numFmtId="0" fontId="3" fillId="0" borderId="0" xfId="0" applyFont="1" applyFill="1"/>
    <xf numFmtId="0" fontId="10" fillId="0" borderId="0" xfId="0" applyFont="1" applyFill="1"/>
    <xf numFmtId="0" fontId="1" fillId="0" borderId="0" xfId="0" applyFont="1"/>
    <xf numFmtId="165" fontId="3" fillId="0" borderId="0" xfId="0" applyNumberFormat="1" applyFont="1" applyFill="1"/>
    <xf numFmtId="0" fontId="3" fillId="0" borderId="0" xfId="0" applyFont="1" applyFill="1" applyAlignment="1">
      <alignment horizontal="left"/>
    </xf>
    <xf numFmtId="166" fontId="11" fillId="0" borderId="0" xfId="1" applyNumberFormat="1" applyFont="1" applyFill="1"/>
    <xf numFmtId="10" fontId="11" fillId="0" borderId="0" xfId="3" applyNumberFormat="1" applyFont="1" applyFill="1"/>
    <xf numFmtId="44" fontId="11" fillId="0" borderId="0" xfId="2" applyFont="1" applyFill="1"/>
    <xf numFmtId="43" fontId="11" fillId="0" borderId="0" xfId="1" applyFont="1" applyFill="1"/>
    <xf numFmtId="166" fontId="11" fillId="0" borderId="0" xfId="0" applyNumberFormat="1" applyFont="1"/>
    <xf numFmtId="4" fontId="11" fillId="0" borderId="0" xfId="0" applyNumberFormat="1" applyFont="1"/>
    <xf numFmtId="9" fontId="11" fillId="0" borderId="0" xfId="3" applyFont="1" applyFill="1"/>
    <xf numFmtId="0" fontId="11" fillId="0" borderId="0" xfId="0" applyFont="1" applyFill="1"/>
    <xf numFmtId="9" fontId="11" fillId="0" borderId="0" xfId="0" applyNumberFormat="1" applyFont="1" applyFill="1"/>
    <xf numFmtId="0" fontId="11" fillId="0" borderId="0" xfId="0" applyFont="1" applyFill="1" applyAlignment="1">
      <alignment horizontal="center"/>
    </xf>
    <xf numFmtId="0" fontId="16" fillId="0" borderId="0" xfId="0" applyFont="1" applyFill="1"/>
    <xf numFmtId="0" fontId="17" fillId="0" borderId="0" xfId="0" applyFont="1" applyFill="1" applyAlignment="1">
      <alignment horizontal="center"/>
    </xf>
    <xf numFmtId="179" fontId="17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8" fillId="0" borderId="0" xfId="0" applyFont="1" applyFill="1"/>
    <xf numFmtId="166" fontId="11" fillId="0" borderId="0" xfId="1" applyNumberFormat="1" applyFont="1" applyFill="1" applyAlignment="1">
      <alignment horizontal="center"/>
    </xf>
    <xf numFmtId="0" fontId="11" fillId="0" borderId="0" xfId="0" applyFont="1" applyFill="1" applyAlignment="1">
      <alignment horizontal="left" indent="2"/>
    </xf>
    <xf numFmtId="166" fontId="16" fillId="0" borderId="0" xfId="0" applyNumberFormat="1" applyFont="1" applyFill="1" applyAlignment="1">
      <alignment horizontal="center"/>
    </xf>
    <xf numFmtId="166" fontId="11" fillId="0" borderId="0" xfId="0" applyNumberFormat="1" applyFont="1" applyFill="1" applyAlignment="1">
      <alignment horizontal="center"/>
    </xf>
    <xf numFmtId="0" fontId="19" fillId="0" borderId="0" xfId="0" applyFont="1" applyFill="1"/>
    <xf numFmtId="179" fontId="16" fillId="0" borderId="0" xfId="0" applyNumberFormat="1" applyFont="1" applyFill="1" applyAlignment="1">
      <alignment horizontal="center"/>
    </xf>
    <xf numFmtId="166" fontId="11" fillId="0" borderId="0" xfId="0" applyNumberFormat="1" applyFont="1" applyFill="1"/>
    <xf numFmtId="0" fontId="18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165" fontId="11" fillId="0" borderId="0" xfId="0" applyNumberFormat="1" applyFont="1" applyFill="1"/>
    <xf numFmtId="165" fontId="11" fillId="0" borderId="0" xfId="3" applyNumberFormat="1" applyFont="1" applyFill="1"/>
    <xf numFmtId="0" fontId="11" fillId="0" borderId="0" xfId="0" applyFont="1" applyFill="1" applyAlignment="1">
      <alignment horizontal="right"/>
    </xf>
    <xf numFmtId="0" fontId="11" fillId="0" borderId="3" xfId="0" applyFont="1" applyFill="1" applyBorder="1" applyAlignment="1">
      <alignment horizontal="right"/>
    </xf>
    <xf numFmtId="166" fontId="11" fillId="0" borderId="3" xfId="1" applyNumberFormat="1" applyFont="1" applyFill="1" applyBorder="1"/>
    <xf numFmtId="166" fontId="11" fillId="0" borderId="0" xfId="1" applyNumberFormat="1" applyFont="1" applyFill="1" applyBorder="1"/>
    <xf numFmtId="165" fontId="11" fillId="0" borderId="0" xfId="2" applyNumberFormat="1" applyFont="1" applyFill="1"/>
    <xf numFmtId="0" fontId="16" fillId="0" borderId="1" xfId="0" applyFont="1" applyBorder="1" applyAlignment="1">
      <alignment horizontal="right" wrapText="1"/>
    </xf>
    <xf numFmtId="166" fontId="11" fillId="0" borderId="0" xfId="1" applyNumberFormat="1" applyFont="1" applyFill="1" applyAlignment="1">
      <alignment horizontal="right"/>
    </xf>
    <xf numFmtId="166" fontId="11" fillId="0" borderId="6" xfId="1" applyNumberFormat="1" applyFont="1" applyFill="1" applyBorder="1"/>
    <xf numFmtId="0" fontId="11" fillId="0" borderId="0" xfId="0" applyFont="1" applyAlignment="1">
      <alignment horizontal="right"/>
    </xf>
    <xf numFmtId="166" fontId="11" fillId="0" borderId="0" xfId="1" applyNumberFormat="1" applyFont="1" applyFill="1" applyBorder="1" applyAlignment="1">
      <alignment horizontal="right"/>
    </xf>
    <xf numFmtId="166" fontId="11" fillId="0" borderId="6" xfId="1" applyNumberFormat="1" applyFont="1" applyFill="1" applyBorder="1" applyAlignment="1">
      <alignment horizontal="right"/>
    </xf>
  </cellXfs>
  <cellStyles count="6">
    <cellStyle name="Comma" xfId="1" builtinId="3"/>
    <cellStyle name="Comma 2" xfId="5" xr:uid="{6546ADAA-E519-4EE1-BF3F-94E98B4126A7}"/>
    <cellStyle name="Currency" xfId="2" builtinId="4"/>
    <cellStyle name="Normal" xfId="0" builtinId="0"/>
    <cellStyle name="Normal 2" xfId="4" xr:uid="{6FB2744B-D1C7-4688-B055-941771227426}"/>
    <cellStyle name="Percent" xfId="3" builtinId="5"/>
  </cellStyles>
  <dxfs count="132"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600"/>
      </font>
    </dxf>
    <dxf>
      <font>
        <color rgb="FF9C0006"/>
      </font>
    </dxf>
    <dxf>
      <font>
        <color rgb="FF9C0006"/>
      </font>
    </dxf>
    <dxf>
      <font>
        <color rgb="FF006600"/>
      </font>
    </dxf>
    <dxf>
      <font>
        <color rgb="FF006600"/>
      </font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rgb="FF006600"/>
      </font>
    </dxf>
    <dxf>
      <font>
        <color rgb="FF9C0006"/>
      </font>
    </dxf>
    <dxf>
      <font>
        <color rgb="FF9C0006"/>
      </font>
    </dxf>
    <dxf>
      <font>
        <color rgb="FF006600"/>
      </font>
    </dxf>
    <dxf>
      <font>
        <color rgb="FF006600"/>
      </font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rgb="FF006600"/>
      </font>
    </dxf>
    <dxf>
      <font>
        <color rgb="FF9C0006"/>
      </font>
    </dxf>
    <dxf>
      <font>
        <color rgb="FF9C0006"/>
      </font>
    </dxf>
    <dxf>
      <font>
        <color rgb="FF006600"/>
      </font>
    </dxf>
    <dxf>
      <font>
        <color rgb="FF006600"/>
      </font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rgb="FF006600"/>
      </font>
    </dxf>
    <dxf>
      <font>
        <color rgb="FF9C0006"/>
      </font>
    </dxf>
    <dxf>
      <font>
        <color rgb="FF9C0006"/>
      </font>
    </dxf>
    <dxf>
      <font>
        <color rgb="FF006600"/>
      </font>
    </dxf>
    <dxf>
      <font>
        <color rgb="FF006600"/>
      </font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rgb="FF006600"/>
      </font>
    </dxf>
    <dxf>
      <font>
        <color rgb="FF9C0006"/>
      </font>
    </dxf>
    <dxf>
      <font>
        <color rgb="FF9C0006"/>
      </font>
    </dxf>
    <dxf>
      <font>
        <color rgb="FF006600"/>
      </font>
    </dxf>
    <dxf>
      <font>
        <color rgb="FF006600"/>
      </font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rgb="FF006600"/>
      </font>
    </dxf>
    <dxf>
      <font>
        <color rgb="FF9C0006"/>
      </font>
    </dxf>
    <dxf>
      <font>
        <color rgb="FF9C0006"/>
      </font>
    </dxf>
    <dxf>
      <font>
        <color rgb="FF006600"/>
      </font>
    </dxf>
    <dxf>
      <font>
        <color rgb="FF006600"/>
      </font>
    </dxf>
    <dxf>
      <font>
        <color rgb="FF9C0006"/>
      </font>
    </dxf>
    <dxf>
      <font>
        <color theme="6" tint="-0.499984740745262"/>
      </font>
    </dxf>
    <dxf>
      <font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00"/>
      <color rgb="FFFFFF99"/>
      <color rgb="FF0000CC"/>
      <color rgb="FF00FFFF"/>
      <color rgb="FFFFFFCC"/>
      <color rgb="FFFEF6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83"/>
  <sheetViews>
    <sheetView view="pageBreakPreview" zoomScaleNormal="100" zoomScaleSheetLayoutView="100" workbookViewId="0">
      <selection activeCell="L19" sqref="L19"/>
    </sheetView>
  </sheetViews>
  <sheetFormatPr defaultColWidth="9.140625" defaultRowHeight="12.75" x14ac:dyDescent="0.2"/>
  <cols>
    <col min="1" max="1" width="4.42578125" style="2" customWidth="1"/>
    <col min="2" max="2" width="45.28515625" style="14" customWidth="1"/>
    <col min="3" max="3" width="6.85546875" style="30" bestFit="1" customWidth="1"/>
    <col min="4" max="5" width="12.28515625" style="30" bestFit="1" customWidth="1"/>
    <col min="6" max="6" width="11.28515625" style="31" bestFit="1" customWidth="1"/>
    <col min="7" max="7" width="12.28515625" style="2" bestFit="1" customWidth="1"/>
    <col min="8" max="8" width="12" style="32" customWidth="1"/>
    <col min="9" max="9" width="14.28515625" style="32" bestFit="1" customWidth="1"/>
    <col min="10" max="10" width="109.5703125" style="2" customWidth="1"/>
    <col min="11" max="11" width="14.7109375" style="32" bestFit="1" customWidth="1"/>
    <col min="12" max="12" width="15.7109375" style="32" customWidth="1"/>
    <col min="13" max="14" width="12.42578125" style="2" bestFit="1" customWidth="1"/>
    <col min="15" max="15" width="8.5703125" style="2" bestFit="1" customWidth="1"/>
    <col min="16" max="16" width="9.28515625" style="2" bestFit="1" customWidth="1"/>
    <col min="17" max="16384" width="9.140625" style="2"/>
  </cols>
  <sheetData>
    <row r="1" spans="1:16" x14ac:dyDescent="0.2">
      <c r="A1" s="1" t="s">
        <v>1045</v>
      </c>
      <c r="I1" s="135">
        <v>2024</v>
      </c>
    </row>
    <row r="2" spans="1:16" x14ac:dyDescent="0.2">
      <c r="A2" s="1" t="s">
        <v>674</v>
      </c>
      <c r="C2" s="33"/>
      <c r="D2" s="33"/>
      <c r="E2" s="33"/>
      <c r="F2" s="33"/>
      <c r="H2" s="34"/>
      <c r="I2" s="34"/>
      <c r="K2" s="34"/>
      <c r="L2" s="34"/>
      <c r="M2" s="34"/>
    </row>
    <row r="3" spans="1:16" x14ac:dyDescent="0.2">
      <c r="F3" s="37"/>
      <c r="H3" s="110"/>
      <c r="I3" s="110"/>
      <c r="K3" s="40"/>
      <c r="L3" s="214"/>
    </row>
    <row r="4" spans="1:16" x14ac:dyDescent="0.2">
      <c r="A4" s="1"/>
      <c r="B4" s="38"/>
      <c r="C4" s="39"/>
      <c r="D4" s="39"/>
      <c r="E4" s="39"/>
      <c r="F4" s="39"/>
      <c r="G4" s="39"/>
      <c r="H4" s="260"/>
      <c r="I4" s="222"/>
      <c r="K4" s="215"/>
      <c r="M4" s="31"/>
    </row>
    <row r="5" spans="1:16" s="38" customFormat="1" ht="13.9" customHeight="1" x14ac:dyDescent="0.2">
      <c r="C5" s="132"/>
      <c r="D5" s="132" t="s">
        <v>872</v>
      </c>
      <c r="E5" s="132" t="s">
        <v>872</v>
      </c>
      <c r="F5" s="132"/>
      <c r="H5" s="132" t="s">
        <v>872</v>
      </c>
      <c r="I5" s="132" t="s">
        <v>907</v>
      </c>
      <c r="J5" s="2"/>
      <c r="K5" s="32"/>
      <c r="L5" s="32"/>
      <c r="M5" s="31"/>
      <c r="N5" s="2"/>
      <c r="O5" s="2"/>
    </row>
    <row r="6" spans="1:16" s="38" customFormat="1" ht="13.9" customHeight="1" x14ac:dyDescent="0.2">
      <c r="C6" s="132"/>
      <c r="D6" s="132" t="s">
        <v>673</v>
      </c>
      <c r="E6" s="132" t="s">
        <v>673</v>
      </c>
      <c r="F6" s="41"/>
      <c r="H6" s="38" t="s">
        <v>334</v>
      </c>
      <c r="I6" s="38" t="s">
        <v>334</v>
      </c>
      <c r="J6" s="2"/>
      <c r="K6" s="216"/>
      <c r="L6" s="32"/>
      <c r="M6" s="31"/>
      <c r="N6" s="2"/>
      <c r="O6" s="2"/>
    </row>
    <row r="7" spans="1:16" s="38" customFormat="1" ht="13.9" customHeight="1" x14ac:dyDescent="0.2">
      <c r="A7" s="42"/>
      <c r="B7" s="33" t="s">
        <v>725</v>
      </c>
      <c r="C7" s="33" t="s">
        <v>838</v>
      </c>
      <c r="D7" s="33" t="s">
        <v>348</v>
      </c>
      <c r="E7" s="33" t="s">
        <v>672</v>
      </c>
      <c r="F7" s="33" t="s">
        <v>347</v>
      </c>
      <c r="G7" s="119" t="s">
        <v>76</v>
      </c>
      <c r="H7" s="33" t="s">
        <v>836</v>
      </c>
      <c r="I7" s="33" t="s">
        <v>836</v>
      </c>
      <c r="J7" s="2"/>
      <c r="K7" s="263"/>
      <c r="L7" s="32"/>
      <c r="M7" s="31"/>
      <c r="N7" s="2"/>
      <c r="O7" s="2"/>
    </row>
    <row r="8" spans="1:16" s="138" customFormat="1" ht="13.9" customHeight="1" x14ac:dyDescent="0.25">
      <c r="A8" s="84" t="s">
        <v>913</v>
      </c>
      <c r="B8" s="137">
        <v>1</v>
      </c>
      <c r="C8" s="137">
        <f>B8+1</f>
        <v>2</v>
      </c>
      <c r="D8" s="137" t="s">
        <v>1003</v>
      </c>
      <c r="E8" s="137" t="s">
        <v>1004</v>
      </c>
      <c r="F8" s="137" t="s">
        <v>1005</v>
      </c>
      <c r="G8" s="137">
        <v>6</v>
      </c>
      <c r="H8" s="137">
        <v>7</v>
      </c>
      <c r="I8" s="137">
        <v>8</v>
      </c>
      <c r="J8" s="2"/>
      <c r="K8" s="38"/>
      <c r="L8" s="32"/>
      <c r="M8" s="31"/>
      <c r="N8" s="2"/>
      <c r="O8" s="2"/>
    </row>
    <row r="9" spans="1:16" ht="13.9" customHeight="1" x14ac:dyDescent="0.2">
      <c r="A9" s="14"/>
      <c r="B9" s="1"/>
      <c r="C9" s="38"/>
      <c r="F9" s="30"/>
      <c r="G9" s="31"/>
      <c r="H9" s="2"/>
      <c r="I9" s="40"/>
      <c r="M9" s="31"/>
      <c r="P9" s="38"/>
    </row>
    <row r="10" spans="1:16" ht="13.9" customHeight="1" x14ac:dyDescent="0.2">
      <c r="A10" s="14">
        <v>1</v>
      </c>
      <c r="B10" s="156" t="s">
        <v>1103</v>
      </c>
      <c r="C10" s="157">
        <v>1</v>
      </c>
      <c r="D10" s="45">
        <f>'Alloc &amp; Returns'!F$358</f>
        <v>35501788.030820653</v>
      </c>
      <c r="E10" s="45">
        <f>'Alloc &amp; Returns'!F$393</f>
        <v>34968765.080476098</v>
      </c>
      <c r="F10" s="45">
        <f>D10-E10</f>
        <v>533022.95034455508</v>
      </c>
      <c r="G10" s="45">
        <f>'Alloc &amp; Returns'!F$401</f>
        <v>71692826.027843475</v>
      </c>
      <c r="H10" s="105">
        <f>IF(G10=0,"NA",F10/G10)</f>
        <v>7.4348157253215823E-3</v>
      </c>
      <c r="I10" s="55">
        <f t="shared" ref="I10:I16" si="0">IF(H10="NA","NA",H10/H$31)</f>
        <v>0.14871643656806732</v>
      </c>
      <c r="K10" s="46"/>
      <c r="M10" s="31"/>
      <c r="P10" s="38"/>
    </row>
    <row r="11" spans="1:16" ht="13.9" hidden="1" customHeight="1" x14ac:dyDescent="0.2">
      <c r="A11" s="14">
        <v>2</v>
      </c>
      <c r="B11" s="156" t="s">
        <v>1104</v>
      </c>
      <c r="C11" s="157">
        <v>2</v>
      </c>
      <c r="D11" s="45">
        <f>'Alloc &amp; Returns'!G$358</f>
        <v>0</v>
      </c>
      <c r="E11" s="45">
        <f>'Alloc &amp; Returns'!G$393</f>
        <v>0</v>
      </c>
      <c r="F11" s="45">
        <f t="shared" ref="F11:F31" si="1">D11-E11</f>
        <v>0</v>
      </c>
      <c r="G11" s="45">
        <f>'Alloc &amp; Returns'!G$401</f>
        <v>0</v>
      </c>
      <c r="H11" s="105" t="str">
        <f t="shared" ref="H11:H16" si="2">IF(G11=0,"NA",F11/G11)</f>
        <v>NA</v>
      </c>
      <c r="I11" s="55" t="str">
        <f t="shared" si="0"/>
        <v>NA</v>
      </c>
      <c r="K11" s="46"/>
      <c r="M11" s="31"/>
      <c r="P11" s="38"/>
    </row>
    <row r="12" spans="1:16" ht="13.9" customHeight="1" x14ac:dyDescent="0.2">
      <c r="A12" s="14">
        <v>3</v>
      </c>
      <c r="B12" s="156" t="s">
        <v>1105</v>
      </c>
      <c r="C12" s="157">
        <v>3</v>
      </c>
      <c r="D12" s="45">
        <f>'Alloc &amp; Returns'!H$358</f>
        <v>1304.3030800123249</v>
      </c>
      <c r="E12" s="45">
        <f>'Alloc &amp; Returns'!H$393</f>
        <v>1216.3000594571404</v>
      </c>
      <c r="F12" s="45">
        <f t="shared" si="1"/>
        <v>88.003020555184548</v>
      </c>
      <c r="G12" s="45">
        <f>'Alloc &amp; Returns'!H$401</f>
        <v>2721.5343263268774</v>
      </c>
      <c r="H12" s="105">
        <f t="shared" si="2"/>
        <v>3.2335811348724729E-2</v>
      </c>
      <c r="I12" s="55">
        <f t="shared" si="0"/>
        <v>0.64680374268611918</v>
      </c>
      <c r="K12" s="46"/>
      <c r="L12" s="45"/>
      <c r="M12" s="31"/>
      <c r="P12" s="38"/>
    </row>
    <row r="13" spans="1:16" ht="13.9" customHeight="1" x14ac:dyDescent="0.2">
      <c r="A13" s="14">
        <v>4</v>
      </c>
      <c r="B13" s="156" t="s">
        <v>1106</v>
      </c>
      <c r="C13" s="157">
        <v>4</v>
      </c>
      <c r="D13" s="45">
        <f>'Alloc &amp; Returns'!I$358</f>
        <v>4054834.5061819358</v>
      </c>
      <c r="E13" s="45">
        <f>'Alloc &amp; Returns'!I$393</f>
        <v>3539869.6748685902</v>
      </c>
      <c r="F13" s="45">
        <f t="shared" si="1"/>
        <v>514964.83131334558</v>
      </c>
      <c r="G13" s="45">
        <f>'Alloc &amp; Returns'!I$401</f>
        <v>5934328.0940072583</v>
      </c>
      <c r="H13" s="105">
        <f t="shared" si="2"/>
        <v>8.6777276745682363E-2</v>
      </c>
      <c r="I13" s="55">
        <f t="shared" si="0"/>
        <v>1.7357803944953456</v>
      </c>
      <c r="K13" s="46"/>
      <c r="L13" s="45"/>
      <c r="M13" s="31"/>
      <c r="P13" s="38"/>
    </row>
    <row r="14" spans="1:16" ht="13.9" customHeight="1" x14ac:dyDescent="0.2">
      <c r="A14" s="14">
        <v>5</v>
      </c>
      <c r="B14" s="156" t="s">
        <v>1107</v>
      </c>
      <c r="C14" s="157">
        <v>5</v>
      </c>
      <c r="D14" s="45">
        <f>'Alloc &amp; Returns'!J$358</f>
        <v>5705659.2528966283</v>
      </c>
      <c r="E14" s="45">
        <f>'Alloc &amp; Returns'!J$393</f>
        <v>4236704.0522458572</v>
      </c>
      <c r="F14" s="45">
        <f t="shared" si="1"/>
        <v>1468955.2006507711</v>
      </c>
      <c r="G14" s="45">
        <f>'Alloc &amp; Returns'!J$401</f>
        <v>3426180.3692337996</v>
      </c>
      <c r="H14" s="105">
        <f t="shared" si="2"/>
        <v>0.42874426981182989</v>
      </c>
      <c r="I14" s="55">
        <f t="shared" si="0"/>
        <v>8.5760457771985248</v>
      </c>
      <c r="K14" s="46"/>
      <c r="L14" s="45"/>
      <c r="M14" s="31"/>
      <c r="P14" s="38"/>
    </row>
    <row r="15" spans="1:16" ht="13.9" customHeight="1" x14ac:dyDescent="0.2">
      <c r="A15" s="14">
        <v>6</v>
      </c>
      <c r="B15" s="156" t="s">
        <v>1108</v>
      </c>
      <c r="C15" s="157">
        <v>7</v>
      </c>
      <c r="D15" s="45">
        <f>'Alloc &amp; Returns'!K$358</f>
        <v>16654.036776055716</v>
      </c>
      <c r="E15" s="45">
        <f>'Alloc &amp; Returns'!K$393</f>
        <v>22834.411734188277</v>
      </c>
      <c r="F15" s="45">
        <f t="shared" ref="F15:F25" si="3">D15-E15</f>
        <v>-6180.374958132561</v>
      </c>
      <c r="G15" s="45">
        <f>'Alloc &amp; Returns'!K$401</f>
        <v>49260.188867195116</v>
      </c>
      <c r="H15" s="105">
        <f t="shared" si="2"/>
        <v>-0.12546389082662227</v>
      </c>
      <c r="I15" s="55">
        <f t="shared" si="0"/>
        <v>-2.5096173800451855</v>
      </c>
      <c r="K15" s="46"/>
      <c r="L15" s="45"/>
      <c r="M15" s="31"/>
      <c r="P15" s="38"/>
    </row>
    <row r="16" spans="1:16" ht="13.9" hidden="1" customHeight="1" x14ac:dyDescent="0.2">
      <c r="A16" s="14">
        <v>7</v>
      </c>
      <c r="B16" s="156" t="s">
        <v>1109</v>
      </c>
      <c r="C16" s="157">
        <v>8</v>
      </c>
      <c r="D16" s="45">
        <f>'Alloc &amp; Returns'!L$358</f>
        <v>0</v>
      </c>
      <c r="E16" s="45">
        <f>'Alloc &amp; Returns'!L$393</f>
        <v>0</v>
      </c>
      <c r="F16" s="45">
        <f t="shared" si="3"/>
        <v>0</v>
      </c>
      <c r="G16" s="45">
        <f>'Alloc &amp; Returns'!L$401</f>
        <v>0</v>
      </c>
      <c r="H16" s="105" t="str">
        <f t="shared" si="2"/>
        <v>NA</v>
      </c>
      <c r="I16" s="55" t="str">
        <f t="shared" si="0"/>
        <v>NA</v>
      </c>
      <c r="K16" s="46"/>
      <c r="L16" s="45"/>
      <c r="M16" s="31"/>
      <c r="P16" s="38"/>
    </row>
    <row r="17" spans="1:16" ht="13.9" customHeight="1" x14ac:dyDescent="0.2">
      <c r="A17" s="14">
        <v>8</v>
      </c>
      <c r="B17" s="156" t="s">
        <v>1110</v>
      </c>
      <c r="C17" s="157">
        <v>9</v>
      </c>
      <c r="D17" s="45">
        <f>'Alloc &amp; Returns'!M$358</f>
        <v>2140736.2552060075</v>
      </c>
      <c r="E17" s="45">
        <f>'Alloc &amp; Returns'!M$393</f>
        <v>1766225.1444693771</v>
      </c>
      <c r="F17" s="45">
        <f t="shared" si="3"/>
        <v>374511.11073663039</v>
      </c>
      <c r="G17" s="45">
        <f>'Alloc &amp; Returns'!M$401</f>
        <v>1006335.0956305987</v>
      </c>
      <c r="H17" s="105">
        <f t="shared" ref="H17" si="4">IF(G17=0,0,F17/G17)</f>
        <v>0.37215348283361904</v>
      </c>
      <c r="I17" s="55">
        <f>H17/H$31</f>
        <v>7.4440768767025975</v>
      </c>
      <c r="K17" s="46"/>
      <c r="L17" s="45"/>
      <c r="M17" s="31"/>
      <c r="P17" s="38"/>
    </row>
    <row r="18" spans="1:16" ht="13.9" customHeight="1" x14ac:dyDescent="0.2">
      <c r="A18" s="14">
        <v>9</v>
      </c>
      <c r="B18" s="156" t="s">
        <v>1111</v>
      </c>
      <c r="C18" s="157">
        <v>10</v>
      </c>
      <c r="D18" s="45">
        <f>'Alloc &amp; Returns'!N$358</f>
        <v>2633142.3076034933</v>
      </c>
      <c r="E18" s="45">
        <f>'Alloc &amp; Returns'!N$393</f>
        <v>2267781.3922751886</v>
      </c>
      <c r="F18" s="45">
        <f t="shared" si="3"/>
        <v>365360.91532830475</v>
      </c>
      <c r="G18" s="45">
        <f>'Alloc &amp; Returns'!N$401</f>
        <v>1163045.8832072474</v>
      </c>
      <c r="H18" s="105">
        <f t="shared" ref="H18:H25" si="5">IF(G18=0,0,F18/G18)</f>
        <v>0.31414144583941556</v>
      </c>
      <c r="I18" s="55">
        <f t="shared" ref="I18:I25" si="6">H18/H$31</f>
        <v>6.283679129324713</v>
      </c>
      <c r="K18" s="46"/>
      <c r="L18" s="45"/>
      <c r="M18" s="31"/>
      <c r="P18" s="38"/>
    </row>
    <row r="19" spans="1:16" ht="13.9" customHeight="1" x14ac:dyDescent="0.2">
      <c r="A19" s="14">
        <v>10</v>
      </c>
      <c r="B19" s="156" t="s">
        <v>1112</v>
      </c>
      <c r="C19" s="157">
        <v>14</v>
      </c>
      <c r="D19" s="45">
        <f>'Alloc &amp; Returns'!O$358</f>
        <v>704463.35082548531</v>
      </c>
      <c r="E19" s="45">
        <f>'Alloc &amp; Returns'!O$393</f>
        <v>587265.41039413563</v>
      </c>
      <c r="F19" s="45">
        <f t="shared" si="3"/>
        <v>117197.94043134968</v>
      </c>
      <c r="G19" s="45">
        <f>'Alloc &amp; Returns'!O$401</f>
        <v>278570.64051221864</v>
      </c>
      <c r="H19" s="105">
        <f t="shared" si="5"/>
        <v>0.42071174555887614</v>
      </c>
      <c r="I19" s="55">
        <f t="shared" si="6"/>
        <v>8.4153735524011601</v>
      </c>
      <c r="K19" s="46"/>
      <c r="L19" s="45"/>
      <c r="M19" s="31"/>
      <c r="P19" s="38"/>
    </row>
    <row r="20" spans="1:16" ht="13.9" customHeight="1" x14ac:dyDescent="0.2">
      <c r="A20" s="14">
        <v>11</v>
      </c>
      <c r="B20" s="156" t="s">
        <v>1113</v>
      </c>
      <c r="C20" s="157">
        <v>15</v>
      </c>
      <c r="D20" s="45">
        <f>'Alloc &amp; Returns'!P$358</f>
        <v>109018.71280564634</v>
      </c>
      <c r="E20" s="45">
        <f>'Alloc &amp; Returns'!P$393</f>
        <v>64544.486484666784</v>
      </c>
      <c r="F20" s="45">
        <f t="shared" si="3"/>
        <v>44474.226320979556</v>
      </c>
      <c r="G20" s="45">
        <f>'Alloc &amp; Returns'!P$401</f>
        <v>84857.901447562879</v>
      </c>
      <c r="H20" s="105">
        <f t="shared" si="5"/>
        <v>0.52410235891188017</v>
      </c>
      <c r="I20" s="55">
        <f t="shared" si="6"/>
        <v>10.483465642441567</v>
      </c>
      <c r="K20" s="46"/>
      <c r="L20" s="45"/>
      <c r="M20" s="31"/>
      <c r="P20" s="38"/>
    </row>
    <row r="21" spans="1:16" ht="13.9" customHeight="1" x14ac:dyDescent="0.2">
      <c r="A21" s="14">
        <v>12</v>
      </c>
      <c r="B21" s="156" t="s">
        <v>1114</v>
      </c>
      <c r="C21" s="157">
        <v>20</v>
      </c>
      <c r="D21" s="45">
        <f>'Alloc &amp; Returns'!Q$358</f>
        <v>107261.2918490968</v>
      </c>
      <c r="E21" s="45">
        <f>'Alloc &amp; Returns'!Q$393</f>
        <v>169524.94773252081</v>
      </c>
      <c r="F21" s="45">
        <f t="shared" si="3"/>
        <v>-62263.655883424013</v>
      </c>
      <c r="G21" s="45">
        <f>'Alloc &amp; Returns'!Q$401</f>
        <v>291115.74032693595</v>
      </c>
      <c r="H21" s="105">
        <f t="shared" si="5"/>
        <v>-0.21387938630009889</v>
      </c>
      <c r="I21" s="55">
        <f t="shared" si="6"/>
        <v>-4.2781665828765441</v>
      </c>
      <c r="K21" s="46"/>
      <c r="L21" s="45"/>
      <c r="M21" s="31"/>
      <c r="P21" s="38"/>
    </row>
    <row r="22" spans="1:16" ht="13.9" customHeight="1" x14ac:dyDescent="0.2">
      <c r="A22" s="14">
        <v>13</v>
      </c>
      <c r="B22" s="156" t="s">
        <v>1115</v>
      </c>
      <c r="C22" s="157">
        <v>24</v>
      </c>
      <c r="D22" s="45">
        <f>'Alloc &amp; Returns'!R$358</f>
        <v>1357529.1227171917</v>
      </c>
      <c r="E22" s="45">
        <f>'Alloc &amp; Returns'!R$393</f>
        <v>1195941.9766630363</v>
      </c>
      <c r="F22" s="45">
        <f t="shared" si="3"/>
        <v>161587.14605415543</v>
      </c>
      <c r="G22" s="45">
        <f>'Alloc &amp; Returns'!R$401</f>
        <v>629717.63438720745</v>
      </c>
      <c r="H22" s="105">
        <f t="shared" si="5"/>
        <v>0.25660254252114051</v>
      </c>
      <c r="I22" s="55">
        <f t="shared" si="6"/>
        <v>5.1327453359846915</v>
      </c>
      <c r="K22" s="46"/>
      <c r="L22" s="45"/>
      <c r="M22" s="31"/>
      <c r="P22" s="38"/>
    </row>
    <row r="23" spans="1:16" ht="13.9" hidden="1" customHeight="1" x14ac:dyDescent="0.2">
      <c r="A23" s="14">
        <v>14</v>
      </c>
      <c r="B23" s="156" t="s">
        <v>1116</v>
      </c>
      <c r="C23" s="157">
        <v>36</v>
      </c>
      <c r="D23" s="45">
        <f>'Alloc &amp; Returns'!S$358</f>
        <v>0</v>
      </c>
      <c r="E23" s="45">
        <f>'Alloc &amp; Returns'!S$393</f>
        <v>0</v>
      </c>
      <c r="F23" s="45">
        <f t="shared" si="3"/>
        <v>0</v>
      </c>
      <c r="G23" s="45">
        <f>'Alloc &amp; Returns'!S$401</f>
        <v>0</v>
      </c>
      <c r="H23" s="105">
        <f t="shared" si="5"/>
        <v>0</v>
      </c>
      <c r="I23" s="55">
        <f t="shared" si="6"/>
        <v>0</v>
      </c>
      <c r="K23" s="46"/>
      <c r="L23" s="45"/>
      <c r="M23" s="31"/>
      <c r="P23" s="38"/>
    </row>
    <row r="24" spans="1:16" ht="13.9" customHeight="1" x14ac:dyDescent="0.2">
      <c r="A24" s="14">
        <v>15</v>
      </c>
      <c r="B24" s="156" t="s">
        <v>1117</v>
      </c>
      <c r="C24" s="157">
        <v>50</v>
      </c>
      <c r="D24" s="45">
        <f>'Alloc &amp; Returns'!T$358</f>
        <v>66922.076245885779</v>
      </c>
      <c r="E24" s="45">
        <f>'Alloc &amp; Returns'!T$393</f>
        <v>46466.026193196005</v>
      </c>
      <c r="F24" s="45">
        <f t="shared" si="3"/>
        <v>20456.050052689774</v>
      </c>
      <c r="G24" s="45">
        <f>'Alloc &amp; Returns'!T$401</f>
        <v>67182.49413946901</v>
      </c>
      <c r="H24" s="105">
        <f t="shared" si="5"/>
        <v>0.30448482621415596</v>
      </c>
      <c r="I24" s="55">
        <f t="shared" si="6"/>
        <v>6.0905206015254567</v>
      </c>
      <c r="K24" s="46"/>
      <c r="L24" s="45"/>
      <c r="M24" s="31"/>
      <c r="P24" s="38"/>
    </row>
    <row r="25" spans="1:16" ht="13.9" customHeight="1" x14ac:dyDescent="0.2">
      <c r="A25" s="14">
        <v>16</v>
      </c>
      <c r="B25" s="2" t="s">
        <v>726</v>
      </c>
      <c r="C25" s="14" t="s">
        <v>1169</v>
      </c>
      <c r="D25" s="45">
        <f>'Alloc &amp; Returns'!U$358</f>
        <v>1174635.9029031747</v>
      </c>
      <c r="E25" s="45">
        <f>'Alloc &amp; Returns'!U$393</f>
        <v>303799.91719143942</v>
      </c>
      <c r="F25" s="45">
        <f t="shared" si="3"/>
        <v>870835.98571173532</v>
      </c>
      <c r="G25" s="45">
        <f>'Alloc &amp; Returns'!U$401</f>
        <v>3445981.5678014602</v>
      </c>
      <c r="H25" s="105">
        <f t="shared" si="5"/>
        <v>0.2527105756596747</v>
      </c>
      <c r="I25" s="55">
        <f t="shared" si="6"/>
        <v>5.0548954652868989</v>
      </c>
      <c r="K25" s="46"/>
      <c r="L25" s="45"/>
      <c r="M25" s="31"/>
      <c r="P25" s="38"/>
    </row>
    <row r="26" spans="1:16" ht="13.9" hidden="1" customHeight="1" x14ac:dyDescent="0.2">
      <c r="A26" s="14"/>
      <c r="B26" s="2"/>
      <c r="C26" s="14"/>
      <c r="D26" s="14"/>
      <c r="E26" s="14"/>
      <c r="F26" s="14"/>
      <c r="G26" s="14"/>
      <c r="H26" s="14"/>
      <c r="I26" s="14"/>
      <c r="K26" s="46"/>
      <c r="L26" s="78"/>
      <c r="M26" s="31"/>
      <c r="P26" s="38"/>
    </row>
    <row r="27" spans="1:16" ht="13.9" hidden="1" customHeight="1" x14ac:dyDescent="0.2">
      <c r="A27" s="14"/>
      <c r="B27" s="2"/>
      <c r="C27" s="14"/>
      <c r="D27" s="47"/>
      <c r="E27" s="45"/>
      <c r="F27" s="47"/>
      <c r="G27" s="47"/>
      <c r="H27" s="46"/>
      <c r="I27" s="46"/>
      <c r="K27" s="46"/>
      <c r="L27" s="45"/>
      <c r="M27" s="31"/>
      <c r="P27" s="38"/>
    </row>
    <row r="28" spans="1:16" ht="13.9" hidden="1" customHeight="1" x14ac:dyDescent="0.2">
      <c r="A28" s="14"/>
      <c r="B28" s="2"/>
      <c r="C28" s="14"/>
      <c r="D28" s="47"/>
      <c r="E28" s="45"/>
      <c r="F28" s="47"/>
      <c r="G28" s="47"/>
      <c r="H28" s="46"/>
      <c r="I28" s="46"/>
      <c r="K28" s="46"/>
      <c r="L28" s="45"/>
      <c r="M28" s="31"/>
      <c r="P28" s="38"/>
    </row>
    <row r="29" spans="1:16" ht="13.9" hidden="1" customHeight="1" x14ac:dyDescent="0.2">
      <c r="A29" s="14"/>
      <c r="B29" s="2"/>
      <c r="C29" s="14"/>
      <c r="D29" s="47"/>
      <c r="E29" s="45"/>
      <c r="F29" s="47"/>
      <c r="G29" s="47"/>
      <c r="H29" s="46"/>
      <c r="I29" s="46"/>
      <c r="K29" s="46"/>
      <c r="L29" s="45"/>
      <c r="M29" s="31"/>
      <c r="P29" s="38"/>
    </row>
    <row r="30" spans="1:16" ht="13.9" hidden="1" customHeight="1" x14ac:dyDescent="0.2">
      <c r="A30" s="14"/>
      <c r="B30" s="2"/>
      <c r="C30" s="14"/>
      <c r="D30" s="47"/>
      <c r="E30" s="45"/>
      <c r="F30" s="47"/>
      <c r="G30" s="47"/>
      <c r="H30" s="46"/>
      <c r="I30" s="46"/>
      <c r="K30" s="46"/>
      <c r="L30" s="45"/>
      <c r="M30" s="31"/>
      <c r="P30" s="38"/>
    </row>
    <row r="31" spans="1:16" s="54" customFormat="1" ht="29.45" customHeight="1" thickBot="1" x14ac:dyDescent="0.25">
      <c r="A31" s="48">
        <v>17</v>
      </c>
      <c r="B31" s="49" t="s">
        <v>0</v>
      </c>
      <c r="C31" s="50"/>
      <c r="D31" s="51">
        <f>SUM(D10:D30)</f>
        <v>53573949.149911277</v>
      </c>
      <c r="E31" s="51">
        <f>SUM(E10:E30)</f>
        <v>49170938.820787758</v>
      </c>
      <c r="F31" s="51">
        <f t="shared" si="1"/>
        <v>4403010.3291235194</v>
      </c>
      <c r="G31" s="51">
        <f>SUM(G10:G30)</f>
        <v>88072123.171730757</v>
      </c>
      <c r="H31" s="52">
        <f>F31/G31</f>
        <v>4.9993234755316883E-2</v>
      </c>
      <c r="I31" s="53">
        <f>H31/H$31</f>
        <v>1</v>
      </c>
      <c r="J31" s="2"/>
      <c r="K31" s="40"/>
      <c r="L31" s="32"/>
      <c r="M31" s="31"/>
      <c r="N31" s="2"/>
      <c r="O31" s="2"/>
      <c r="P31" s="38"/>
    </row>
    <row r="32" spans="1:16" s="54" customFormat="1" ht="13.9" customHeight="1" thickTop="1" x14ac:dyDescent="0.2">
      <c r="A32" s="48"/>
      <c r="C32" s="48"/>
      <c r="D32" s="139"/>
      <c r="E32" s="139"/>
      <c r="F32" s="139"/>
      <c r="G32" s="139"/>
      <c r="H32" s="140"/>
      <c r="I32" s="141"/>
      <c r="J32" s="41"/>
      <c r="K32" s="32"/>
      <c r="L32" s="32"/>
      <c r="M32" s="31"/>
      <c r="N32" s="2"/>
      <c r="O32" s="2"/>
      <c r="P32" s="38"/>
    </row>
    <row r="33" spans="1:16" ht="13.9" customHeight="1" x14ac:dyDescent="0.2">
      <c r="A33" s="14"/>
      <c r="B33" s="2"/>
      <c r="C33" s="14"/>
      <c r="D33" s="14"/>
      <c r="E33" s="14"/>
      <c r="F33" s="14"/>
      <c r="G33" s="14"/>
      <c r="H33" s="262"/>
      <c r="I33" s="261" t="s">
        <v>1009</v>
      </c>
      <c r="J33" s="41"/>
      <c r="M33" s="31"/>
      <c r="P33" s="38"/>
    </row>
    <row r="34" spans="1:16" ht="13.9" customHeight="1" x14ac:dyDescent="0.2">
      <c r="A34" s="14"/>
      <c r="B34" s="2"/>
      <c r="C34" s="14"/>
      <c r="F34" s="30"/>
      <c r="H34" s="39" t="s">
        <v>872</v>
      </c>
      <c r="I34" s="39" t="s">
        <v>907</v>
      </c>
      <c r="J34" s="32"/>
      <c r="N34" s="38"/>
      <c r="O34" s="38"/>
      <c r="P34" s="38"/>
    </row>
    <row r="35" spans="1:16" ht="13.9" customHeight="1" x14ac:dyDescent="0.2">
      <c r="F35" s="2"/>
      <c r="H35" s="9" t="s">
        <v>334</v>
      </c>
      <c r="I35" s="9" t="s">
        <v>334</v>
      </c>
      <c r="J35" s="32"/>
    </row>
    <row r="36" spans="1:16" ht="13.9" customHeight="1" x14ac:dyDescent="0.2">
      <c r="A36" s="38"/>
      <c r="B36" s="38"/>
      <c r="C36" s="14"/>
      <c r="D36" s="39" t="s">
        <v>987</v>
      </c>
      <c r="E36" s="39" t="s">
        <v>998</v>
      </c>
      <c r="F36" s="2"/>
      <c r="H36" s="35" t="s">
        <v>836</v>
      </c>
      <c r="I36" s="35" t="s">
        <v>836</v>
      </c>
      <c r="J36" s="32"/>
    </row>
    <row r="37" spans="1:16" ht="13.9" customHeight="1" thickBot="1" x14ac:dyDescent="0.25">
      <c r="A37" s="42" t="s">
        <v>913</v>
      </c>
      <c r="B37" s="43" t="s">
        <v>725</v>
      </c>
      <c r="C37" s="43" t="s">
        <v>838</v>
      </c>
      <c r="D37" s="44" t="s">
        <v>348</v>
      </c>
      <c r="E37" s="44" t="s">
        <v>11</v>
      </c>
      <c r="F37" s="2"/>
      <c r="H37" s="137">
        <v>7</v>
      </c>
      <c r="I37" s="137">
        <v>8</v>
      </c>
      <c r="J37" s="32"/>
    </row>
    <row r="38" spans="1:16" ht="13.9" customHeight="1" x14ac:dyDescent="0.2">
      <c r="A38" s="14"/>
      <c r="B38" s="2"/>
      <c r="C38" s="38"/>
      <c r="D38" s="96"/>
      <c r="E38" s="96"/>
      <c r="F38" s="2"/>
      <c r="J38" s="32"/>
    </row>
    <row r="39" spans="1:16" ht="13.9" customHeight="1" x14ac:dyDescent="0.2">
      <c r="A39" s="14">
        <f>A31+1</f>
        <v>18</v>
      </c>
      <c r="B39" s="2" t="str">
        <f t="shared" ref="B39:C39" si="7">B10</f>
        <v xml:space="preserve">Schedule R - Residential Rate </v>
      </c>
      <c r="C39" s="14">
        <f t="shared" si="7"/>
        <v>1</v>
      </c>
      <c r="D39" s="133">
        <f t="shared" ref="D39:D54" si="8">D10/D$31</f>
        <v>0.66266886414288995</v>
      </c>
      <c r="E39" s="133">
        <f>'Billing Det'!P8</f>
        <v>0.64051425241508797</v>
      </c>
      <c r="F39" s="2"/>
      <c r="H39" s="105">
        <v>4.0310108718941751E-2</v>
      </c>
      <c r="I39" s="55">
        <v>0.5244917718917419</v>
      </c>
      <c r="J39" s="32"/>
      <c r="M39" s="32"/>
    </row>
    <row r="40" spans="1:16" ht="13.9" hidden="1" customHeight="1" x14ac:dyDescent="0.2">
      <c r="A40" s="14">
        <f>A39+1</f>
        <v>19</v>
      </c>
      <c r="B40" s="2" t="str">
        <f t="shared" ref="B40:C40" si="9">B11</f>
        <v>Schedule R - Pay As You Go ("Prepay")</v>
      </c>
      <c r="C40" s="14">
        <f t="shared" si="9"/>
        <v>2</v>
      </c>
      <c r="D40" s="133">
        <f t="shared" si="8"/>
        <v>0</v>
      </c>
      <c r="E40" s="133">
        <f>'Billing Det'!P9</f>
        <v>0</v>
      </c>
      <c r="F40" s="2"/>
      <c r="H40" s="105" t="s">
        <v>1144</v>
      </c>
      <c r="I40" s="55" t="s">
        <v>1144</v>
      </c>
      <c r="J40" s="32"/>
      <c r="M40" s="32"/>
    </row>
    <row r="41" spans="1:16" ht="13.9" customHeight="1" x14ac:dyDescent="0.2">
      <c r="A41" s="14">
        <f t="shared" ref="A41:A46" si="10">A40+1</f>
        <v>20</v>
      </c>
      <c r="B41" s="2" t="str">
        <f t="shared" ref="B41:C41" si="11">B12</f>
        <v>Schedule R - Residential Time of Day Rate</v>
      </c>
      <c r="C41" s="14">
        <f t="shared" si="11"/>
        <v>3</v>
      </c>
      <c r="D41" s="133">
        <f t="shared" si="8"/>
        <v>2.4345845335437346E-5</v>
      </c>
      <c r="E41" s="133">
        <f>'Billing Det'!P10</f>
        <v>2.2959078820764597E-5</v>
      </c>
      <c r="F41" s="2"/>
      <c r="H41" s="105">
        <v>4.9179251299698329E-2</v>
      </c>
      <c r="I41" s="55">
        <v>0.63989191481310381</v>
      </c>
    </row>
    <row r="42" spans="1:16" ht="13.9" customHeight="1" x14ac:dyDescent="0.2">
      <c r="A42" s="14">
        <f t="shared" si="10"/>
        <v>21</v>
      </c>
      <c r="B42" s="2" t="str">
        <f t="shared" ref="B42:C42" si="12">B13</f>
        <v>Schedule C - Comm. &amp; Indust. Service Rate &lt; 50 kW</v>
      </c>
      <c r="C42" s="14">
        <f t="shared" si="12"/>
        <v>4</v>
      </c>
      <c r="D42" s="133">
        <f t="shared" si="8"/>
        <v>7.568668299653715E-2</v>
      </c>
      <c r="E42" s="133">
        <f>'Billing Det'!P11</f>
        <v>7.1006851449663511E-2</v>
      </c>
      <c r="F42" s="2"/>
      <c r="H42" s="105">
        <v>8.6777276745682363E-2</v>
      </c>
      <c r="I42" s="55">
        <v>1.1290956310146578</v>
      </c>
    </row>
    <row r="43" spans="1:16" ht="13.9" customHeight="1" x14ac:dyDescent="0.2">
      <c r="A43" s="14">
        <f t="shared" si="10"/>
        <v>22</v>
      </c>
      <c r="B43" s="2" t="str">
        <f t="shared" ref="B43:C43" si="13">B14</f>
        <v>Schedule C - Comm. &amp; Indust. Service Rate &gt; 50 kW</v>
      </c>
      <c r="C43" s="14">
        <f t="shared" si="13"/>
        <v>5</v>
      </c>
      <c r="D43" s="133">
        <f t="shared" si="8"/>
        <v>0.10650062844781114</v>
      </c>
      <c r="E43" s="133">
        <f>'Billing Det'!P12</f>
        <v>0.10939852702044434</v>
      </c>
      <c r="F43" s="2"/>
      <c r="H43" s="105">
        <v>0.42874426981182989</v>
      </c>
      <c r="I43" s="55">
        <v>5.578571949034953</v>
      </c>
    </row>
    <row r="44" spans="1:16" ht="13.9" customHeight="1" x14ac:dyDescent="0.2">
      <c r="A44" s="14">
        <f t="shared" si="10"/>
        <v>23</v>
      </c>
      <c r="B44" s="2" t="str">
        <f t="shared" ref="B44:C44" si="14">B15</f>
        <v>Residential Off Peak Electric Thermal Storage Tariff</v>
      </c>
      <c r="C44" s="14">
        <f t="shared" si="14"/>
        <v>7</v>
      </c>
      <c r="D44" s="133">
        <f t="shared" si="8"/>
        <v>3.1086072690766529E-4</v>
      </c>
      <c r="E44" s="133">
        <f>'Billing Det'!P13</f>
        <v>5.4399419220110194E-4</v>
      </c>
      <c r="F44" s="2"/>
      <c r="H44" s="105">
        <v>-8.7866949004229852E-2</v>
      </c>
      <c r="I44" s="55">
        <v>-1.1432738148953252</v>
      </c>
    </row>
    <row r="45" spans="1:16" ht="13.9" hidden="1" customHeight="1" x14ac:dyDescent="0.2">
      <c r="A45" s="14">
        <f t="shared" si="10"/>
        <v>24</v>
      </c>
      <c r="B45" s="2" t="str">
        <f t="shared" ref="B45:C45" si="15">B16</f>
        <v>Small Comm. Off-Peak Electric Thermal Storage Tariff</v>
      </c>
      <c r="C45" s="14">
        <f t="shared" si="15"/>
        <v>8</v>
      </c>
      <c r="D45" s="133">
        <f t="shared" si="8"/>
        <v>0</v>
      </c>
      <c r="E45" s="133">
        <f>'Billing Det'!P14</f>
        <v>0</v>
      </c>
      <c r="F45" s="2"/>
      <c r="H45" s="105" t="s">
        <v>1144</v>
      </c>
      <c r="I45" s="55" t="s">
        <v>1144</v>
      </c>
    </row>
    <row r="46" spans="1:16" ht="13.9" customHeight="1" x14ac:dyDescent="0.2">
      <c r="A46" s="14">
        <f t="shared" si="10"/>
        <v>25</v>
      </c>
      <c r="B46" s="2" t="str">
        <f t="shared" ref="B46:C46" si="16">B17</f>
        <v>Schedule C - Large Commercial 10% Discount</v>
      </c>
      <c r="C46" s="14">
        <f t="shared" si="16"/>
        <v>9</v>
      </c>
      <c r="D46" s="133">
        <f t="shared" si="8"/>
        <v>3.9958530016440889E-2</v>
      </c>
      <c r="E46" s="133">
        <f>'Billing Det'!P15</f>
        <v>5.014988294109287E-2</v>
      </c>
      <c r="F46" s="2"/>
      <c r="H46" s="105">
        <v>0.37215348283361904</v>
      </c>
      <c r="I46" s="55">
        <v>4.842245427518959</v>
      </c>
    </row>
    <row r="47" spans="1:16" ht="13.9" customHeight="1" x14ac:dyDescent="0.2">
      <c r="A47" s="14">
        <f t="shared" ref="A47:A54" si="17">A41+1</f>
        <v>21</v>
      </c>
      <c r="B47" s="2" t="str">
        <f t="shared" ref="B47:C47" si="18">B18</f>
        <v>Schedule E - Large Industrial Rate</v>
      </c>
      <c r="C47" s="14">
        <f t="shared" si="18"/>
        <v>10</v>
      </c>
      <c r="D47" s="133">
        <f t="shared" si="8"/>
        <v>4.9149677210380785E-2</v>
      </c>
      <c r="E47" s="133">
        <f>'Billing Det'!P16</f>
        <v>6.9857896775882583E-2</v>
      </c>
      <c r="F47" s="2"/>
      <c r="H47" s="105">
        <v>0.31414144583941556</v>
      </c>
      <c r="I47" s="55">
        <v>4.0874264245168295</v>
      </c>
    </row>
    <row r="48" spans="1:16" ht="13.9" customHeight="1" x14ac:dyDescent="0.2">
      <c r="A48" s="14">
        <f t="shared" si="17"/>
        <v>22</v>
      </c>
      <c r="B48" s="2" t="str">
        <f t="shared" ref="B48:C48" si="19">B19</f>
        <v>Schedule LPC-2   Large Power Rate Tariff</v>
      </c>
      <c r="C48" s="14">
        <f t="shared" si="19"/>
        <v>14</v>
      </c>
      <c r="D48" s="133">
        <f t="shared" si="8"/>
        <v>1.3149363860675034E-2</v>
      </c>
      <c r="E48" s="133">
        <f>'Billing Det'!P17</f>
        <v>1.7209714461442364E-2</v>
      </c>
      <c r="F48" s="2"/>
      <c r="H48" s="105">
        <v>0.42071174555887614</v>
      </c>
      <c r="I48" s="55">
        <v>5.4740573989113157</v>
      </c>
    </row>
    <row r="49" spans="1:9" ht="13.9" customHeight="1" x14ac:dyDescent="0.2">
      <c r="A49" s="14">
        <f t="shared" si="17"/>
        <v>23</v>
      </c>
      <c r="B49" s="2" t="str">
        <f t="shared" ref="B49:C49" si="20">B20</f>
        <v xml:space="preserve">Schedule D - Large Comm/Ind Opt Time of Day Rate </v>
      </c>
      <c r="C49" s="14">
        <f t="shared" si="20"/>
        <v>15</v>
      </c>
      <c r="D49" s="133">
        <f t="shared" si="8"/>
        <v>2.0349202277507835E-3</v>
      </c>
      <c r="E49" s="133">
        <f>'Billing Det'!P18</f>
        <v>1.5793089571069026E-3</v>
      </c>
      <c r="F49" s="2"/>
      <c r="H49" s="105">
        <v>0.52410235891188017</v>
      </c>
      <c r="I49" s="55">
        <v>6.8193161371743942</v>
      </c>
    </row>
    <row r="50" spans="1:9" ht="13.9" customHeight="1" x14ac:dyDescent="0.2">
      <c r="A50" s="14">
        <f t="shared" si="17"/>
        <v>24</v>
      </c>
      <c r="B50" s="2" t="str">
        <f t="shared" ref="B50:C50" si="21">B21</f>
        <v>Net Metering Tariff</v>
      </c>
      <c r="C50" s="14">
        <f t="shared" si="21"/>
        <v>20</v>
      </c>
      <c r="D50" s="133">
        <f t="shared" si="8"/>
        <v>2.0021165799996737E-3</v>
      </c>
      <c r="E50" s="133">
        <f>'Billing Det'!P19</f>
        <v>3.3842883061098263E-3</v>
      </c>
      <c r="F50" s="2"/>
      <c r="H50" s="105">
        <v>-0.18982894183379478</v>
      </c>
      <c r="I50" s="55">
        <v>-2.4699441709011412</v>
      </c>
    </row>
    <row r="51" spans="1:9" ht="13.9" hidden="1" customHeight="1" x14ac:dyDescent="0.2">
      <c r="A51" s="14">
        <f t="shared" si="17"/>
        <v>25</v>
      </c>
      <c r="B51" s="2" t="str">
        <f t="shared" ref="B51:C51" si="22">B22</f>
        <v>Schedule LPE4 Interruptible 1500 Firm 200</v>
      </c>
      <c r="C51" s="14">
        <f t="shared" si="22"/>
        <v>24</v>
      </c>
      <c r="D51" s="133">
        <f t="shared" si="8"/>
        <v>2.5339351387341957E-2</v>
      </c>
      <c r="E51" s="133">
        <f>'Billing Det'!P20</f>
        <v>3.4300700752270402E-2</v>
      </c>
      <c r="F51" s="2"/>
      <c r="H51" s="105">
        <v>0.25660254252114051</v>
      </c>
      <c r="I51" s="55">
        <v>3.338763562689103</v>
      </c>
    </row>
    <row r="52" spans="1:9" ht="13.9" customHeight="1" x14ac:dyDescent="0.2">
      <c r="A52" s="14">
        <f t="shared" si="17"/>
        <v>26</v>
      </c>
      <c r="B52" s="2" t="str">
        <f t="shared" ref="B52:C52" si="23">B23</f>
        <v>Schedule LPE-4  Large Power Time of DayRate Tariff</v>
      </c>
      <c r="C52" s="14">
        <f t="shared" si="23"/>
        <v>36</v>
      </c>
      <c r="D52" s="133">
        <f t="shared" si="8"/>
        <v>0</v>
      </c>
      <c r="E52" s="133">
        <f>'Billing Det'!P21</f>
        <v>0</v>
      </c>
      <c r="F52" s="2"/>
      <c r="H52" s="105">
        <v>0</v>
      </c>
      <c r="I52" s="55">
        <v>0</v>
      </c>
    </row>
    <row r="53" spans="1:9" ht="13.9" customHeight="1" x14ac:dyDescent="0.2">
      <c r="A53" s="14">
        <f t="shared" si="17"/>
        <v>22</v>
      </c>
      <c r="B53" s="2" t="str">
        <f t="shared" ref="B53:C53" si="24">B24</f>
        <v>Schedule C - TOD Comm - Three Phase</v>
      </c>
      <c r="C53" s="14">
        <f t="shared" si="24"/>
        <v>50</v>
      </c>
      <c r="D53" s="133">
        <f t="shared" si="8"/>
        <v>1.2491533162624171E-3</v>
      </c>
      <c r="E53" s="133">
        <f>'Billing Det'!P22</f>
        <v>1.1564756445998151E-3</v>
      </c>
      <c r="F53" s="2"/>
      <c r="H53" s="105">
        <v>0.30448482621415596</v>
      </c>
      <c r="I53" s="55">
        <v>3.9617800866949464</v>
      </c>
    </row>
    <row r="54" spans="1:9" ht="13.9" customHeight="1" x14ac:dyDescent="0.2">
      <c r="A54" s="14">
        <f t="shared" si="17"/>
        <v>23</v>
      </c>
      <c r="B54" s="2" t="str">
        <f t="shared" ref="B54:C54" si="25">B25</f>
        <v>Lighting</v>
      </c>
      <c r="C54" s="14" t="str">
        <f t="shared" si="25"/>
        <v>OL</v>
      </c>
      <c r="D54" s="133">
        <f t="shared" si="8"/>
        <v>2.1925505241666882E-2</v>
      </c>
      <c r="E54" s="133">
        <f>'Billing Det'!P23</f>
        <v>8.7514800527759625E-4</v>
      </c>
      <c r="F54" s="2"/>
      <c r="H54" s="105">
        <v>0.2527105756596747</v>
      </c>
      <c r="I54" s="55">
        <v>3.2881235455770943</v>
      </c>
    </row>
    <row r="55" spans="1:9" ht="13.9" hidden="1" customHeight="1" x14ac:dyDescent="0.2">
      <c r="B55" s="2"/>
      <c r="C55" s="2"/>
      <c r="D55" s="2"/>
      <c r="E55" s="2"/>
      <c r="F55" s="2"/>
      <c r="H55" s="2"/>
      <c r="I55" s="2"/>
    </row>
    <row r="56" spans="1:9" ht="26.25" customHeight="1" thickBot="1" x14ac:dyDescent="0.25">
      <c r="A56" s="48">
        <v>24</v>
      </c>
      <c r="B56" s="49" t="s">
        <v>0</v>
      </c>
      <c r="C56" s="49"/>
      <c r="D56" s="134">
        <f>D31/D$31</f>
        <v>1</v>
      </c>
      <c r="E56" s="134">
        <f>E31/E$31</f>
        <v>1</v>
      </c>
      <c r="F56" s="2"/>
      <c r="H56" s="52">
        <v>6.7000000000000004E-2</v>
      </c>
      <c r="I56" s="53">
        <v>1</v>
      </c>
    </row>
    <row r="57" spans="1:9" ht="13.5" thickTop="1" x14ac:dyDescent="0.2">
      <c r="F57" s="2"/>
    </row>
    <row r="63" spans="1:9" x14ac:dyDescent="0.2">
      <c r="B63" s="14" t="s">
        <v>1170</v>
      </c>
    </row>
    <row r="65" spans="1:8" x14ac:dyDescent="0.2">
      <c r="A65" s="224"/>
      <c r="B65" s="228"/>
      <c r="C65" s="229"/>
      <c r="D65" s="251" t="s">
        <v>1175</v>
      </c>
      <c r="E65" s="264" t="s">
        <v>1171</v>
      </c>
      <c r="F65" s="265"/>
      <c r="G65" s="266" t="s">
        <v>1174</v>
      </c>
      <c r="H65" s="267"/>
    </row>
    <row r="66" spans="1:8" x14ac:dyDescent="0.2">
      <c r="A66" s="225" t="s">
        <v>913</v>
      </c>
      <c r="B66" s="84" t="s">
        <v>725</v>
      </c>
      <c r="C66" s="230" t="s">
        <v>838</v>
      </c>
      <c r="D66" s="252" t="s">
        <v>1176</v>
      </c>
      <c r="E66" s="233" t="s">
        <v>1172</v>
      </c>
      <c r="F66" s="237" t="s">
        <v>1173</v>
      </c>
      <c r="G66" s="234" t="s">
        <v>1172</v>
      </c>
      <c r="H66" s="235" t="s">
        <v>1173</v>
      </c>
    </row>
    <row r="67" spans="1:8" x14ac:dyDescent="0.2">
      <c r="A67" s="231">
        <v>1</v>
      </c>
      <c r="B67" s="16" t="str">
        <f>B10</f>
        <v xml:space="preserve">Schedule R - Residential Rate </v>
      </c>
      <c r="C67" s="232">
        <f>C10</f>
        <v>1</v>
      </c>
      <c r="D67" s="226">
        <f>D39</f>
        <v>0.66266886414288995</v>
      </c>
      <c r="E67" s="105">
        <f>H10</f>
        <v>7.4348157253215823E-3</v>
      </c>
      <c r="F67" s="55">
        <f>I10</f>
        <v>0.14871643656806732</v>
      </c>
      <c r="G67" s="247">
        <f>H39</f>
        <v>4.0310108718941751E-2</v>
      </c>
      <c r="H67" s="248">
        <f>I39</f>
        <v>0.5244917718917419</v>
      </c>
    </row>
    <row r="68" spans="1:8" x14ac:dyDescent="0.2">
      <c r="A68" s="231">
        <v>2</v>
      </c>
      <c r="B68" s="16" t="str">
        <f t="shared" ref="B68:C68" si="26">B11</f>
        <v>Schedule R - Pay As You Go ("Prepay")</v>
      </c>
      <c r="C68" s="232">
        <f t="shared" si="26"/>
        <v>2</v>
      </c>
      <c r="D68" s="227">
        <f t="shared" ref="D68:D82" si="27">D40</f>
        <v>0</v>
      </c>
      <c r="E68" s="105" t="str">
        <f t="shared" ref="E68:F68" si="28">H11</f>
        <v>NA</v>
      </c>
      <c r="F68" s="55" t="str">
        <f t="shared" si="28"/>
        <v>NA</v>
      </c>
      <c r="G68" s="238" t="str">
        <f t="shared" ref="G68:H68" si="29">H40</f>
        <v>NA</v>
      </c>
      <c r="H68" s="236" t="str">
        <f t="shared" si="29"/>
        <v>NA</v>
      </c>
    </row>
    <row r="69" spans="1:8" x14ac:dyDescent="0.2">
      <c r="A69" s="231">
        <v>3</v>
      </c>
      <c r="B69" s="16" t="str">
        <f t="shared" ref="B69:C69" si="30">B12</f>
        <v>Schedule R - Residential Time of Day Rate</v>
      </c>
      <c r="C69" s="232">
        <f t="shared" si="30"/>
        <v>3</v>
      </c>
      <c r="D69" s="227">
        <f t="shared" si="27"/>
        <v>2.4345845335437346E-5</v>
      </c>
      <c r="E69" s="105">
        <f t="shared" ref="E69:F69" si="31">H12</f>
        <v>3.2335811348724729E-2</v>
      </c>
      <c r="F69" s="55">
        <f t="shared" si="31"/>
        <v>0.64680374268611918</v>
      </c>
      <c r="G69" s="238">
        <f t="shared" ref="G69:H69" si="32">H41</f>
        <v>4.9179251299698329E-2</v>
      </c>
      <c r="H69" s="236">
        <f t="shared" si="32"/>
        <v>0.63989191481310381</v>
      </c>
    </row>
    <row r="70" spans="1:8" x14ac:dyDescent="0.2">
      <c r="A70" s="231">
        <v>4</v>
      </c>
      <c r="B70" s="16" t="str">
        <f t="shared" ref="B70:C70" si="33">B13</f>
        <v>Schedule C - Comm. &amp; Indust. Service Rate &lt; 50 kW</v>
      </c>
      <c r="C70" s="232">
        <f t="shared" si="33"/>
        <v>4</v>
      </c>
      <c r="D70" s="227">
        <f t="shared" si="27"/>
        <v>7.568668299653715E-2</v>
      </c>
      <c r="E70" s="105">
        <f t="shared" ref="E70:F70" si="34">H13</f>
        <v>8.6777276745682363E-2</v>
      </c>
      <c r="F70" s="55">
        <f t="shared" si="34"/>
        <v>1.7357803944953456</v>
      </c>
      <c r="G70" s="238">
        <f t="shared" ref="G70:H70" si="35">H42</f>
        <v>8.6777276745682363E-2</v>
      </c>
      <c r="H70" s="236">
        <f t="shared" si="35"/>
        <v>1.1290956310146578</v>
      </c>
    </row>
    <row r="71" spans="1:8" x14ac:dyDescent="0.2">
      <c r="A71" s="231">
        <v>5</v>
      </c>
      <c r="B71" s="16" t="str">
        <f t="shared" ref="B71:C71" si="36">B14</f>
        <v>Schedule C - Comm. &amp; Indust. Service Rate &gt; 50 kW</v>
      </c>
      <c r="C71" s="232">
        <f t="shared" si="36"/>
        <v>5</v>
      </c>
      <c r="D71" s="227">
        <f t="shared" si="27"/>
        <v>0.10650062844781114</v>
      </c>
      <c r="E71" s="105">
        <f t="shared" ref="E71:F71" si="37">H14</f>
        <v>0.42874426981182989</v>
      </c>
      <c r="F71" s="55">
        <f t="shared" si="37"/>
        <v>8.5760457771985248</v>
      </c>
      <c r="G71" s="238">
        <f t="shared" ref="G71:H71" si="38">H43</f>
        <v>0.42874426981182989</v>
      </c>
      <c r="H71" s="236">
        <f t="shared" si="38"/>
        <v>5.578571949034953</v>
      </c>
    </row>
    <row r="72" spans="1:8" x14ac:dyDescent="0.2">
      <c r="A72" s="231">
        <v>6</v>
      </c>
      <c r="B72" s="16" t="str">
        <f t="shared" ref="B72:C72" si="39">B15</f>
        <v>Residential Off Peak Electric Thermal Storage Tariff</v>
      </c>
      <c r="C72" s="232">
        <f t="shared" si="39"/>
        <v>7</v>
      </c>
      <c r="D72" s="227">
        <f t="shared" si="27"/>
        <v>3.1086072690766529E-4</v>
      </c>
      <c r="E72" s="105">
        <f t="shared" ref="E72:F72" si="40">H15</f>
        <v>-0.12546389082662227</v>
      </c>
      <c r="F72" s="55">
        <f t="shared" si="40"/>
        <v>-2.5096173800451855</v>
      </c>
      <c r="G72" s="238">
        <f t="shared" ref="G72:H72" si="41">H44</f>
        <v>-8.7866949004229852E-2</v>
      </c>
      <c r="H72" s="236">
        <f t="shared" si="41"/>
        <v>-1.1432738148953252</v>
      </c>
    </row>
    <row r="73" spans="1:8" x14ac:dyDescent="0.2">
      <c r="A73" s="231">
        <v>7</v>
      </c>
      <c r="B73" s="16" t="str">
        <f t="shared" ref="B73:C73" si="42">B16</f>
        <v>Small Comm. Off-Peak Electric Thermal Storage Tariff</v>
      </c>
      <c r="C73" s="232">
        <f t="shared" si="42"/>
        <v>8</v>
      </c>
      <c r="D73" s="227">
        <f t="shared" si="27"/>
        <v>0</v>
      </c>
      <c r="E73" s="105" t="str">
        <f t="shared" ref="E73:F73" si="43">H16</f>
        <v>NA</v>
      </c>
      <c r="F73" s="55" t="str">
        <f t="shared" si="43"/>
        <v>NA</v>
      </c>
      <c r="G73" s="238" t="str">
        <f t="shared" ref="G73:H73" si="44">H45</f>
        <v>NA</v>
      </c>
      <c r="H73" s="236" t="str">
        <f t="shared" si="44"/>
        <v>NA</v>
      </c>
    </row>
    <row r="74" spans="1:8" x14ac:dyDescent="0.2">
      <c r="A74" s="231">
        <v>8</v>
      </c>
      <c r="B74" s="16" t="str">
        <f t="shared" ref="B74:C74" si="45">B17</f>
        <v>Schedule C - Large Commercial 10% Discount</v>
      </c>
      <c r="C74" s="232">
        <f t="shared" si="45"/>
        <v>9</v>
      </c>
      <c r="D74" s="227">
        <f t="shared" si="27"/>
        <v>3.9958530016440889E-2</v>
      </c>
      <c r="E74" s="105">
        <f t="shared" ref="E74:F74" si="46">H17</f>
        <v>0.37215348283361904</v>
      </c>
      <c r="F74" s="55">
        <f t="shared" si="46"/>
        <v>7.4440768767025975</v>
      </c>
      <c r="G74" s="238">
        <f t="shared" ref="G74:H74" si="47">H46</f>
        <v>0.37215348283361904</v>
      </c>
      <c r="H74" s="236">
        <f t="shared" si="47"/>
        <v>4.842245427518959</v>
      </c>
    </row>
    <row r="75" spans="1:8" x14ac:dyDescent="0.2">
      <c r="A75" s="231">
        <v>9</v>
      </c>
      <c r="B75" s="16" t="str">
        <f t="shared" ref="B75:C75" si="48">B18</f>
        <v>Schedule E - Large Industrial Rate</v>
      </c>
      <c r="C75" s="232">
        <f t="shared" si="48"/>
        <v>10</v>
      </c>
      <c r="D75" s="227">
        <f t="shared" si="27"/>
        <v>4.9149677210380785E-2</v>
      </c>
      <c r="E75" s="105">
        <f t="shared" ref="E75:F75" si="49">H18</f>
        <v>0.31414144583941556</v>
      </c>
      <c r="F75" s="55">
        <f t="shared" si="49"/>
        <v>6.283679129324713</v>
      </c>
      <c r="G75" s="238">
        <f t="shared" ref="G75:H75" si="50">H47</f>
        <v>0.31414144583941556</v>
      </c>
      <c r="H75" s="236">
        <f t="shared" si="50"/>
        <v>4.0874264245168295</v>
      </c>
    </row>
    <row r="76" spans="1:8" x14ac:dyDescent="0.2">
      <c r="A76" s="231">
        <v>10</v>
      </c>
      <c r="B76" s="16" t="str">
        <f t="shared" ref="B76:C76" si="51">B19</f>
        <v>Schedule LPC-2   Large Power Rate Tariff</v>
      </c>
      <c r="C76" s="232">
        <f t="shared" si="51"/>
        <v>14</v>
      </c>
      <c r="D76" s="227">
        <f t="shared" si="27"/>
        <v>1.3149363860675034E-2</v>
      </c>
      <c r="E76" s="105">
        <f t="shared" ref="E76:F76" si="52">H19</f>
        <v>0.42071174555887614</v>
      </c>
      <c r="F76" s="55">
        <f t="shared" si="52"/>
        <v>8.4153735524011601</v>
      </c>
      <c r="G76" s="238">
        <f t="shared" ref="G76:H76" si="53">H48</f>
        <v>0.42071174555887614</v>
      </c>
      <c r="H76" s="236">
        <f t="shared" si="53"/>
        <v>5.4740573989113157</v>
      </c>
    </row>
    <row r="77" spans="1:8" x14ac:dyDescent="0.2">
      <c r="A77" s="231">
        <v>11</v>
      </c>
      <c r="B77" s="16" t="str">
        <f t="shared" ref="B77:C77" si="54">B20</f>
        <v xml:space="preserve">Schedule D - Large Comm/Ind Opt Time of Day Rate </v>
      </c>
      <c r="C77" s="232">
        <f t="shared" si="54"/>
        <v>15</v>
      </c>
      <c r="D77" s="227">
        <f t="shared" si="27"/>
        <v>2.0349202277507835E-3</v>
      </c>
      <c r="E77" s="105">
        <f t="shared" ref="E77:F77" si="55">H20</f>
        <v>0.52410235891188017</v>
      </c>
      <c r="F77" s="55">
        <f t="shared" si="55"/>
        <v>10.483465642441567</v>
      </c>
      <c r="G77" s="238">
        <f t="shared" ref="G77:H77" si="56">H49</f>
        <v>0.52410235891188017</v>
      </c>
      <c r="H77" s="236">
        <f t="shared" si="56"/>
        <v>6.8193161371743942</v>
      </c>
    </row>
    <row r="78" spans="1:8" x14ac:dyDescent="0.2">
      <c r="A78" s="231">
        <v>12</v>
      </c>
      <c r="B78" s="16" t="str">
        <f t="shared" ref="B78:C78" si="57">B21</f>
        <v>Net Metering Tariff</v>
      </c>
      <c r="C78" s="232">
        <f t="shared" si="57"/>
        <v>20</v>
      </c>
      <c r="D78" s="227">
        <f t="shared" si="27"/>
        <v>2.0021165799996737E-3</v>
      </c>
      <c r="E78" s="105">
        <f t="shared" ref="E78:F78" si="58">H21</f>
        <v>-0.21387938630009889</v>
      </c>
      <c r="F78" s="55">
        <f t="shared" si="58"/>
        <v>-4.2781665828765441</v>
      </c>
      <c r="G78" s="238">
        <f t="shared" ref="G78:H78" si="59">H50</f>
        <v>-0.18982894183379478</v>
      </c>
      <c r="H78" s="236">
        <f t="shared" si="59"/>
        <v>-2.4699441709011412</v>
      </c>
    </row>
    <row r="79" spans="1:8" x14ac:dyDescent="0.2">
      <c r="A79" s="231">
        <v>13</v>
      </c>
      <c r="B79" s="16" t="str">
        <f t="shared" ref="B79:C79" si="60">B22</f>
        <v>Schedule LPE4 Interruptible 1500 Firm 200</v>
      </c>
      <c r="C79" s="232">
        <f t="shared" si="60"/>
        <v>24</v>
      </c>
      <c r="D79" s="227">
        <f t="shared" si="27"/>
        <v>2.5339351387341957E-2</v>
      </c>
      <c r="E79" s="105">
        <f t="shared" ref="E79:F79" si="61">H22</f>
        <v>0.25660254252114051</v>
      </c>
      <c r="F79" s="55">
        <f t="shared" si="61"/>
        <v>5.1327453359846915</v>
      </c>
      <c r="G79" s="238">
        <f t="shared" ref="G79:H79" si="62">H51</f>
        <v>0.25660254252114051</v>
      </c>
      <c r="H79" s="236">
        <f t="shared" si="62"/>
        <v>3.338763562689103</v>
      </c>
    </row>
    <row r="80" spans="1:8" x14ac:dyDescent="0.2">
      <c r="A80" s="231">
        <v>14</v>
      </c>
      <c r="B80" s="16" t="str">
        <f t="shared" ref="B80:C80" si="63">B23</f>
        <v>Schedule LPE-4  Large Power Time of DayRate Tariff</v>
      </c>
      <c r="C80" s="232">
        <f t="shared" si="63"/>
        <v>36</v>
      </c>
      <c r="D80" s="227">
        <f t="shared" si="27"/>
        <v>0</v>
      </c>
      <c r="E80" s="105">
        <f t="shared" ref="E80:F80" si="64">H23</f>
        <v>0</v>
      </c>
      <c r="F80" s="55">
        <f t="shared" si="64"/>
        <v>0</v>
      </c>
      <c r="G80" s="238">
        <f t="shared" ref="G80:H80" si="65">H52</f>
        <v>0</v>
      </c>
      <c r="H80" s="236">
        <f t="shared" si="65"/>
        <v>0</v>
      </c>
    </row>
    <row r="81" spans="1:12" x14ac:dyDescent="0.2">
      <c r="A81" s="231">
        <v>15</v>
      </c>
      <c r="B81" s="16" t="str">
        <f t="shared" ref="B81:C81" si="66">B24</f>
        <v>Schedule C - TOD Comm - Three Phase</v>
      </c>
      <c r="C81" s="232">
        <f t="shared" si="66"/>
        <v>50</v>
      </c>
      <c r="D81" s="227">
        <f t="shared" si="27"/>
        <v>1.2491533162624171E-3</v>
      </c>
      <c r="E81" s="105">
        <f t="shared" ref="E81:F81" si="67">H24</f>
        <v>0.30448482621415596</v>
      </c>
      <c r="F81" s="55">
        <f t="shared" si="67"/>
        <v>6.0905206015254567</v>
      </c>
      <c r="G81" s="238">
        <f t="shared" ref="G81:H81" si="68">H53</f>
        <v>0.30448482621415596</v>
      </c>
      <c r="H81" s="236">
        <f t="shared" si="68"/>
        <v>3.9617800866949464</v>
      </c>
    </row>
    <row r="82" spans="1:12" x14ac:dyDescent="0.2">
      <c r="A82" s="231">
        <v>16</v>
      </c>
      <c r="B82" s="16" t="str">
        <f t="shared" ref="B82:C82" si="69">B25</f>
        <v>Lighting</v>
      </c>
      <c r="C82" s="232" t="str">
        <f t="shared" si="69"/>
        <v>OL</v>
      </c>
      <c r="D82" s="227">
        <f t="shared" si="27"/>
        <v>2.1925505241666882E-2</v>
      </c>
      <c r="E82" s="105">
        <f t="shared" ref="E82:F82" si="70">H25</f>
        <v>0.2527105756596747</v>
      </c>
      <c r="F82" s="55">
        <f t="shared" si="70"/>
        <v>5.0548954652868989</v>
      </c>
      <c r="G82" s="249">
        <f t="shared" ref="G82:H82" si="71">H54</f>
        <v>0.2527105756596747</v>
      </c>
      <c r="H82" s="250">
        <f t="shared" si="71"/>
        <v>3.2881235455770943</v>
      </c>
    </row>
    <row r="83" spans="1:12" s="54" customFormat="1" ht="21" customHeight="1" x14ac:dyDescent="0.25">
      <c r="A83" s="239">
        <v>17</v>
      </c>
      <c r="B83" s="240" t="str">
        <f t="shared" ref="B83:C83" si="72">B31</f>
        <v>Total</v>
      </c>
      <c r="C83" s="241">
        <f t="shared" si="72"/>
        <v>0</v>
      </c>
      <c r="D83" s="242">
        <f>D56</f>
        <v>1</v>
      </c>
      <c r="E83" s="243">
        <f t="shared" ref="E83:F83" si="73">H31</f>
        <v>4.9993234755316883E-2</v>
      </c>
      <c r="F83" s="244">
        <f t="shared" si="73"/>
        <v>1</v>
      </c>
      <c r="G83" s="245">
        <f>H56</f>
        <v>6.7000000000000004E-2</v>
      </c>
      <c r="H83" s="246">
        <f>I56</f>
        <v>1</v>
      </c>
      <c r="I83" s="57"/>
      <c r="K83" s="57"/>
      <c r="L83" s="57"/>
    </row>
  </sheetData>
  <mergeCells count="2">
    <mergeCell ref="E65:F65"/>
    <mergeCell ref="G65:H65"/>
  </mergeCells>
  <phoneticPr fontId="0" type="noConversion"/>
  <conditionalFormatting sqref="E67:E82">
    <cfRule type="cellIs" dxfId="91" priority="11" operator="lessThan">
      <formula>$H$31</formula>
    </cfRule>
    <cfRule type="cellIs" dxfId="90" priority="12" operator="greaterThan">
      <formula>$H$31</formula>
    </cfRule>
  </conditionalFormatting>
  <conditionalFormatting sqref="F67:F82">
    <cfRule type="cellIs" dxfId="89" priority="9" operator="lessThan">
      <formula>$I$31</formula>
    </cfRule>
    <cfRule type="cellIs" dxfId="88" priority="10" operator="greaterThan">
      <formula>$I$31</formula>
    </cfRule>
  </conditionalFormatting>
  <conditionalFormatting sqref="G67:G82">
    <cfRule type="cellIs" dxfId="87" priority="3" operator="greaterThan">
      <formula>$H$56</formula>
    </cfRule>
    <cfRule type="cellIs" dxfId="86" priority="4" operator="lessThan">
      <formula>$H$56</formula>
    </cfRule>
  </conditionalFormatting>
  <conditionalFormatting sqref="H67:H82">
    <cfRule type="cellIs" dxfId="85" priority="1" operator="lessThan">
      <formula>$I$31</formula>
    </cfRule>
    <cfRule type="cellIs" dxfId="84" priority="2" operator="greaterThan">
      <formula>$I$31</formula>
    </cfRule>
  </conditionalFormatting>
  <printOptions horizontalCentered="1"/>
  <pageMargins left="0.75" right="0.75" top="1" bottom="1" header="0.5" footer="0.5"/>
  <pageSetup scale="79" orientation="landscape" r:id="rId1"/>
  <headerFooter alignWithMargins="0">
    <oddFooter>&amp;RExhibit JW-3
Page 1 of 2</oddFooter>
  </headerFooter>
  <ignoredErrors>
    <ignoredError sqref="F31" formula="1"/>
    <ignoredError sqref="B8:F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J363"/>
  <sheetViews>
    <sheetView view="pageBreakPreview" zoomScaleNormal="100" zoomScaleSheetLayoutView="100" workbookViewId="0">
      <selection activeCell="L19" sqref="L19"/>
    </sheetView>
  </sheetViews>
  <sheetFormatPr defaultColWidth="9.140625" defaultRowHeight="12.75" x14ac:dyDescent="0.2"/>
  <cols>
    <col min="1" max="1" width="4.42578125" style="2" customWidth="1"/>
    <col min="2" max="2" width="45.7109375" style="14" bestFit="1" customWidth="1"/>
    <col min="3" max="3" width="7.28515625" style="14" customWidth="1"/>
    <col min="4" max="4" width="3.42578125" style="30" customWidth="1"/>
    <col min="5" max="5" width="11.28515625" style="30" bestFit="1" customWidth="1"/>
    <col min="6" max="6" width="9.7109375" style="30" bestFit="1" customWidth="1"/>
    <col min="7" max="7" width="9.7109375" style="31" bestFit="1" customWidth="1"/>
    <col min="8" max="8" width="12" style="2" customWidth="1"/>
    <col min="9" max="9" width="8.7109375" style="2" bestFit="1" customWidth="1"/>
    <col min="10" max="10" width="13.5703125" style="2" customWidth="1"/>
    <col min="11" max="11" width="9.85546875" style="2" bestFit="1" customWidth="1"/>
    <col min="12" max="12" width="14.5703125" style="2" customWidth="1"/>
    <col min="13" max="13" width="6.85546875" style="2" bestFit="1" customWidth="1"/>
    <col min="14" max="14" width="9.5703125" style="2" bestFit="1" customWidth="1"/>
    <col min="15" max="16384" width="9.140625" style="2"/>
  </cols>
  <sheetData>
    <row r="1" spans="1:16" x14ac:dyDescent="0.2">
      <c r="A1" s="1" t="s">
        <v>1044</v>
      </c>
      <c r="G1" s="1">
        <f>'Summary of Returns'!I1</f>
        <v>2024</v>
      </c>
    </row>
    <row r="2" spans="1:16" x14ac:dyDescent="0.2">
      <c r="A2" s="1" t="s">
        <v>920</v>
      </c>
      <c r="D2" s="33"/>
      <c r="E2" s="33"/>
      <c r="F2" s="33"/>
      <c r="G2" s="33"/>
    </row>
    <row r="3" spans="1:16" x14ac:dyDescent="0.2">
      <c r="A3" s="1"/>
      <c r="D3" s="1"/>
      <c r="E3" s="35"/>
      <c r="F3" s="35"/>
      <c r="G3" s="36"/>
    </row>
    <row r="4" spans="1:16" x14ac:dyDescent="0.2">
      <c r="E4" s="268" t="s">
        <v>1000</v>
      </c>
      <c r="F4" s="269"/>
      <c r="G4" s="269"/>
    </row>
    <row r="5" spans="1:16" s="38" customFormat="1" x14ac:dyDescent="0.2">
      <c r="H5" s="2"/>
      <c r="I5" s="2"/>
      <c r="J5" s="2"/>
      <c r="K5" s="2"/>
      <c r="L5" s="2"/>
      <c r="M5" s="2"/>
      <c r="N5" s="2"/>
      <c r="O5" s="2"/>
    </row>
    <row r="6" spans="1:16" s="38" customFormat="1" x14ac:dyDescent="0.2">
      <c r="A6" s="14"/>
      <c r="E6" s="33" t="s">
        <v>714</v>
      </c>
      <c r="F6" s="33" t="s">
        <v>11</v>
      </c>
      <c r="G6" s="33" t="s">
        <v>10</v>
      </c>
      <c r="H6" s="2"/>
      <c r="I6" s="2"/>
      <c r="J6" s="2"/>
      <c r="K6" s="2"/>
      <c r="L6" s="2"/>
      <c r="M6" s="2"/>
      <c r="N6" s="2"/>
      <c r="O6" s="2"/>
    </row>
    <row r="7" spans="1:16" s="38" customFormat="1" x14ac:dyDescent="0.2">
      <c r="A7" s="14"/>
      <c r="B7" s="33" t="s">
        <v>725</v>
      </c>
      <c r="C7" s="33" t="s">
        <v>838</v>
      </c>
      <c r="D7" s="33"/>
      <c r="E7" s="33" t="s">
        <v>917</v>
      </c>
      <c r="F7" s="33" t="s">
        <v>918</v>
      </c>
      <c r="G7" s="33" t="s">
        <v>919</v>
      </c>
      <c r="H7" s="2"/>
      <c r="I7" s="2"/>
      <c r="J7" s="2"/>
      <c r="K7" s="2"/>
      <c r="L7" s="2"/>
      <c r="M7" s="2"/>
      <c r="N7" s="2"/>
      <c r="O7" s="2"/>
    </row>
    <row r="8" spans="1:16" s="138" customFormat="1" ht="15" x14ac:dyDescent="0.25">
      <c r="A8" s="84" t="s">
        <v>913</v>
      </c>
      <c r="B8" s="137">
        <v>1</v>
      </c>
      <c r="C8" s="137">
        <f>B8+1</f>
        <v>2</v>
      </c>
      <c r="E8" s="137" t="s">
        <v>1003</v>
      </c>
      <c r="F8" s="137" t="s">
        <v>1004</v>
      </c>
      <c r="G8" s="137" t="s">
        <v>1005</v>
      </c>
      <c r="H8" s="2"/>
      <c r="I8" s="2"/>
      <c r="J8" s="2"/>
      <c r="K8" s="2"/>
      <c r="L8" s="2"/>
      <c r="M8" s="2"/>
      <c r="N8" s="2"/>
      <c r="O8" s="2"/>
      <c r="P8" s="38"/>
    </row>
    <row r="9" spans="1:16" x14ac:dyDescent="0.2">
      <c r="A9" s="14"/>
      <c r="B9" s="2"/>
      <c r="D9" s="2"/>
      <c r="G9" s="2"/>
      <c r="P9" s="38"/>
    </row>
    <row r="10" spans="1:16" x14ac:dyDescent="0.2">
      <c r="A10" s="14">
        <v>1</v>
      </c>
      <c r="B10" s="2" t="str">
        <f>'Summary of Returns'!B10</f>
        <v xml:space="preserve">Schedule R - Residential Rate </v>
      </c>
      <c r="C10" s="14">
        <f>'Summary of Returns'!C10</f>
        <v>1</v>
      </c>
      <c r="E10" s="120">
        <f>'Alloc &amp; Returns'!F658</f>
        <v>27.790621357375315</v>
      </c>
      <c r="F10" s="222">
        <f>'Alloc &amp; Returns'!F659</f>
        <v>9.9452160117949384E-2</v>
      </c>
      <c r="G10" s="120">
        <f>'Alloc &amp; Returns'!F660</f>
        <v>0</v>
      </c>
      <c r="P10" s="38"/>
    </row>
    <row r="11" spans="1:16" hidden="1" x14ac:dyDescent="0.2">
      <c r="A11" s="14">
        <v>2</v>
      </c>
      <c r="B11" s="2" t="str">
        <f>'Summary of Returns'!B11</f>
        <v>Schedule R - Pay As You Go ("Prepay")</v>
      </c>
      <c r="C11" s="14">
        <f>'Summary of Returns'!C11</f>
        <v>2</v>
      </c>
      <c r="D11" s="1"/>
      <c r="E11" s="120" t="e">
        <f>'Alloc &amp; Returns'!G658</f>
        <v>#DIV/0!</v>
      </c>
      <c r="F11" s="222" t="e">
        <f>'Alloc &amp; Returns'!G659</f>
        <v>#DIV/0!</v>
      </c>
      <c r="G11" s="120">
        <f>'Alloc &amp; Returns'!G660</f>
        <v>0</v>
      </c>
      <c r="H11" s="119"/>
      <c r="N11" s="119"/>
      <c r="P11" s="38"/>
    </row>
    <row r="12" spans="1:16" x14ac:dyDescent="0.2">
      <c r="A12" s="14">
        <v>3</v>
      </c>
      <c r="B12" s="2" t="str">
        <f>'Summary of Returns'!B12</f>
        <v>Schedule R - Residential Time of Day Rate</v>
      </c>
      <c r="C12" s="14">
        <f>'Summary of Returns'!C12</f>
        <v>3</v>
      </c>
      <c r="E12" s="120">
        <f>'Alloc &amp; Returns'!H658</f>
        <v>27.744717655662452</v>
      </c>
      <c r="F12" s="222">
        <f>'Alloc &amp; Returns'!H659</f>
        <v>9.3371652238117414E-2</v>
      </c>
      <c r="G12" s="120">
        <f>'Alloc &amp; Returns'!H660</f>
        <v>0</v>
      </c>
      <c r="H12" s="119"/>
      <c r="N12" s="119"/>
      <c r="P12" s="38"/>
    </row>
    <row r="13" spans="1:16" x14ac:dyDescent="0.2">
      <c r="A13" s="14">
        <v>4</v>
      </c>
      <c r="B13" s="2" t="str">
        <f>'Summary of Returns'!B13</f>
        <v>Schedule C - Comm. &amp; Indust. Service Rate &lt; 50 kW</v>
      </c>
      <c r="C13" s="14">
        <f>'Summary of Returns'!C13</f>
        <v>4</v>
      </c>
      <c r="D13" s="1"/>
      <c r="E13" s="56">
        <f>'Alloc &amp; Returns'!I658</f>
        <v>29.303003481826238</v>
      </c>
      <c r="F13" s="222">
        <f>'Alloc &amp; Returns'!I659</f>
        <v>6.259902931165183E-2</v>
      </c>
      <c r="G13" s="120">
        <f>'Alloc &amp; Returns'!I660</f>
        <v>5.3749414652876801</v>
      </c>
      <c r="H13" s="119"/>
      <c r="N13" s="119"/>
      <c r="P13" s="38"/>
    </row>
    <row r="14" spans="1:16" x14ac:dyDescent="0.2">
      <c r="A14" s="14">
        <v>5</v>
      </c>
      <c r="B14" s="2" t="str">
        <f>'Summary of Returns'!B14</f>
        <v>Schedule C - Comm. &amp; Indust. Service Rate &gt; 50 kW</v>
      </c>
      <c r="C14" s="14">
        <f>'Summary of Returns'!C14</f>
        <v>5</v>
      </c>
      <c r="E14" s="56">
        <f>'Alloc &amp; Returns'!J$658</f>
        <v>87.945091576092921</v>
      </c>
      <c r="F14" s="222">
        <f>'Alloc &amp; Returns'!J$659</f>
        <v>5.8771713613594609E-2</v>
      </c>
      <c r="G14" s="120">
        <f>'Alloc &amp; Returns'!J$660</f>
        <v>6.8573080759245855</v>
      </c>
      <c r="H14" s="119"/>
      <c r="N14" s="119"/>
      <c r="P14" s="38"/>
    </row>
    <row r="15" spans="1:16" x14ac:dyDescent="0.2">
      <c r="A15" s="14">
        <v>6</v>
      </c>
      <c r="B15" s="2" t="str">
        <f>'Summary of Returns'!B15</f>
        <v>Residential Off Peak Electric Thermal Storage Tariff</v>
      </c>
      <c r="C15" s="14">
        <f>'Summary of Returns'!C15</f>
        <v>7</v>
      </c>
      <c r="E15" s="56">
        <f>'Alloc &amp; Returns'!K$658</f>
        <v>3.6838746449572586</v>
      </c>
      <c r="F15" s="222">
        <f>'Alloc &amp; Returns'!K$659</f>
        <v>8.3542784704509432E-2</v>
      </c>
      <c r="G15" s="120">
        <f>'Alloc &amp; Returns'!K$660</f>
        <v>0</v>
      </c>
      <c r="H15" s="119"/>
      <c r="N15" s="119"/>
    </row>
    <row r="16" spans="1:16" hidden="1" x14ac:dyDescent="0.2">
      <c r="A16" s="14">
        <v>7</v>
      </c>
      <c r="B16" s="2" t="str">
        <f>'Summary of Returns'!B16</f>
        <v>Small Comm. Off-Peak Electric Thermal Storage Tariff</v>
      </c>
      <c r="C16" s="14">
        <f>'Summary of Returns'!C16</f>
        <v>8</v>
      </c>
      <c r="E16" s="56">
        <f>'Alloc &amp; Returns'!L$658</f>
        <v>0</v>
      </c>
      <c r="F16" s="222">
        <f>'Alloc &amp; Returns'!L$659</f>
        <v>0</v>
      </c>
      <c r="G16" s="120">
        <f>'Alloc &amp; Returns'!L$660</f>
        <v>0</v>
      </c>
      <c r="H16" s="119"/>
      <c r="N16" s="119"/>
    </row>
    <row r="17" spans="1:10" ht="15" customHeight="1" x14ac:dyDescent="0.2">
      <c r="A17" s="14">
        <v>8</v>
      </c>
      <c r="B17" s="2" t="str">
        <f>'Summary of Returns'!B17</f>
        <v>Schedule C - Large Commercial 10% Discount</v>
      </c>
      <c r="C17" s="14">
        <f>'Summary of Returns'!C17</f>
        <v>9</v>
      </c>
      <c r="E17" s="56">
        <f>'Alloc &amp; Returns'!M$658</f>
        <v>168.34873472622871</v>
      </c>
      <c r="F17" s="222">
        <f>'Alloc &amp; Returns'!M$659</f>
        <v>5.8771713613594602E-2</v>
      </c>
      <c r="G17" s="120">
        <f>'Alloc &amp; Returns'!M$660</f>
        <v>6.4638583738947197</v>
      </c>
      <c r="H17" s="41"/>
    </row>
    <row r="18" spans="1:10" ht="15" customHeight="1" x14ac:dyDescent="0.2">
      <c r="A18" s="14">
        <v>9</v>
      </c>
      <c r="B18" s="2" t="str">
        <f>'Summary of Returns'!B18</f>
        <v>Schedule E - Large Industrial Rate</v>
      </c>
      <c r="C18" s="14">
        <f>'Summary of Returns'!C18</f>
        <v>10</v>
      </c>
      <c r="E18" s="56">
        <f>'Alloc &amp; Returns'!N$658</f>
        <v>785.46605733087119</v>
      </c>
      <c r="F18" s="222">
        <f>'Alloc &amp; Returns'!N$659</f>
        <v>4.324050125657887E-2</v>
      </c>
      <c r="G18" s="120">
        <f>'Alloc &amp; Returns'!N$660</f>
        <v>13.217657403595219</v>
      </c>
      <c r="H18" s="41"/>
    </row>
    <row r="19" spans="1:10" ht="15" customHeight="1" x14ac:dyDescent="0.2">
      <c r="A19" s="14">
        <v>10</v>
      </c>
      <c r="B19" s="2" t="str">
        <f>'Summary of Returns'!B19</f>
        <v>Schedule LPC-2   Large Power Rate Tariff</v>
      </c>
      <c r="C19" s="14">
        <f>'Summary of Returns'!C19</f>
        <v>14</v>
      </c>
      <c r="E19" s="56">
        <f>'Alloc &amp; Returns'!O$658</f>
        <v>237.00093008791973</v>
      </c>
      <c r="F19" s="222">
        <f>'Alloc &amp; Returns'!N$659</f>
        <v>4.324050125657887E-2</v>
      </c>
      <c r="G19" s="120">
        <f>'Alloc &amp; Returns'!O$660</f>
        <v>6.719266967059518</v>
      </c>
      <c r="H19" s="41"/>
      <c r="I19" s="38"/>
      <c r="J19" s="38"/>
    </row>
    <row r="20" spans="1:10" ht="15" customHeight="1" x14ac:dyDescent="0.2">
      <c r="A20" s="14">
        <v>11</v>
      </c>
      <c r="B20" s="2" t="str">
        <f>'Summary of Returns'!B20</f>
        <v xml:space="preserve">Schedule D - Large Comm/Ind Opt Time of Day Rate </v>
      </c>
      <c r="C20" s="14">
        <f>'Summary of Returns'!C20</f>
        <v>15</v>
      </c>
      <c r="E20" s="56">
        <f>'Alloc &amp; Returns'!P$658</f>
        <v>37.151976091256223</v>
      </c>
      <c r="F20" s="222">
        <f>'Alloc &amp; Returns'!P$659</f>
        <v>5.8903777169950947E-2</v>
      </c>
      <c r="G20" s="120">
        <f>'Alloc &amp; Returns'!P$660</f>
        <v>4.7264292295347339</v>
      </c>
      <c r="H20" s="41"/>
      <c r="I20" s="38"/>
      <c r="J20" s="38"/>
    </row>
    <row r="21" spans="1:10" ht="15" customHeight="1" x14ac:dyDescent="0.2">
      <c r="A21" s="14">
        <v>12</v>
      </c>
      <c r="B21" s="2" t="str">
        <f>'Summary of Returns'!B21</f>
        <v>Net Metering Tariff</v>
      </c>
      <c r="C21" s="14">
        <f>'Summary of Returns'!C21</f>
        <v>20</v>
      </c>
      <c r="D21" s="1"/>
      <c r="E21" s="56">
        <f>'Alloc &amp; Returns'!Q$658</f>
        <v>28.206640430969724</v>
      </c>
      <c r="F21" s="222">
        <f>'Alloc &amp; Returns'!Q$659</f>
        <v>9.6994893624807635E-2</v>
      </c>
      <c r="G21" s="120">
        <f>'Alloc &amp; Returns'!Q$660</f>
        <v>0</v>
      </c>
      <c r="H21" s="41"/>
      <c r="I21" s="38"/>
      <c r="J21" s="38"/>
    </row>
    <row r="22" spans="1:10" ht="15" hidden="1" customHeight="1" x14ac:dyDescent="0.2">
      <c r="A22" s="14">
        <v>13</v>
      </c>
      <c r="B22" s="2" t="str">
        <f>'Summary of Returns'!B22</f>
        <v>Schedule LPE4 Interruptible 1500 Firm 200</v>
      </c>
      <c r="C22" s="14">
        <f>'Summary of Returns'!C22</f>
        <v>24</v>
      </c>
      <c r="E22" s="56">
        <f>'Alloc &amp; Returns'!R$658</f>
        <v>281.13109379245486</v>
      </c>
      <c r="F22" s="121">
        <f>'Alloc &amp; Returns'!R$659</f>
        <v>5.8903777169950947E-2</v>
      </c>
      <c r="G22" s="120">
        <f>'Alloc &amp; Returns'!R$660</f>
        <v>6.5594360297934102</v>
      </c>
      <c r="H22" s="41"/>
      <c r="I22" s="38"/>
      <c r="J22" s="38"/>
    </row>
    <row r="23" spans="1:10" s="54" customFormat="1" x14ac:dyDescent="0.2">
      <c r="A23" s="14">
        <v>15</v>
      </c>
      <c r="B23" s="2" t="str">
        <f>'Summary of Returns'!B24</f>
        <v>Schedule C - TOD Comm - Three Phase</v>
      </c>
      <c r="C23" s="14">
        <f>'Summary of Returns'!C24</f>
        <v>50</v>
      </c>
      <c r="D23" s="30"/>
      <c r="E23" s="56">
        <f>'Alloc &amp; Returns'!T$658</f>
        <v>83.489906693337971</v>
      </c>
      <c r="F23" s="222">
        <f>'Alloc &amp; Returns'!T$659</f>
        <v>7.7243647798128562E-2</v>
      </c>
      <c r="G23" s="120">
        <f>'Alloc &amp; Returns'!T$660</f>
        <v>0</v>
      </c>
      <c r="H23" s="41"/>
      <c r="I23" s="38"/>
      <c r="J23" s="38"/>
    </row>
    <row r="24" spans="1:10" x14ac:dyDescent="0.2">
      <c r="A24" s="14"/>
      <c r="B24" s="2"/>
      <c r="E24" s="56"/>
      <c r="F24" s="121"/>
      <c r="G24" s="120"/>
      <c r="H24" s="41"/>
      <c r="I24" s="38"/>
      <c r="J24" s="38"/>
    </row>
    <row r="25" spans="1:10" x14ac:dyDescent="0.2">
      <c r="A25" s="14"/>
      <c r="B25" s="2"/>
      <c r="E25" s="56"/>
      <c r="F25" s="121"/>
      <c r="G25" s="120"/>
      <c r="H25" s="41"/>
      <c r="I25" s="38"/>
      <c r="J25" s="38"/>
    </row>
    <row r="26" spans="1:10" x14ac:dyDescent="0.2">
      <c r="A26" s="14"/>
      <c r="B26" s="2"/>
      <c r="E26" s="35"/>
      <c r="F26" s="35"/>
      <c r="G26" s="36"/>
      <c r="H26" s="41"/>
      <c r="I26" s="38"/>
      <c r="J26" s="38"/>
    </row>
    <row r="27" spans="1:10" x14ac:dyDescent="0.2">
      <c r="A27" s="14"/>
      <c r="B27" s="2"/>
      <c r="G27" s="37"/>
      <c r="H27" s="41"/>
      <c r="I27" s="38"/>
      <c r="J27" s="38"/>
    </row>
    <row r="28" spans="1:10" x14ac:dyDescent="0.2">
      <c r="A28" s="14"/>
      <c r="B28" s="2"/>
      <c r="E28" s="35"/>
      <c r="F28" s="35"/>
      <c r="G28" s="36"/>
      <c r="H28" s="41"/>
      <c r="I28" s="38"/>
      <c r="J28" s="38"/>
    </row>
    <row r="29" spans="1:10" x14ac:dyDescent="0.2">
      <c r="A29" s="48"/>
      <c r="B29" s="54"/>
      <c r="C29" s="2"/>
      <c r="E29" s="54"/>
      <c r="G29" s="54"/>
      <c r="H29" s="32"/>
      <c r="I29" s="38"/>
      <c r="J29" s="38"/>
    </row>
    <row r="30" spans="1:10" x14ac:dyDescent="0.2">
      <c r="A30" s="48"/>
      <c r="B30" s="54"/>
      <c r="C30" s="2"/>
      <c r="E30" s="54"/>
      <c r="G30" s="54"/>
      <c r="H30" s="32"/>
      <c r="I30" s="38"/>
      <c r="J30" s="38"/>
    </row>
    <row r="31" spans="1:10" x14ac:dyDescent="0.2">
      <c r="A31" s="48"/>
      <c r="B31" s="54"/>
      <c r="C31" s="2"/>
      <c r="E31" s="54"/>
      <c r="G31" s="54"/>
      <c r="H31" s="32"/>
      <c r="I31" s="38"/>
    </row>
    <row r="32" spans="1:10" x14ac:dyDescent="0.2">
      <c r="A32" s="48"/>
      <c r="B32" s="54"/>
      <c r="C32" s="2"/>
      <c r="E32" s="54"/>
      <c r="G32" s="54"/>
      <c r="H32" s="32"/>
      <c r="I32" s="38"/>
    </row>
    <row r="33" spans="1:9" x14ac:dyDescent="0.2">
      <c r="A33" s="48"/>
      <c r="B33" s="54"/>
      <c r="C33" s="2"/>
      <c r="E33" s="54"/>
      <c r="G33" s="54"/>
      <c r="H33" s="32"/>
      <c r="I33" s="38"/>
    </row>
    <row r="34" spans="1:9" x14ac:dyDescent="0.2">
      <c r="A34" s="48"/>
      <c r="B34" s="54"/>
      <c r="C34" s="2"/>
      <c r="E34" s="54"/>
      <c r="G34" s="54"/>
    </row>
    <row r="35" spans="1:9" x14ac:dyDescent="0.2">
      <c r="A35" s="48"/>
      <c r="B35" s="54"/>
      <c r="C35" s="2"/>
      <c r="E35" s="54"/>
      <c r="G35" s="54"/>
    </row>
    <row r="36" spans="1:9" x14ac:dyDescent="0.2">
      <c r="A36" s="48"/>
      <c r="B36" s="54"/>
      <c r="C36" s="2"/>
      <c r="E36" s="54"/>
      <c r="G36" s="54"/>
    </row>
    <row r="37" spans="1:9" x14ac:dyDescent="0.2">
      <c r="A37" s="48"/>
      <c r="B37" s="54"/>
      <c r="C37" s="2"/>
      <c r="E37" s="54"/>
      <c r="G37" s="54"/>
    </row>
    <row r="38" spans="1:9" x14ac:dyDescent="0.2">
      <c r="A38" s="48"/>
      <c r="B38" s="54"/>
      <c r="C38" s="2"/>
      <c r="E38" s="54"/>
      <c r="G38" s="54"/>
    </row>
    <row r="39" spans="1:9" x14ac:dyDescent="0.2">
      <c r="A39" s="48"/>
      <c r="B39" s="54"/>
      <c r="C39" s="2"/>
      <c r="E39" s="54"/>
      <c r="G39" s="54"/>
    </row>
    <row r="40" spans="1:9" x14ac:dyDescent="0.2">
      <c r="A40" s="48"/>
      <c r="B40" s="54"/>
      <c r="C40" s="2"/>
      <c r="E40" s="54"/>
      <c r="G40" s="54"/>
    </row>
    <row r="41" spans="1:9" x14ac:dyDescent="0.2">
      <c r="A41" s="48"/>
      <c r="B41" s="54"/>
      <c r="C41" s="54"/>
      <c r="E41" s="54"/>
      <c r="G41" s="54"/>
    </row>
    <row r="349" spans="36:36" x14ac:dyDescent="0.2">
      <c r="AJ349" s="150" t="e">
        <f>#REF!</f>
        <v>#REF!</v>
      </c>
    </row>
    <row r="350" spans="36:36" x14ac:dyDescent="0.2">
      <c r="AJ350" s="150" t="e">
        <f>AJ349</f>
        <v>#REF!</v>
      </c>
    </row>
    <row r="351" spans="36:36" x14ac:dyDescent="0.2">
      <c r="AJ351" s="150" t="e">
        <f t="shared" ref="AJ351:AJ363" si="0">AJ350</f>
        <v>#REF!</v>
      </c>
    </row>
    <row r="352" spans="36:36" x14ac:dyDescent="0.2">
      <c r="AJ352" s="150" t="e">
        <f t="shared" si="0"/>
        <v>#REF!</v>
      </c>
    </row>
    <row r="353" spans="36:36" x14ac:dyDescent="0.2">
      <c r="AJ353" s="150" t="e">
        <f t="shared" si="0"/>
        <v>#REF!</v>
      </c>
    </row>
    <row r="354" spans="36:36" x14ac:dyDescent="0.2">
      <c r="AJ354" s="150" t="e">
        <f t="shared" si="0"/>
        <v>#REF!</v>
      </c>
    </row>
    <row r="355" spans="36:36" x14ac:dyDescent="0.2">
      <c r="AJ355" s="150" t="e">
        <f t="shared" si="0"/>
        <v>#REF!</v>
      </c>
    </row>
    <row r="356" spans="36:36" x14ac:dyDescent="0.2">
      <c r="AJ356" s="150" t="e">
        <f t="shared" si="0"/>
        <v>#REF!</v>
      </c>
    </row>
    <row r="357" spans="36:36" x14ac:dyDescent="0.2">
      <c r="AJ357" s="150" t="e">
        <f t="shared" si="0"/>
        <v>#REF!</v>
      </c>
    </row>
    <row r="358" spans="36:36" x14ac:dyDescent="0.2">
      <c r="AJ358" s="150" t="e">
        <f t="shared" si="0"/>
        <v>#REF!</v>
      </c>
    </row>
    <row r="359" spans="36:36" x14ac:dyDescent="0.2">
      <c r="AJ359" s="150" t="e">
        <f t="shared" si="0"/>
        <v>#REF!</v>
      </c>
    </row>
    <row r="360" spans="36:36" x14ac:dyDescent="0.2">
      <c r="AJ360" s="150" t="e">
        <f t="shared" si="0"/>
        <v>#REF!</v>
      </c>
    </row>
    <row r="361" spans="36:36" x14ac:dyDescent="0.2">
      <c r="AJ361" s="150" t="e">
        <f t="shared" si="0"/>
        <v>#REF!</v>
      </c>
    </row>
    <row r="362" spans="36:36" x14ac:dyDescent="0.2">
      <c r="AJ362" s="150" t="e">
        <f t="shared" si="0"/>
        <v>#REF!</v>
      </c>
    </row>
    <row r="363" spans="36:36" x14ac:dyDescent="0.2">
      <c r="AJ363" s="150" t="e">
        <f t="shared" si="0"/>
        <v>#REF!</v>
      </c>
    </row>
  </sheetData>
  <mergeCells count="1">
    <mergeCell ref="E4:G4"/>
  </mergeCells>
  <printOptions horizontalCentered="1"/>
  <pageMargins left="0.75" right="0.75" top="1" bottom="1" header="0.5" footer="0.5"/>
  <pageSetup orientation="landscape" r:id="rId1"/>
  <headerFooter alignWithMargins="0">
    <oddFooter>&amp;RExhibit JW-3
Page 2 of 2</oddFooter>
  </headerFooter>
  <ignoredErrors>
    <ignoredError sqref="E8:G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519"/>
  <sheetViews>
    <sheetView view="pageBreakPreview" zoomScale="70" zoomScaleNormal="100" zoomScaleSheetLayoutView="70" workbookViewId="0">
      <pane xSplit="6" ySplit="3" topLeftCell="G453" activePane="bottomRight" state="frozen"/>
      <selection activeCell="E545" sqref="E545"/>
      <selection pane="topRight" activeCell="E545" sqref="E545"/>
      <selection pane="bottomLeft" activeCell="E545" sqref="E545"/>
      <selection pane="bottomRight" activeCell="C17" sqref="C17"/>
    </sheetView>
  </sheetViews>
  <sheetFormatPr defaultColWidth="9.140625" defaultRowHeight="15" x14ac:dyDescent="0.25"/>
  <cols>
    <col min="1" max="1" width="7.7109375" style="2" customWidth="1"/>
    <col min="2" max="2" width="47.5703125" style="2" customWidth="1"/>
    <col min="3" max="3" width="12.85546875" style="2" customWidth="1"/>
    <col min="4" max="4" width="12.42578125" style="2" customWidth="1"/>
    <col min="5" max="5" width="2.28515625" style="275" customWidth="1"/>
    <col min="6" max="6" width="16.42578125" style="277" customWidth="1"/>
    <col min="7" max="7" width="2.28515625" style="2" customWidth="1"/>
    <col min="8" max="8" width="17.140625" style="2" customWidth="1"/>
    <col min="9" max="9" width="14.85546875" style="2" customWidth="1"/>
    <col min="10" max="10" width="2.7109375" style="2" customWidth="1"/>
    <col min="11" max="11" width="16.28515625" style="2" customWidth="1"/>
    <col min="12" max="12" width="14.5703125" style="2" customWidth="1"/>
    <col min="13" max="13" width="17.7109375" style="2" bestFit="1" customWidth="1"/>
    <col min="14" max="14" width="6.28515625" style="2" bestFit="1" customWidth="1"/>
    <col min="15" max="15" width="15.28515625" style="2" customWidth="1"/>
    <col min="16" max="16" width="15.5703125" style="2" customWidth="1"/>
    <col min="17" max="17" width="1.85546875" style="58" customWidth="1"/>
    <col min="18" max="18" width="13.7109375" style="2" customWidth="1"/>
    <col min="19" max="19" width="15.140625" style="2" customWidth="1"/>
    <col min="20" max="20" width="1.85546875" style="2" customWidth="1"/>
    <col min="21" max="21" width="14.28515625" style="2" bestFit="1" customWidth="1"/>
    <col min="22" max="22" width="1.85546875" style="2" customWidth="1"/>
    <col min="23" max="23" width="13.85546875" style="2" customWidth="1"/>
    <col min="24" max="24" width="1.85546875" style="2" customWidth="1"/>
    <col min="25" max="25" width="15" style="2" customWidth="1"/>
    <col min="26" max="26" width="1.85546875" style="2" customWidth="1"/>
    <col min="27" max="27" width="14.7109375" style="2" customWidth="1"/>
    <col min="28" max="28" width="16.140625" style="2" customWidth="1"/>
    <col min="29" max="29" width="14.7109375" style="2" customWidth="1"/>
    <col min="30" max="30" width="12.85546875" style="2" customWidth="1"/>
    <col min="31" max="31" width="9.140625" style="2"/>
    <col min="32" max="32" width="18.140625" style="2" customWidth="1"/>
    <col min="33" max="16384" width="9.140625" style="2"/>
  </cols>
  <sheetData>
    <row r="1" spans="1:30" ht="12.75" x14ac:dyDescent="0.2">
      <c r="A1" s="58"/>
      <c r="B1" s="58"/>
      <c r="C1" s="58"/>
      <c r="D1" s="58"/>
      <c r="E1" s="272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AC1" s="14" t="str">
        <f>IF(COUNTIF(AC4:AC501,"err"),"err","ok")</f>
        <v>ok</v>
      </c>
    </row>
    <row r="2" spans="1:30" ht="48" customHeight="1" thickBot="1" x14ac:dyDescent="0.25">
      <c r="A2" s="1"/>
      <c r="B2" s="1"/>
      <c r="C2" s="9"/>
      <c r="D2" s="3" t="s">
        <v>208</v>
      </c>
      <c r="E2" s="273"/>
      <c r="F2" s="9" t="s">
        <v>0</v>
      </c>
      <c r="G2" s="9"/>
      <c r="H2" s="59" t="s">
        <v>873</v>
      </c>
      <c r="I2" s="59"/>
      <c r="K2" s="60" t="s">
        <v>350</v>
      </c>
      <c r="L2" s="1"/>
      <c r="M2" s="60" t="s">
        <v>1</v>
      </c>
      <c r="N2" s="61"/>
      <c r="O2" s="59" t="s">
        <v>356</v>
      </c>
      <c r="P2" s="59"/>
      <c r="Q2" s="1"/>
      <c r="R2" s="59" t="s">
        <v>3</v>
      </c>
      <c r="S2" s="59"/>
      <c r="T2" s="1"/>
      <c r="U2" s="62" t="s">
        <v>4</v>
      </c>
      <c r="V2" s="9"/>
      <c r="W2" s="60" t="s">
        <v>726</v>
      </c>
      <c r="X2" s="61"/>
      <c r="Y2" s="60" t="s">
        <v>957</v>
      </c>
      <c r="Z2" s="61"/>
      <c r="AA2" s="60" t="s">
        <v>470</v>
      </c>
      <c r="AB2" s="1"/>
      <c r="AC2" s="1"/>
    </row>
    <row r="3" spans="1:30" ht="13.5" thickBot="1" x14ac:dyDescent="0.25">
      <c r="A3" s="63" t="s">
        <v>6</v>
      </c>
      <c r="B3" s="63"/>
      <c r="C3" s="64" t="s">
        <v>7</v>
      </c>
      <c r="D3" s="64" t="s">
        <v>8</v>
      </c>
      <c r="E3" s="274"/>
      <c r="F3" s="62" t="s">
        <v>9</v>
      </c>
      <c r="G3" s="62"/>
      <c r="H3" s="62" t="s">
        <v>10</v>
      </c>
      <c r="I3" s="62" t="s">
        <v>11</v>
      </c>
      <c r="J3" s="62"/>
      <c r="K3" s="62" t="s">
        <v>10</v>
      </c>
      <c r="L3" s="62"/>
      <c r="M3" s="62" t="s">
        <v>10</v>
      </c>
      <c r="N3" s="62"/>
      <c r="O3" s="62" t="s">
        <v>10</v>
      </c>
      <c r="P3" s="62" t="s">
        <v>12</v>
      </c>
      <c r="Q3" s="59"/>
      <c r="R3" s="62" t="s">
        <v>10</v>
      </c>
      <c r="S3" s="62" t="s">
        <v>12</v>
      </c>
      <c r="T3" s="62"/>
      <c r="U3" s="62" t="s">
        <v>12</v>
      </c>
      <c r="V3" s="62"/>
      <c r="W3" s="62" t="s">
        <v>12</v>
      </c>
      <c r="X3" s="62"/>
      <c r="Y3" s="62" t="s">
        <v>12</v>
      </c>
      <c r="Z3" s="62"/>
      <c r="AA3" s="62" t="s">
        <v>12</v>
      </c>
      <c r="AB3" s="62" t="s">
        <v>13</v>
      </c>
      <c r="AC3" s="65" t="s">
        <v>14</v>
      </c>
    </row>
    <row r="4" spans="1:30" ht="12.75" x14ac:dyDescent="0.2">
      <c r="F4" s="13"/>
      <c r="G4" s="13"/>
      <c r="H4" s="66"/>
      <c r="I4" s="66"/>
      <c r="J4" s="66"/>
      <c r="K4" s="66"/>
      <c r="L4" s="66"/>
      <c r="M4" s="66"/>
      <c r="N4" s="66"/>
      <c r="O4" s="66"/>
      <c r="P4" s="66"/>
      <c r="Q4" s="67"/>
      <c r="R4" s="66"/>
      <c r="S4" s="66"/>
      <c r="T4" s="66"/>
      <c r="U4" s="66"/>
      <c r="V4" s="66"/>
      <c r="W4" s="66"/>
      <c r="X4" s="66"/>
      <c r="Y4" s="66"/>
      <c r="Z4" s="66"/>
      <c r="AA4" s="66"/>
      <c r="AC4" s="14"/>
    </row>
    <row r="5" spans="1:30" ht="12.75" x14ac:dyDescent="0.2">
      <c r="A5" s="12" t="s">
        <v>15</v>
      </c>
      <c r="F5" s="47"/>
      <c r="G5" s="47"/>
      <c r="H5" s="66"/>
      <c r="I5" s="66"/>
      <c r="J5" s="66"/>
      <c r="K5" s="66"/>
      <c r="L5" s="66"/>
      <c r="M5" s="66"/>
      <c r="N5" s="66"/>
      <c r="O5" s="66"/>
      <c r="P5" s="66"/>
      <c r="Q5" s="67"/>
      <c r="R5" s="66"/>
      <c r="S5" s="66"/>
      <c r="T5" s="66"/>
      <c r="U5" s="66"/>
      <c r="V5" s="66"/>
      <c r="W5" s="66"/>
      <c r="X5" s="66"/>
      <c r="Y5" s="66"/>
      <c r="Z5" s="66"/>
      <c r="AA5" s="66"/>
      <c r="AC5" s="14"/>
    </row>
    <row r="6" spans="1:30" x14ac:dyDescent="0.25">
      <c r="AC6" s="14"/>
    </row>
    <row r="7" spans="1:30" x14ac:dyDescent="0.25">
      <c r="A7" s="12" t="s">
        <v>358</v>
      </c>
      <c r="AC7" s="14"/>
    </row>
    <row r="8" spans="1:30" ht="12.75" x14ac:dyDescent="0.2">
      <c r="A8" s="68">
        <v>301</v>
      </c>
      <c r="B8" s="2" t="s">
        <v>360</v>
      </c>
      <c r="C8" s="2" t="s">
        <v>361</v>
      </c>
      <c r="D8" s="2" t="s">
        <v>392</v>
      </c>
      <c r="F8" s="45">
        <v>0</v>
      </c>
      <c r="G8" s="45"/>
      <c r="H8" s="32">
        <f>IF(VLOOKUP($D8,$C$5:$AA$507,6,)=0,0,((VLOOKUP($D8,$C$5:$AA$507,6,)/VLOOKUP($D8,$C$5:$AA$507,4,))*$F8))</f>
        <v>0</v>
      </c>
      <c r="I8" s="32">
        <f>IF(VLOOKUP($D8,$C$5:$AA$507,7,)=0,0,((VLOOKUP($D8,$C$5:$AA$507,7,)/VLOOKUP($D8,$C$5:$AA$507,4,))*$F8))</f>
        <v>0</v>
      </c>
      <c r="J8" s="32"/>
      <c r="K8" s="32">
        <f>IF(VLOOKUP($D8,$C$5:$AA$507,9,)=0,0,((VLOOKUP($D8,$C$5:$AA$507,9,)/VLOOKUP($D8,$C$5:$AA$507,4,))*$F8))</f>
        <v>0</v>
      </c>
      <c r="L8" s="32"/>
      <c r="M8" s="32">
        <f>IF(VLOOKUP($D8,$C$5:$AA$507,11,)=0,0,((VLOOKUP($D8,$C$5:$AA$507,11,)/VLOOKUP($D8,$C$5:$AA$507,4,))*$F8))</f>
        <v>0</v>
      </c>
      <c r="N8" s="32"/>
      <c r="O8" s="32">
        <f>IF(VLOOKUP($D8,$C$5:$AA$507,13,)=0,0,((VLOOKUP($D8,$C$5:$AA$507,13,)/VLOOKUP($D8,$C$5:$AA$507,4,))*$F8))</f>
        <v>0</v>
      </c>
      <c r="P8" s="32">
        <f>IF(VLOOKUP($D8,$C$5:$AA$507,14,)=0,0,((VLOOKUP($D8,$C$5:$AA$507,14,)/VLOOKUP($D8,$C$5:$AA$507,4,))*$F8))</f>
        <v>0</v>
      </c>
      <c r="Q8" s="32"/>
      <c r="R8" s="32">
        <f>IF(VLOOKUP($D8,$C$5:$AA$507,16,)=0,0,((VLOOKUP($D8,$C$5:$AA$507,16,)/VLOOKUP($D8,$C$5:$AA$507,4,))*$F8))</f>
        <v>0</v>
      </c>
      <c r="S8" s="32">
        <f>IF(VLOOKUP($D8,$C$5:$AA$507,17,)=0,0,((VLOOKUP($D8,$C$5:$AA$507,17,)/VLOOKUP($D8,$C$5:$AA$507,4,))*$F8))</f>
        <v>0</v>
      </c>
      <c r="T8" s="32"/>
      <c r="U8" s="32">
        <f>IF(VLOOKUP($D8,$C$5:$AA$507,19,)=0,0,((VLOOKUP($D8,$C$5:$AA$507,19,)/VLOOKUP($D8,$C$5:$AA$507,4,))*$F8))</f>
        <v>0</v>
      </c>
      <c r="V8" s="32"/>
      <c r="W8" s="32">
        <f>IF(VLOOKUP($D8,$C$5:$AA$507,21,)=0,0,((VLOOKUP($D8,$C$5:$AA$507,21,)/VLOOKUP($D8,$C$5:$AA$507,4,))*$F8))</f>
        <v>0</v>
      </c>
      <c r="X8" s="32"/>
      <c r="Y8" s="32">
        <f>IF(VLOOKUP($D8,$C$5:$AA$507,23,)=0,0,((VLOOKUP($D8,$C$5:$AA$507,23,)/VLOOKUP($D8,$C$5:$AA$507,4,))*$F8))</f>
        <v>0</v>
      </c>
      <c r="Z8" s="32"/>
      <c r="AA8" s="32">
        <f>IF(VLOOKUP($D8,$C$5:$AA$507,25,)=0,0,((VLOOKUP($D8,$C$5:$AA$507,25,)/VLOOKUP($D8,$C$5:$AA$507,4,))*$F8))</f>
        <v>0</v>
      </c>
      <c r="AB8" s="32">
        <f>SUM(H8:AA8)</f>
        <v>0</v>
      </c>
      <c r="AC8" s="14" t="str">
        <f>IF(ABS(AB8-F8)&lt;1,"ok","err")</f>
        <v>ok</v>
      </c>
      <c r="AD8" s="19"/>
    </row>
    <row r="9" spans="1:30" ht="12.75" x14ac:dyDescent="0.2">
      <c r="A9" s="68">
        <v>302</v>
      </c>
      <c r="B9" s="2" t="s">
        <v>800</v>
      </c>
      <c r="C9" s="2" t="s">
        <v>801</v>
      </c>
      <c r="D9" s="2" t="s">
        <v>392</v>
      </c>
      <c r="F9" s="32">
        <v>0</v>
      </c>
      <c r="G9" s="32"/>
      <c r="H9" s="32">
        <f>IF(VLOOKUP($D9,$C$5:$AA$507,6,)=0,0,((VLOOKUP($D9,$C$5:$AA$507,6,)/VLOOKUP($D9,$C$5:$AA$507,4,))*$F9))</f>
        <v>0</v>
      </c>
      <c r="I9" s="32">
        <f>IF(VLOOKUP($D9,$C$5:$AA$507,7,)=0,0,((VLOOKUP($D9,$C$5:$AA$507,7,)/VLOOKUP($D9,$C$5:$AA$507,4,))*$F9))</f>
        <v>0</v>
      </c>
      <c r="J9" s="32"/>
      <c r="K9" s="32">
        <f>IF(VLOOKUP($D9,$C$5:$AA$507,9,)=0,0,((VLOOKUP($D9,$C$5:$AA$507,9,)/VLOOKUP($D9,$C$5:$AA$507,4,))*$F9))</f>
        <v>0</v>
      </c>
      <c r="L9" s="32"/>
      <c r="M9" s="32">
        <f>IF(VLOOKUP($D9,$C$5:$AA$507,11,)=0,0,((VLOOKUP($D9,$C$5:$AA$507,11,)/VLOOKUP($D9,$C$5:$AA$507,4,))*$F9))</f>
        <v>0</v>
      </c>
      <c r="N9" s="32"/>
      <c r="O9" s="32">
        <f>IF(VLOOKUP($D9,$C$5:$AA$507,13,)=0,0,((VLOOKUP($D9,$C$5:$AA$507,13,)/VLOOKUP($D9,$C$5:$AA$507,4,))*$F9))</f>
        <v>0</v>
      </c>
      <c r="P9" s="32">
        <f>IF(VLOOKUP($D9,$C$5:$AA$507,14,)=0,0,((VLOOKUP($D9,$C$5:$AA$507,14,)/VLOOKUP($D9,$C$5:$AA$507,4,))*$F9))</f>
        <v>0</v>
      </c>
      <c r="Q9" s="32"/>
      <c r="R9" s="32">
        <f>IF(VLOOKUP($D9,$C$5:$AA$507,16,)=0,0,((VLOOKUP($D9,$C$5:$AA$507,16,)/VLOOKUP($D9,$C$5:$AA$507,4,))*$F9))</f>
        <v>0</v>
      </c>
      <c r="S9" s="32">
        <f>IF(VLOOKUP($D9,$C$5:$AA$507,17,)=0,0,((VLOOKUP($D9,$C$5:$AA$507,17,)/VLOOKUP($D9,$C$5:$AA$507,4,))*$F9))</f>
        <v>0</v>
      </c>
      <c r="T9" s="32"/>
      <c r="U9" s="32">
        <f>IF(VLOOKUP($D9,$C$5:$AA$507,19,)=0,0,((VLOOKUP($D9,$C$5:$AA$507,19,)/VLOOKUP($D9,$C$5:$AA$507,4,))*$F9))</f>
        <v>0</v>
      </c>
      <c r="V9" s="32"/>
      <c r="W9" s="32">
        <f>IF(VLOOKUP($D9,$C$5:$AA$507,21,)=0,0,((VLOOKUP($D9,$C$5:$AA$507,21,)/VLOOKUP($D9,$C$5:$AA$507,4,))*$F9))</f>
        <v>0</v>
      </c>
      <c r="X9" s="32"/>
      <c r="Y9" s="32">
        <f>IF(VLOOKUP($D9,$C$5:$AA$507,23,)=0,0,((VLOOKUP($D9,$C$5:$AA$507,23,)/VLOOKUP($D9,$C$5:$AA$507,4,))*$F9))</f>
        <v>0</v>
      </c>
      <c r="Z9" s="32"/>
      <c r="AA9" s="32">
        <f>IF(VLOOKUP($D9,$C$5:$AA$507,25,)=0,0,((VLOOKUP($D9,$C$5:$AA$507,25,)/VLOOKUP($D9,$C$5:$AA$507,4,))*$F9))</f>
        <v>0</v>
      </c>
      <c r="AB9" s="32">
        <f>SUM(H9:AA9)</f>
        <v>0</v>
      </c>
      <c r="AC9" s="14" t="str">
        <f>IF(ABS(AB9-F9)&lt;1,"ok","err")</f>
        <v>ok</v>
      </c>
    </row>
    <row r="10" spans="1:30" ht="12.75" x14ac:dyDescent="0.2">
      <c r="A10" s="68">
        <v>303</v>
      </c>
      <c r="B10" s="2" t="s">
        <v>701</v>
      </c>
      <c r="C10" s="2" t="s">
        <v>702</v>
      </c>
      <c r="D10" s="2" t="s">
        <v>392</v>
      </c>
      <c r="F10" s="32">
        <v>3624.6</v>
      </c>
      <c r="G10" s="32"/>
      <c r="H10" s="32">
        <f>IF(VLOOKUP($D10,$C$5:$AA$507,6,)=0,0,((VLOOKUP($D10,$C$5:$AA$507,6,)/VLOOKUP($D10,$C$5:$AA$507,4,))*$F10))</f>
        <v>0</v>
      </c>
      <c r="I10" s="32">
        <f>IF(VLOOKUP($D10,$C$5:$AA$507,7,)=0,0,((VLOOKUP($D10,$C$5:$AA$507,7,)/VLOOKUP($D10,$C$5:$AA$507,4,))*$F10))</f>
        <v>0</v>
      </c>
      <c r="J10" s="32"/>
      <c r="K10" s="32">
        <f>IF(VLOOKUP($D10,$C$5:$AA$507,9,)=0,0,((VLOOKUP($D10,$C$5:$AA$507,9,)/VLOOKUP($D10,$C$5:$AA$507,4,))*$F10))</f>
        <v>0</v>
      </c>
      <c r="L10" s="32"/>
      <c r="M10" s="32">
        <f>IF(VLOOKUP($D10,$C$5:$AA$507,11,)=0,0,((VLOOKUP($D10,$C$5:$AA$507,11,)/VLOOKUP($D10,$C$5:$AA$507,4,))*$F10))</f>
        <v>1.3231248135933011</v>
      </c>
      <c r="N10" s="32"/>
      <c r="O10" s="32">
        <f>IF(VLOOKUP($D10,$C$5:$AA$507,13,)=0,0,((VLOOKUP($D10,$C$5:$AA$507,13,)/VLOOKUP($D10,$C$5:$AA$507,4,))*$F10))</f>
        <v>1926.4632830264534</v>
      </c>
      <c r="P10" s="32">
        <f>IF(VLOOKUP($D10,$C$5:$AA$507,14,)=0,0,((VLOOKUP($D10,$C$5:$AA$507,14,)/VLOOKUP($D10,$C$5:$AA$507,4,))*$F10))</f>
        <v>992.79625453883546</v>
      </c>
      <c r="Q10" s="32"/>
      <c r="R10" s="32">
        <f>IF(VLOOKUP($D10,$C$5:$AA$507,16,)=0,0,((VLOOKUP($D10,$C$5:$AA$507,16,)/VLOOKUP($D10,$C$5:$AA$507,4,))*$F10))</f>
        <v>0</v>
      </c>
      <c r="S10" s="32">
        <f>IF(VLOOKUP($D10,$C$5:$AA$507,17,)=0,0,((VLOOKUP($D10,$C$5:$AA$507,17,)/VLOOKUP($D10,$C$5:$AA$507,4,))*$F10))</f>
        <v>360.48786068353655</v>
      </c>
      <c r="T10" s="32"/>
      <c r="U10" s="32">
        <f>IF(VLOOKUP($D10,$C$5:$AA$507,19,)=0,0,((VLOOKUP($D10,$C$5:$AA$507,19,)/VLOOKUP($D10,$C$5:$AA$507,4,))*$F10))</f>
        <v>203.16860230792349</v>
      </c>
      <c r="V10" s="32"/>
      <c r="W10" s="32">
        <f>IF(VLOOKUP($D10,$C$5:$AA$507,21,)=0,0,((VLOOKUP($D10,$C$5:$AA$507,21,)/VLOOKUP($D10,$C$5:$AA$507,4,))*$F10))</f>
        <v>140.36087462965776</v>
      </c>
      <c r="X10" s="32"/>
      <c r="Y10" s="32">
        <f>IF(VLOOKUP($D10,$C$5:$AA$507,23,)=0,0,((VLOOKUP($D10,$C$5:$AA$507,23,)/VLOOKUP($D10,$C$5:$AA$507,4,))*$F10))</f>
        <v>0</v>
      </c>
      <c r="Z10" s="32"/>
      <c r="AA10" s="32">
        <f>IF(VLOOKUP($D10,$C$5:$AA$507,25,)=0,0,((VLOOKUP($D10,$C$5:$AA$507,25,)/VLOOKUP($D10,$C$5:$AA$507,4,))*$F10))</f>
        <v>0</v>
      </c>
      <c r="AB10" s="32">
        <f>SUM(H10:AA10)</f>
        <v>3624.5999999999995</v>
      </c>
      <c r="AC10" s="14" t="str">
        <f>IF(ABS(AB10-F10)&lt;1,"ok","err")</f>
        <v>ok</v>
      </c>
    </row>
    <row r="11" spans="1:30" x14ac:dyDescent="0.25">
      <c r="AC11" s="14"/>
    </row>
    <row r="12" spans="1:30" ht="12.75" x14ac:dyDescent="0.2">
      <c r="B12" s="2" t="s">
        <v>19</v>
      </c>
      <c r="C12" s="2" t="s">
        <v>20</v>
      </c>
      <c r="F12" s="69">
        <f>SUM(F8:F10)</f>
        <v>3624.6</v>
      </c>
      <c r="G12" s="69">
        <f t="shared" ref="G12:AA12" si="0">SUM(G8:G10)</f>
        <v>0</v>
      </c>
      <c r="H12" s="69">
        <f t="shared" si="0"/>
        <v>0</v>
      </c>
      <c r="I12" s="69">
        <f t="shared" si="0"/>
        <v>0</v>
      </c>
      <c r="J12" s="69">
        <f t="shared" si="0"/>
        <v>0</v>
      </c>
      <c r="K12" s="69">
        <f t="shared" si="0"/>
        <v>0</v>
      </c>
      <c r="L12" s="69">
        <f t="shared" si="0"/>
        <v>0</v>
      </c>
      <c r="M12" s="69">
        <f t="shared" si="0"/>
        <v>1.3231248135933011</v>
      </c>
      <c r="N12" s="69">
        <f t="shared" si="0"/>
        <v>0</v>
      </c>
      <c r="O12" s="69">
        <f t="shared" si="0"/>
        <v>1926.4632830264534</v>
      </c>
      <c r="P12" s="69">
        <f t="shared" si="0"/>
        <v>992.79625453883546</v>
      </c>
      <c r="Q12" s="69">
        <f t="shared" si="0"/>
        <v>0</v>
      </c>
      <c r="R12" s="69">
        <f t="shared" si="0"/>
        <v>0</v>
      </c>
      <c r="S12" s="69">
        <f t="shared" si="0"/>
        <v>360.48786068353655</v>
      </c>
      <c r="T12" s="69">
        <f t="shared" si="0"/>
        <v>0</v>
      </c>
      <c r="U12" s="69">
        <f t="shared" si="0"/>
        <v>203.16860230792349</v>
      </c>
      <c r="V12" s="69">
        <f t="shared" si="0"/>
        <v>0</v>
      </c>
      <c r="W12" s="69">
        <f t="shared" si="0"/>
        <v>140.36087462965776</v>
      </c>
      <c r="X12" s="69">
        <f t="shared" si="0"/>
        <v>0</v>
      </c>
      <c r="Y12" s="69">
        <f t="shared" si="0"/>
        <v>0</v>
      </c>
      <c r="Z12" s="69">
        <f t="shared" si="0"/>
        <v>0</v>
      </c>
      <c r="AA12" s="69">
        <f t="shared" si="0"/>
        <v>0</v>
      </c>
      <c r="AB12" s="32">
        <f>SUM(H12:AA12)</f>
        <v>3624.5999999999995</v>
      </c>
      <c r="AC12" s="14" t="str">
        <f>IF(ABS(AB12-F12)&lt;1,"ok","err")</f>
        <v>ok</v>
      </c>
      <c r="AD12" s="19"/>
    </row>
    <row r="13" spans="1:30" x14ac:dyDescent="0.25">
      <c r="AC13" s="14"/>
    </row>
    <row r="14" spans="1:30" x14ac:dyDescent="0.25">
      <c r="A14" s="12" t="s">
        <v>739</v>
      </c>
      <c r="Q14" s="2"/>
      <c r="AC14" s="14"/>
    </row>
    <row r="15" spans="1:30" ht="12.75" x14ac:dyDescent="0.2">
      <c r="A15" s="70">
        <v>310</v>
      </c>
      <c r="B15" s="2" t="s">
        <v>17</v>
      </c>
      <c r="C15" s="2" t="s">
        <v>746</v>
      </c>
      <c r="D15" s="2" t="s">
        <v>552</v>
      </c>
      <c r="F15" s="45">
        <v>0</v>
      </c>
      <c r="G15" s="45"/>
      <c r="H15" s="32">
        <f t="shared" ref="H15:H22" si="1">IF(VLOOKUP($D15,$C$5:$AA$507,6,)=0,0,((VLOOKUP($D15,$C$5:$AA$507,6,)/VLOOKUP($D15,$C$5:$AA$507,4,))*$F15))</f>
        <v>0</v>
      </c>
      <c r="I15" s="32">
        <f t="shared" ref="I15:I22" si="2">IF(VLOOKUP($D15,$C$5:$AA$507,7,)=0,0,((VLOOKUP($D15,$C$5:$AA$507,7,)/VLOOKUP($D15,$C$5:$AA$507,4,))*$F15))</f>
        <v>0</v>
      </c>
      <c r="J15" s="32"/>
      <c r="K15" s="32">
        <f t="shared" ref="K15:K22" si="3">IF(VLOOKUP($D15,$C$5:$AA$507,9,)=0,0,((VLOOKUP($D15,$C$5:$AA$507,9,)/VLOOKUP($D15,$C$5:$AA$507,4,))*$F15))</f>
        <v>0</v>
      </c>
      <c r="L15" s="45">
        <v>0</v>
      </c>
      <c r="M15" s="45"/>
      <c r="N15" s="32">
        <v>0</v>
      </c>
      <c r="O15" s="32">
        <v>0</v>
      </c>
      <c r="P15" s="32">
        <f t="shared" ref="P15:P22" si="4">IF(VLOOKUP($D15,$C$5:$AA$507,14,)=0,0,((VLOOKUP($D15,$C$5:$AA$507,14,)/VLOOKUP($D15,$C$5:$AA$507,4,))*$F15))</f>
        <v>0</v>
      </c>
      <c r="Q15" s="32"/>
      <c r="R15" s="32">
        <f t="shared" ref="R15:R22" si="5">IF(VLOOKUP($D15,$C$5:$AA$507,16,)=0,0,((VLOOKUP($D15,$C$5:$AA$507,16,)/VLOOKUP($D15,$C$5:$AA$507,4,))*$F15))</f>
        <v>0</v>
      </c>
      <c r="S15" s="32">
        <f t="shared" ref="S15:S22" si="6">IF(VLOOKUP($D15,$C$5:$AA$507,17,)=0,0,((VLOOKUP($D15,$C$5:$AA$507,17,)/VLOOKUP($D15,$C$5:$AA$507,4,))*$F15))</f>
        <v>0</v>
      </c>
      <c r="T15" s="32"/>
      <c r="U15" s="32">
        <f t="shared" ref="U15:U22" si="7">IF(VLOOKUP($D15,$C$5:$AA$507,19,)=0,0,((VLOOKUP($D15,$C$5:$AA$507,19,)/VLOOKUP($D15,$C$5:$AA$507,4,))*$F15))</f>
        <v>0</v>
      </c>
      <c r="V15" s="32"/>
      <c r="W15" s="32">
        <f t="shared" ref="W15:W22" si="8">IF(VLOOKUP($D15,$C$5:$AA$507,21,)=0,0,((VLOOKUP($D15,$C$5:$AA$507,21,)/VLOOKUP($D15,$C$5:$AA$507,4,))*$F15))</f>
        <v>0</v>
      </c>
      <c r="X15" s="32"/>
      <c r="Y15" s="32">
        <f t="shared" ref="Y15:Y22" si="9">IF(VLOOKUP($D15,$C$5:$AA$507,23,)=0,0,((VLOOKUP($D15,$C$5:$AA$507,23,)/VLOOKUP($D15,$C$5:$AA$507,4,))*$F15))</f>
        <v>0</v>
      </c>
      <c r="Z15" s="32"/>
      <c r="AA15" s="32">
        <f t="shared" ref="AA15:AA22" si="10">IF(VLOOKUP($D15,$C$5:$AA$507,25,)=0,0,((VLOOKUP($D15,$C$5:$AA$507,25,)/VLOOKUP($D15,$C$5:$AA$507,4,))*$F15))</f>
        <v>0</v>
      </c>
      <c r="AB15" s="32">
        <f t="shared" ref="AB15:AB22" si="11">SUM(H15:AA15)</f>
        <v>0</v>
      </c>
      <c r="AC15" s="14" t="str">
        <f t="shared" ref="AC15:AC22" si="12">IF(ABS(AB15-F15)&lt;1,"ok","err")</f>
        <v>ok</v>
      </c>
    </row>
    <row r="16" spans="1:30" ht="12.75" x14ac:dyDescent="0.2">
      <c r="A16" s="70">
        <v>311</v>
      </c>
      <c r="B16" s="2" t="s">
        <v>53</v>
      </c>
      <c r="C16" s="2" t="s">
        <v>753</v>
      </c>
      <c r="D16" s="2" t="s">
        <v>552</v>
      </c>
      <c r="F16" s="32">
        <v>0</v>
      </c>
      <c r="G16" s="32"/>
      <c r="H16" s="32">
        <f t="shared" si="1"/>
        <v>0</v>
      </c>
      <c r="I16" s="32">
        <f t="shared" si="2"/>
        <v>0</v>
      </c>
      <c r="J16" s="32"/>
      <c r="K16" s="32">
        <f t="shared" si="3"/>
        <v>0</v>
      </c>
      <c r="L16" s="32">
        <v>0</v>
      </c>
      <c r="M16" s="32"/>
      <c r="N16" s="32">
        <v>0</v>
      </c>
      <c r="O16" s="32">
        <v>0</v>
      </c>
      <c r="P16" s="32">
        <f t="shared" si="4"/>
        <v>0</v>
      </c>
      <c r="Q16" s="32"/>
      <c r="R16" s="32">
        <f t="shared" si="5"/>
        <v>0</v>
      </c>
      <c r="S16" s="32">
        <f t="shared" si="6"/>
        <v>0</v>
      </c>
      <c r="T16" s="32"/>
      <c r="U16" s="32">
        <f t="shared" si="7"/>
        <v>0</v>
      </c>
      <c r="V16" s="32"/>
      <c r="W16" s="32">
        <f t="shared" si="8"/>
        <v>0</v>
      </c>
      <c r="X16" s="32"/>
      <c r="Y16" s="32">
        <f t="shared" si="9"/>
        <v>0</v>
      </c>
      <c r="Z16" s="32"/>
      <c r="AA16" s="32">
        <f t="shared" si="10"/>
        <v>0</v>
      </c>
      <c r="AB16" s="32">
        <f t="shared" si="11"/>
        <v>0</v>
      </c>
      <c r="AC16" s="14" t="str">
        <f t="shared" si="12"/>
        <v>ok</v>
      </c>
    </row>
    <row r="17" spans="1:29" ht="12.75" x14ac:dyDescent="0.2">
      <c r="A17" s="70">
        <v>312</v>
      </c>
      <c r="B17" s="2" t="s">
        <v>740</v>
      </c>
      <c r="C17" s="2" t="s">
        <v>747</v>
      </c>
      <c r="D17" s="2" t="s">
        <v>552</v>
      </c>
      <c r="F17" s="32">
        <v>0</v>
      </c>
      <c r="G17" s="32"/>
      <c r="H17" s="32">
        <f t="shared" si="1"/>
        <v>0</v>
      </c>
      <c r="I17" s="32">
        <f t="shared" si="2"/>
        <v>0</v>
      </c>
      <c r="J17" s="32"/>
      <c r="K17" s="32">
        <f t="shared" si="3"/>
        <v>0</v>
      </c>
      <c r="L17" s="32"/>
      <c r="M17" s="32">
        <f t="shared" ref="M17:M22" si="13">IF(VLOOKUP($D17,$C$5:$AA$507,11,)=0,0,((VLOOKUP($D17,$C$5:$AA$507,11,)/VLOOKUP($D17,$C$5:$AA$507,4,))*$F17))</f>
        <v>0</v>
      </c>
      <c r="N17" s="32"/>
      <c r="O17" s="32">
        <f t="shared" ref="O17:O22" si="14">IF(VLOOKUP($D17,$C$5:$AA$507,13,)=0,0,((VLOOKUP($D17,$C$5:$AA$507,13,)/VLOOKUP($D17,$C$5:$AA$507,4,))*$F17))</f>
        <v>0</v>
      </c>
      <c r="P17" s="32">
        <f t="shared" si="4"/>
        <v>0</v>
      </c>
      <c r="Q17" s="32"/>
      <c r="R17" s="32">
        <f t="shared" si="5"/>
        <v>0</v>
      </c>
      <c r="S17" s="32">
        <f t="shared" si="6"/>
        <v>0</v>
      </c>
      <c r="T17" s="32"/>
      <c r="U17" s="32">
        <f t="shared" si="7"/>
        <v>0</v>
      </c>
      <c r="V17" s="32"/>
      <c r="W17" s="32">
        <f t="shared" si="8"/>
        <v>0</v>
      </c>
      <c r="X17" s="32"/>
      <c r="Y17" s="32">
        <f t="shared" si="9"/>
        <v>0</v>
      </c>
      <c r="Z17" s="32"/>
      <c r="AA17" s="32">
        <f t="shared" si="10"/>
        <v>0</v>
      </c>
      <c r="AB17" s="32">
        <f t="shared" si="11"/>
        <v>0</v>
      </c>
      <c r="AC17" s="14" t="str">
        <f t="shared" si="12"/>
        <v>ok</v>
      </c>
    </row>
    <row r="18" spans="1:29" ht="12.75" x14ac:dyDescent="0.2">
      <c r="A18" s="70">
        <v>313</v>
      </c>
      <c r="B18" s="2" t="s">
        <v>741</v>
      </c>
      <c r="C18" s="2" t="s">
        <v>748</v>
      </c>
      <c r="D18" s="2" t="s">
        <v>552</v>
      </c>
      <c r="F18" s="32">
        <v>0</v>
      </c>
      <c r="G18" s="32"/>
      <c r="H18" s="32">
        <f t="shared" si="1"/>
        <v>0</v>
      </c>
      <c r="I18" s="32">
        <f t="shared" si="2"/>
        <v>0</v>
      </c>
      <c r="J18" s="32"/>
      <c r="K18" s="32">
        <f t="shared" si="3"/>
        <v>0</v>
      </c>
      <c r="L18" s="32"/>
      <c r="M18" s="32">
        <f t="shared" si="13"/>
        <v>0</v>
      </c>
      <c r="N18" s="32"/>
      <c r="O18" s="32">
        <f t="shared" si="14"/>
        <v>0</v>
      </c>
      <c r="P18" s="32">
        <f t="shared" si="4"/>
        <v>0</v>
      </c>
      <c r="Q18" s="32"/>
      <c r="R18" s="32">
        <f t="shared" si="5"/>
        <v>0</v>
      </c>
      <c r="S18" s="32">
        <f t="shared" si="6"/>
        <v>0</v>
      </c>
      <c r="T18" s="32"/>
      <c r="U18" s="32">
        <f t="shared" si="7"/>
        <v>0</v>
      </c>
      <c r="V18" s="32"/>
      <c r="W18" s="32">
        <f t="shared" si="8"/>
        <v>0</v>
      </c>
      <c r="X18" s="32"/>
      <c r="Y18" s="32">
        <f t="shared" si="9"/>
        <v>0</v>
      </c>
      <c r="Z18" s="32"/>
      <c r="AA18" s="32">
        <f t="shared" si="10"/>
        <v>0</v>
      </c>
      <c r="AB18" s="32">
        <f t="shared" si="11"/>
        <v>0</v>
      </c>
      <c r="AC18" s="14" t="str">
        <f t="shared" si="12"/>
        <v>ok</v>
      </c>
    </row>
    <row r="19" spans="1:29" ht="12.75" x14ac:dyDescent="0.2">
      <c r="A19" s="70">
        <v>314</v>
      </c>
      <c r="B19" s="2" t="s">
        <v>742</v>
      </c>
      <c r="C19" s="2" t="s">
        <v>749</v>
      </c>
      <c r="D19" s="2" t="s">
        <v>552</v>
      </c>
      <c r="F19" s="32">
        <v>0</v>
      </c>
      <c r="G19" s="32"/>
      <c r="H19" s="32">
        <f t="shared" si="1"/>
        <v>0</v>
      </c>
      <c r="I19" s="32">
        <f t="shared" si="2"/>
        <v>0</v>
      </c>
      <c r="J19" s="32"/>
      <c r="K19" s="32">
        <f t="shared" si="3"/>
        <v>0</v>
      </c>
      <c r="L19" s="32"/>
      <c r="M19" s="32">
        <f t="shared" si="13"/>
        <v>0</v>
      </c>
      <c r="N19" s="32"/>
      <c r="O19" s="32">
        <f t="shared" si="14"/>
        <v>0</v>
      </c>
      <c r="P19" s="32">
        <f t="shared" si="4"/>
        <v>0</v>
      </c>
      <c r="Q19" s="32"/>
      <c r="R19" s="32">
        <f t="shared" si="5"/>
        <v>0</v>
      </c>
      <c r="S19" s="32">
        <f t="shared" si="6"/>
        <v>0</v>
      </c>
      <c r="T19" s="32"/>
      <c r="U19" s="32">
        <f t="shared" si="7"/>
        <v>0</v>
      </c>
      <c r="V19" s="32"/>
      <c r="W19" s="32">
        <f t="shared" si="8"/>
        <v>0</v>
      </c>
      <c r="X19" s="32"/>
      <c r="Y19" s="32">
        <f t="shared" si="9"/>
        <v>0</v>
      </c>
      <c r="Z19" s="32"/>
      <c r="AA19" s="32">
        <f t="shared" si="10"/>
        <v>0</v>
      </c>
      <c r="AB19" s="32">
        <f t="shared" si="11"/>
        <v>0</v>
      </c>
      <c r="AC19" s="14" t="str">
        <f t="shared" si="12"/>
        <v>ok</v>
      </c>
    </row>
    <row r="20" spans="1:29" ht="12.75" x14ac:dyDescent="0.2">
      <c r="A20" s="70">
        <v>315</v>
      </c>
      <c r="B20" s="2" t="s">
        <v>743</v>
      </c>
      <c r="C20" s="2" t="s">
        <v>750</v>
      </c>
      <c r="D20" s="2" t="s">
        <v>552</v>
      </c>
      <c r="F20" s="32">
        <v>0</v>
      </c>
      <c r="G20" s="32"/>
      <c r="H20" s="32">
        <f t="shared" si="1"/>
        <v>0</v>
      </c>
      <c r="I20" s="32">
        <f t="shared" si="2"/>
        <v>0</v>
      </c>
      <c r="J20" s="32"/>
      <c r="K20" s="32">
        <f t="shared" si="3"/>
        <v>0</v>
      </c>
      <c r="L20" s="32"/>
      <c r="M20" s="32">
        <f t="shared" si="13"/>
        <v>0</v>
      </c>
      <c r="N20" s="32"/>
      <c r="O20" s="32">
        <f t="shared" si="14"/>
        <v>0</v>
      </c>
      <c r="P20" s="32">
        <f t="shared" si="4"/>
        <v>0</v>
      </c>
      <c r="Q20" s="32"/>
      <c r="R20" s="32">
        <f t="shared" si="5"/>
        <v>0</v>
      </c>
      <c r="S20" s="32">
        <f t="shared" si="6"/>
        <v>0</v>
      </c>
      <c r="T20" s="32"/>
      <c r="U20" s="32">
        <f t="shared" si="7"/>
        <v>0</v>
      </c>
      <c r="V20" s="32"/>
      <c r="W20" s="32">
        <f t="shared" si="8"/>
        <v>0</v>
      </c>
      <c r="X20" s="32"/>
      <c r="Y20" s="32">
        <f t="shared" si="9"/>
        <v>0</v>
      </c>
      <c r="Z20" s="32"/>
      <c r="AA20" s="32">
        <f t="shared" si="10"/>
        <v>0</v>
      </c>
      <c r="AB20" s="32">
        <f t="shared" si="11"/>
        <v>0</v>
      </c>
      <c r="AC20" s="14" t="str">
        <f t="shared" si="12"/>
        <v>ok</v>
      </c>
    </row>
    <row r="21" spans="1:29" ht="12.75" x14ac:dyDescent="0.2">
      <c r="A21" s="70">
        <v>316</v>
      </c>
      <c r="B21" s="2" t="s">
        <v>745</v>
      </c>
      <c r="C21" s="2" t="s">
        <v>751</v>
      </c>
      <c r="D21" s="2" t="s">
        <v>552</v>
      </c>
      <c r="F21" s="32">
        <v>0</v>
      </c>
      <c r="G21" s="32"/>
      <c r="H21" s="32">
        <f t="shared" si="1"/>
        <v>0</v>
      </c>
      <c r="I21" s="32">
        <f t="shared" si="2"/>
        <v>0</v>
      </c>
      <c r="J21" s="32"/>
      <c r="K21" s="32">
        <f t="shared" si="3"/>
        <v>0</v>
      </c>
      <c r="L21" s="32"/>
      <c r="M21" s="32">
        <f t="shared" si="13"/>
        <v>0</v>
      </c>
      <c r="N21" s="32"/>
      <c r="O21" s="32">
        <f t="shared" si="14"/>
        <v>0</v>
      </c>
      <c r="P21" s="32">
        <f t="shared" si="4"/>
        <v>0</v>
      </c>
      <c r="Q21" s="32"/>
      <c r="R21" s="32">
        <f t="shared" si="5"/>
        <v>0</v>
      </c>
      <c r="S21" s="32">
        <f t="shared" si="6"/>
        <v>0</v>
      </c>
      <c r="T21" s="32"/>
      <c r="U21" s="32">
        <f t="shared" si="7"/>
        <v>0</v>
      </c>
      <c r="V21" s="32"/>
      <c r="W21" s="32">
        <f t="shared" si="8"/>
        <v>0</v>
      </c>
      <c r="X21" s="32"/>
      <c r="Y21" s="32">
        <f t="shared" si="9"/>
        <v>0</v>
      </c>
      <c r="Z21" s="32"/>
      <c r="AA21" s="32">
        <f t="shared" si="10"/>
        <v>0</v>
      </c>
      <c r="AB21" s="32">
        <f>SUM(H21:AA21)</f>
        <v>0</v>
      </c>
      <c r="AC21" s="14" t="str">
        <f>IF(ABS(AB21-F21)&lt;1,"ok","err")</f>
        <v>ok</v>
      </c>
    </row>
    <row r="22" spans="1:29" ht="12.75" x14ac:dyDescent="0.2">
      <c r="A22" s="70">
        <v>317</v>
      </c>
      <c r="B22" s="2" t="s">
        <v>744</v>
      </c>
      <c r="C22" s="2" t="s">
        <v>752</v>
      </c>
      <c r="D22" s="2" t="s">
        <v>552</v>
      </c>
      <c r="F22" s="32">
        <v>0</v>
      </c>
      <c r="G22" s="32"/>
      <c r="H22" s="32">
        <f t="shared" si="1"/>
        <v>0</v>
      </c>
      <c r="I22" s="32">
        <f t="shared" si="2"/>
        <v>0</v>
      </c>
      <c r="J22" s="32"/>
      <c r="K22" s="32">
        <f t="shared" si="3"/>
        <v>0</v>
      </c>
      <c r="L22" s="32"/>
      <c r="M22" s="32">
        <f t="shared" si="13"/>
        <v>0</v>
      </c>
      <c r="N22" s="32"/>
      <c r="O22" s="32">
        <f t="shared" si="14"/>
        <v>0</v>
      </c>
      <c r="P22" s="32">
        <f t="shared" si="4"/>
        <v>0</v>
      </c>
      <c r="Q22" s="32"/>
      <c r="R22" s="32">
        <f t="shared" si="5"/>
        <v>0</v>
      </c>
      <c r="S22" s="32">
        <f t="shared" si="6"/>
        <v>0</v>
      </c>
      <c r="T22" s="32"/>
      <c r="U22" s="32">
        <f t="shared" si="7"/>
        <v>0</v>
      </c>
      <c r="V22" s="32"/>
      <c r="W22" s="32">
        <f t="shared" si="8"/>
        <v>0</v>
      </c>
      <c r="X22" s="32"/>
      <c r="Y22" s="32">
        <f t="shared" si="9"/>
        <v>0</v>
      </c>
      <c r="Z22" s="32"/>
      <c r="AA22" s="32">
        <f t="shared" si="10"/>
        <v>0</v>
      </c>
      <c r="AB22" s="32">
        <f t="shared" si="11"/>
        <v>0</v>
      </c>
      <c r="AC22" s="14" t="str">
        <f t="shared" si="12"/>
        <v>ok</v>
      </c>
    </row>
    <row r="23" spans="1:29" x14ac:dyDescent="0.25">
      <c r="Q23" s="2"/>
      <c r="AB23" s="32"/>
      <c r="AC23" s="14"/>
    </row>
    <row r="24" spans="1:29" ht="12.75" x14ac:dyDescent="0.2">
      <c r="B24" s="2" t="s">
        <v>755</v>
      </c>
      <c r="C24" s="2" t="s">
        <v>754</v>
      </c>
      <c r="F24" s="69">
        <f>SUM(F15:F23)</f>
        <v>0</v>
      </c>
      <c r="G24" s="69"/>
      <c r="H24" s="69">
        <f>SUM(H15:H23)</f>
        <v>0</v>
      </c>
      <c r="I24" s="69">
        <f>SUM(I15:I23)</f>
        <v>0</v>
      </c>
      <c r="J24" s="69"/>
      <c r="K24" s="69">
        <f>SUM(K15:K23)</f>
        <v>0</v>
      </c>
      <c r="L24" s="69"/>
      <c r="M24" s="69">
        <f>SUM(M15:M23)</f>
        <v>0</v>
      </c>
      <c r="N24" s="69"/>
      <c r="O24" s="69">
        <f>SUM(O15:O23)</f>
        <v>0</v>
      </c>
      <c r="P24" s="69">
        <f>SUM(P15:P23)</f>
        <v>0</v>
      </c>
      <c r="Q24" s="69"/>
      <c r="R24" s="69">
        <f>SUM(R15:R23)</f>
        <v>0</v>
      </c>
      <c r="S24" s="69">
        <f>SUM(S15:S23)</f>
        <v>0</v>
      </c>
      <c r="T24" s="69"/>
      <c r="U24" s="69">
        <f>SUM(U15:U23)</f>
        <v>0</v>
      </c>
      <c r="V24" s="69"/>
      <c r="W24" s="69">
        <f>SUM(W15:W23)</f>
        <v>0</v>
      </c>
      <c r="X24" s="69"/>
      <c r="Y24" s="69">
        <f>SUM(Y15:Y23)</f>
        <v>0</v>
      </c>
      <c r="Z24" s="69"/>
      <c r="AA24" s="69">
        <f>SUM(AA15:AA23)</f>
        <v>0</v>
      </c>
      <c r="AB24" s="32">
        <f>SUM(H24:AA24)</f>
        <v>0</v>
      </c>
      <c r="AC24" s="14" t="str">
        <f>IF(ABS(AB24-F24)&lt;1,"ok","err")</f>
        <v>ok</v>
      </c>
    </row>
    <row r="25" spans="1:29" x14ac:dyDescent="0.25">
      <c r="AC25" s="14"/>
    </row>
    <row r="26" spans="1:29" x14ac:dyDescent="0.25">
      <c r="A26" s="12" t="s">
        <v>1127</v>
      </c>
      <c r="Q26" s="2"/>
      <c r="AC26" s="14"/>
    </row>
    <row r="27" spans="1:29" ht="12.75" x14ac:dyDescent="0.2">
      <c r="A27" s="70">
        <v>340</v>
      </c>
      <c r="B27" s="2" t="s">
        <v>17</v>
      </c>
      <c r="C27" s="2" t="s">
        <v>1130</v>
      </c>
      <c r="D27" s="2" t="s">
        <v>552</v>
      </c>
      <c r="F27" s="45">
        <v>0</v>
      </c>
      <c r="G27" s="45"/>
      <c r="H27" s="32">
        <f t="shared" ref="H27:H33" si="15">IF(VLOOKUP($D27,$C$5:$AA$507,6,)=0,0,((VLOOKUP($D27,$C$5:$AA$507,6,)/VLOOKUP($D27,$C$5:$AA$507,4,))*$F27))</f>
        <v>0</v>
      </c>
      <c r="I27" s="32">
        <f t="shared" ref="I27:I33" si="16">IF(VLOOKUP($D27,$C$5:$AA$507,7,)=0,0,((VLOOKUP($D27,$C$5:$AA$507,7,)/VLOOKUP($D27,$C$5:$AA$507,4,))*$F27))</f>
        <v>0</v>
      </c>
      <c r="J27" s="32"/>
      <c r="K27" s="32">
        <f t="shared" ref="K27:K33" si="17">IF(VLOOKUP($D27,$C$5:$AA$507,9,)=0,0,((VLOOKUP($D27,$C$5:$AA$507,9,)/VLOOKUP($D27,$C$5:$AA$507,4,))*$F27))</f>
        <v>0</v>
      </c>
      <c r="L27" s="45">
        <v>0</v>
      </c>
      <c r="M27" s="45"/>
      <c r="N27" s="32">
        <v>0</v>
      </c>
      <c r="O27" s="32">
        <v>0</v>
      </c>
      <c r="P27" s="32">
        <f t="shared" ref="P27:P33" si="18">IF(VLOOKUP($D27,$C$5:$AA$507,14,)=0,0,((VLOOKUP($D27,$C$5:$AA$507,14,)/VLOOKUP($D27,$C$5:$AA$507,4,))*$F27))</f>
        <v>0</v>
      </c>
      <c r="Q27" s="32"/>
      <c r="R27" s="32">
        <f t="shared" ref="R27:R33" si="19">IF(VLOOKUP($D27,$C$5:$AA$507,16,)=0,0,((VLOOKUP($D27,$C$5:$AA$507,16,)/VLOOKUP($D27,$C$5:$AA$507,4,))*$F27))</f>
        <v>0</v>
      </c>
      <c r="S27" s="32">
        <f t="shared" ref="S27:S33" si="20">IF(VLOOKUP($D27,$C$5:$AA$507,17,)=0,0,((VLOOKUP($D27,$C$5:$AA$507,17,)/VLOOKUP($D27,$C$5:$AA$507,4,))*$F27))</f>
        <v>0</v>
      </c>
      <c r="T27" s="32"/>
      <c r="U27" s="32">
        <f t="shared" ref="U27:U33" si="21">IF(VLOOKUP($D27,$C$5:$AA$507,19,)=0,0,((VLOOKUP($D27,$C$5:$AA$507,19,)/VLOOKUP($D27,$C$5:$AA$507,4,))*$F27))</f>
        <v>0</v>
      </c>
      <c r="V27" s="32"/>
      <c r="W27" s="32">
        <f t="shared" ref="W27:W33" si="22">IF(VLOOKUP($D27,$C$5:$AA$507,21,)=0,0,((VLOOKUP($D27,$C$5:$AA$507,21,)/VLOOKUP($D27,$C$5:$AA$507,4,))*$F27))</f>
        <v>0</v>
      </c>
      <c r="X27" s="32"/>
      <c r="Y27" s="32">
        <f t="shared" ref="Y27:Y33" si="23">IF(VLOOKUP($D27,$C$5:$AA$507,23,)=0,0,((VLOOKUP($D27,$C$5:$AA$507,23,)/VLOOKUP($D27,$C$5:$AA$507,4,))*$F27))</f>
        <v>0</v>
      </c>
      <c r="Z27" s="32"/>
      <c r="AA27" s="32">
        <f t="shared" ref="AA27:AA33" si="24">IF(VLOOKUP($D27,$C$5:$AA$507,25,)=0,0,((VLOOKUP($D27,$C$5:$AA$507,25,)/VLOOKUP($D27,$C$5:$AA$507,4,))*$F27))</f>
        <v>0</v>
      </c>
      <c r="AB27" s="32">
        <f t="shared" ref="AB27:AB32" si="25">SUM(H27:AA27)</f>
        <v>0</v>
      </c>
      <c r="AC27" s="14" t="str">
        <f t="shared" ref="AC27:AC32" si="26">IF(ABS(AB27-F27)&lt;1,"ok","err")</f>
        <v>ok</v>
      </c>
    </row>
    <row r="28" spans="1:29" ht="12.75" x14ac:dyDescent="0.2">
      <c r="A28" s="70">
        <v>341</v>
      </c>
      <c r="B28" s="2" t="s">
        <v>53</v>
      </c>
      <c r="C28" s="2" t="s">
        <v>1131</v>
      </c>
      <c r="D28" s="2" t="s">
        <v>552</v>
      </c>
      <c r="F28" s="32">
        <v>0</v>
      </c>
      <c r="G28" s="32"/>
      <c r="H28" s="32">
        <f t="shared" si="15"/>
        <v>0</v>
      </c>
      <c r="I28" s="32">
        <f t="shared" si="16"/>
        <v>0</v>
      </c>
      <c r="J28" s="32"/>
      <c r="K28" s="32">
        <f t="shared" si="17"/>
        <v>0</v>
      </c>
      <c r="L28" s="32">
        <v>0</v>
      </c>
      <c r="M28" s="32"/>
      <c r="N28" s="32">
        <v>0</v>
      </c>
      <c r="O28" s="32">
        <v>0</v>
      </c>
      <c r="P28" s="32">
        <f t="shared" si="18"/>
        <v>0</v>
      </c>
      <c r="Q28" s="32"/>
      <c r="R28" s="32">
        <f t="shared" si="19"/>
        <v>0</v>
      </c>
      <c r="S28" s="32">
        <f t="shared" si="20"/>
        <v>0</v>
      </c>
      <c r="T28" s="32"/>
      <c r="U28" s="32">
        <f t="shared" si="21"/>
        <v>0</v>
      </c>
      <c r="V28" s="32"/>
      <c r="W28" s="32">
        <f t="shared" si="22"/>
        <v>0</v>
      </c>
      <c r="X28" s="32"/>
      <c r="Y28" s="32">
        <f t="shared" si="23"/>
        <v>0</v>
      </c>
      <c r="Z28" s="32"/>
      <c r="AA28" s="32">
        <f t="shared" si="24"/>
        <v>0</v>
      </c>
      <c r="AB28" s="32">
        <f t="shared" si="25"/>
        <v>0</v>
      </c>
      <c r="AC28" s="14" t="str">
        <f t="shared" si="26"/>
        <v>ok</v>
      </c>
    </row>
    <row r="29" spans="1:29" ht="12.75" x14ac:dyDescent="0.2">
      <c r="A29" s="70">
        <v>342</v>
      </c>
      <c r="B29" s="2" t="s">
        <v>1137</v>
      </c>
      <c r="C29" s="2" t="s">
        <v>1132</v>
      </c>
      <c r="D29" s="2" t="s">
        <v>552</v>
      </c>
      <c r="F29" s="32">
        <v>53958.97</v>
      </c>
      <c r="G29" s="32"/>
      <c r="H29" s="32">
        <f t="shared" si="15"/>
        <v>53958.97</v>
      </c>
      <c r="I29" s="32">
        <f t="shared" si="16"/>
        <v>0</v>
      </c>
      <c r="J29" s="32"/>
      <c r="K29" s="32">
        <f t="shared" si="17"/>
        <v>0</v>
      </c>
      <c r="L29" s="32"/>
      <c r="M29" s="32">
        <f>IF(VLOOKUP($D29,$C$5:$AA$507,11,)=0,0,((VLOOKUP($D29,$C$5:$AA$507,11,)/VLOOKUP($D29,$C$5:$AA$507,4,))*$F29))</f>
        <v>0</v>
      </c>
      <c r="N29" s="32"/>
      <c r="O29" s="32">
        <f>IF(VLOOKUP($D29,$C$5:$AA$507,13,)=0,0,((VLOOKUP($D29,$C$5:$AA$507,13,)/VLOOKUP($D29,$C$5:$AA$507,4,))*$F29))</f>
        <v>0</v>
      </c>
      <c r="P29" s="32">
        <f t="shared" si="18"/>
        <v>0</v>
      </c>
      <c r="Q29" s="32"/>
      <c r="R29" s="32">
        <f t="shared" si="19"/>
        <v>0</v>
      </c>
      <c r="S29" s="32">
        <f t="shared" si="20"/>
        <v>0</v>
      </c>
      <c r="T29" s="32"/>
      <c r="U29" s="32">
        <f t="shared" si="21"/>
        <v>0</v>
      </c>
      <c r="V29" s="32"/>
      <c r="W29" s="32">
        <f t="shared" si="22"/>
        <v>0</v>
      </c>
      <c r="X29" s="32"/>
      <c r="Y29" s="32">
        <f t="shared" si="23"/>
        <v>0</v>
      </c>
      <c r="Z29" s="32"/>
      <c r="AA29" s="32">
        <f t="shared" si="24"/>
        <v>0</v>
      </c>
      <c r="AB29" s="32">
        <f t="shared" si="25"/>
        <v>53958.97</v>
      </c>
      <c r="AC29" s="14" t="str">
        <f t="shared" si="26"/>
        <v>ok</v>
      </c>
    </row>
    <row r="30" spans="1:29" ht="12.75" x14ac:dyDescent="0.2">
      <c r="A30" s="70">
        <v>343</v>
      </c>
      <c r="B30" s="2" t="s">
        <v>1138</v>
      </c>
      <c r="C30" s="2" t="s">
        <v>1133</v>
      </c>
      <c r="D30" s="2" t="s">
        <v>552</v>
      </c>
      <c r="F30" s="32">
        <v>0</v>
      </c>
      <c r="G30" s="32"/>
      <c r="H30" s="32">
        <f t="shared" si="15"/>
        <v>0</v>
      </c>
      <c r="I30" s="32">
        <f t="shared" si="16"/>
        <v>0</v>
      </c>
      <c r="J30" s="32"/>
      <c r="K30" s="32">
        <f t="shared" si="17"/>
        <v>0</v>
      </c>
      <c r="L30" s="32"/>
      <c r="M30" s="32">
        <f>IF(VLOOKUP($D30,$C$5:$AA$507,11,)=0,0,((VLOOKUP($D30,$C$5:$AA$507,11,)/VLOOKUP($D30,$C$5:$AA$507,4,))*$F30))</f>
        <v>0</v>
      </c>
      <c r="N30" s="32"/>
      <c r="O30" s="32">
        <f>IF(VLOOKUP($D30,$C$5:$AA$507,13,)=0,0,((VLOOKUP($D30,$C$5:$AA$507,13,)/VLOOKUP($D30,$C$5:$AA$507,4,))*$F30))</f>
        <v>0</v>
      </c>
      <c r="P30" s="32">
        <f t="shared" si="18"/>
        <v>0</v>
      </c>
      <c r="Q30" s="32"/>
      <c r="R30" s="32">
        <f t="shared" si="19"/>
        <v>0</v>
      </c>
      <c r="S30" s="32">
        <f t="shared" si="20"/>
        <v>0</v>
      </c>
      <c r="T30" s="32"/>
      <c r="U30" s="32">
        <f t="shared" si="21"/>
        <v>0</v>
      </c>
      <c r="V30" s="32"/>
      <c r="W30" s="32">
        <f t="shared" si="22"/>
        <v>0</v>
      </c>
      <c r="X30" s="32"/>
      <c r="Y30" s="32">
        <f t="shared" si="23"/>
        <v>0</v>
      </c>
      <c r="Z30" s="32"/>
      <c r="AA30" s="32">
        <f t="shared" si="24"/>
        <v>0</v>
      </c>
      <c r="AB30" s="32">
        <f t="shared" si="25"/>
        <v>0</v>
      </c>
      <c r="AC30" s="14" t="str">
        <f t="shared" si="26"/>
        <v>ok</v>
      </c>
    </row>
    <row r="31" spans="1:29" ht="12.75" x14ac:dyDescent="0.2">
      <c r="A31" s="70">
        <v>344</v>
      </c>
      <c r="B31" s="2" t="s">
        <v>1139</v>
      </c>
      <c r="C31" s="2" t="s">
        <v>1134</v>
      </c>
      <c r="D31" s="2" t="s">
        <v>552</v>
      </c>
      <c r="F31" s="32">
        <v>1218592.74</v>
      </c>
      <c r="G31" s="32"/>
      <c r="H31" s="32">
        <f t="shared" si="15"/>
        <v>1218592.74</v>
      </c>
      <c r="I31" s="32">
        <f t="shared" si="16"/>
        <v>0</v>
      </c>
      <c r="J31" s="32"/>
      <c r="K31" s="32">
        <f t="shared" si="17"/>
        <v>0</v>
      </c>
      <c r="L31" s="32"/>
      <c r="M31" s="32">
        <f>IF(VLOOKUP($D31,$C$5:$AA$507,11,)=0,0,((VLOOKUP($D31,$C$5:$AA$507,11,)/VLOOKUP($D31,$C$5:$AA$507,4,))*$F31))</f>
        <v>0</v>
      </c>
      <c r="N31" s="32"/>
      <c r="O31" s="32">
        <f>IF(VLOOKUP($D31,$C$5:$AA$507,13,)=0,0,((VLOOKUP($D31,$C$5:$AA$507,13,)/VLOOKUP($D31,$C$5:$AA$507,4,))*$F31))</f>
        <v>0</v>
      </c>
      <c r="P31" s="32">
        <f t="shared" si="18"/>
        <v>0</v>
      </c>
      <c r="Q31" s="32"/>
      <c r="R31" s="32">
        <f t="shared" si="19"/>
        <v>0</v>
      </c>
      <c r="S31" s="32">
        <f t="shared" si="20"/>
        <v>0</v>
      </c>
      <c r="T31" s="32"/>
      <c r="U31" s="32">
        <f t="shared" si="21"/>
        <v>0</v>
      </c>
      <c r="V31" s="32"/>
      <c r="W31" s="32">
        <f t="shared" si="22"/>
        <v>0</v>
      </c>
      <c r="X31" s="32"/>
      <c r="Y31" s="32">
        <f t="shared" si="23"/>
        <v>0</v>
      </c>
      <c r="Z31" s="32"/>
      <c r="AA31" s="32">
        <f t="shared" si="24"/>
        <v>0</v>
      </c>
      <c r="AB31" s="32">
        <f t="shared" si="25"/>
        <v>1218592.74</v>
      </c>
      <c r="AC31" s="14" t="str">
        <f t="shared" si="26"/>
        <v>ok</v>
      </c>
    </row>
    <row r="32" spans="1:29" ht="12.75" x14ac:dyDescent="0.2">
      <c r="A32" s="70">
        <v>345</v>
      </c>
      <c r="B32" s="2" t="s">
        <v>743</v>
      </c>
      <c r="C32" s="2" t="s">
        <v>1135</v>
      </c>
      <c r="D32" s="2" t="s">
        <v>552</v>
      </c>
      <c r="F32" s="32">
        <v>229519.65</v>
      </c>
      <c r="G32" s="32"/>
      <c r="H32" s="32">
        <f t="shared" si="15"/>
        <v>229519.65</v>
      </c>
      <c r="I32" s="32">
        <f t="shared" si="16"/>
        <v>0</v>
      </c>
      <c r="J32" s="32"/>
      <c r="K32" s="32">
        <f t="shared" si="17"/>
        <v>0</v>
      </c>
      <c r="L32" s="32"/>
      <c r="M32" s="32">
        <f>IF(VLOOKUP($D32,$C$5:$AA$507,11,)=0,0,((VLOOKUP($D32,$C$5:$AA$507,11,)/VLOOKUP($D32,$C$5:$AA$507,4,))*$F32))</f>
        <v>0</v>
      </c>
      <c r="N32" s="32"/>
      <c r="O32" s="32">
        <f>IF(VLOOKUP($D32,$C$5:$AA$507,13,)=0,0,((VLOOKUP($D32,$C$5:$AA$507,13,)/VLOOKUP($D32,$C$5:$AA$507,4,))*$F32))</f>
        <v>0</v>
      </c>
      <c r="P32" s="32">
        <f t="shared" si="18"/>
        <v>0</v>
      </c>
      <c r="Q32" s="32"/>
      <c r="R32" s="32">
        <f t="shared" si="19"/>
        <v>0</v>
      </c>
      <c r="S32" s="32">
        <f t="shared" si="20"/>
        <v>0</v>
      </c>
      <c r="T32" s="32"/>
      <c r="U32" s="32">
        <f t="shared" si="21"/>
        <v>0</v>
      </c>
      <c r="V32" s="32"/>
      <c r="W32" s="32">
        <f t="shared" si="22"/>
        <v>0</v>
      </c>
      <c r="X32" s="32"/>
      <c r="Y32" s="32">
        <f t="shared" si="23"/>
        <v>0</v>
      </c>
      <c r="Z32" s="32"/>
      <c r="AA32" s="32">
        <f t="shared" si="24"/>
        <v>0</v>
      </c>
      <c r="AB32" s="32">
        <f t="shared" si="25"/>
        <v>229519.65</v>
      </c>
      <c r="AC32" s="14" t="str">
        <f t="shared" si="26"/>
        <v>ok</v>
      </c>
    </row>
    <row r="33" spans="1:29" ht="12.75" x14ac:dyDescent="0.2">
      <c r="A33" s="70">
        <v>346</v>
      </c>
      <c r="B33" s="2" t="s">
        <v>745</v>
      </c>
      <c r="C33" s="2" t="s">
        <v>1136</v>
      </c>
      <c r="D33" s="2" t="s">
        <v>552</v>
      </c>
      <c r="F33" s="32">
        <v>0</v>
      </c>
      <c r="G33" s="32"/>
      <c r="H33" s="32">
        <f t="shared" si="15"/>
        <v>0</v>
      </c>
      <c r="I33" s="32">
        <f t="shared" si="16"/>
        <v>0</v>
      </c>
      <c r="J33" s="32"/>
      <c r="K33" s="32">
        <f t="shared" si="17"/>
        <v>0</v>
      </c>
      <c r="L33" s="32"/>
      <c r="M33" s="32">
        <f>IF(VLOOKUP($D33,$C$5:$AA$507,11,)=0,0,((VLOOKUP($D33,$C$5:$AA$507,11,)/VLOOKUP($D33,$C$5:$AA$507,4,))*$F33))</f>
        <v>0</v>
      </c>
      <c r="N33" s="32"/>
      <c r="O33" s="32">
        <f>IF(VLOOKUP($D33,$C$5:$AA$507,13,)=0,0,((VLOOKUP($D33,$C$5:$AA$507,13,)/VLOOKUP($D33,$C$5:$AA$507,4,))*$F33))</f>
        <v>0</v>
      </c>
      <c r="P33" s="32">
        <f t="shared" si="18"/>
        <v>0</v>
      </c>
      <c r="Q33" s="32"/>
      <c r="R33" s="32">
        <f t="shared" si="19"/>
        <v>0</v>
      </c>
      <c r="S33" s="32">
        <f t="shared" si="20"/>
        <v>0</v>
      </c>
      <c r="T33" s="32"/>
      <c r="U33" s="32">
        <f t="shared" si="21"/>
        <v>0</v>
      </c>
      <c r="V33" s="32"/>
      <c r="W33" s="32">
        <f t="shared" si="22"/>
        <v>0</v>
      </c>
      <c r="X33" s="32"/>
      <c r="Y33" s="32">
        <f t="shared" si="23"/>
        <v>0</v>
      </c>
      <c r="Z33" s="32"/>
      <c r="AA33" s="32">
        <f t="shared" si="24"/>
        <v>0</v>
      </c>
      <c r="AB33" s="32">
        <f>SUM(H33:AA33)</f>
        <v>0</v>
      </c>
      <c r="AC33" s="14" t="str">
        <f>IF(ABS(AB33-F33)&lt;1,"ok","err")</f>
        <v>ok</v>
      </c>
    </row>
    <row r="34" spans="1:29" x14ac:dyDescent="0.25">
      <c r="Q34" s="2"/>
      <c r="AB34" s="32"/>
      <c r="AC34" s="14"/>
    </row>
    <row r="35" spans="1:29" ht="12.75" x14ac:dyDescent="0.2">
      <c r="B35" s="2" t="s">
        <v>1128</v>
      </c>
      <c r="C35" s="2" t="s">
        <v>1129</v>
      </c>
      <c r="F35" s="69">
        <f>SUM(F27:F34)</f>
        <v>1502071.3599999999</v>
      </c>
      <c r="G35" s="69"/>
      <c r="H35" s="69">
        <f>SUM(H27:H34)</f>
        <v>1502071.3599999999</v>
      </c>
      <c r="I35" s="69">
        <f>SUM(I27:I34)</f>
        <v>0</v>
      </c>
      <c r="J35" s="69"/>
      <c r="K35" s="69">
        <f>SUM(K27:K34)</f>
        <v>0</v>
      </c>
      <c r="L35" s="69"/>
      <c r="M35" s="69">
        <f>SUM(M27:M34)</f>
        <v>0</v>
      </c>
      <c r="N35" s="69"/>
      <c r="O35" s="69">
        <f>SUM(O27:O34)</f>
        <v>0</v>
      </c>
      <c r="P35" s="69">
        <f>SUM(P27:P34)</f>
        <v>0</v>
      </c>
      <c r="Q35" s="69"/>
      <c r="R35" s="69">
        <f>SUM(R27:R34)</f>
        <v>0</v>
      </c>
      <c r="S35" s="69">
        <f>SUM(S27:S34)</f>
        <v>0</v>
      </c>
      <c r="T35" s="69"/>
      <c r="U35" s="69">
        <f>SUM(U27:U34)</f>
        <v>0</v>
      </c>
      <c r="V35" s="69"/>
      <c r="W35" s="69">
        <f>SUM(W27:W34)</f>
        <v>0</v>
      </c>
      <c r="X35" s="69"/>
      <c r="Y35" s="69">
        <f>SUM(Y27:Y34)</f>
        <v>0</v>
      </c>
      <c r="Z35" s="69"/>
      <c r="AA35" s="69">
        <f>SUM(AA27:AA34)</f>
        <v>0</v>
      </c>
      <c r="AB35" s="32">
        <f>SUM(H35:AA35)</f>
        <v>1502071.3599999999</v>
      </c>
      <c r="AC35" s="14" t="str">
        <f>IF(ABS(AB35-F35)&lt;1,"ok","err")</f>
        <v>ok</v>
      </c>
    </row>
    <row r="36" spans="1:29" x14ac:dyDescent="0.25">
      <c r="Q36" s="2"/>
      <c r="AC36" s="14"/>
    </row>
    <row r="37" spans="1:29" x14ac:dyDescent="0.25">
      <c r="A37" s="12" t="s">
        <v>350</v>
      </c>
      <c r="Q37" s="2"/>
      <c r="AC37" s="14"/>
    </row>
    <row r="38" spans="1:29" ht="12.75" x14ac:dyDescent="0.2">
      <c r="A38" s="70">
        <v>350</v>
      </c>
      <c r="B38" s="2" t="s">
        <v>17</v>
      </c>
      <c r="C38" s="2" t="s">
        <v>352</v>
      </c>
      <c r="D38" s="2" t="s">
        <v>391</v>
      </c>
      <c r="F38" s="45">
        <v>0</v>
      </c>
      <c r="G38" s="45"/>
      <c r="H38" s="32">
        <f t="shared" ref="H38:H44" si="27">IF(VLOOKUP($D38,$C$5:$AA$507,6,)=0,0,((VLOOKUP($D38,$C$5:$AA$507,6,)/VLOOKUP($D38,$C$5:$AA$507,4,))*$F38))</f>
        <v>0</v>
      </c>
      <c r="I38" s="32">
        <f t="shared" ref="I38:I44" si="28">IF(VLOOKUP($D38,$C$5:$AA$507,7,)=0,0,((VLOOKUP($D38,$C$5:$AA$507,7,)/VLOOKUP($D38,$C$5:$AA$507,4,))*$F38))</f>
        <v>0</v>
      </c>
      <c r="J38" s="32"/>
      <c r="K38" s="32">
        <f t="shared" ref="K38:K44" si="29">IF(VLOOKUP($D38,$C$5:$AA$507,9,)=0,0,((VLOOKUP($D38,$C$5:$AA$507,9,)/VLOOKUP($D38,$C$5:$AA$507,4,))*$F38))</f>
        <v>0</v>
      </c>
      <c r="L38" s="32"/>
      <c r="M38" s="32">
        <f t="shared" ref="M38:M44" si="30">IF(VLOOKUP($D38,$C$5:$AA$507,11,)=0,0,((VLOOKUP($D38,$C$5:$AA$507,11,)/VLOOKUP($D38,$C$5:$AA$507,4,))*$F38))</f>
        <v>0</v>
      </c>
      <c r="N38" s="32"/>
      <c r="O38" s="32">
        <f t="shared" ref="O38:O44" si="31">IF(VLOOKUP($D38,$C$5:$AA$507,13,)=0,0,((VLOOKUP($D38,$C$5:$AA$507,13,)/VLOOKUP($D38,$C$5:$AA$507,4,))*$F38))</f>
        <v>0</v>
      </c>
      <c r="P38" s="32">
        <f t="shared" ref="P38:P44" si="32">IF(VLOOKUP($D38,$C$5:$AA$507,14,)=0,0,((VLOOKUP($D38,$C$5:$AA$507,14,)/VLOOKUP($D38,$C$5:$AA$507,4,))*$F38))</f>
        <v>0</v>
      </c>
      <c r="Q38" s="32"/>
      <c r="R38" s="32">
        <f t="shared" ref="R38:R44" si="33">IF(VLOOKUP($D38,$C$5:$AA$507,16,)=0,0,((VLOOKUP($D38,$C$5:$AA$507,16,)/VLOOKUP($D38,$C$5:$AA$507,4,))*$F38))</f>
        <v>0</v>
      </c>
      <c r="S38" s="32">
        <f t="shared" ref="S38:S44" si="34">IF(VLOOKUP($D38,$C$5:$AA$507,17,)=0,0,((VLOOKUP($D38,$C$5:$AA$507,17,)/VLOOKUP($D38,$C$5:$AA$507,4,))*$F38))</f>
        <v>0</v>
      </c>
      <c r="T38" s="32"/>
      <c r="U38" s="32">
        <f t="shared" ref="U38:U44" si="35">IF(VLOOKUP($D38,$C$5:$AA$507,19,)=0,0,((VLOOKUP($D38,$C$5:$AA$507,19,)/VLOOKUP($D38,$C$5:$AA$507,4,))*$F38))</f>
        <v>0</v>
      </c>
      <c r="V38" s="32"/>
      <c r="W38" s="32">
        <f t="shared" ref="W38:W44" si="36">IF(VLOOKUP($D38,$C$5:$AA$507,21,)=0,0,((VLOOKUP($D38,$C$5:$AA$507,21,)/VLOOKUP($D38,$C$5:$AA$507,4,))*$F38))</f>
        <v>0</v>
      </c>
      <c r="X38" s="32"/>
      <c r="Y38" s="32">
        <f t="shared" ref="Y38:Y44" si="37">IF(VLOOKUP($D38,$C$5:$AA$507,23,)=0,0,((VLOOKUP($D38,$C$5:$AA$507,23,)/VLOOKUP($D38,$C$5:$AA$507,4,))*$F38))</f>
        <v>0</v>
      </c>
      <c r="Z38" s="32"/>
      <c r="AA38" s="32">
        <f t="shared" ref="AA38:AA44" si="38">IF(VLOOKUP($D38,$C$5:$AA$507,25,)=0,0,((VLOOKUP($D38,$C$5:$AA$507,25,)/VLOOKUP($D38,$C$5:$AA$507,4,))*$F38))</f>
        <v>0</v>
      </c>
      <c r="AB38" s="32">
        <f t="shared" ref="AB38:AB44" si="39">SUM(H38:AA38)</f>
        <v>0</v>
      </c>
      <c r="AC38" s="14" t="str">
        <f t="shared" ref="AC38:AC44" si="40">IF(ABS(AB38-F38)&lt;1,"ok","err")</f>
        <v>ok</v>
      </c>
    </row>
    <row r="39" spans="1:29" ht="12.75" x14ac:dyDescent="0.2">
      <c r="A39" s="70">
        <v>352</v>
      </c>
      <c r="B39" s="2" t="s">
        <v>53</v>
      </c>
      <c r="C39" s="2" t="s">
        <v>418</v>
      </c>
      <c r="D39" s="2" t="s">
        <v>391</v>
      </c>
      <c r="F39" s="32">
        <v>0</v>
      </c>
      <c r="G39" s="32"/>
      <c r="H39" s="32">
        <f t="shared" si="27"/>
        <v>0</v>
      </c>
      <c r="I39" s="32">
        <f t="shared" si="28"/>
        <v>0</v>
      </c>
      <c r="J39" s="32"/>
      <c r="K39" s="32">
        <f t="shared" si="29"/>
        <v>0</v>
      </c>
      <c r="L39" s="32"/>
      <c r="M39" s="32">
        <f t="shared" si="30"/>
        <v>0</v>
      </c>
      <c r="N39" s="32"/>
      <c r="O39" s="32">
        <f t="shared" si="31"/>
        <v>0</v>
      </c>
      <c r="P39" s="32">
        <f t="shared" si="32"/>
        <v>0</v>
      </c>
      <c r="Q39" s="32"/>
      <c r="R39" s="32">
        <f t="shared" si="33"/>
        <v>0</v>
      </c>
      <c r="S39" s="32">
        <f t="shared" si="34"/>
        <v>0</v>
      </c>
      <c r="T39" s="32"/>
      <c r="U39" s="32">
        <f t="shared" si="35"/>
        <v>0</v>
      </c>
      <c r="V39" s="32"/>
      <c r="W39" s="32">
        <f t="shared" si="36"/>
        <v>0</v>
      </c>
      <c r="X39" s="32"/>
      <c r="Y39" s="32">
        <f t="shared" si="37"/>
        <v>0</v>
      </c>
      <c r="Z39" s="32"/>
      <c r="AA39" s="32">
        <f t="shared" si="38"/>
        <v>0</v>
      </c>
      <c r="AB39" s="32">
        <f t="shared" si="39"/>
        <v>0</v>
      </c>
      <c r="AC39" s="14" t="str">
        <f t="shared" si="40"/>
        <v>ok</v>
      </c>
    </row>
    <row r="40" spans="1:29" ht="12.75" x14ac:dyDescent="0.2">
      <c r="A40" s="70">
        <v>353</v>
      </c>
      <c r="B40" s="2" t="s">
        <v>22</v>
      </c>
      <c r="C40" s="2" t="s">
        <v>353</v>
      </c>
      <c r="D40" s="2" t="s">
        <v>391</v>
      </c>
      <c r="F40" s="32">
        <v>0</v>
      </c>
      <c r="G40" s="32"/>
      <c r="H40" s="32">
        <f t="shared" si="27"/>
        <v>0</v>
      </c>
      <c r="I40" s="32">
        <f t="shared" si="28"/>
        <v>0</v>
      </c>
      <c r="J40" s="32"/>
      <c r="K40" s="32">
        <f t="shared" si="29"/>
        <v>0</v>
      </c>
      <c r="L40" s="32"/>
      <c r="M40" s="32">
        <f t="shared" si="30"/>
        <v>0</v>
      </c>
      <c r="N40" s="32"/>
      <c r="O40" s="32">
        <f t="shared" si="31"/>
        <v>0</v>
      </c>
      <c r="P40" s="32">
        <f t="shared" si="32"/>
        <v>0</v>
      </c>
      <c r="Q40" s="32"/>
      <c r="R40" s="32">
        <f t="shared" si="33"/>
        <v>0</v>
      </c>
      <c r="S40" s="32">
        <f t="shared" si="34"/>
        <v>0</v>
      </c>
      <c r="T40" s="32"/>
      <c r="U40" s="32">
        <f t="shared" si="35"/>
        <v>0</v>
      </c>
      <c r="V40" s="32"/>
      <c r="W40" s="32">
        <f t="shared" si="36"/>
        <v>0</v>
      </c>
      <c r="X40" s="32"/>
      <c r="Y40" s="32">
        <f t="shared" si="37"/>
        <v>0</v>
      </c>
      <c r="Z40" s="32"/>
      <c r="AA40" s="32">
        <f t="shared" si="38"/>
        <v>0</v>
      </c>
      <c r="AB40" s="32">
        <f t="shared" si="39"/>
        <v>0</v>
      </c>
      <c r="AC40" s="14" t="str">
        <f t="shared" si="40"/>
        <v>ok</v>
      </c>
    </row>
    <row r="41" spans="1:29" ht="12.75" x14ac:dyDescent="0.2">
      <c r="A41" s="70">
        <v>354</v>
      </c>
      <c r="B41" s="2" t="s">
        <v>419</v>
      </c>
      <c r="C41" s="2" t="s">
        <v>421</v>
      </c>
      <c r="D41" s="2" t="s">
        <v>391</v>
      </c>
      <c r="F41" s="32">
        <v>0</v>
      </c>
      <c r="G41" s="32"/>
      <c r="H41" s="32">
        <f t="shared" si="27"/>
        <v>0</v>
      </c>
      <c r="I41" s="32">
        <f t="shared" si="28"/>
        <v>0</v>
      </c>
      <c r="J41" s="32"/>
      <c r="K41" s="32">
        <f t="shared" si="29"/>
        <v>0</v>
      </c>
      <c r="L41" s="32"/>
      <c r="M41" s="32">
        <f t="shared" si="30"/>
        <v>0</v>
      </c>
      <c r="N41" s="32"/>
      <c r="O41" s="32">
        <f t="shared" si="31"/>
        <v>0</v>
      </c>
      <c r="P41" s="32">
        <f t="shared" si="32"/>
        <v>0</v>
      </c>
      <c r="Q41" s="32"/>
      <c r="R41" s="32">
        <f t="shared" si="33"/>
        <v>0</v>
      </c>
      <c r="S41" s="32">
        <f t="shared" si="34"/>
        <v>0</v>
      </c>
      <c r="T41" s="32"/>
      <c r="U41" s="32">
        <f t="shared" si="35"/>
        <v>0</v>
      </c>
      <c r="V41" s="32"/>
      <c r="W41" s="32">
        <f t="shared" si="36"/>
        <v>0</v>
      </c>
      <c r="X41" s="32"/>
      <c r="Y41" s="32">
        <f t="shared" si="37"/>
        <v>0</v>
      </c>
      <c r="Z41" s="32"/>
      <c r="AA41" s="32">
        <f t="shared" si="38"/>
        <v>0</v>
      </c>
      <c r="AB41" s="32">
        <f t="shared" si="39"/>
        <v>0</v>
      </c>
      <c r="AC41" s="14" t="str">
        <f t="shared" si="40"/>
        <v>ok</v>
      </c>
    </row>
    <row r="42" spans="1:29" ht="12.75" x14ac:dyDescent="0.2">
      <c r="A42" s="70">
        <v>355</v>
      </c>
      <c r="B42" s="2" t="s">
        <v>420</v>
      </c>
      <c r="C42" s="2" t="s">
        <v>354</v>
      </c>
      <c r="D42" s="2" t="s">
        <v>391</v>
      </c>
      <c r="F42" s="32">
        <v>0</v>
      </c>
      <c r="G42" s="32"/>
      <c r="H42" s="32">
        <f t="shared" si="27"/>
        <v>0</v>
      </c>
      <c r="I42" s="32">
        <f t="shared" si="28"/>
        <v>0</v>
      </c>
      <c r="J42" s="32"/>
      <c r="K42" s="32">
        <f t="shared" si="29"/>
        <v>0</v>
      </c>
      <c r="L42" s="32"/>
      <c r="M42" s="32">
        <f t="shared" si="30"/>
        <v>0</v>
      </c>
      <c r="N42" s="32"/>
      <c r="O42" s="32">
        <f t="shared" si="31"/>
        <v>0</v>
      </c>
      <c r="P42" s="32">
        <f t="shared" si="32"/>
        <v>0</v>
      </c>
      <c r="Q42" s="32"/>
      <c r="R42" s="32">
        <f t="shared" si="33"/>
        <v>0</v>
      </c>
      <c r="S42" s="32">
        <f t="shared" si="34"/>
        <v>0</v>
      </c>
      <c r="T42" s="32"/>
      <c r="U42" s="32">
        <f t="shared" si="35"/>
        <v>0</v>
      </c>
      <c r="V42" s="32"/>
      <c r="W42" s="32">
        <f t="shared" si="36"/>
        <v>0</v>
      </c>
      <c r="X42" s="32"/>
      <c r="Y42" s="32">
        <f t="shared" si="37"/>
        <v>0</v>
      </c>
      <c r="Z42" s="32"/>
      <c r="AA42" s="32">
        <f t="shared" si="38"/>
        <v>0</v>
      </c>
      <c r="AB42" s="32">
        <f t="shared" si="39"/>
        <v>0</v>
      </c>
      <c r="AC42" s="14" t="str">
        <f t="shared" si="40"/>
        <v>ok</v>
      </c>
    </row>
    <row r="43" spans="1:29" ht="12.75" x14ac:dyDescent="0.2">
      <c r="A43" s="70">
        <v>356</v>
      </c>
      <c r="B43" s="2" t="s">
        <v>351</v>
      </c>
      <c r="C43" s="2" t="s">
        <v>355</v>
      </c>
      <c r="D43" s="2" t="s">
        <v>391</v>
      </c>
      <c r="F43" s="32">
        <v>0</v>
      </c>
      <c r="G43" s="32"/>
      <c r="H43" s="32">
        <f t="shared" si="27"/>
        <v>0</v>
      </c>
      <c r="I43" s="32">
        <f t="shared" si="28"/>
        <v>0</v>
      </c>
      <c r="J43" s="32"/>
      <c r="K43" s="32">
        <f t="shared" si="29"/>
        <v>0</v>
      </c>
      <c r="L43" s="32"/>
      <c r="M43" s="32">
        <f t="shared" si="30"/>
        <v>0</v>
      </c>
      <c r="N43" s="32"/>
      <c r="O43" s="32">
        <f t="shared" si="31"/>
        <v>0</v>
      </c>
      <c r="P43" s="32">
        <f t="shared" si="32"/>
        <v>0</v>
      </c>
      <c r="Q43" s="32"/>
      <c r="R43" s="32">
        <f t="shared" si="33"/>
        <v>0</v>
      </c>
      <c r="S43" s="32">
        <f t="shared" si="34"/>
        <v>0</v>
      </c>
      <c r="T43" s="32"/>
      <c r="U43" s="32">
        <f t="shared" si="35"/>
        <v>0</v>
      </c>
      <c r="V43" s="32"/>
      <c r="W43" s="32">
        <f t="shared" si="36"/>
        <v>0</v>
      </c>
      <c r="X43" s="32"/>
      <c r="Y43" s="32">
        <f t="shared" si="37"/>
        <v>0</v>
      </c>
      <c r="Z43" s="32"/>
      <c r="AA43" s="32">
        <f t="shared" si="38"/>
        <v>0</v>
      </c>
      <c r="AB43" s="32">
        <f t="shared" si="39"/>
        <v>0</v>
      </c>
      <c r="AC43" s="14" t="str">
        <f t="shared" si="40"/>
        <v>ok</v>
      </c>
    </row>
    <row r="44" spans="1:29" ht="12.75" x14ac:dyDescent="0.2">
      <c r="A44" s="70">
        <v>359</v>
      </c>
      <c r="B44" s="2" t="s">
        <v>422</v>
      </c>
      <c r="C44" s="2" t="s">
        <v>423</v>
      </c>
      <c r="D44" s="2" t="s">
        <v>391</v>
      </c>
      <c r="F44" s="32">
        <v>0</v>
      </c>
      <c r="G44" s="32"/>
      <c r="H44" s="32">
        <f t="shared" si="27"/>
        <v>0</v>
      </c>
      <c r="I44" s="32">
        <f t="shared" si="28"/>
        <v>0</v>
      </c>
      <c r="J44" s="32"/>
      <c r="K44" s="32">
        <f t="shared" si="29"/>
        <v>0</v>
      </c>
      <c r="L44" s="32"/>
      <c r="M44" s="32">
        <f t="shared" si="30"/>
        <v>0</v>
      </c>
      <c r="N44" s="32"/>
      <c r="O44" s="32">
        <f t="shared" si="31"/>
        <v>0</v>
      </c>
      <c r="P44" s="32">
        <f t="shared" si="32"/>
        <v>0</v>
      </c>
      <c r="Q44" s="32"/>
      <c r="R44" s="32">
        <f t="shared" si="33"/>
        <v>0</v>
      </c>
      <c r="S44" s="32">
        <f t="shared" si="34"/>
        <v>0</v>
      </c>
      <c r="T44" s="32"/>
      <c r="U44" s="32">
        <f t="shared" si="35"/>
        <v>0</v>
      </c>
      <c r="V44" s="32"/>
      <c r="W44" s="32">
        <f t="shared" si="36"/>
        <v>0</v>
      </c>
      <c r="X44" s="32"/>
      <c r="Y44" s="32">
        <f t="shared" si="37"/>
        <v>0</v>
      </c>
      <c r="Z44" s="32"/>
      <c r="AA44" s="32">
        <f t="shared" si="38"/>
        <v>0</v>
      </c>
      <c r="AB44" s="32">
        <f t="shared" si="39"/>
        <v>0</v>
      </c>
      <c r="AC44" s="14" t="str">
        <f t="shared" si="40"/>
        <v>ok</v>
      </c>
    </row>
    <row r="45" spans="1:29" x14ac:dyDescent="0.25">
      <c r="Q45" s="2"/>
      <c r="AB45" s="32"/>
      <c r="AC45" s="14"/>
    </row>
    <row r="46" spans="1:29" ht="12.75" x14ac:dyDescent="0.2">
      <c r="B46" s="2" t="s">
        <v>359</v>
      </c>
      <c r="C46" s="2" t="s">
        <v>390</v>
      </c>
      <c r="F46" s="69">
        <f>SUM(F38:F45)</f>
        <v>0</v>
      </c>
      <c r="G46" s="69"/>
      <c r="H46" s="69">
        <f t="shared" ref="H46:AA46" si="41">SUM(H38:H45)</f>
        <v>0</v>
      </c>
      <c r="I46" s="69">
        <f t="shared" si="41"/>
        <v>0</v>
      </c>
      <c r="J46" s="69"/>
      <c r="K46" s="69">
        <f t="shared" si="41"/>
        <v>0</v>
      </c>
      <c r="L46" s="69"/>
      <c r="M46" s="69">
        <f t="shared" si="41"/>
        <v>0</v>
      </c>
      <c r="N46" s="69"/>
      <c r="O46" s="69">
        <f t="shared" si="41"/>
        <v>0</v>
      </c>
      <c r="P46" s="69">
        <f t="shared" si="41"/>
        <v>0</v>
      </c>
      <c r="Q46" s="69"/>
      <c r="R46" s="69">
        <f t="shared" si="41"/>
        <v>0</v>
      </c>
      <c r="S46" s="69">
        <f t="shared" si="41"/>
        <v>0</v>
      </c>
      <c r="T46" s="69"/>
      <c r="U46" s="69">
        <f t="shared" si="41"/>
        <v>0</v>
      </c>
      <c r="V46" s="69"/>
      <c r="W46" s="69">
        <f t="shared" si="41"/>
        <v>0</v>
      </c>
      <c r="X46" s="69"/>
      <c r="Y46" s="69">
        <f t="shared" si="41"/>
        <v>0</v>
      </c>
      <c r="Z46" s="69"/>
      <c r="AA46" s="69">
        <f t="shared" si="41"/>
        <v>0</v>
      </c>
      <c r="AB46" s="32">
        <f>SUM(H46:AA46)</f>
        <v>0</v>
      </c>
      <c r="AC46" s="14" t="str">
        <f>IF(ABS(AB46-F46)&lt;1,"ok","err")</f>
        <v>ok</v>
      </c>
    </row>
    <row r="47" spans="1:29" x14ac:dyDescent="0.25">
      <c r="Q47" s="2"/>
      <c r="AC47" s="14"/>
    </row>
    <row r="48" spans="1:29" x14ac:dyDescent="0.25">
      <c r="A48" s="12" t="s">
        <v>366</v>
      </c>
      <c r="Q48" s="2"/>
      <c r="AC48" s="14"/>
    </row>
    <row r="49" spans="1:29" x14ac:dyDescent="0.25">
      <c r="Q49" s="2"/>
      <c r="AC49" s="14"/>
    </row>
    <row r="50" spans="1:29" x14ac:dyDescent="0.25">
      <c r="A50" s="12" t="s">
        <v>21</v>
      </c>
      <c r="Q50" s="2"/>
      <c r="AC50" s="14"/>
    </row>
    <row r="51" spans="1:29" ht="12.75" x14ac:dyDescent="0.2">
      <c r="A51" s="70">
        <v>360</v>
      </c>
      <c r="B51" s="2" t="s">
        <v>17</v>
      </c>
      <c r="C51" s="2" t="s">
        <v>18</v>
      </c>
      <c r="D51" s="2" t="s">
        <v>24</v>
      </c>
      <c r="F51" s="45">
        <v>0</v>
      </c>
      <c r="G51" s="45"/>
      <c r="H51" s="32">
        <f>IF(VLOOKUP($D51,$C$5:$AA$507,6,)=0,0,((VLOOKUP($D51,$C$5:$AA$507,6,)/VLOOKUP($D51,$C$5:$AA$507,4,))*$F74))</f>
        <v>0</v>
      </c>
      <c r="I51" s="32">
        <f>IF(VLOOKUP($D51,$C$5:$AA$507,7,)=0,0,((VLOOKUP($D51,$C$5:$AA$507,7,)/VLOOKUP($D51,$C$5:$AA$507,4,))*$F74))</f>
        <v>0</v>
      </c>
      <c r="J51" s="32"/>
      <c r="K51" s="32">
        <f>IF(VLOOKUP($D51,$C$5:$AA$507,9,)=0,0,((VLOOKUP($D51,$C$5:$AA$507,9,)/VLOOKUP($D51,$C$5:$AA$507,4,))*$F74))</f>
        <v>0</v>
      </c>
      <c r="L51" s="32"/>
      <c r="M51" s="32">
        <f t="shared" ref="M51:M63" si="42">IF(VLOOKUP($D51,$C$5:$AA$507,11,)=0,0,((VLOOKUP($D51,$C$5:$AA$507,11,)/VLOOKUP($D51,$C$5:$AA$507,4,))*$F51))</f>
        <v>0</v>
      </c>
      <c r="N51" s="32"/>
      <c r="O51" s="32">
        <f>IF(VLOOKUP($D51,$C$5:$AA$507,13,)=0,0,((VLOOKUP($D51,$C$5:$AA$507,13,)/VLOOKUP($D51,$C$5:$AA$507,4,))*$F74))</f>
        <v>0</v>
      </c>
      <c r="P51" s="32">
        <f>IF(VLOOKUP($D51,$C$5:$AA$507,14,)=0,0,((VLOOKUP($D51,$C$5:$AA$507,14,)/VLOOKUP($D51,$C$5:$AA$507,4,))*$F74))</f>
        <v>0</v>
      </c>
      <c r="Q51" s="32"/>
      <c r="R51" s="32">
        <f>IF(VLOOKUP($D51,$C$5:$AA$507,16,)=0,0,((VLOOKUP($D51,$C$5:$AA$507,16,)/VLOOKUP($D51,$C$5:$AA$507,4,))*$F74))</f>
        <v>0</v>
      </c>
      <c r="S51" s="32">
        <f>IF(VLOOKUP($D51,$C$5:$AA$507,17,)=0,0,((VLOOKUP($D51,$C$5:$AA$507,17,)/VLOOKUP($D51,$C$5:$AA$507,4,))*$F74))</f>
        <v>0</v>
      </c>
      <c r="T51" s="32"/>
      <c r="U51" s="32">
        <f>IF(VLOOKUP($D51,$C$5:$AA$507,19,)=0,0,((VLOOKUP($D51,$C$5:$AA$507,19,)/VLOOKUP($D51,$C$5:$AA$507,4,))*$F74))</f>
        <v>0</v>
      </c>
      <c r="V51" s="32"/>
      <c r="W51" s="32">
        <f>IF(VLOOKUP($D51,$C$5:$AA$507,21,)=0,0,((VLOOKUP($D51,$C$5:$AA$507,21,)/VLOOKUP($D51,$C$5:$AA$507,4,))*$F74))</f>
        <v>0</v>
      </c>
      <c r="X51" s="32"/>
      <c r="Y51" s="32">
        <f>IF(VLOOKUP($D51,$C$5:$AA$507,23,)=0,0,((VLOOKUP($D51,$C$5:$AA$507,23,)/VLOOKUP($D51,$C$5:$AA$507,4,))*$F74))</f>
        <v>0</v>
      </c>
      <c r="Z51" s="32"/>
      <c r="AA51" s="32">
        <f>IF(VLOOKUP($D51,$C$5:$AA$507,25,)=0,0,((VLOOKUP($D51,$C$5:$AA$507,25,)/VLOOKUP($D51,$C$5:$AA$507,4,))*$F74))</f>
        <v>0</v>
      </c>
      <c r="AB51" s="32">
        <f t="shared" ref="AB51:AB63" si="43">SUM(H51:AA51)</f>
        <v>0</v>
      </c>
      <c r="AC51" s="14" t="str">
        <f>IF(ABS(AB51-F51)&lt;1,"ok","err")</f>
        <v>ok</v>
      </c>
    </row>
    <row r="52" spans="1:29" ht="12.75" x14ac:dyDescent="0.2">
      <c r="A52" s="70">
        <v>361</v>
      </c>
      <c r="B52" s="2" t="s">
        <v>53</v>
      </c>
      <c r="C52" s="2" t="s">
        <v>424</v>
      </c>
      <c r="D52" s="2" t="s">
        <v>24</v>
      </c>
      <c r="F52" s="32">
        <v>0</v>
      </c>
      <c r="G52" s="32"/>
      <c r="H52" s="32">
        <f t="shared" ref="H52:H63" si="44">IF(VLOOKUP($D52,$C$5:$AA$507,6,)=0,0,((VLOOKUP($D52,$C$5:$AA$507,6,)/VLOOKUP($D52,$C$5:$AA$507,4,))*$F52))</f>
        <v>0</v>
      </c>
      <c r="I52" s="32">
        <f t="shared" ref="I52:I63" si="45">IF(VLOOKUP($D52,$C$5:$AA$507,7,)=0,0,((VLOOKUP($D52,$C$5:$AA$507,7,)/VLOOKUP($D52,$C$5:$AA$507,4,))*$F52))</f>
        <v>0</v>
      </c>
      <c r="J52" s="32"/>
      <c r="K52" s="32">
        <f t="shared" ref="K52:K63" si="46">IF(VLOOKUP($D52,$C$5:$AA$507,9,)=0,0,((VLOOKUP($D52,$C$5:$AA$507,9,)/VLOOKUP($D52,$C$5:$AA$507,4,))*$F52))</f>
        <v>0</v>
      </c>
      <c r="L52" s="32"/>
      <c r="M52" s="32">
        <f t="shared" si="42"/>
        <v>0</v>
      </c>
      <c r="N52" s="32"/>
      <c r="O52" s="32">
        <f t="shared" ref="O52:O63" si="47">IF(VLOOKUP($D52,$C$5:$AA$507,13,)=0,0,((VLOOKUP($D52,$C$5:$AA$507,13,)/VLOOKUP($D52,$C$5:$AA$507,4,))*$F52))</f>
        <v>0</v>
      </c>
      <c r="P52" s="32">
        <f t="shared" ref="P52:P63" si="48">IF(VLOOKUP($D52,$C$5:$AA$507,14,)=0,0,((VLOOKUP($D52,$C$5:$AA$507,14,)/VLOOKUP($D52,$C$5:$AA$507,4,))*$F52))</f>
        <v>0</v>
      </c>
      <c r="Q52" s="32"/>
      <c r="R52" s="32">
        <f t="shared" ref="R52:R63" si="49">IF(VLOOKUP($D52,$C$5:$AA$507,16,)=0,0,((VLOOKUP($D52,$C$5:$AA$507,16,)/VLOOKUP($D52,$C$5:$AA$507,4,))*$F52))</f>
        <v>0</v>
      </c>
      <c r="S52" s="32">
        <f t="shared" ref="S52:S63" si="50">IF(VLOOKUP($D52,$C$5:$AA$507,17,)=0,0,((VLOOKUP($D52,$C$5:$AA$507,17,)/VLOOKUP($D52,$C$5:$AA$507,4,))*$F52))</f>
        <v>0</v>
      </c>
      <c r="T52" s="32"/>
      <c r="U52" s="32">
        <f t="shared" ref="U52:U63" si="51">IF(VLOOKUP($D52,$C$5:$AA$507,19,)=0,0,((VLOOKUP($D52,$C$5:$AA$507,19,)/VLOOKUP($D52,$C$5:$AA$507,4,))*$F52))</f>
        <v>0</v>
      </c>
      <c r="V52" s="32"/>
      <c r="W52" s="32">
        <f t="shared" ref="W52:W63" si="52">IF(VLOOKUP($D52,$C$5:$AA$507,21,)=0,0,((VLOOKUP($D52,$C$5:$AA$507,21,)/VLOOKUP($D52,$C$5:$AA$507,4,))*$F52))</f>
        <v>0</v>
      </c>
      <c r="X52" s="32"/>
      <c r="Y52" s="32">
        <f t="shared" ref="Y52:Y63" si="53">IF(VLOOKUP($D52,$C$5:$AA$507,23,)=0,0,((VLOOKUP($D52,$C$5:$AA$507,23,)/VLOOKUP($D52,$C$5:$AA$507,4,))*$F52))</f>
        <v>0</v>
      </c>
      <c r="Z52" s="32"/>
      <c r="AA52" s="32">
        <f t="shared" ref="AA52:AA63" si="54">IF(VLOOKUP($D52,$C$5:$AA$507,25,)=0,0,((VLOOKUP($D52,$C$5:$AA$507,25,)/VLOOKUP($D52,$C$5:$AA$507,4,))*$F52))</f>
        <v>0</v>
      </c>
      <c r="AB52" s="32">
        <f t="shared" si="43"/>
        <v>0</v>
      </c>
      <c r="AC52" s="14" t="str">
        <f t="shared" ref="AC52:AC63" si="55">IF(ABS(AB52-F52)&lt;1,"ok","err")</f>
        <v>ok</v>
      </c>
    </row>
    <row r="53" spans="1:29" ht="12.75" x14ac:dyDescent="0.2">
      <c r="A53" s="70">
        <v>362</v>
      </c>
      <c r="B53" s="2" t="s">
        <v>22</v>
      </c>
      <c r="C53" s="2" t="s">
        <v>23</v>
      </c>
      <c r="D53" s="2" t="s">
        <v>24</v>
      </c>
      <c r="F53" s="32">
        <v>41355.769999999997</v>
      </c>
      <c r="G53" s="32"/>
      <c r="H53" s="32">
        <f t="shared" si="44"/>
        <v>0</v>
      </c>
      <c r="I53" s="32">
        <f t="shared" si="45"/>
        <v>0</v>
      </c>
      <c r="J53" s="32"/>
      <c r="K53" s="32">
        <f t="shared" si="46"/>
        <v>0</v>
      </c>
      <c r="L53" s="32"/>
      <c r="M53" s="32">
        <f t="shared" si="42"/>
        <v>41355.769999999997</v>
      </c>
      <c r="N53" s="32"/>
      <c r="O53" s="32">
        <f t="shared" si="47"/>
        <v>0</v>
      </c>
      <c r="P53" s="32">
        <f t="shared" si="48"/>
        <v>0</v>
      </c>
      <c r="Q53" s="32"/>
      <c r="R53" s="32">
        <f t="shared" si="49"/>
        <v>0</v>
      </c>
      <c r="S53" s="32">
        <f t="shared" si="50"/>
        <v>0</v>
      </c>
      <c r="T53" s="32"/>
      <c r="U53" s="32">
        <f t="shared" si="51"/>
        <v>0</v>
      </c>
      <c r="V53" s="32"/>
      <c r="W53" s="32">
        <f t="shared" si="52"/>
        <v>0</v>
      </c>
      <c r="X53" s="32"/>
      <c r="Y53" s="32">
        <f t="shared" si="53"/>
        <v>0</v>
      </c>
      <c r="Z53" s="32"/>
      <c r="AA53" s="32">
        <f t="shared" si="54"/>
        <v>0</v>
      </c>
      <c r="AB53" s="32">
        <f t="shared" si="43"/>
        <v>41355.769999999997</v>
      </c>
      <c r="AC53" s="14" t="str">
        <f t="shared" si="55"/>
        <v>ok</v>
      </c>
    </row>
    <row r="54" spans="1:29" ht="12.75" x14ac:dyDescent="0.2">
      <c r="A54" s="70">
        <v>364</v>
      </c>
      <c r="B54" s="2" t="s">
        <v>25</v>
      </c>
      <c r="C54" s="2" t="s">
        <v>26</v>
      </c>
      <c r="D54" s="2" t="s">
        <v>27</v>
      </c>
      <c r="F54" s="32">
        <v>35249509.159999996</v>
      </c>
      <c r="G54" s="32"/>
      <c r="H54" s="32">
        <f t="shared" si="44"/>
        <v>0</v>
      </c>
      <c r="I54" s="32">
        <f t="shared" si="45"/>
        <v>0</v>
      </c>
      <c r="J54" s="32"/>
      <c r="K54" s="32">
        <f t="shared" si="46"/>
        <v>0</v>
      </c>
      <c r="L54" s="32"/>
      <c r="M54" s="32">
        <f t="shared" si="42"/>
        <v>0</v>
      </c>
      <c r="N54" s="32"/>
      <c r="O54" s="32">
        <f t="shared" si="47"/>
        <v>27351356.810709521</v>
      </c>
      <c r="P54" s="32">
        <f t="shared" si="48"/>
        <v>7898152.3492904734</v>
      </c>
      <c r="Q54" s="32"/>
      <c r="R54" s="32">
        <f t="shared" si="49"/>
        <v>0</v>
      </c>
      <c r="S54" s="32">
        <f t="shared" si="50"/>
        <v>0</v>
      </c>
      <c r="T54" s="32"/>
      <c r="U54" s="32">
        <f t="shared" si="51"/>
        <v>0</v>
      </c>
      <c r="V54" s="32"/>
      <c r="W54" s="32">
        <f t="shared" si="52"/>
        <v>0</v>
      </c>
      <c r="X54" s="32"/>
      <c r="Y54" s="32">
        <f t="shared" si="53"/>
        <v>0</v>
      </c>
      <c r="Z54" s="32"/>
      <c r="AA54" s="32">
        <f t="shared" si="54"/>
        <v>0</v>
      </c>
      <c r="AB54" s="32">
        <f t="shared" si="43"/>
        <v>35249509.159999996</v>
      </c>
      <c r="AC54" s="14" t="str">
        <f t="shared" si="55"/>
        <v>ok</v>
      </c>
    </row>
    <row r="55" spans="1:29" ht="12.75" x14ac:dyDescent="0.2">
      <c r="A55" s="70">
        <v>365</v>
      </c>
      <c r="B55" s="2" t="s">
        <v>28</v>
      </c>
      <c r="C55" s="2" t="s">
        <v>29</v>
      </c>
      <c r="D55" s="2" t="s">
        <v>30</v>
      </c>
      <c r="F55" s="32">
        <v>29493019.879999999</v>
      </c>
      <c r="G55" s="32"/>
      <c r="H55" s="32">
        <f t="shared" si="44"/>
        <v>0</v>
      </c>
      <c r="I55" s="32">
        <f t="shared" si="45"/>
        <v>0</v>
      </c>
      <c r="J55" s="32"/>
      <c r="K55" s="32">
        <f t="shared" si="46"/>
        <v>0</v>
      </c>
      <c r="L55" s="32"/>
      <c r="M55" s="32">
        <f t="shared" si="42"/>
        <v>0</v>
      </c>
      <c r="N55" s="32"/>
      <c r="O55" s="32">
        <f t="shared" si="47"/>
        <v>22884690.578290861</v>
      </c>
      <c r="P55" s="32">
        <f t="shared" si="48"/>
        <v>6608329.3017091379</v>
      </c>
      <c r="Q55" s="32"/>
      <c r="R55" s="32">
        <f t="shared" si="49"/>
        <v>0</v>
      </c>
      <c r="S55" s="32">
        <f t="shared" si="50"/>
        <v>0</v>
      </c>
      <c r="T55" s="32"/>
      <c r="U55" s="32">
        <f t="shared" si="51"/>
        <v>0</v>
      </c>
      <c r="V55" s="32"/>
      <c r="W55" s="32">
        <f t="shared" si="52"/>
        <v>0</v>
      </c>
      <c r="X55" s="32"/>
      <c r="Y55" s="32">
        <f t="shared" si="53"/>
        <v>0</v>
      </c>
      <c r="Z55" s="32"/>
      <c r="AA55" s="32">
        <f t="shared" si="54"/>
        <v>0</v>
      </c>
      <c r="AB55" s="32">
        <f t="shared" si="43"/>
        <v>29493019.879999999</v>
      </c>
      <c r="AC55" s="14" t="str">
        <f t="shared" si="55"/>
        <v>ok</v>
      </c>
    </row>
    <row r="56" spans="1:29" ht="12.75" x14ac:dyDescent="0.2">
      <c r="A56" s="70">
        <v>366</v>
      </c>
      <c r="B56" s="2" t="s">
        <v>31</v>
      </c>
      <c r="C56" s="2" t="s">
        <v>32</v>
      </c>
      <c r="D56" s="2" t="s">
        <v>33</v>
      </c>
      <c r="F56" s="32">
        <v>0</v>
      </c>
      <c r="G56" s="32"/>
      <c r="H56" s="32">
        <f t="shared" si="44"/>
        <v>0</v>
      </c>
      <c r="I56" s="32">
        <f t="shared" si="45"/>
        <v>0</v>
      </c>
      <c r="J56" s="32"/>
      <c r="K56" s="32">
        <f t="shared" si="46"/>
        <v>0</v>
      </c>
      <c r="L56" s="32"/>
      <c r="M56" s="32">
        <f>IF(VLOOKUP($D56,$C$5:$AA$507,11,)=0,0,((VLOOKUP($D56,$C$5:$AA$507,11,)/VLOOKUP($D56,$C$5:$AA$507,4,))*$F56))</f>
        <v>0</v>
      </c>
      <c r="N56" s="32"/>
      <c r="O56" s="32">
        <f t="shared" si="47"/>
        <v>0</v>
      </c>
      <c r="P56" s="32">
        <f t="shared" si="48"/>
        <v>0</v>
      </c>
      <c r="Q56" s="32"/>
      <c r="R56" s="32">
        <f t="shared" si="49"/>
        <v>0</v>
      </c>
      <c r="S56" s="32">
        <f t="shared" si="50"/>
        <v>0</v>
      </c>
      <c r="T56" s="32"/>
      <c r="U56" s="32">
        <f t="shared" si="51"/>
        <v>0</v>
      </c>
      <c r="V56" s="32"/>
      <c r="W56" s="32">
        <f t="shared" si="52"/>
        <v>0</v>
      </c>
      <c r="X56" s="32"/>
      <c r="Y56" s="32">
        <f t="shared" si="53"/>
        <v>0</v>
      </c>
      <c r="Z56" s="32"/>
      <c r="AA56" s="32">
        <f t="shared" si="54"/>
        <v>0</v>
      </c>
      <c r="AB56" s="32">
        <f t="shared" si="43"/>
        <v>0</v>
      </c>
      <c r="AC56" s="14" t="str">
        <f t="shared" si="55"/>
        <v>ok</v>
      </c>
    </row>
    <row r="57" spans="1:29" ht="12.75" x14ac:dyDescent="0.2">
      <c r="A57" s="70">
        <v>367</v>
      </c>
      <c r="B57" s="2" t="s">
        <v>34</v>
      </c>
      <c r="C57" s="2" t="s">
        <v>35</v>
      </c>
      <c r="D57" s="2" t="s">
        <v>33</v>
      </c>
      <c r="F57" s="32">
        <v>3103569.83</v>
      </c>
      <c r="G57" s="32"/>
      <c r="H57" s="32">
        <f t="shared" si="44"/>
        <v>0</v>
      </c>
      <c r="I57" s="32">
        <f t="shared" si="45"/>
        <v>0</v>
      </c>
      <c r="J57" s="32"/>
      <c r="K57" s="32">
        <f t="shared" si="46"/>
        <v>0</v>
      </c>
      <c r="L57" s="32"/>
      <c r="M57" s="32">
        <f t="shared" si="42"/>
        <v>0</v>
      </c>
      <c r="N57" s="32"/>
      <c r="O57" s="32">
        <f t="shared" si="47"/>
        <v>2011331.4750709326</v>
      </c>
      <c r="P57" s="32">
        <f t="shared" si="48"/>
        <v>1092238.3549290674</v>
      </c>
      <c r="Q57" s="32"/>
      <c r="R57" s="32">
        <f t="shared" si="49"/>
        <v>0</v>
      </c>
      <c r="S57" s="32">
        <f t="shared" si="50"/>
        <v>0</v>
      </c>
      <c r="T57" s="32"/>
      <c r="U57" s="32">
        <f t="shared" si="51"/>
        <v>0</v>
      </c>
      <c r="V57" s="32"/>
      <c r="W57" s="32">
        <f t="shared" si="52"/>
        <v>0</v>
      </c>
      <c r="X57" s="32"/>
      <c r="Y57" s="32">
        <f t="shared" si="53"/>
        <v>0</v>
      </c>
      <c r="Z57" s="32"/>
      <c r="AA57" s="32">
        <f t="shared" si="54"/>
        <v>0</v>
      </c>
      <c r="AB57" s="32">
        <f t="shared" si="43"/>
        <v>3103569.83</v>
      </c>
      <c r="AC57" s="14" t="str">
        <f t="shared" si="55"/>
        <v>ok</v>
      </c>
    </row>
    <row r="58" spans="1:29" ht="12.75" x14ac:dyDescent="0.2">
      <c r="A58" s="70">
        <v>368</v>
      </c>
      <c r="B58" s="2" t="s">
        <v>36</v>
      </c>
      <c r="C58" s="2" t="s">
        <v>37</v>
      </c>
      <c r="D58" s="2" t="s">
        <v>38</v>
      </c>
      <c r="F58" s="32">
        <v>23398676.199999999</v>
      </c>
      <c r="G58" s="32"/>
      <c r="H58" s="32">
        <f t="shared" si="44"/>
        <v>0</v>
      </c>
      <c r="I58" s="32">
        <f t="shared" si="45"/>
        <v>0</v>
      </c>
      <c r="J58" s="32"/>
      <c r="K58" s="32">
        <f t="shared" si="46"/>
        <v>0</v>
      </c>
      <c r="L58" s="32"/>
      <c r="M58" s="32">
        <f t="shared" si="42"/>
        <v>0</v>
      </c>
      <c r="N58" s="32"/>
      <c r="O58" s="32">
        <f t="shared" si="47"/>
        <v>7966420.7924558632</v>
      </c>
      <c r="P58" s="32">
        <f t="shared" si="48"/>
        <v>15432255.407544136</v>
      </c>
      <c r="Q58" s="32"/>
      <c r="R58" s="32">
        <f t="shared" si="49"/>
        <v>0</v>
      </c>
      <c r="S58" s="32">
        <f t="shared" si="50"/>
        <v>0</v>
      </c>
      <c r="T58" s="32"/>
      <c r="U58" s="32">
        <f t="shared" si="51"/>
        <v>0</v>
      </c>
      <c r="V58" s="32"/>
      <c r="W58" s="32">
        <f t="shared" si="52"/>
        <v>0</v>
      </c>
      <c r="X58" s="32"/>
      <c r="Y58" s="32">
        <f t="shared" si="53"/>
        <v>0</v>
      </c>
      <c r="Z58" s="32"/>
      <c r="AA58" s="32">
        <f t="shared" si="54"/>
        <v>0</v>
      </c>
      <c r="AB58" s="32">
        <f t="shared" si="43"/>
        <v>23398676.199999999</v>
      </c>
      <c r="AC58" s="14" t="str">
        <f t="shared" si="55"/>
        <v>ok</v>
      </c>
    </row>
    <row r="59" spans="1:29" ht="12.75" x14ac:dyDescent="0.2">
      <c r="A59" s="70">
        <v>369</v>
      </c>
      <c r="B59" s="2" t="s">
        <v>39</v>
      </c>
      <c r="C59" s="2" t="s">
        <v>40</v>
      </c>
      <c r="D59" s="2" t="s">
        <v>41</v>
      </c>
      <c r="F59" s="32">
        <v>11267457.84</v>
      </c>
      <c r="G59" s="32"/>
      <c r="H59" s="32">
        <f t="shared" si="44"/>
        <v>0</v>
      </c>
      <c r="I59" s="32">
        <f t="shared" si="45"/>
        <v>0</v>
      </c>
      <c r="J59" s="32"/>
      <c r="K59" s="32">
        <f t="shared" si="46"/>
        <v>0</v>
      </c>
      <c r="L59" s="32"/>
      <c r="M59" s="32">
        <f t="shared" si="42"/>
        <v>0</v>
      </c>
      <c r="N59" s="32"/>
      <c r="O59" s="32">
        <f t="shared" si="47"/>
        <v>0</v>
      </c>
      <c r="P59" s="32">
        <f t="shared" si="48"/>
        <v>0</v>
      </c>
      <c r="Q59" s="32"/>
      <c r="R59" s="32">
        <f t="shared" si="49"/>
        <v>0</v>
      </c>
      <c r="S59" s="32">
        <f t="shared" si="50"/>
        <v>11267457.84</v>
      </c>
      <c r="T59" s="32"/>
      <c r="U59" s="32">
        <f t="shared" si="51"/>
        <v>0</v>
      </c>
      <c r="V59" s="32"/>
      <c r="W59" s="32">
        <f t="shared" si="52"/>
        <v>0</v>
      </c>
      <c r="X59" s="32"/>
      <c r="Y59" s="32">
        <f t="shared" si="53"/>
        <v>0</v>
      </c>
      <c r="Z59" s="32"/>
      <c r="AA59" s="32">
        <f t="shared" si="54"/>
        <v>0</v>
      </c>
      <c r="AB59" s="32">
        <f t="shared" si="43"/>
        <v>11267457.84</v>
      </c>
      <c r="AC59" s="14" t="str">
        <f t="shared" si="55"/>
        <v>ok</v>
      </c>
    </row>
    <row r="60" spans="1:29" ht="12.75" x14ac:dyDescent="0.2">
      <c r="A60" s="70">
        <v>370</v>
      </c>
      <c r="B60" s="2" t="s">
        <v>42</v>
      </c>
      <c r="C60" s="2" t="s">
        <v>43</v>
      </c>
      <c r="D60" s="2" t="s">
        <v>44</v>
      </c>
      <c r="F60" s="32">
        <v>6350265.5999999996</v>
      </c>
      <c r="G60" s="32"/>
      <c r="H60" s="32">
        <f t="shared" si="44"/>
        <v>0</v>
      </c>
      <c r="I60" s="32">
        <f t="shared" si="45"/>
        <v>0</v>
      </c>
      <c r="J60" s="32"/>
      <c r="K60" s="32">
        <f t="shared" si="46"/>
        <v>0</v>
      </c>
      <c r="L60" s="32"/>
      <c r="M60" s="32">
        <f t="shared" si="42"/>
        <v>0</v>
      </c>
      <c r="N60" s="32"/>
      <c r="O60" s="32">
        <f t="shared" si="47"/>
        <v>0</v>
      </c>
      <c r="P60" s="32">
        <f t="shared" si="48"/>
        <v>0</v>
      </c>
      <c r="Q60" s="32"/>
      <c r="R60" s="32">
        <f t="shared" si="49"/>
        <v>0</v>
      </c>
      <c r="S60" s="32">
        <f t="shared" si="50"/>
        <v>0</v>
      </c>
      <c r="T60" s="32"/>
      <c r="U60" s="32">
        <f t="shared" si="51"/>
        <v>6350265.5999999996</v>
      </c>
      <c r="V60" s="32"/>
      <c r="W60" s="32">
        <f t="shared" si="52"/>
        <v>0</v>
      </c>
      <c r="X60" s="32"/>
      <c r="Y60" s="32">
        <f t="shared" si="53"/>
        <v>0</v>
      </c>
      <c r="Z60" s="32"/>
      <c r="AA60" s="32">
        <f t="shared" si="54"/>
        <v>0</v>
      </c>
      <c r="AB60" s="32">
        <f t="shared" si="43"/>
        <v>6350265.5999999996</v>
      </c>
      <c r="AC60" s="14" t="str">
        <f t="shared" si="55"/>
        <v>ok</v>
      </c>
    </row>
    <row r="61" spans="1:29" ht="12.75" x14ac:dyDescent="0.2">
      <c r="A61" s="70">
        <v>371</v>
      </c>
      <c r="B61" s="2" t="s">
        <v>45</v>
      </c>
      <c r="C61" s="2" t="s">
        <v>46</v>
      </c>
      <c r="D61" s="2" t="s">
        <v>546</v>
      </c>
      <c r="F61" s="32">
        <v>3895370.7199999997</v>
      </c>
      <c r="G61" s="32"/>
      <c r="H61" s="32">
        <f t="shared" si="44"/>
        <v>0</v>
      </c>
      <c r="I61" s="32">
        <f t="shared" si="45"/>
        <v>0</v>
      </c>
      <c r="J61" s="32"/>
      <c r="K61" s="32">
        <f t="shared" si="46"/>
        <v>0</v>
      </c>
      <c r="L61" s="32"/>
      <c r="M61" s="32">
        <f t="shared" si="42"/>
        <v>0</v>
      </c>
      <c r="N61" s="32"/>
      <c r="O61" s="32">
        <f t="shared" si="47"/>
        <v>0</v>
      </c>
      <c r="P61" s="32">
        <f t="shared" si="48"/>
        <v>0</v>
      </c>
      <c r="Q61" s="32"/>
      <c r="R61" s="32">
        <f t="shared" si="49"/>
        <v>0</v>
      </c>
      <c r="S61" s="32">
        <f t="shared" si="50"/>
        <v>0</v>
      </c>
      <c r="T61" s="32"/>
      <c r="U61" s="32">
        <f t="shared" si="51"/>
        <v>0</v>
      </c>
      <c r="V61" s="32"/>
      <c r="W61" s="32">
        <f t="shared" si="52"/>
        <v>3895370.7199999997</v>
      </c>
      <c r="X61" s="32"/>
      <c r="Y61" s="32">
        <f t="shared" si="53"/>
        <v>0</v>
      </c>
      <c r="Z61" s="32"/>
      <c r="AA61" s="32">
        <f t="shared" si="54"/>
        <v>0</v>
      </c>
      <c r="AB61" s="32">
        <f t="shared" si="43"/>
        <v>3895370.7199999997</v>
      </c>
      <c r="AC61" s="14" t="str">
        <f t="shared" si="55"/>
        <v>ok</v>
      </c>
    </row>
    <row r="62" spans="1:29" ht="12.75" x14ac:dyDescent="0.2">
      <c r="A62" s="70">
        <v>372</v>
      </c>
      <c r="B62" s="2" t="s">
        <v>574</v>
      </c>
      <c r="C62" s="2" t="s">
        <v>575</v>
      </c>
      <c r="D62" s="2" t="s">
        <v>546</v>
      </c>
      <c r="F62" s="32">
        <v>0</v>
      </c>
      <c r="G62" s="32"/>
      <c r="H62" s="32">
        <f t="shared" si="44"/>
        <v>0</v>
      </c>
      <c r="I62" s="32">
        <f t="shared" si="45"/>
        <v>0</v>
      </c>
      <c r="J62" s="32"/>
      <c r="K62" s="32">
        <f t="shared" si="46"/>
        <v>0</v>
      </c>
      <c r="L62" s="32"/>
      <c r="M62" s="32">
        <f t="shared" si="42"/>
        <v>0</v>
      </c>
      <c r="N62" s="32"/>
      <c r="O62" s="32">
        <f t="shared" si="47"/>
        <v>0</v>
      </c>
      <c r="P62" s="32">
        <f t="shared" si="48"/>
        <v>0</v>
      </c>
      <c r="Q62" s="32"/>
      <c r="R62" s="32">
        <f t="shared" si="49"/>
        <v>0</v>
      </c>
      <c r="S62" s="32">
        <f t="shared" si="50"/>
        <v>0</v>
      </c>
      <c r="T62" s="32"/>
      <c r="U62" s="32">
        <f t="shared" si="51"/>
        <v>0</v>
      </c>
      <c r="V62" s="32"/>
      <c r="W62" s="32">
        <f t="shared" si="52"/>
        <v>0</v>
      </c>
      <c r="X62" s="32"/>
      <c r="Y62" s="32">
        <f t="shared" si="53"/>
        <v>0</v>
      </c>
      <c r="Z62" s="32"/>
      <c r="AA62" s="32">
        <f t="shared" si="54"/>
        <v>0</v>
      </c>
      <c r="AB62" s="32">
        <f t="shared" si="43"/>
        <v>0</v>
      </c>
      <c r="AC62" s="14" t="str">
        <f t="shared" si="55"/>
        <v>ok</v>
      </c>
    </row>
    <row r="63" spans="1:29" ht="12.75" x14ac:dyDescent="0.2">
      <c r="A63" s="70">
        <v>373</v>
      </c>
      <c r="B63" s="2" t="s">
        <v>47</v>
      </c>
      <c r="C63" s="2" t="s">
        <v>48</v>
      </c>
      <c r="D63" s="2" t="s">
        <v>49</v>
      </c>
      <c r="F63" s="32">
        <v>491767.96</v>
      </c>
      <c r="G63" s="32"/>
      <c r="H63" s="32">
        <f t="shared" si="44"/>
        <v>0</v>
      </c>
      <c r="I63" s="32">
        <f t="shared" si="45"/>
        <v>0</v>
      </c>
      <c r="J63" s="32"/>
      <c r="K63" s="32">
        <f t="shared" si="46"/>
        <v>0</v>
      </c>
      <c r="L63" s="32"/>
      <c r="M63" s="32">
        <f t="shared" si="42"/>
        <v>0</v>
      </c>
      <c r="N63" s="32"/>
      <c r="O63" s="32">
        <f t="shared" si="47"/>
        <v>0</v>
      </c>
      <c r="P63" s="32">
        <f t="shared" si="48"/>
        <v>0</v>
      </c>
      <c r="Q63" s="32"/>
      <c r="R63" s="32">
        <f t="shared" si="49"/>
        <v>0</v>
      </c>
      <c r="S63" s="32">
        <f t="shared" si="50"/>
        <v>0</v>
      </c>
      <c r="T63" s="32"/>
      <c r="U63" s="32">
        <f t="shared" si="51"/>
        <v>0</v>
      </c>
      <c r="V63" s="32"/>
      <c r="W63" s="32">
        <f t="shared" si="52"/>
        <v>491767.96</v>
      </c>
      <c r="X63" s="32"/>
      <c r="Y63" s="32">
        <f t="shared" si="53"/>
        <v>0</v>
      </c>
      <c r="Z63" s="32"/>
      <c r="AA63" s="32">
        <f t="shared" si="54"/>
        <v>0</v>
      </c>
      <c r="AB63" s="32">
        <f t="shared" si="43"/>
        <v>491767.96</v>
      </c>
      <c r="AC63" s="14" t="str">
        <f t="shared" si="55"/>
        <v>ok</v>
      </c>
    </row>
    <row r="64" spans="1:29" ht="12.75" x14ac:dyDescent="0.2">
      <c r="A64" s="70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14"/>
    </row>
    <row r="65" spans="1:30" ht="12.75" x14ac:dyDescent="0.2">
      <c r="B65" s="2" t="s">
        <v>50</v>
      </c>
      <c r="C65" s="2" t="s">
        <v>16</v>
      </c>
      <c r="F65" s="45">
        <f>SUM(F51:F64)</f>
        <v>113290992.95999999</v>
      </c>
      <c r="G65" s="45"/>
      <c r="H65" s="45">
        <f>SUM(H51:H64)</f>
        <v>0</v>
      </c>
      <c r="I65" s="45">
        <f>SUM(I51:I64)</f>
        <v>0</v>
      </c>
      <c r="J65" s="45"/>
      <c r="K65" s="45"/>
      <c r="L65" s="45">
        <f>SUM(L51:L64)</f>
        <v>0</v>
      </c>
      <c r="M65" s="45">
        <f>SUM(M51:M64)</f>
        <v>41355.769999999997</v>
      </c>
      <c r="N65" s="45"/>
      <c r="O65" s="45">
        <f>SUM(O51:O64)</f>
        <v>60213799.656527176</v>
      </c>
      <c r="P65" s="45">
        <f>SUM(P51:P64)</f>
        <v>31030975.413472816</v>
      </c>
      <c r="Q65" s="45"/>
      <c r="R65" s="45">
        <f>SUM(R51:R63)</f>
        <v>0</v>
      </c>
      <c r="S65" s="45">
        <f>SUM(S51:S63)</f>
        <v>11267457.84</v>
      </c>
      <c r="T65" s="45"/>
      <c r="U65" s="45">
        <f>SUM(U51:U63)</f>
        <v>6350265.5999999996</v>
      </c>
      <c r="V65" s="45"/>
      <c r="W65" s="45">
        <f>SUM(W51:W63)</f>
        <v>4387138.68</v>
      </c>
      <c r="X65" s="45"/>
      <c r="Y65" s="45">
        <f>SUM(Y51:Y63)</f>
        <v>0</v>
      </c>
      <c r="Z65" s="45"/>
      <c r="AA65" s="45">
        <f>SUM(AA51:AA63)</f>
        <v>0</v>
      </c>
      <c r="AB65" s="32">
        <f>SUM(H65:AA65)</f>
        <v>113290992.96000001</v>
      </c>
      <c r="AC65" s="14" t="str">
        <f>IF(ABS(AB65-F65)&lt;1,"ok","err")</f>
        <v>ok</v>
      </c>
      <c r="AD65" s="19"/>
    </row>
    <row r="66" spans="1:30" x14ac:dyDescent="0.25">
      <c r="Q66" s="2"/>
      <c r="AC66" s="14"/>
      <c r="AD66" s="19"/>
    </row>
    <row r="67" spans="1:30" ht="12.75" x14ac:dyDescent="0.2">
      <c r="B67" s="2" t="s">
        <v>724</v>
      </c>
      <c r="C67" s="2" t="s">
        <v>392</v>
      </c>
      <c r="F67" s="69">
        <f t="shared" ref="F67" si="56">F46+F65</f>
        <v>113290992.95999999</v>
      </c>
      <c r="G67" s="69"/>
      <c r="H67" s="69">
        <f t="shared" ref="H67:L67" si="57">H46+H65</f>
        <v>0</v>
      </c>
      <c r="I67" s="69">
        <f t="shared" si="57"/>
        <v>0</v>
      </c>
      <c r="J67" s="69">
        <f t="shared" si="57"/>
        <v>0</v>
      </c>
      <c r="K67" s="69">
        <f t="shared" si="57"/>
        <v>0</v>
      </c>
      <c r="L67" s="69">
        <f t="shared" si="57"/>
        <v>0</v>
      </c>
      <c r="M67" s="69">
        <f>M46+M65</f>
        <v>41355.769999999997</v>
      </c>
      <c r="N67" s="69"/>
      <c r="O67" s="69">
        <f t="shared" ref="O67:AA67" si="58">O46+O65</f>
        <v>60213799.656527176</v>
      </c>
      <c r="P67" s="69">
        <f t="shared" si="58"/>
        <v>31030975.413472816</v>
      </c>
      <c r="Q67" s="69">
        <f t="shared" si="58"/>
        <v>0</v>
      </c>
      <c r="R67" s="69">
        <f t="shared" si="58"/>
        <v>0</v>
      </c>
      <c r="S67" s="69">
        <f t="shared" si="58"/>
        <v>11267457.84</v>
      </c>
      <c r="T67" s="69">
        <f t="shared" si="58"/>
        <v>0</v>
      </c>
      <c r="U67" s="69">
        <f t="shared" si="58"/>
        <v>6350265.5999999996</v>
      </c>
      <c r="V67" s="69">
        <f t="shared" si="58"/>
        <v>0</v>
      </c>
      <c r="W67" s="69">
        <f t="shared" si="58"/>
        <v>4387138.68</v>
      </c>
      <c r="X67" s="69">
        <f t="shared" si="58"/>
        <v>0</v>
      </c>
      <c r="Y67" s="69">
        <f t="shared" si="58"/>
        <v>0</v>
      </c>
      <c r="Z67" s="69">
        <f t="shared" si="58"/>
        <v>0</v>
      </c>
      <c r="AA67" s="69">
        <f t="shared" si="58"/>
        <v>0</v>
      </c>
      <c r="AB67" s="32">
        <f>SUM(H67:AA67)</f>
        <v>113290992.96000001</v>
      </c>
      <c r="AC67" s="14" t="str">
        <f>IF(ABS(AB67-F67)&lt;1,"ok","err")</f>
        <v>ok</v>
      </c>
      <c r="AD67" s="19"/>
    </row>
    <row r="68" spans="1:30" x14ac:dyDescent="0.25">
      <c r="Q68" s="2"/>
      <c r="AC68" s="14"/>
    </row>
    <row r="69" spans="1:30" ht="12.75" x14ac:dyDescent="0.2">
      <c r="B69" s="2" t="s">
        <v>756</v>
      </c>
      <c r="C69" s="2" t="s">
        <v>757</v>
      </c>
      <c r="F69" s="69">
        <f>F67+F24+F35</f>
        <v>114793064.31999999</v>
      </c>
      <c r="G69" s="69">
        <f t="shared" ref="G69:AA69" si="59">G67+G24+G35</f>
        <v>0</v>
      </c>
      <c r="H69" s="69">
        <f t="shared" si="59"/>
        <v>1502071.3599999999</v>
      </c>
      <c r="I69" s="69">
        <f t="shared" si="59"/>
        <v>0</v>
      </c>
      <c r="J69" s="69">
        <f t="shared" si="59"/>
        <v>0</v>
      </c>
      <c r="K69" s="69">
        <f t="shared" si="59"/>
        <v>0</v>
      </c>
      <c r="L69" s="69">
        <f t="shared" si="59"/>
        <v>0</v>
      </c>
      <c r="M69" s="69">
        <f t="shared" si="59"/>
        <v>41355.769999999997</v>
      </c>
      <c r="N69" s="69">
        <f t="shared" si="59"/>
        <v>0</v>
      </c>
      <c r="O69" s="69">
        <f t="shared" si="59"/>
        <v>60213799.656527176</v>
      </c>
      <c r="P69" s="69">
        <f t="shared" si="59"/>
        <v>31030975.413472816</v>
      </c>
      <c r="Q69" s="69">
        <f t="shared" si="59"/>
        <v>0</v>
      </c>
      <c r="R69" s="69">
        <f t="shared" si="59"/>
        <v>0</v>
      </c>
      <c r="S69" s="69">
        <f t="shared" si="59"/>
        <v>11267457.84</v>
      </c>
      <c r="T69" s="69">
        <f t="shared" si="59"/>
        <v>0</v>
      </c>
      <c r="U69" s="69">
        <f t="shared" si="59"/>
        <v>6350265.5999999996</v>
      </c>
      <c r="V69" s="69">
        <f t="shared" si="59"/>
        <v>0</v>
      </c>
      <c r="W69" s="69">
        <f t="shared" si="59"/>
        <v>4387138.68</v>
      </c>
      <c r="X69" s="69">
        <f t="shared" si="59"/>
        <v>0</v>
      </c>
      <c r="Y69" s="69">
        <f t="shared" si="59"/>
        <v>0</v>
      </c>
      <c r="Z69" s="69">
        <f t="shared" si="59"/>
        <v>0</v>
      </c>
      <c r="AA69" s="69">
        <f t="shared" si="59"/>
        <v>0</v>
      </c>
      <c r="AB69" s="32">
        <f>SUM(H69:AA69)</f>
        <v>114793064.31999999</v>
      </c>
      <c r="AC69" s="14" t="str">
        <f>IF(ABS(AB69-F69)&lt;1,"ok","err")</f>
        <v>ok</v>
      </c>
    </row>
    <row r="70" spans="1:30" x14ac:dyDescent="0.25">
      <c r="Q70" s="2"/>
      <c r="AC70" s="14"/>
    </row>
    <row r="71" spans="1:30" x14ac:dyDescent="0.25">
      <c r="A71" s="12" t="s">
        <v>366</v>
      </c>
      <c r="Q71" s="2"/>
      <c r="AC71" s="14"/>
    </row>
    <row r="72" spans="1:30" x14ac:dyDescent="0.25">
      <c r="Q72" s="2"/>
      <c r="AC72" s="14"/>
    </row>
    <row r="73" spans="1:30" x14ac:dyDescent="0.25">
      <c r="A73" s="12" t="s">
        <v>51</v>
      </c>
      <c r="Q73" s="2"/>
      <c r="AC73" s="14"/>
    </row>
    <row r="74" spans="1:30" ht="12.75" x14ac:dyDescent="0.2">
      <c r="A74" s="70">
        <v>389</v>
      </c>
      <c r="B74" s="2" t="s">
        <v>17</v>
      </c>
      <c r="C74" s="2" t="s">
        <v>52</v>
      </c>
      <c r="D74" s="2" t="s">
        <v>392</v>
      </c>
      <c r="F74" s="45">
        <v>740276.14</v>
      </c>
      <c r="G74" s="45"/>
      <c r="H74" s="32">
        <f t="shared" ref="H74:H84" si="60">IF(VLOOKUP($D74,$C$5:$AA$507,6,)=0,0,((VLOOKUP($D74,$C$5:$AA$507,6,)/VLOOKUP($D74,$C$5:$AA$507,4,))*$F74))</f>
        <v>0</v>
      </c>
      <c r="I74" s="32">
        <f t="shared" ref="I74:I84" si="61">IF(VLOOKUP($D74,$C$5:$AA$507,7,)=0,0,((VLOOKUP($D74,$C$5:$AA$507,7,)/VLOOKUP($D74,$C$5:$AA$507,4,))*$F74))</f>
        <v>0</v>
      </c>
      <c r="J74" s="32"/>
      <c r="K74" s="32">
        <f t="shared" ref="K74:K84" si="62">IF(VLOOKUP($D74,$C$5:$AA$507,9,)=0,0,((VLOOKUP($D74,$C$5:$AA$507,9,)/VLOOKUP($D74,$C$5:$AA$507,4,))*$F74))</f>
        <v>0</v>
      </c>
      <c r="L74" s="32"/>
      <c r="M74" s="32">
        <f t="shared" ref="M74:M84" si="63">IF(VLOOKUP($D74,$C$5:$AA$507,11,)=0,0,((VLOOKUP($D74,$C$5:$AA$507,11,)/VLOOKUP($D74,$C$5:$AA$507,4,))*$F74))</f>
        <v>270.23057157895175</v>
      </c>
      <c r="N74" s="32"/>
      <c r="O74" s="32">
        <f t="shared" ref="O74:O84" si="64">IF(VLOOKUP($D74,$C$5:$AA$507,13,)=0,0,((VLOOKUP($D74,$C$5:$AA$507,13,)/VLOOKUP($D74,$C$5:$AA$507,4,))*$F74))</f>
        <v>393454.39579830889</v>
      </c>
      <c r="P74" s="32">
        <f t="shared" ref="P74:P84" si="65">IF(VLOOKUP($D74,$C$5:$AA$507,14,)=0,0,((VLOOKUP($D74,$C$5:$AA$507,14,)/VLOOKUP($D74,$C$5:$AA$507,4,))*$F74))</f>
        <v>202765.37524594896</v>
      </c>
      <c r="Q74" s="32"/>
      <c r="R74" s="32">
        <f t="shared" ref="R74:R84" si="66">IF(VLOOKUP($D74,$C$5:$AA$507,16,)=0,0,((VLOOKUP($D74,$C$5:$AA$507,16,)/VLOOKUP($D74,$C$5:$AA$507,4,))*$F74))</f>
        <v>0</v>
      </c>
      <c r="S74" s="32">
        <f t="shared" ref="S74:S84" si="67">IF(VLOOKUP($D74,$C$5:$AA$507,17,)=0,0,((VLOOKUP($D74,$C$5:$AA$507,17,)/VLOOKUP($D74,$C$5:$AA$507,4,))*$F74))</f>
        <v>73624.830884419309</v>
      </c>
      <c r="T74" s="32"/>
      <c r="U74" s="32">
        <f t="shared" ref="U74:U84" si="68">IF(VLOOKUP($D74,$C$5:$AA$507,19,)=0,0,((VLOOKUP($D74,$C$5:$AA$507,19,)/VLOOKUP($D74,$C$5:$AA$507,4,))*$F74))</f>
        <v>41494.473510374854</v>
      </c>
      <c r="V74" s="32"/>
      <c r="W74" s="32">
        <f t="shared" ref="W74:W84" si="69">IF(VLOOKUP($D74,$C$5:$AA$507,21,)=0,0,((VLOOKUP($D74,$C$5:$AA$507,21,)/VLOOKUP($D74,$C$5:$AA$507,4,))*$F74))</f>
        <v>28666.833989369024</v>
      </c>
      <c r="X74" s="32"/>
      <c r="Y74" s="32">
        <f t="shared" ref="Y74:Y84" si="70">IF(VLOOKUP($D74,$C$5:$AA$507,23,)=0,0,((VLOOKUP($D74,$C$5:$AA$507,23,)/VLOOKUP($D74,$C$5:$AA$507,4,))*$F74))</f>
        <v>0</v>
      </c>
      <c r="Z74" s="32"/>
      <c r="AA74" s="32">
        <f t="shared" ref="AA74:AA84" si="71">IF(VLOOKUP($D74,$C$5:$AA$507,25,)=0,0,((VLOOKUP($D74,$C$5:$AA$507,25,)/VLOOKUP($D74,$C$5:$AA$507,4,))*$F74))</f>
        <v>0</v>
      </c>
      <c r="AB74" s="32">
        <f>SUM(H74:AA74)</f>
        <v>740276.1399999999</v>
      </c>
      <c r="AC74" s="14" t="str">
        <f>IF(ABS(AB74-F74)&lt;1,"ok","err")</f>
        <v>ok</v>
      </c>
    </row>
    <row r="75" spans="1:30" ht="12.75" x14ac:dyDescent="0.2">
      <c r="A75" s="70">
        <v>390</v>
      </c>
      <c r="B75" s="2" t="s">
        <v>53</v>
      </c>
      <c r="C75" s="2" t="s">
        <v>54</v>
      </c>
      <c r="D75" s="2" t="s">
        <v>392</v>
      </c>
      <c r="F75" s="32">
        <v>2546215.11</v>
      </c>
      <c r="G75" s="32"/>
      <c r="H75" s="32">
        <f t="shared" si="60"/>
        <v>0</v>
      </c>
      <c r="I75" s="32">
        <f t="shared" si="61"/>
        <v>0</v>
      </c>
      <c r="J75" s="32"/>
      <c r="K75" s="32">
        <f t="shared" si="62"/>
        <v>0</v>
      </c>
      <c r="L75" s="32"/>
      <c r="M75" s="32">
        <f t="shared" si="63"/>
        <v>929.47094652849887</v>
      </c>
      <c r="N75" s="32"/>
      <c r="O75" s="32">
        <f t="shared" si="64"/>
        <v>1353305.1702538659</v>
      </c>
      <c r="P75" s="32">
        <f t="shared" si="65"/>
        <v>697421.18425707356</v>
      </c>
      <c r="Q75" s="32"/>
      <c r="R75" s="32">
        <f t="shared" si="66"/>
        <v>0</v>
      </c>
      <c r="S75" s="32">
        <f t="shared" si="67"/>
        <v>253236.11925288188</v>
      </c>
      <c r="T75" s="32"/>
      <c r="U75" s="32">
        <f t="shared" si="68"/>
        <v>142722.22178282173</v>
      </c>
      <c r="V75" s="32"/>
      <c r="W75" s="32">
        <f t="shared" si="69"/>
        <v>98600.943506828393</v>
      </c>
      <c r="X75" s="32"/>
      <c r="Y75" s="32">
        <f t="shared" si="70"/>
        <v>0</v>
      </c>
      <c r="Z75" s="32"/>
      <c r="AA75" s="32">
        <f t="shared" si="71"/>
        <v>0</v>
      </c>
      <c r="AB75" s="32">
        <f t="shared" ref="AB75:AB84" si="72">SUM(H75:AA75)</f>
        <v>2546215.11</v>
      </c>
      <c r="AC75" s="14" t="str">
        <f t="shared" ref="AC75:AC84" si="73">IF(ABS(AB75-F75)&lt;1,"ok","err")</f>
        <v>ok</v>
      </c>
    </row>
    <row r="76" spans="1:30" ht="12.75" x14ac:dyDescent="0.2">
      <c r="A76" s="70">
        <v>391</v>
      </c>
      <c r="B76" s="2" t="s">
        <v>55</v>
      </c>
      <c r="C76" s="2" t="s">
        <v>56</v>
      </c>
      <c r="D76" s="2" t="s">
        <v>392</v>
      </c>
      <c r="F76" s="32">
        <v>1197542.77</v>
      </c>
      <c r="G76" s="32"/>
      <c r="H76" s="32">
        <f t="shared" si="60"/>
        <v>0</v>
      </c>
      <c r="I76" s="32">
        <f t="shared" si="61"/>
        <v>0</v>
      </c>
      <c r="J76" s="32"/>
      <c r="K76" s="32">
        <f t="shared" si="62"/>
        <v>0</v>
      </c>
      <c r="L76" s="32"/>
      <c r="M76" s="32">
        <f t="shared" si="63"/>
        <v>437.15128685268877</v>
      </c>
      <c r="N76" s="32"/>
      <c r="O76" s="32">
        <f t="shared" si="64"/>
        <v>636490.14408729051</v>
      </c>
      <c r="P76" s="32">
        <f t="shared" si="65"/>
        <v>328013.01569995645</v>
      </c>
      <c r="Q76" s="32"/>
      <c r="R76" s="32">
        <f t="shared" si="66"/>
        <v>0</v>
      </c>
      <c r="S76" s="32">
        <f t="shared" si="67"/>
        <v>119102.69581038914</v>
      </c>
      <c r="T76" s="32"/>
      <c r="U76" s="32">
        <f t="shared" si="68"/>
        <v>67125.500961446538</v>
      </c>
      <c r="V76" s="32"/>
      <c r="W76" s="32">
        <f t="shared" si="69"/>
        <v>46374.262154064745</v>
      </c>
      <c r="X76" s="32"/>
      <c r="Y76" s="32">
        <f t="shared" si="70"/>
        <v>0</v>
      </c>
      <c r="Z76" s="32"/>
      <c r="AA76" s="32">
        <f t="shared" si="71"/>
        <v>0</v>
      </c>
      <c r="AB76" s="32">
        <f t="shared" si="72"/>
        <v>1197542.77</v>
      </c>
      <c r="AC76" s="14" t="str">
        <f t="shared" si="73"/>
        <v>ok</v>
      </c>
    </row>
    <row r="77" spans="1:30" ht="12.75" x14ac:dyDescent="0.2">
      <c r="A77" s="70">
        <v>392</v>
      </c>
      <c r="B77" s="2" t="s">
        <v>57</v>
      </c>
      <c r="C77" s="2" t="s">
        <v>58</v>
      </c>
      <c r="D77" s="2" t="s">
        <v>392</v>
      </c>
      <c r="F77" s="32">
        <v>5341071.6100000003</v>
      </c>
      <c r="G77" s="32"/>
      <c r="H77" s="32">
        <f t="shared" si="60"/>
        <v>0</v>
      </c>
      <c r="I77" s="32">
        <f t="shared" si="61"/>
        <v>0</v>
      </c>
      <c r="J77" s="32"/>
      <c r="K77" s="32">
        <f t="shared" si="62"/>
        <v>0</v>
      </c>
      <c r="L77" s="32"/>
      <c r="M77" s="32">
        <f t="shared" si="63"/>
        <v>1949.7060029712861</v>
      </c>
      <c r="N77" s="32"/>
      <c r="O77" s="32">
        <f t="shared" si="64"/>
        <v>2838762.4423881215</v>
      </c>
      <c r="P77" s="32">
        <f t="shared" si="65"/>
        <v>1462946.5015813354</v>
      </c>
      <c r="Q77" s="32"/>
      <c r="R77" s="32">
        <f t="shared" si="66"/>
        <v>0</v>
      </c>
      <c r="S77" s="32">
        <f t="shared" si="67"/>
        <v>531201.09210574196</v>
      </c>
      <c r="T77" s="32"/>
      <c r="U77" s="32">
        <f t="shared" si="68"/>
        <v>299381.4638388321</v>
      </c>
      <c r="V77" s="32"/>
      <c r="W77" s="32">
        <f t="shared" si="69"/>
        <v>206830.40408299793</v>
      </c>
      <c r="X77" s="32"/>
      <c r="Y77" s="32">
        <f t="shared" si="70"/>
        <v>0</v>
      </c>
      <c r="Z77" s="32"/>
      <c r="AA77" s="32">
        <f t="shared" si="71"/>
        <v>0</v>
      </c>
      <c r="AB77" s="32">
        <f t="shared" si="72"/>
        <v>5341071.6099999994</v>
      </c>
      <c r="AC77" s="14" t="str">
        <f t="shared" si="73"/>
        <v>ok</v>
      </c>
    </row>
    <row r="78" spans="1:30" ht="12.75" x14ac:dyDescent="0.2">
      <c r="A78" s="70">
        <v>393</v>
      </c>
      <c r="B78" s="2" t="s">
        <v>59</v>
      </c>
      <c r="C78" s="2" t="s">
        <v>60</v>
      </c>
      <c r="D78" s="2" t="s">
        <v>392</v>
      </c>
      <c r="F78" s="32">
        <v>0</v>
      </c>
      <c r="G78" s="32"/>
      <c r="H78" s="32">
        <f t="shared" si="60"/>
        <v>0</v>
      </c>
      <c r="I78" s="32">
        <f t="shared" si="61"/>
        <v>0</v>
      </c>
      <c r="J78" s="32"/>
      <c r="K78" s="32">
        <f t="shared" si="62"/>
        <v>0</v>
      </c>
      <c r="L78" s="32"/>
      <c r="M78" s="32">
        <f t="shared" si="63"/>
        <v>0</v>
      </c>
      <c r="N78" s="32"/>
      <c r="O78" s="32">
        <f t="shared" si="64"/>
        <v>0</v>
      </c>
      <c r="P78" s="32">
        <f t="shared" si="65"/>
        <v>0</v>
      </c>
      <c r="Q78" s="32"/>
      <c r="R78" s="32">
        <f t="shared" si="66"/>
        <v>0</v>
      </c>
      <c r="S78" s="32">
        <f t="shared" si="67"/>
        <v>0</v>
      </c>
      <c r="T78" s="32"/>
      <c r="U78" s="32">
        <f t="shared" si="68"/>
        <v>0</v>
      </c>
      <c r="V78" s="32"/>
      <c r="W78" s="32">
        <f t="shared" si="69"/>
        <v>0</v>
      </c>
      <c r="X78" s="32"/>
      <c r="Y78" s="32">
        <f t="shared" si="70"/>
        <v>0</v>
      </c>
      <c r="Z78" s="32"/>
      <c r="AA78" s="32">
        <f t="shared" si="71"/>
        <v>0</v>
      </c>
      <c r="AB78" s="32">
        <f t="shared" si="72"/>
        <v>0</v>
      </c>
      <c r="AC78" s="14" t="str">
        <f t="shared" si="73"/>
        <v>ok</v>
      </c>
    </row>
    <row r="79" spans="1:30" ht="12.75" x14ac:dyDescent="0.2">
      <c r="A79" s="70">
        <v>394</v>
      </c>
      <c r="B79" s="2" t="s">
        <v>61</v>
      </c>
      <c r="C79" s="2" t="s">
        <v>62</v>
      </c>
      <c r="D79" s="2" t="s">
        <v>392</v>
      </c>
      <c r="F79" s="32">
        <v>31163.35</v>
      </c>
      <c r="G79" s="32"/>
      <c r="H79" s="32">
        <f t="shared" si="60"/>
        <v>0</v>
      </c>
      <c r="I79" s="32">
        <f t="shared" si="61"/>
        <v>0</v>
      </c>
      <c r="J79" s="32"/>
      <c r="K79" s="32">
        <f t="shared" si="62"/>
        <v>0</v>
      </c>
      <c r="L79" s="32"/>
      <c r="M79" s="32">
        <f t="shared" si="63"/>
        <v>11.375876416623298</v>
      </c>
      <c r="N79" s="32"/>
      <c r="O79" s="32">
        <f t="shared" si="64"/>
        <v>16563.220645340843</v>
      </c>
      <c r="P79" s="32">
        <f t="shared" si="65"/>
        <v>8535.7990285501346</v>
      </c>
      <c r="Q79" s="32"/>
      <c r="R79" s="32">
        <f t="shared" si="66"/>
        <v>0</v>
      </c>
      <c r="S79" s="32">
        <f t="shared" si="67"/>
        <v>3099.3790689268576</v>
      </c>
      <c r="T79" s="32"/>
      <c r="U79" s="32">
        <f t="shared" si="68"/>
        <v>1746.789787213107</v>
      </c>
      <c r="V79" s="32"/>
      <c r="W79" s="32">
        <f t="shared" si="69"/>
        <v>1206.7855935524319</v>
      </c>
      <c r="X79" s="32"/>
      <c r="Y79" s="32">
        <f t="shared" si="70"/>
        <v>0</v>
      </c>
      <c r="Z79" s="32"/>
      <c r="AA79" s="32">
        <f t="shared" si="71"/>
        <v>0</v>
      </c>
      <c r="AB79" s="32">
        <f t="shared" si="72"/>
        <v>31163.349999999995</v>
      </c>
      <c r="AC79" s="14" t="str">
        <f t="shared" si="73"/>
        <v>ok</v>
      </c>
    </row>
    <row r="80" spans="1:30" ht="12.75" x14ac:dyDescent="0.2">
      <c r="A80" s="70">
        <v>395</v>
      </c>
      <c r="B80" s="2" t="s">
        <v>63</v>
      </c>
      <c r="C80" s="2" t="s">
        <v>64</v>
      </c>
      <c r="D80" s="2" t="s">
        <v>392</v>
      </c>
      <c r="F80" s="32">
        <v>91474.21</v>
      </c>
      <c r="G80" s="32"/>
      <c r="H80" s="32">
        <f t="shared" si="60"/>
        <v>0</v>
      </c>
      <c r="I80" s="32">
        <f t="shared" si="61"/>
        <v>0</v>
      </c>
      <c r="J80" s="32"/>
      <c r="K80" s="32">
        <f t="shared" si="62"/>
        <v>0</v>
      </c>
      <c r="L80" s="32"/>
      <c r="M80" s="32">
        <f t="shared" si="63"/>
        <v>33.391766554887298</v>
      </c>
      <c r="N80" s="32"/>
      <c r="O80" s="32">
        <f t="shared" si="64"/>
        <v>48618.249436862345</v>
      </c>
      <c r="P80" s="32">
        <f t="shared" si="65"/>
        <v>25055.248323925094</v>
      </c>
      <c r="Q80" s="32"/>
      <c r="R80" s="32">
        <f t="shared" si="66"/>
        <v>0</v>
      </c>
      <c r="S80" s="32">
        <f t="shared" si="67"/>
        <v>9097.650022241507</v>
      </c>
      <c r="T80" s="32"/>
      <c r="U80" s="32">
        <f t="shared" si="68"/>
        <v>5127.3760947198261</v>
      </c>
      <c r="V80" s="32"/>
      <c r="W80" s="32">
        <f t="shared" si="69"/>
        <v>3542.2943556963487</v>
      </c>
      <c r="X80" s="32"/>
      <c r="Y80" s="32">
        <f t="shared" si="70"/>
        <v>0</v>
      </c>
      <c r="Z80" s="32"/>
      <c r="AA80" s="32">
        <f t="shared" si="71"/>
        <v>0</v>
      </c>
      <c r="AB80" s="32">
        <f t="shared" si="72"/>
        <v>91474.21</v>
      </c>
      <c r="AC80" s="14" t="str">
        <f t="shared" si="73"/>
        <v>ok</v>
      </c>
    </row>
    <row r="81" spans="1:29" ht="12.75" x14ac:dyDescent="0.2">
      <c r="A81" s="70">
        <v>396</v>
      </c>
      <c r="B81" s="2" t="s">
        <v>65</v>
      </c>
      <c r="C81" s="2" t="s">
        <v>66</v>
      </c>
      <c r="D81" s="2" t="s">
        <v>392</v>
      </c>
      <c r="F81" s="32">
        <v>277233.43</v>
      </c>
      <c r="G81" s="32"/>
      <c r="H81" s="32">
        <f t="shared" si="60"/>
        <v>0</v>
      </c>
      <c r="I81" s="32">
        <f t="shared" si="61"/>
        <v>0</v>
      </c>
      <c r="J81" s="32"/>
      <c r="K81" s="32">
        <f t="shared" si="62"/>
        <v>0</v>
      </c>
      <c r="L81" s="32"/>
      <c r="M81" s="32">
        <f t="shared" si="63"/>
        <v>101.2013547399938</v>
      </c>
      <c r="N81" s="32"/>
      <c r="O81" s="32">
        <f t="shared" si="64"/>
        <v>147348.67950187178</v>
      </c>
      <c r="P81" s="32">
        <f t="shared" si="65"/>
        <v>75935.637294309563</v>
      </c>
      <c r="Q81" s="32"/>
      <c r="R81" s="32">
        <f t="shared" si="66"/>
        <v>0</v>
      </c>
      <c r="S81" s="32">
        <f t="shared" si="67"/>
        <v>27572.500714743415</v>
      </c>
      <c r="T81" s="32"/>
      <c r="U81" s="32">
        <f t="shared" si="68"/>
        <v>15539.681202375861</v>
      </c>
      <c r="V81" s="32"/>
      <c r="W81" s="32">
        <f t="shared" si="69"/>
        <v>10735.729931959388</v>
      </c>
      <c r="X81" s="32"/>
      <c r="Y81" s="32">
        <f t="shared" si="70"/>
        <v>0</v>
      </c>
      <c r="Z81" s="32"/>
      <c r="AA81" s="32">
        <f t="shared" si="71"/>
        <v>0</v>
      </c>
      <c r="AB81" s="32">
        <f t="shared" si="72"/>
        <v>277233.43000000005</v>
      </c>
      <c r="AC81" s="14" t="str">
        <f t="shared" si="73"/>
        <v>ok</v>
      </c>
    </row>
    <row r="82" spans="1:29" ht="12.75" x14ac:dyDescent="0.2">
      <c r="A82" s="70">
        <v>397</v>
      </c>
      <c r="B82" s="2" t="s">
        <v>67</v>
      </c>
      <c r="C82" s="2" t="s">
        <v>68</v>
      </c>
      <c r="D82" s="2" t="s">
        <v>392</v>
      </c>
      <c r="F82" s="32">
        <v>279503.19</v>
      </c>
      <c r="G82" s="32"/>
      <c r="H82" s="32">
        <f t="shared" si="60"/>
        <v>0</v>
      </c>
      <c r="I82" s="32">
        <f t="shared" si="61"/>
        <v>0</v>
      </c>
      <c r="J82" s="32"/>
      <c r="K82" s="32">
        <f t="shared" si="62"/>
        <v>0</v>
      </c>
      <c r="L82" s="32"/>
      <c r="M82" s="32">
        <f t="shared" si="63"/>
        <v>102.02990844989326</v>
      </c>
      <c r="N82" s="32"/>
      <c r="O82" s="32">
        <f t="shared" si="64"/>
        <v>148555.04966720924</v>
      </c>
      <c r="P82" s="32">
        <f t="shared" si="65"/>
        <v>76557.336027053054</v>
      </c>
      <c r="Q82" s="32"/>
      <c r="R82" s="32">
        <f t="shared" si="66"/>
        <v>0</v>
      </c>
      <c r="S82" s="32">
        <f t="shared" si="67"/>
        <v>27798.241741798833</v>
      </c>
      <c r="T82" s="32"/>
      <c r="U82" s="32">
        <f t="shared" si="68"/>
        <v>15666.907369890741</v>
      </c>
      <c r="V82" s="32"/>
      <c r="W82" s="32">
        <f t="shared" si="69"/>
        <v>10823.625285598248</v>
      </c>
      <c r="X82" s="32"/>
      <c r="Y82" s="32">
        <f t="shared" si="70"/>
        <v>0</v>
      </c>
      <c r="Z82" s="32"/>
      <c r="AA82" s="32">
        <f t="shared" si="71"/>
        <v>0</v>
      </c>
      <c r="AB82" s="32">
        <f t="shared" si="72"/>
        <v>279503.19</v>
      </c>
      <c r="AC82" s="14" t="str">
        <f t="shared" si="73"/>
        <v>ok</v>
      </c>
    </row>
    <row r="83" spans="1:29" ht="12.75" x14ac:dyDescent="0.2">
      <c r="A83" s="70">
        <v>398</v>
      </c>
      <c r="B83" s="2" t="s">
        <v>362</v>
      </c>
      <c r="C83" s="2" t="s">
        <v>363</v>
      </c>
      <c r="D83" s="2" t="s">
        <v>392</v>
      </c>
      <c r="F83" s="32">
        <v>264982.12</v>
      </c>
      <c r="G83" s="32"/>
      <c r="H83" s="32">
        <f t="shared" si="60"/>
        <v>0</v>
      </c>
      <c r="I83" s="32">
        <f t="shared" si="61"/>
        <v>0</v>
      </c>
      <c r="J83" s="32"/>
      <c r="K83" s="32">
        <f t="shared" si="62"/>
        <v>0</v>
      </c>
      <c r="L83" s="32"/>
      <c r="M83" s="32">
        <f t="shared" si="63"/>
        <v>96.72913373353137</v>
      </c>
      <c r="N83" s="32"/>
      <c r="O83" s="32">
        <f t="shared" si="64"/>
        <v>140837.14750276157</v>
      </c>
      <c r="P83" s="32">
        <f t="shared" si="65"/>
        <v>72579.941581349733</v>
      </c>
      <c r="Q83" s="32"/>
      <c r="R83" s="32">
        <f t="shared" si="66"/>
        <v>0</v>
      </c>
      <c r="S83" s="32">
        <f t="shared" si="67"/>
        <v>26354.035633777014</v>
      </c>
      <c r="T83" s="32"/>
      <c r="U83" s="32">
        <f t="shared" si="68"/>
        <v>14852.962246038311</v>
      </c>
      <c r="V83" s="32"/>
      <c r="W83" s="32">
        <f t="shared" si="69"/>
        <v>10261.303902339823</v>
      </c>
      <c r="X83" s="32"/>
      <c r="Y83" s="32">
        <f t="shared" si="70"/>
        <v>0</v>
      </c>
      <c r="Z83" s="32"/>
      <c r="AA83" s="32">
        <f t="shared" si="71"/>
        <v>0</v>
      </c>
      <c r="AB83" s="32">
        <f t="shared" si="72"/>
        <v>264982.11999999994</v>
      </c>
      <c r="AC83" s="14" t="str">
        <f t="shared" si="73"/>
        <v>ok</v>
      </c>
    </row>
    <row r="84" spans="1:29" ht="12.75" x14ac:dyDescent="0.2">
      <c r="A84" s="70">
        <v>399</v>
      </c>
      <c r="B84" s="2" t="s">
        <v>583</v>
      </c>
      <c r="C84" s="2" t="s">
        <v>584</v>
      </c>
      <c r="D84" s="2" t="s">
        <v>392</v>
      </c>
      <c r="F84" s="32">
        <v>1084.8499999999999</v>
      </c>
      <c r="G84" s="32"/>
      <c r="H84" s="32">
        <f t="shared" si="60"/>
        <v>0</v>
      </c>
      <c r="I84" s="32">
        <f t="shared" si="61"/>
        <v>0</v>
      </c>
      <c r="J84" s="32"/>
      <c r="K84" s="32">
        <f t="shared" si="62"/>
        <v>0</v>
      </c>
      <c r="L84" s="32"/>
      <c r="M84" s="32">
        <f t="shared" si="63"/>
        <v>0.39601389229892753</v>
      </c>
      <c r="N84" s="32"/>
      <c r="O84" s="32">
        <f t="shared" si="64"/>
        <v>576.59429801667704</v>
      </c>
      <c r="P84" s="32">
        <f t="shared" si="65"/>
        <v>297.145896577955</v>
      </c>
      <c r="Q84" s="32"/>
      <c r="R84" s="32">
        <f t="shared" si="66"/>
        <v>0</v>
      </c>
      <c r="S84" s="32">
        <f t="shared" si="67"/>
        <v>107.89473477419153</v>
      </c>
      <c r="T84" s="32"/>
      <c r="U84" s="32">
        <f t="shared" si="68"/>
        <v>60.80876737122739</v>
      </c>
      <c r="V84" s="32"/>
      <c r="W84" s="32">
        <f t="shared" si="69"/>
        <v>42.010289367650003</v>
      </c>
      <c r="X84" s="32"/>
      <c r="Y84" s="32">
        <f t="shared" si="70"/>
        <v>0</v>
      </c>
      <c r="Z84" s="32"/>
      <c r="AA84" s="32">
        <f t="shared" si="71"/>
        <v>0</v>
      </c>
      <c r="AB84" s="32">
        <f t="shared" si="72"/>
        <v>1084.8499999999999</v>
      </c>
      <c r="AC84" s="14" t="str">
        <f t="shared" si="73"/>
        <v>ok</v>
      </c>
    </row>
    <row r="85" spans="1:29" x14ac:dyDescent="0.25">
      <c r="Q85" s="2"/>
      <c r="AB85" s="32"/>
      <c r="AC85" s="14"/>
    </row>
    <row r="86" spans="1:29" ht="12.75" x14ac:dyDescent="0.2">
      <c r="B86" s="2" t="s">
        <v>69</v>
      </c>
      <c r="C86" s="2" t="s">
        <v>70</v>
      </c>
      <c r="F86" s="45">
        <f>SUM(F74:F85)</f>
        <v>10770546.779999997</v>
      </c>
      <c r="G86" s="45"/>
      <c r="H86" s="45">
        <f t="shared" ref="H86:W86" si="74">SUM(H74:H85)</f>
        <v>0</v>
      </c>
      <c r="I86" s="45">
        <f t="shared" si="74"/>
        <v>0</v>
      </c>
      <c r="J86" s="45"/>
      <c r="K86" s="45">
        <f>SUM(K74:K85)</f>
        <v>0</v>
      </c>
      <c r="L86" s="45"/>
      <c r="M86" s="45">
        <f t="shared" si="74"/>
        <v>3931.6828617186538</v>
      </c>
      <c r="N86" s="45"/>
      <c r="O86" s="45">
        <f t="shared" si="74"/>
        <v>5724511.093579649</v>
      </c>
      <c r="P86" s="45">
        <f t="shared" si="74"/>
        <v>2950107.1849360806</v>
      </c>
      <c r="Q86" s="45"/>
      <c r="R86" s="45">
        <f t="shared" si="74"/>
        <v>0</v>
      </c>
      <c r="S86" s="45">
        <f t="shared" si="74"/>
        <v>1071194.439969694</v>
      </c>
      <c r="T86" s="45"/>
      <c r="U86" s="45">
        <f t="shared" si="74"/>
        <v>603718.1855610843</v>
      </c>
      <c r="V86" s="45"/>
      <c r="W86" s="45">
        <f t="shared" si="74"/>
        <v>417084.19309177401</v>
      </c>
      <c r="X86" s="45"/>
      <c r="Y86" s="45">
        <f>SUM(Y74:Y85)</f>
        <v>0</v>
      </c>
      <c r="Z86" s="45"/>
      <c r="AA86" s="45">
        <f>SUM(AA74:AA85)</f>
        <v>0</v>
      </c>
      <c r="AB86" s="32">
        <f>SUM(H86:AA86)</f>
        <v>10770546.780000001</v>
      </c>
      <c r="AC86" s="14" t="str">
        <f>IF(ABS(AB86-F86)&lt;1,"ok","err")</f>
        <v>ok</v>
      </c>
    </row>
    <row r="87" spans="1:29" x14ac:dyDescent="0.25">
      <c r="Q87" s="2"/>
      <c r="AB87" s="32"/>
      <c r="AC87" s="14"/>
    </row>
    <row r="88" spans="1:29" ht="12.75" hidden="1" x14ac:dyDescent="0.2">
      <c r="A88" s="68">
        <v>106</v>
      </c>
      <c r="B88" s="2" t="s">
        <v>364</v>
      </c>
      <c r="C88" s="2" t="s">
        <v>365</v>
      </c>
      <c r="D88" s="2" t="s">
        <v>392</v>
      </c>
      <c r="F88" s="45">
        <v>0</v>
      </c>
      <c r="G88" s="45"/>
      <c r="H88" s="32">
        <f>IF(VLOOKUP($D88,$C$5:$AA$507,6,)=0,0,((VLOOKUP($D88,$C$5:$AA$507,6,)/VLOOKUP($D88,$C$5:$AA$507,4,))*$F88))</f>
        <v>0</v>
      </c>
      <c r="I88" s="32">
        <f>IF(VLOOKUP($D88,$C$5:$AA$507,7,)=0,0,((VLOOKUP($D88,$C$5:$AA$507,7,)/VLOOKUP($D88,$C$5:$AA$507,4,))*$F88))</f>
        <v>0</v>
      </c>
      <c r="J88" s="32"/>
      <c r="K88" s="32">
        <f>IF(VLOOKUP($D88,$C$5:$AA$507,9,)=0,0,((VLOOKUP($D88,$C$5:$AA$507,9,)/VLOOKUP($D88,$C$5:$AA$507,4,))*$F88))</f>
        <v>0</v>
      </c>
      <c r="L88" s="32"/>
      <c r="M88" s="32">
        <f>IF(VLOOKUP($D88,$C$5:$AA$507,11,)=0,0,((VLOOKUP($D88,$C$5:$AA$507,11,)/VLOOKUP($D88,$C$5:$AA$507,4,))*$F88))</f>
        <v>0</v>
      </c>
      <c r="N88" s="32"/>
      <c r="O88" s="32">
        <f>IF(VLOOKUP($D88,$C$5:$AA$507,13,)=0,0,((VLOOKUP($D88,$C$5:$AA$507,13,)/VLOOKUP($D88,$C$5:$AA$507,4,))*$F88))</f>
        <v>0</v>
      </c>
      <c r="P88" s="32">
        <f>IF(VLOOKUP($D88,$C$5:$AA$507,14,)=0,0,((VLOOKUP($D88,$C$5:$AA$507,14,)/VLOOKUP($D88,$C$5:$AA$507,4,))*$F88))</f>
        <v>0</v>
      </c>
      <c r="Q88" s="32"/>
      <c r="R88" s="32">
        <f>IF(VLOOKUP($D88,$C$5:$AA$507,16,)=0,0,((VLOOKUP($D88,$C$5:$AA$507,16,)/VLOOKUP($D88,$C$5:$AA$507,4,))*$F88))</f>
        <v>0</v>
      </c>
      <c r="S88" s="32">
        <f>IF(VLOOKUP($D88,$C$5:$AA$507,17,)=0,0,((VLOOKUP($D88,$C$5:$AA$507,17,)/VLOOKUP($D88,$C$5:$AA$507,4,))*$F88))</f>
        <v>0</v>
      </c>
      <c r="T88" s="32"/>
      <c r="U88" s="32">
        <f>IF(VLOOKUP($D88,$C$5:$AA$507,19,)=0,0,((VLOOKUP($D88,$C$5:$AA$507,19,)/VLOOKUP($D88,$C$5:$AA$507,4,))*$F88))</f>
        <v>0</v>
      </c>
      <c r="V88" s="32"/>
      <c r="W88" s="32">
        <f>IF(VLOOKUP($D88,$C$5:$AA$507,21,)=0,0,((VLOOKUP($D88,$C$5:$AA$507,21,)/VLOOKUP($D88,$C$5:$AA$507,4,))*$F88))</f>
        <v>0</v>
      </c>
      <c r="X88" s="32"/>
      <c r="Y88" s="32">
        <f>IF(VLOOKUP($D88,$C$5:$AA$507,23,)=0,0,((VLOOKUP($D88,$C$5:$AA$507,23,)/VLOOKUP($D88,$C$5:$AA$507,4,))*$F88))</f>
        <v>0</v>
      </c>
      <c r="Z88" s="32"/>
      <c r="AA88" s="32">
        <f>IF(VLOOKUP($D88,$C$5:$AA$507,25,)=0,0,((VLOOKUP($D88,$C$5:$AA$507,25,)/VLOOKUP($D88,$C$5:$AA$507,4,))*$F88))</f>
        <v>0</v>
      </c>
      <c r="AB88" s="32">
        <f>SUM(H88:AA88)</f>
        <v>0</v>
      </c>
      <c r="AC88" s="14" t="str">
        <f>IF(ABS(AB88-F88)&lt;1,"ok","err")</f>
        <v>ok</v>
      </c>
    </row>
    <row r="89" spans="1:29" ht="12.75" hidden="1" x14ac:dyDescent="0.2">
      <c r="A89" s="68">
        <v>102</v>
      </c>
      <c r="B89" s="2" t="s">
        <v>703</v>
      </c>
      <c r="C89" s="2" t="s">
        <v>704</v>
      </c>
      <c r="D89" s="2" t="s">
        <v>16</v>
      </c>
      <c r="F89" s="45">
        <v>0</v>
      </c>
      <c r="G89" s="45"/>
      <c r="H89" s="32">
        <f>IF(VLOOKUP($D89,$C$5:$AA$507,6,)=0,0,((VLOOKUP($D89,$C$5:$AA$507,6,)/VLOOKUP($D89,$C$5:$AA$507,4,))*$F89))</f>
        <v>0</v>
      </c>
      <c r="I89" s="32">
        <f>IF(VLOOKUP($D89,$C$5:$AA$507,7,)=0,0,((VLOOKUP($D89,$C$5:$AA$507,7,)/VLOOKUP($D89,$C$5:$AA$507,4,))*$F89))</f>
        <v>0</v>
      </c>
      <c r="J89" s="32"/>
      <c r="K89" s="32">
        <f>IF(VLOOKUP($D89,$C$5:$AA$507,9,)=0,0,((VLOOKUP($D89,$C$5:$AA$507,9,)/VLOOKUP($D89,$C$5:$AA$507,4,))*$F89))</f>
        <v>0</v>
      </c>
      <c r="L89" s="32"/>
      <c r="M89" s="32">
        <f>IF(VLOOKUP($D89,$C$5:$AA$507,11,)=0,0,((VLOOKUP($D89,$C$5:$AA$507,11,)/VLOOKUP($D89,$C$5:$AA$507,4,))*$F89))</f>
        <v>0</v>
      </c>
      <c r="N89" s="32"/>
      <c r="O89" s="32">
        <f>IF(VLOOKUP($D89,$C$5:$AA$507,13,)=0,0,((VLOOKUP($D89,$C$5:$AA$507,13,)/VLOOKUP($D89,$C$5:$AA$507,4,))*$F89))</f>
        <v>0</v>
      </c>
      <c r="P89" s="32">
        <f>IF(VLOOKUP($D89,$C$5:$AA$507,14,)=0,0,((VLOOKUP($D89,$C$5:$AA$507,14,)/VLOOKUP($D89,$C$5:$AA$507,4,))*$F89))</f>
        <v>0</v>
      </c>
      <c r="Q89" s="32"/>
      <c r="R89" s="32">
        <f>IF(VLOOKUP($D89,$C$5:$AA$507,16,)=0,0,((VLOOKUP($D89,$C$5:$AA$507,16,)/VLOOKUP($D89,$C$5:$AA$507,4,))*$F89))</f>
        <v>0</v>
      </c>
      <c r="S89" s="32">
        <f>IF(VLOOKUP($D89,$C$5:$AA$507,17,)=0,0,((VLOOKUP($D89,$C$5:$AA$507,17,)/VLOOKUP($D89,$C$5:$AA$507,4,))*$F89))</f>
        <v>0</v>
      </c>
      <c r="T89" s="32"/>
      <c r="U89" s="32">
        <f>IF(VLOOKUP($D89,$C$5:$AA$507,19,)=0,0,((VLOOKUP($D89,$C$5:$AA$507,19,)/VLOOKUP($D89,$C$5:$AA$507,4,))*$F89))</f>
        <v>0</v>
      </c>
      <c r="V89" s="32"/>
      <c r="W89" s="32">
        <f>IF(VLOOKUP($D89,$C$5:$AA$507,21,)=0,0,((VLOOKUP($D89,$C$5:$AA$507,21,)/VLOOKUP($D89,$C$5:$AA$507,4,))*$F89))</f>
        <v>0</v>
      </c>
      <c r="X89" s="32"/>
      <c r="Y89" s="32">
        <f>IF(VLOOKUP($D89,$C$5:$AA$507,23,)=0,0,((VLOOKUP($D89,$C$5:$AA$507,23,)/VLOOKUP($D89,$C$5:$AA$507,4,))*$F89))</f>
        <v>0</v>
      </c>
      <c r="Z89" s="32"/>
      <c r="AA89" s="32">
        <f>IF(VLOOKUP($D89,$C$5:$AA$507,25,)=0,0,((VLOOKUP($D89,$C$5:$AA$507,25,)/VLOOKUP($D89,$C$5:$AA$507,4,))*$F89))</f>
        <v>0</v>
      </c>
      <c r="AB89" s="32">
        <f>SUM(H89:AA89)</f>
        <v>0</v>
      </c>
      <c r="AC89" s="14" t="str">
        <f>IF(ABS(AB89-F89)&lt;1,"ok","err")</f>
        <v>ok</v>
      </c>
    </row>
    <row r="90" spans="1:29" hidden="1" x14ac:dyDescent="0.25">
      <c r="Q90" s="2"/>
      <c r="AB90" s="32"/>
      <c r="AC90" s="14"/>
    </row>
    <row r="91" spans="1:29" ht="12.75" hidden="1" x14ac:dyDescent="0.2">
      <c r="A91" s="68">
        <v>114</v>
      </c>
      <c r="B91" s="2" t="s">
        <v>802</v>
      </c>
      <c r="D91" s="2" t="s">
        <v>754</v>
      </c>
      <c r="F91" s="45"/>
      <c r="G91" s="45"/>
      <c r="H91" s="32">
        <f>IF(VLOOKUP($D91,$C$5:$AA$507,6,)=0,0,((VLOOKUP($D91,$C$5:$AA$507,6,)/VLOOKUP($D91,$C$5:$AA$507,4,))*$F91))</f>
        <v>0</v>
      </c>
      <c r="I91" s="32">
        <f>IF(VLOOKUP($D91,$C$5:$AA$507,7,)=0,0,((VLOOKUP($D91,$C$5:$AA$507,7,)/VLOOKUP($D91,$C$5:$AA$507,4,))*$F91))</f>
        <v>0</v>
      </c>
      <c r="J91" s="32"/>
      <c r="K91" s="32">
        <f>IF(VLOOKUP($D91,$C$5:$AA$507,9,)=0,0,((VLOOKUP($D91,$C$5:$AA$507,9,)/VLOOKUP($D91,$C$5:$AA$507,4,))*$F91))</f>
        <v>0</v>
      </c>
      <c r="L91" s="32"/>
      <c r="M91" s="32">
        <f>IF(VLOOKUP($D91,$C$5:$AA$507,11,)=0,0,((VLOOKUP($D91,$C$5:$AA$507,11,)/VLOOKUP($D91,$C$5:$AA$507,4,))*$F91))</f>
        <v>0</v>
      </c>
      <c r="N91" s="32"/>
      <c r="O91" s="32">
        <f>IF(VLOOKUP($D91,$C$5:$AA$507,13,)=0,0,((VLOOKUP($D91,$C$5:$AA$507,13,)/VLOOKUP($D91,$C$5:$AA$507,4,))*$F91))</f>
        <v>0</v>
      </c>
      <c r="P91" s="32">
        <f>IF(VLOOKUP($D91,$C$5:$AA$507,14,)=0,0,((VLOOKUP($D91,$C$5:$AA$507,14,)/VLOOKUP($D91,$C$5:$AA$507,4,))*$F91))</f>
        <v>0</v>
      </c>
      <c r="Q91" s="32"/>
      <c r="R91" s="32">
        <f>IF(VLOOKUP($D91,$C$5:$AA$507,16,)=0,0,((VLOOKUP($D91,$C$5:$AA$507,16,)/VLOOKUP($D91,$C$5:$AA$507,4,))*$F91))</f>
        <v>0</v>
      </c>
      <c r="S91" s="32">
        <f>IF(VLOOKUP($D91,$C$5:$AA$507,17,)=0,0,((VLOOKUP($D91,$C$5:$AA$507,17,)/VLOOKUP($D91,$C$5:$AA$507,4,))*$F91))</f>
        <v>0</v>
      </c>
      <c r="T91" s="32"/>
      <c r="U91" s="32">
        <f>IF(VLOOKUP($D91,$C$5:$AA$507,19,)=0,0,((VLOOKUP($D91,$C$5:$AA$507,19,)/VLOOKUP($D91,$C$5:$AA$507,4,))*$F91))</f>
        <v>0</v>
      </c>
      <c r="V91" s="32"/>
      <c r="W91" s="32">
        <f>IF(VLOOKUP($D91,$C$5:$AA$507,21,)=0,0,((VLOOKUP($D91,$C$5:$AA$507,21,)/VLOOKUP($D91,$C$5:$AA$507,4,))*$F91))</f>
        <v>0</v>
      </c>
      <c r="X91" s="32"/>
      <c r="Y91" s="32">
        <f>IF(VLOOKUP($D91,$C$5:$AA$507,23,)=0,0,((VLOOKUP($D91,$C$5:$AA$507,23,)/VLOOKUP($D91,$C$5:$AA$507,4,))*$F91))</f>
        <v>0</v>
      </c>
      <c r="Z91" s="32"/>
      <c r="AA91" s="32">
        <f>IF(VLOOKUP($D91,$C$5:$AA$507,25,)=0,0,((VLOOKUP($D91,$C$5:$AA$507,25,)/VLOOKUP($D91,$C$5:$AA$507,4,))*$F91))</f>
        <v>0</v>
      </c>
      <c r="AB91" s="32">
        <f>SUM(H91:AA91)</f>
        <v>0</v>
      </c>
      <c r="AC91" s="14" t="str">
        <f>IF(ABS(AB91-F91)&lt;1,"ok","err")</f>
        <v>ok</v>
      </c>
    </row>
    <row r="92" spans="1:29" hidden="1" x14ac:dyDescent="0.25">
      <c r="Q92" s="2"/>
      <c r="AB92" s="32"/>
      <c r="AC92" s="14"/>
    </row>
    <row r="93" spans="1:29" ht="12.75" x14ac:dyDescent="0.2">
      <c r="B93" s="2" t="s">
        <v>71</v>
      </c>
      <c r="C93" s="2" t="s">
        <v>72</v>
      </c>
      <c r="F93" s="69">
        <f>F12+F24+F46+F65+F86+F88+F89+F91+F35</f>
        <v>125567235.69999999</v>
      </c>
      <c r="G93" s="69">
        <f t="shared" ref="G93:AA93" si="75">G12+G24+G46+G65+G86+G88+G89+G91+G35</f>
        <v>0</v>
      </c>
      <c r="H93" s="69">
        <f t="shared" si="75"/>
        <v>1502071.3599999999</v>
      </c>
      <c r="I93" s="69">
        <f t="shared" si="75"/>
        <v>0</v>
      </c>
      <c r="J93" s="69">
        <f t="shared" si="75"/>
        <v>0</v>
      </c>
      <c r="K93" s="69">
        <f t="shared" si="75"/>
        <v>0</v>
      </c>
      <c r="L93" s="69">
        <f t="shared" si="75"/>
        <v>0</v>
      </c>
      <c r="M93" s="69">
        <f>M12+M24+M46+M65+M86+M88+M89+M91+M35</f>
        <v>45288.775986532244</v>
      </c>
      <c r="N93" s="69">
        <f t="shared" si="75"/>
        <v>0</v>
      </c>
      <c r="O93" s="69">
        <f t="shared" si="75"/>
        <v>65940237.213389851</v>
      </c>
      <c r="P93" s="69">
        <f t="shared" si="75"/>
        <v>33982075.394663438</v>
      </c>
      <c r="Q93" s="69">
        <f t="shared" si="75"/>
        <v>0</v>
      </c>
      <c r="R93" s="69">
        <f t="shared" si="75"/>
        <v>0</v>
      </c>
      <c r="S93" s="69">
        <f t="shared" si="75"/>
        <v>12339012.767830377</v>
      </c>
      <c r="T93" s="69">
        <f t="shared" si="75"/>
        <v>0</v>
      </c>
      <c r="U93" s="69">
        <f t="shared" si="75"/>
        <v>6954186.9541633921</v>
      </c>
      <c r="V93" s="69">
        <f t="shared" si="75"/>
        <v>0</v>
      </c>
      <c r="W93" s="69">
        <f t="shared" si="75"/>
        <v>4804363.2339664036</v>
      </c>
      <c r="X93" s="69">
        <f t="shared" si="75"/>
        <v>0</v>
      </c>
      <c r="Y93" s="69">
        <f t="shared" si="75"/>
        <v>0</v>
      </c>
      <c r="Z93" s="69">
        <f t="shared" si="75"/>
        <v>0</v>
      </c>
      <c r="AA93" s="69">
        <f t="shared" si="75"/>
        <v>0</v>
      </c>
      <c r="AB93" s="32">
        <f>SUM(H93:AA93)</f>
        <v>125567235.69999999</v>
      </c>
      <c r="AC93" s="14" t="str">
        <f>IF(ABS(AB93-F93)&lt;1,"ok","err")</f>
        <v>ok</v>
      </c>
    </row>
    <row r="94" spans="1:29" ht="12.75" x14ac:dyDescent="0.2">
      <c r="D94" s="69"/>
      <c r="F94" s="30"/>
      <c r="G94" s="32"/>
      <c r="AC94" s="14"/>
    </row>
    <row r="95" spans="1:29" ht="12.75" x14ac:dyDescent="0.2">
      <c r="A95" s="12" t="s">
        <v>73</v>
      </c>
      <c r="F95" s="32"/>
      <c r="G95" s="32"/>
      <c r="AC95" s="14"/>
    </row>
    <row r="96" spans="1:29" ht="12.75" x14ac:dyDescent="0.2">
      <c r="B96" s="2" t="s">
        <v>759</v>
      </c>
      <c r="C96" s="2" t="s">
        <v>553</v>
      </c>
      <c r="D96" s="2" t="s">
        <v>754</v>
      </c>
      <c r="F96" s="45">
        <v>0</v>
      </c>
      <c r="G96" s="45"/>
      <c r="H96" s="32">
        <f>IF(VLOOKUP($D96,$C$5:$AA$507,6,)=0,0,((VLOOKUP($D96,$C$5:$AA$507,6,)/VLOOKUP($D96,$C$5:$AA$507,4,))*$F96))</f>
        <v>0</v>
      </c>
      <c r="I96" s="32">
        <f>IF(VLOOKUP($D96,$C$5:$AA$507,7,)=0,0,((VLOOKUP($D96,$C$5:$AA$507,7,)/VLOOKUP($D96,$C$5:$AA$507,4,))*$F96))</f>
        <v>0</v>
      </c>
      <c r="J96" s="32"/>
      <c r="K96" s="32">
        <f>IF(VLOOKUP($D96,$C$5:$AA$507,9,)=0,0,((VLOOKUP($D96,$C$5:$AA$507,9,)/VLOOKUP($D96,$C$5:$AA$507,4,))*$F96))</f>
        <v>0</v>
      </c>
      <c r="L96" s="32"/>
      <c r="M96" s="32">
        <f>IF(VLOOKUP($D96,$C$5:$AA$507,11,)=0,0,((VLOOKUP($D96,$C$5:$AA$507,11,)/VLOOKUP($D96,$C$5:$AA$507,4,))*$F96))</f>
        <v>0</v>
      </c>
      <c r="N96" s="32"/>
      <c r="O96" s="32">
        <f>IF(VLOOKUP($D96,$C$5:$AA$507,13,)=0,0,((VLOOKUP($D96,$C$5:$AA$507,13,)/VLOOKUP($D96,$C$5:$AA$507,4,))*$F96))</f>
        <v>0</v>
      </c>
      <c r="P96" s="32">
        <f>IF(VLOOKUP($D96,$C$5:$AA$507,14,)=0,0,((VLOOKUP($D96,$C$5:$AA$507,14,)/VLOOKUP($D96,$C$5:$AA$507,4,))*$F96))</f>
        <v>0</v>
      </c>
      <c r="Q96" s="32"/>
      <c r="R96" s="32">
        <f>IF(VLOOKUP($D96,$C$5:$AA$507,16,)=0,0,((VLOOKUP($D96,$C$5:$AA$507,16,)/VLOOKUP($D96,$C$5:$AA$507,4,))*$F96))</f>
        <v>0</v>
      </c>
      <c r="S96" s="32">
        <f>IF(VLOOKUP($D96,$C$5:$AA$507,17,)=0,0,((VLOOKUP($D96,$C$5:$AA$507,17,)/VLOOKUP($D96,$C$5:$AA$507,4,))*$F96))</f>
        <v>0</v>
      </c>
      <c r="T96" s="32"/>
      <c r="U96" s="32">
        <f>IF(VLOOKUP($D96,$C$5:$AA$507,19,)=0,0,((VLOOKUP($D96,$C$5:$AA$507,19,)/VLOOKUP($D96,$C$5:$AA$507,4,))*$F96))</f>
        <v>0</v>
      </c>
      <c r="V96" s="32"/>
      <c r="W96" s="32">
        <f>IF(VLOOKUP($D96,$C$5:$AA$507,21,)=0,0,((VLOOKUP($D96,$C$5:$AA$507,21,)/VLOOKUP($D96,$C$5:$AA$507,4,))*$F96))</f>
        <v>0</v>
      </c>
      <c r="X96" s="32"/>
      <c r="Y96" s="32">
        <f>IF(VLOOKUP($D96,$C$5:$AA$507,23,)=0,0,((VLOOKUP($D96,$C$5:$AA$507,23,)/VLOOKUP($D96,$C$5:$AA$507,4,))*$F96))</f>
        <v>0</v>
      </c>
      <c r="Z96" s="32"/>
      <c r="AA96" s="32">
        <f>IF(VLOOKUP($D96,$C$5:$AA$507,25,)=0,0,((VLOOKUP($D96,$C$5:$AA$507,25,)/VLOOKUP($D96,$C$5:$AA$507,4,))*$F96))</f>
        <v>0</v>
      </c>
      <c r="AB96" s="32">
        <f>SUM(H96:AA96)</f>
        <v>0</v>
      </c>
      <c r="AC96" s="14" t="str">
        <f>IF(ABS(AB96-F96)&lt;1,"ok","err")</f>
        <v>ok</v>
      </c>
    </row>
    <row r="97" spans="1:29" ht="12.75" x14ac:dyDescent="0.2">
      <c r="B97" s="2" t="s">
        <v>425</v>
      </c>
      <c r="C97" s="2" t="s">
        <v>554</v>
      </c>
      <c r="D97" s="2" t="s">
        <v>390</v>
      </c>
      <c r="F97" s="32">
        <v>0</v>
      </c>
      <c r="G97" s="32"/>
      <c r="H97" s="32">
        <f>IF(VLOOKUP($D97,$C$5:$AA$507,6,)=0,0,((VLOOKUP($D97,$C$5:$AA$507,6,)/VLOOKUP($D97,$C$5:$AA$507,4,))*$F97))</f>
        <v>0</v>
      </c>
      <c r="I97" s="32">
        <f>IF(VLOOKUP($D97,$C$5:$AA$507,7,)=0,0,((VLOOKUP($D97,$C$5:$AA$507,7,)/VLOOKUP($D97,$C$5:$AA$507,4,))*$F97))</f>
        <v>0</v>
      </c>
      <c r="J97" s="32"/>
      <c r="K97" s="32">
        <f>IF(VLOOKUP($D97,$C$5:$AA$507,9,)=0,0,((VLOOKUP($D97,$C$5:$AA$507,9,)/VLOOKUP($D97,$C$5:$AA$507,4,))*$F97))</f>
        <v>0</v>
      </c>
      <c r="L97" s="32"/>
      <c r="M97" s="32">
        <f>IF(VLOOKUP($D97,$C$5:$AA$507,11,)=0,0,((VLOOKUP($D97,$C$5:$AA$507,11,)/VLOOKUP($D97,$C$5:$AA$507,4,))*$F97))</f>
        <v>0</v>
      </c>
      <c r="N97" s="32"/>
      <c r="O97" s="32">
        <f>IF(VLOOKUP($D97,$C$5:$AA$507,13,)=0,0,((VLOOKUP($D97,$C$5:$AA$507,13,)/VLOOKUP($D97,$C$5:$AA$507,4,))*$F97))</f>
        <v>0</v>
      </c>
      <c r="P97" s="32">
        <f>IF(VLOOKUP($D97,$C$5:$AA$507,14,)=0,0,((VLOOKUP($D97,$C$5:$AA$507,14,)/VLOOKUP($D97,$C$5:$AA$507,4,))*$F97))</f>
        <v>0</v>
      </c>
      <c r="Q97" s="32"/>
      <c r="R97" s="32">
        <f>IF(VLOOKUP($D97,$C$5:$AA$507,16,)=0,0,((VLOOKUP($D97,$C$5:$AA$507,16,)/VLOOKUP($D97,$C$5:$AA$507,4,))*$F97))</f>
        <v>0</v>
      </c>
      <c r="S97" s="32">
        <f>IF(VLOOKUP($D97,$C$5:$AA$507,17,)=0,0,((VLOOKUP($D97,$C$5:$AA$507,17,)/VLOOKUP($D97,$C$5:$AA$507,4,))*$F97))</f>
        <v>0</v>
      </c>
      <c r="T97" s="32"/>
      <c r="U97" s="32">
        <f>IF(VLOOKUP($D97,$C$5:$AA$507,19,)=0,0,((VLOOKUP($D97,$C$5:$AA$507,19,)/VLOOKUP($D97,$C$5:$AA$507,4,))*$F97))</f>
        <v>0</v>
      </c>
      <c r="V97" s="32"/>
      <c r="W97" s="32">
        <f>IF(VLOOKUP($D97,$C$5:$AA$507,21,)=0,0,((VLOOKUP($D97,$C$5:$AA$507,21,)/VLOOKUP($D97,$C$5:$AA$507,4,))*$F97))</f>
        <v>0</v>
      </c>
      <c r="X97" s="32"/>
      <c r="Y97" s="32">
        <f>IF(VLOOKUP($D97,$C$5:$AA$507,23,)=0,0,((VLOOKUP($D97,$C$5:$AA$507,23,)/VLOOKUP($D97,$C$5:$AA$507,4,))*$F97))</f>
        <v>0</v>
      </c>
      <c r="Z97" s="32"/>
      <c r="AA97" s="32">
        <f>IF(VLOOKUP($D97,$C$5:$AA$507,25,)=0,0,((VLOOKUP($D97,$C$5:$AA$507,25,)/VLOOKUP($D97,$C$5:$AA$507,4,))*$F97))</f>
        <v>0</v>
      </c>
      <c r="AB97" s="32">
        <f>SUM(H97:AA97)</f>
        <v>0</v>
      </c>
      <c r="AC97" s="14" t="str">
        <f>IF(ABS(AB97-F97)&lt;1,"ok","err")</f>
        <v>ok</v>
      </c>
    </row>
    <row r="98" spans="1:29" ht="12.75" x14ac:dyDescent="0.2">
      <c r="B98" s="2" t="s">
        <v>811</v>
      </c>
      <c r="C98" s="2" t="s">
        <v>555</v>
      </c>
      <c r="D98" s="2" t="s">
        <v>16</v>
      </c>
      <c r="F98" s="45">
        <v>206982.64999999997</v>
      </c>
      <c r="G98" s="32"/>
      <c r="H98" s="32">
        <f>IF(VLOOKUP($D98,$C$5:$AA$507,6,)=0,0,((VLOOKUP($D98,$C$5:$AA$507,6,)/VLOOKUP($D98,$C$5:$AA$507,4,))*$F98))</f>
        <v>0</v>
      </c>
      <c r="I98" s="32">
        <f>IF(VLOOKUP($D98,$C$5:$AA$507,7,)=0,0,((VLOOKUP($D98,$C$5:$AA$507,7,)/VLOOKUP($D98,$C$5:$AA$507,4,))*$F98))</f>
        <v>0</v>
      </c>
      <c r="J98" s="32"/>
      <c r="K98" s="32">
        <f>IF(VLOOKUP($D98,$C$5:$AA$507,9,)=0,0,((VLOOKUP($D98,$C$5:$AA$507,9,)/VLOOKUP($D98,$C$5:$AA$507,4,))*$F98))</f>
        <v>0</v>
      </c>
      <c r="L98" s="32"/>
      <c r="M98" s="32">
        <f>IF(VLOOKUP($D98,$C$5:$AA$507,11,)=0,0,((VLOOKUP($D98,$C$5:$AA$507,11,)/VLOOKUP($D98,$C$5:$AA$507,4,))*$F98))</f>
        <v>75.556993929895015</v>
      </c>
      <c r="N98" s="32"/>
      <c r="O98" s="32">
        <f>IF(VLOOKUP($D98,$C$5:$AA$507,13,)=0,0,((VLOOKUP($D98,$C$5:$AA$507,13,)/VLOOKUP($D98,$C$5:$AA$507,4,))*$F98))</f>
        <v>110010.61508815187</v>
      </c>
      <c r="P98" s="32">
        <f>IF(VLOOKUP($D98,$C$5:$AA$507,14,)=0,0,((VLOOKUP($D98,$C$5:$AA$507,14,)/VLOOKUP($D98,$C$5:$AA$507,4,))*$F98))</f>
        <v>56693.593686068161</v>
      </c>
      <c r="Q98" s="32"/>
      <c r="R98" s="32">
        <f>IF(VLOOKUP($D98,$C$5:$AA$507,16,)=0,0,((VLOOKUP($D98,$C$5:$AA$507,16,)/VLOOKUP($D98,$C$5:$AA$507,4,))*$F98))</f>
        <v>0</v>
      </c>
      <c r="S98" s="32">
        <f>IF(VLOOKUP($D98,$C$5:$AA$507,17,)=0,0,((VLOOKUP($D98,$C$5:$AA$507,17,)/VLOOKUP($D98,$C$5:$AA$507,4,))*$F98))</f>
        <v>20585.64605669845</v>
      </c>
      <c r="T98" s="32"/>
      <c r="U98" s="32">
        <f>IF(VLOOKUP($D98,$C$5:$AA$507,19,)=0,0,((VLOOKUP($D98,$C$5:$AA$507,19,)/VLOOKUP($D98,$C$5:$AA$507,4,))*$F98))</f>
        <v>11601.935579785388</v>
      </c>
      <c r="V98" s="32"/>
      <c r="W98" s="32">
        <f>IF(VLOOKUP($D98,$C$5:$AA$507,21,)=0,0,((VLOOKUP($D98,$C$5:$AA$507,21,)/VLOOKUP($D98,$C$5:$AA$507,4,))*$F98))</f>
        <v>8015.3025953661991</v>
      </c>
      <c r="X98" s="32"/>
      <c r="Y98" s="32">
        <f>IF(VLOOKUP($D98,$C$5:$AA$507,23,)=0,0,((VLOOKUP($D98,$C$5:$AA$507,23,)/VLOOKUP($D98,$C$5:$AA$507,4,))*$F98))</f>
        <v>0</v>
      </c>
      <c r="Z98" s="32"/>
      <c r="AA98" s="32">
        <f>IF(VLOOKUP($D98,$C$5:$AA$507,25,)=0,0,((VLOOKUP($D98,$C$5:$AA$507,25,)/VLOOKUP($D98,$C$5:$AA$507,4,))*$F98))</f>
        <v>0</v>
      </c>
      <c r="AB98" s="32">
        <f>SUM(H98:AA98)</f>
        <v>206982.64999999997</v>
      </c>
      <c r="AC98" s="14" t="str">
        <f>IF(ABS(AB98-F98)&lt;1,"ok","err")</f>
        <v>ok</v>
      </c>
    </row>
    <row r="99" spans="1:29" ht="12.75" x14ac:dyDescent="0.2">
      <c r="B99" s="2" t="s">
        <v>449</v>
      </c>
      <c r="C99" s="2" t="s">
        <v>556</v>
      </c>
      <c r="D99" s="2" t="s">
        <v>70</v>
      </c>
      <c r="F99" s="32">
        <v>0</v>
      </c>
      <c r="G99" s="32"/>
      <c r="H99" s="32">
        <f>IF(VLOOKUP($D99,$C$5:$AA$507,6,)=0,0,((VLOOKUP($D99,$C$5:$AA$507,6,)/VLOOKUP($D99,$C$5:$AA$507,4,))*$F99))</f>
        <v>0</v>
      </c>
      <c r="I99" s="32">
        <f>IF(VLOOKUP($D99,$C$5:$AA$507,7,)=0,0,((VLOOKUP($D99,$C$5:$AA$507,7,)/VLOOKUP($D99,$C$5:$AA$507,4,))*$F99))</f>
        <v>0</v>
      </c>
      <c r="J99" s="32"/>
      <c r="K99" s="32">
        <f>IF(VLOOKUP($D99,$C$5:$AA$507,9,)=0,0,((VLOOKUP($D99,$C$5:$AA$507,9,)/VLOOKUP($D99,$C$5:$AA$507,4,))*$F99))</f>
        <v>0</v>
      </c>
      <c r="L99" s="32"/>
      <c r="M99" s="32">
        <f>IF(VLOOKUP($D99,$C$5:$AA$507,11,)=0,0,((VLOOKUP($D99,$C$5:$AA$507,11,)/VLOOKUP($D99,$C$5:$AA$507,4,))*$F99))</f>
        <v>0</v>
      </c>
      <c r="N99" s="32"/>
      <c r="O99" s="32">
        <f>IF(VLOOKUP($D99,$C$5:$AA$507,13,)=0,0,((VLOOKUP($D99,$C$5:$AA$507,13,)/VLOOKUP($D99,$C$5:$AA$507,4,))*$F99))</f>
        <v>0</v>
      </c>
      <c r="P99" s="32">
        <f>IF(VLOOKUP($D99,$C$5:$AA$507,14,)=0,0,((VLOOKUP($D99,$C$5:$AA$507,14,)/VLOOKUP($D99,$C$5:$AA$507,4,))*$F99))</f>
        <v>0</v>
      </c>
      <c r="Q99" s="32"/>
      <c r="R99" s="32">
        <f>IF(VLOOKUP($D99,$C$5:$AA$507,16,)=0,0,((VLOOKUP($D99,$C$5:$AA$507,16,)/VLOOKUP($D99,$C$5:$AA$507,4,))*$F99))</f>
        <v>0</v>
      </c>
      <c r="S99" s="32">
        <f>IF(VLOOKUP($D99,$C$5:$AA$507,17,)=0,0,((VLOOKUP($D99,$C$5:$AA$507,17,)/VLOOKUP($D99,$C$5:$AA$507,4,))*$F99))</f>
        <v>0</v>
      </c>
      <c r="T99" s="32"/>
      <c r="U99" s="32">
        <f>IF(VLOOKUP($D99,$C$5:$AA$507,19,)=0,0,((VLOOKUP($D99,$C$5:$AA$507,19,)/VLOOKUP($D99,$C$5:$AA$507,4,))*$F99))</f>
        <v>0</v>
      </c>
      <c r="V99" s="32"/>
      <c r="W99" s="32">
        <f>IF(VLOOKUP($D99,$C$5:$AA$507,21,)=0,0,((VLOOKUP($D99,$C$5:$AA$507,21,)/VLOOKUP($D99,$C$5:$AA$507,4,))*$F99))</f>
        <v>0</v>
      </c>
      <c r="X99" s="32"/>
      <c r="Y99" s="32">
        <f>IF(VLOOKUP($D99,$C$5:$AA$507,23,)=0,0,((VLOOKUP($D99,$C$5:$AA$507,23,)/VLOOKUP($D99,$C$5:$AA$507,4,))*$F99))</f>
        <v>0</v>
      </c>
      <c r="Z99" s="32"/>
      <c r="AA99" s="32">
        <f>IF(VLOOKUP($D99,$C$5:$AA$507,25,)=0,0,((VLOOKUP($D99,$C$5:$AA$507,25,)/VLOOKUP($D99,$C$5:$AA$507,4,))*$F99))</f>
        <v>0</v>
      </c>
      <c r="AB99" s="32">
        <f>SUM(H99:AA99)</f>
        <v>0</v>
      </c>
      <c r="AC99" s="14" t="str">
        <f>IF(ABS(AB99-F99)&lt;1,"ok","err")</f>
        <v>ok</v>
      </c>
    </row>
    <row r="100" spans="1:29" ht="12.75" x14ac:dyDescent="0.2">
      <c r="B100" s="2" t="s">
        <v>896</v>
      </c>
      <c r="C100" s="2" t="s">
        <v>557</v>
      </c>
      <c r="D100" s="2" t="s">
        <v>16</v>
      </c>
      <c r="F100" s="32">
        <v>0</v>
      </c>
      <c r="G100" s="32"/>
      <c r="H100" s="32">
        <f>IF(VLOOKUP($D100,$C$5:$AA$507,6,)=0,0,((VLOOKUP($D100,$C$5:$AA$507,6,)/VLOOKUP($D100,$C$5:$AA$507,4,))*$F100))</f>
        <v>0</v>
      </c>
      <c r="I100" s="32">
        <f>IF(VLOOKUP($D100,$C$5:$AA$507,7,)=0,0,((VLOOKUP($D100,$C$5:$AA$507,7,)/VLOOKUP($D100,$C$5:$AA$507,4,))*$F100))</f>
        <v>0</v>
      </c>
      <c r="J100" s="32"/>
      <c r="K100" s="32">
        <f>IF(VLOOKUP($D100,$C$5:$AA$507,9,)=0,0,((VLOOKUP($D100,$C$5:$AA$507,9,)/VLOOKUP($D100,$C$5:$AA$507,4,))*$F100))</f>
        <v>0</v>
      </c>
      <c r="L100" s="32"/>
      <c r="M100" s="32">
        <f>IF(VLOOKUP($D100,$C$5:$AA$507,11,)=0,0,((VLOOKUP($D100,$C$5:$AA$507,11,)/VLOOKUP($D100,$C$5:$AA$507,4,))*$F100))</f>
        <v>0</v>
      </c>
      <c r="N100" s="32"/>
      <c r="O100" s="32">
        <f>IF(VLOOKUP($D100,$C$5:$AA$507,13,)=0,0,((VLOOKUP($D100,$C$5:$AA$507,13,)/VLOOKUP($D100,$C$5:$AA$507,4,))*$F100))</f>
        <v>0</v>
      </c>
      <c r="P100" s="32">
        <f>IF(VLOOKUP($D100,$C$5:$AA$507,14,)=0,0,((VLOOKUP($D100,$C$5:$AA$507,14,)/VLOOKUP($D100,$C$5:$AA$507,4,))*$F100))</f>
        <v>0</v>
      </c>
      <c r="Q100" s="32"/>
      <c r="R100" s="32">
        <f>IF(VLOOKUP($D100,$C$5:$AA$507,16,)=0,0,((VLOOKUP($D100,$C$5:$AA$507,16,)/VLOOKUP($D100,$C$5:$AA$507,4,))*$F100))</f>
        <v>0</v>
      </c>
      <c r="S100" s="32">
        <f>IF(VLOOKUP($D100,$C$5:$AA$507,17,)=0,0,((VLOOKUP($D100,$C$5:$AA$507,17,)/VLOOKUP($D100,$C$5:$AA$507,4,))*$F100))</f>
        <v>0</v>
      </c>
      <c r="T100" s="32"/>
      <c r="U100" s="32">
        <f>IF(VLOOKUP($D100,$C$5:$AA$507,19,)=0,0,((VLOOKUP($D100,$C$5:$AA$507,19,)/VLOOKUP($D100,$C$5:$AA$507,4,))*$F100))</f>
        <v>0</v>
      </c>
      <c r="V100" s="32"/>
      <c r="W100" s="32">
        <f>IF(VLOOKUP($D100,$C$5:$AA$507,21,)=0,0,((VLOOKUP($D100,$C$5:$AA$507,21,)/VLOOKUP($D100,$C$5:$AA$507,4,))*$F100))</f>
        <v>0</v>
      </c>
      <c r="X100" s="32"/>
      <c r="Y100" s="32">
        <f>IF(VLOOKUP($D100,$C$5:$AA$507,23,)=0,0,((VLOOKUP($D100,$C$5:$AA$507,23,)/VLOOKUP($D100,$C$5:$AA$507,4,))*$F100))</f>
        <v>0</v>
      </c>
      <c r="Z100" s="32"/>
      <c r="AA100" s="32">
        <f>IF(VLOOKUP($D100,$C$5:$AA$507,25,)=0,0,((VLOOKUP($D100,$C$5:$AA$507,25,)/VLOOKUP($D100,$C$5:$AA$507,4,))*$F100))</f>
        <v>0</v>
      </c>
      <c r="AB100" s="32">
        <f>SUM(H100:AA100)</f>
        <v>0</v>
      </c>
      <c r="AC100" s="14" t="str">
        <f>IF(ABS(AB100-F100)&lt;1,"ok","err")</f>
        <v>ok</v>
      </c>
    </row>
    <row r="101" spans="1:29" ht="12.75" x14ac:dyDescent="0.2">
      <c r="F101" s="32"/>
      <c r="G101" s="32"/>
      <c r="AB101" s="32"/>
      <c r="AC101" s="14"/>
    </row>
    <row r="102" spans="1:29" ht="12.75" x14ac:dyDescent="0.2">
      <c r="A102" s="71" t="s">
        <v>74</v>
      </c>
      <c r="C102" s="2" t="s">
        <v>75</v>
      </c>
      <c r="F102" s="45">
        <f>SUM(F96:F100)</f>
        <v>206982.64999999997</v>
      </c>
      <c r="G102" s="45"/>
      <c r="H102" s="45">
        <f>SUM(H96:H100)</f>
        <v>0</v>
      </c>
      <c r="I102" s="45">
        <f>SUM(I96:I100)</f>
        <v>0</v>
      </c>
      <c r="J102" s="45"/>
      <c r="K102" s="45">
        <f>SUM(K96:K100)</f>
        <v>0</v>
      </c>
      <c r="L102" s="45"/>
      <c r="M102" s="45">
        <f>SUM(M96:M100)</f>
        <v>75.556993929895015</v>
      </c>
      <c r="N102" s="45"/>
      <c r="O102" s="45">
        <f>SUM(O96:O100)</f>
        <v>110010.61508815187</v>
      </c>
      <c r="P102" s="45">
        <f>SUM(P96:P100)</f>
        <v>56693.593686068161</v>
      </c>
      <c r="Q102" s="45"/>
      <c r="R102" s="45">
        <f>SUM(R96:R100)</f>
        <v>0</v>
      </c>
      <c r="S102" s="45">
        <f>SUM(S96:S100)</f>
        <v>20585.64605669845</v>
      </c>
      <c r="T102" s="45"/>
      <c r="U102" s="45">
        <f>SUM(U96:U100)</f>
        <v>11601.935579785388</v>
      </c>
      <c r="V102" s="45"/>
      <c r="W102" s="45">
        <f>SUM(W96:W100)</f>
        <v>8015.3025953661991</v>
      </c>
      <c r="X102" s="45"/>
      <c r="Y102" s="45">
        <f>SUM(Y96:Y100)</f>
        <v>0</v>
      </c>
      <c r="Z102" s="45"/>
      <c r="AA102" s="45">
        <f>SUM(AA96:AA100)</f>
        <v>0</v>
      </c>
      <c r="AB102" s="32">
        <f>SUM(H102:AA102)</f>
        <v>206982.64999999997</v>
      </c>
      <c r="AC102" s="14" t="str">
        <f>IF(ABS(AB102-F102)&lt;1,"ok","err")</f>
        <v>ok</v>
      </c>
    </row>
    <row r="103" spans="1:29" ht="12.75" x14ac:dyDescent="0.2">
      <c r="A103" s="71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32"/>
      <c r="AC103" s="14"/>
    </row>
    <row r="104" spans="1:29" ht="12.75" x14ac:dyDescent="0.2">
      <c r="A104" s="1" t="s">
        <v>367</v>
      </c>
      <c r="D104" s="69"/>
      <c r="F104" s="45">
        <f>F93+F102</f>
        <v>125774218.34999999</v>
      </c>
      <c r="G104" s="45"/>
      <c r="H104" s="45">
        <f>H93+H102</f>
        <v>1502071.3599999999</v>
      </c>
      <c r="I104" s="45">
        <f>I93+I102</f>
        <v>0</v>
      </c>
      <c r="J104" s="45"/>
      <c r="K104" s="45">
        <f>K93+K102</f>
        <v>0</v>
      </c>
      <c r="L104" s="45"/>
      <c r="M104" s="45">
        <f>M93+M102</f>
        <v>45364.332980462139</v>
      </c>
      <c r="N104" s="45"/>
      <c r="O104" s="45">
        <f>O93+O102</f>
        <v>66050247.828478001</v>
      </c>
      <c r="P104" s="45">
        <f>P93+P102</f>
        <v>34038768.988349505</v>
      </c>
      <c r="Q104" s="45"/>
      <c r="R104" s="45">
        <f>R93+R102</f>
        <v>0</v>
      </c>
      <c r="S104" s="45">
        <f>S93+S102</f>
        <v>12359598.413887076</v>
      </c>
      <c r="T104" s="45"/>
      <c r="U104" s="45">
        <f>U93+U102</f>
        <v>6965788.8897431772</v>
      </c>
      <c r="V104" s="45"/>
      <c r="W104" s="45">
        <f>W93+W102</f>
        <v>4812378.5365617694</v>
      </c>
      <c r="X104" s="45"/>
      <c r="Y104" s="45">
        <f>Y93+Y102</f>
        <v>0</v>
      </c>
      <c r="Z104" s="45"/>
      <c r="AA104" s="45">
        <f>AA93+AA102</f>
        <v>0</v>
      </c>
      <c r="AB104" s="32">
        <f>SUM(H104:AA104)</f>
        <v>125774218.35000001</v>
      </c>
      <c r="AC104" s="14" t="str">
        <f>IF(ABS(AB104-F104)&lt;1,"ok","err")</f>
        <v>ok</v>
      </c>
    </row>
    <row r="105" spans="1:29" x14ac:dyDescent="0.25">
      <c r="AC105" s="14"/>
    </row>
    <row r="106" spans="1:29" ht="12.75" x14ac:dyDescent="0.2">
      <c r="A106" s="12" t="s">
        <v>76</v>
      </c>
      <c r="F106" s="69"/>
      <c r="G106" s="69"/>
      <c r="AC106" s="14"/>
    </row>
    <row r="107" spans="1:29" x14ac:dyDescent="0.25">
      <c r="C107" s="69"/>
      <c r="AC107" s="14"/>
    </row>
    <row r="108" spans="1:29" x14ac:dyDescent="0.25">
      <c r="A108" s="12" t="s">
        <v>77</v>
      </c>
      <c r="AC108" s="14"/>
    </row>
    <row r="109" spans="1:29" ht="12.75" x14ac:dyDescent="0.2">
      <c r="A109" s="2" t="s">
        <v>15</v>
      </c>
      <c r="F109" s="69">
        <f>F93</f>
        <v>125567235.69999999</v>
      </c>
      <c r="G109" s="69"/>
      <c r="H109" s="69">
        <f>H93</f>
        <v>1502071.3599999999</v>
      </c>
      <c r="I109" s="69">
        <f>I93</f>
        <v>0</v>
      </c>
      <c r="J109" s="69"/>
      <c r="K109" s="69">
        <f>K93</f>
        <v>0</v>
      </c>
      <c r="L109" s="69"/>
      <c r="M109" s="69">
        <f>M93</f>
        <v>45288.775986532244</v>
      </c>
      <c r="N109" s="69"/>
      <c r="O109" s="69">
        <f>O93</f>
        <v>65940237.213389851</v>
      </c>
      <c r="P109" s="69">
        <f>P93</f>
        <v>33982075.394663438</v>
      </c>
      <c r="Q109" s="69"/>
      <c r="R109" s="69">
        <f>R93</f>
        <v>0</v>
      </c>
      <c r="S109" s="69">
        <f>S93</f>
        <v>12339012.767830377</v>
      </c>
      <c r="T109" s="69"/>
      <c r="U109" s="69">
        <f>U93</f>
        <v>6954186.9541633921</v>
      </c>
      <c r="V109" s="69"/>
      <c r="W109" s="69">
        <f>W93</f>
        <v>4804363.2339664036</v>
      </c>
      <c r="X109" s="69"/>
      <c r="Y109" s="69">
        <f>Y93</f>
        <v>0</v>
      </c>
      <c r="Z109" s="69"/>
      <c r="AA109" s="69">
        <f>AA93</f>
        <v>0</v>
      </c>
      <c r="AB109" s="32">
        <f>SUM(H109:AA109)</f>
        <v>125567235.69999999</v>
      </c>
      <c r="AC109" s="14" t="str">
        <f>IF(ABS(AB109-F109)&lt;1,"ok","err")</f>
        <v>ok</v>
      </c>
    </row>
    <row r="110" spans="1:29" ht="12.75" x14ac:dyDescent="0.2">
      <c r="A110" s="2" t="s">
        <v>73</v>
      </c>
      <c r="F110" s="32">
        <f>F102</f>
        <v>206982.64999999997</v>
      </c>
      <c r="G110" s="32"/>
      <c r="H110" s="30">
        <f>H102</f>
        <v>0</v>
      </c>
      <c r="I110" s="30">
        <f>I102</f>
        <v>0</v>
      </c>
      <c r="J110" s="30"/>
      <c r="K110" s="30">
        <f>K102</f>
        <v>0</v>
      </c>
      <c r="L110" s="30"/>
      <c r="M110" s="30">
        <f>M102</f>
        <v>75.556993929895015</v>
      </c>
      <c r="N110" s="30"/>
      <c r="O110" s="30">
        <f>O102</f>
        <v>110010.61508815187</v>
      </c>
      <c r="P110" s="30">
        <f>P102</f>
        <v>56693.593686068161</v>
      </c>
      <c r="Q110" s="30"/>
      <c r="R110" s="30">
        <f>R102</f>
        <v>0</v>
      </c>
      <c r="S110" s="30">
        <f>S102</f>
        <v>20585.64605669845</v>
      </c>
      <c r="T110" s="30"/>
      <c r="U110" s="30">
        <f>U102</f>
        <v>11601.935579785388</v>
      </c>
      <c r="V110" s="30"/>
      <c r="W110" s="30">
        <f>W102</f>
        <v>8015.3025953661991</v>
      </c>
      <c r="X110" s="30"/>
      <c r="Y110" s="30">
        <f>Y102</f>
        <v>0</v>
      </c>
      <c r="Z110" s="30"/>
      <c r="AA110" s="32">
        <f>AA102</f>
        <v>0</v>
      </c>
      <c r="AB110" s="32">
        <f>SUM(H110:AA110)</f>
        <v>206982.64999999997</v>
      </c>
      <c r="AC110" s="14" t="str">
        <f>IF(ABS(AB110-F110)&lt;1,"ok","err")</f>
        <v>ok</v>
      </c>
    </row>
    <row r="111" spans="1:29" x14ac:dyDescent="0.25">
      <c r="Q111" s="2"/>
      <c r="AB111" s="32"/>
      <c r="AC111" s="14"/>
    </row>
    <row r="112" spans="1:29" ht="12.75" x14ac:dyDescent="0.2">
      <c r="A112" s="71" t="s">
        <v>78</v>
      </c>
      <c r="C112" s="2" t="s">
        <v>79</v>
      </c>
      <c r="F112" s="69">
        <f>F109+F110</f>
        <v>125774218.34999999</v>
      </c>
      <c r="G112" s="69"/>
      <c r="H112" s="69">
        <f t="shared" ref="H112:AA112" si="76">H109+H110</f>
        <v>1502071.3599999999</v>
      </c>
      <c r="I112" s="69">
        <f t="shared" si="76"/>
        <v>0</v>
      </c>
      <c r="J112" s="69"/>
      <c r="K112" s="69">
        <f t="shared" si="76"/>
        <v>0</v>
      </c>
      <c r="L112" s="69"/>
      <c r="M112" s="69">
        <f t="shared" si="76"/>
        <v>45364.332980462139</v>
      </c>
      <c r="N112" s="69"/>
      <c r="O112" s="69">
        <f t="shared" si="76"/>
        <v>66050247.828478001</v>
      </c>
      <c r="P112" s="69">
        <f t="shared" si="76"/>
        <v>34038768.988349505</v>
      </c>
      <c r="Q112" s="69"/>
      <c r="R112" s="69">
        <f t="shared" si="76"/>
        <v>0</v>
      </c>
      <c r="S112" s="69">
        <f t="shared" si="76"/>
        <v>12359598.413887076</v>
      </c>
      <c r="T112" s="69"/>
      <c r="U112" s="69">
        <f t="shared" si="76"/>
        <v>6965788.8897431772</v>
      </c>
      <c r="V112" s="69"/>
      <c r="W112" s="69">
        <f t="shared" si="76"/>
        <v>4812378.5365617694</v>
      </c>
      <c r="X112" s="69"/>
      <c r="Y112" s="69">
        <f t="shared" si="76"/>
        <v>0</v>
      </c>
      <c r="Z112" s="69"/>
      <c r="AA112" s="69">
        <f t="shared" si="76"/>
        <v>0</v>
      </c>
      <c r="AB112" s="32">
        <f>SUM(H112:AA112)</f>
        <v>125774218.35000001</v>
      </c>
      <c r="AC112" s="14" t="str">
        <f>IF(ABS(AB112-F112)&lt;1,"ok","err")</f>
        <v>ok</v>
      </c>
    </row>
    <row r="113" spans="1:29" x14ac:dyDescent="0.25">
      <c r="Q113" s="2"/>
      <c r="AC113" s="14"/>
    </row>
    <row r="114" spans="1:29" x14ac:dyDescent="0.25">
      <c r="A114" s="12" t="s">
        <v>80</v>
      </c>
      <c r="Q114" s="2"/>
      <c r="AC114" s="14"/>
    </row>
    <row r="115" spans="1:29" ht="12.75" x14ac:dyDescent="0.2">
      <c r="A115" s="2" t="s">
        <v>369</v>
      </c>
      <c r="C115" s="2" t="s">
        <v>393</v>
      </c>
      <c r="D115" s="2" t="s">
        <v>79</v>
      </c>
      <c r="F115" s="45">
        <v>0</v>
      </c>
      <c r="G115" s="45"/>
      <c r="H115" s="32">
        <f t="shared" ref="H115:H133" si="77">IF(VLOOKUP($D115,$C$5:$AA$507,6,)=0,0,((VLOOKUP($D115,$C$5:$AA$507,6,)/VLOOKUP($D115,$C$5:$AA$507,4,))*$F115))</f>
        <v>0</v>
      </c>
      <c r="I115" s="32">
        <f t="shared" ref="I115:I133" si="78">IF(VLOOKUP($D115,$C$5:$AA$507,7,)=0,0,((VLOOKUP($D115,$C$5:$AA$507,7,)/VLOOKUP($D115,$C$5:$AA$507,4,))*$F115))</f>
        <v>0</v>
      </c>
      <c r="J115" s="32"/>
      <c r="K115" s="32">
        <f t="shared" ref="K115:K133" si="79">IF(VLOOKUP($D115,$C$5:$AA$507,9,)=0,0,((VLOOKUP($D115,$C$5:$AA$507,9,)/VLOOKUP($D115,$C$5:$AA$507,4,))*$F115))</f>
        <v>0</v>
      </c>
      <c r="L115" s="32"/>
      <c r="M115" s="32">
        <f t="shared" ref="M115:M133" si="80">IF(VLOOKUP($D115,$C$5:$AA$507,11,)=0,0,((VLOOKUP($D115,$C$5:$AA$507,11,)/VLOOKUP($D115,$C$5:$AA$507,4,))*$F115))</f>
        <v>0</v>
      </c>
      <c r="N115" s="32"/>
      <c r="O115" s="32">
        <f t="shared" ref="O115:O133" si="81">IF(VLOOKUP($D115,$C$5:$AA$507,13,)=0,0,((VLOOKUP($D115,$C$5:$AA$507,13,)/VLOOKUP($D115,$C$5:$AA$507,4,))*$F115))</f>
        <v>0</v>
      </c>
      <c r="P115" s="32">
        <f t="shared" ref="P115:P133" si="82">IF(VLOOKUP($D115,$C$5:$AA$507,14,)=0,0,((VLOOKUP($D115,$C$5:$AA$507,14,)/VLOOKUP($D115,$C$5:$AA$507,4,))*$F115))</f>
        <v>0</v>
      </c>
      <c r="Q115" s="32"/>
      <c r="R115" s="32">
        <f t="shared" ref="R115:R133" si="83">IF(VLOOKUP($D115,$C$5:$AA$507,16,)=0,0,((VLOOKUP($D115,$C$5:$AA$507,16,)/VLOOKUP($D115,$C$5:$AA$507,4,))*$F115))</f>
        <v>0</v>
      </c>
      <c r="S115" s="32">
        <f t="shared" ref="S115:S133" si="84">IF(VLOOKUP($D115,$C$5:$AA$507,17,)=0,0,((VLOOKUP($D115,$C$5:$AA$507,17,)/VLOOKUP($D115,$C$5:$AA$507,4,))*$F115))</f>
        <v>0</v>
      </c>
      <c r="T115" s="32"/>
      <c r="U115" s="32">
        <f t="shared" ref="U115:U133" si="85">IF(VLOOKUP($D115,$C$5:$AA$507,19,)=0,0,((VLOOKUP($D115,$C$5:$AA$507,19,)/VLOOKUP($D115,$C$5:$AA$507,4,))*$F115))</f>
        <v>0</v>
      </c>
      <c r="V115" s="32"/>
      <c r="W115" s="32">
        <f t="shared" ref="W115:W133" si="86">IF(VLOOKUP($D115,$C$5:$AA$507,21,)=0,0,((VLOOKUP($D115,$C$5:$AA$507,21,)/VLOOKUP($D115,$C$5:$AA$507,4,))*$F115))</f>
        <v>0</v>
      </c>
      <c r="X115" s="32"/>
      <c r="Y115" s="32">
        <f t="shared" ref="Y115:Y133" si="87">IF(VLOOKUP($D115,$C$5:$AA$507,23,)=0,0,((VLOOKUP($D115,$C$5:$AA$507,23,)/VLOOKUP($D115,$C$5:$AA$507,4,))*$F115))</f>
        <v>0</v>
      </c>
      <c r="Z115" s="32"/>
      <c r="AA115" s="32">
        <f t="shared" ref="AA115:AA133" si="88">IF(VLOOKUP($D115,$C$5:$AA$507,25,)=0,0,((VLOOKUP($D115,$C$5:$AA$507,25,)/VLOOKUP($D115,$C$5:$AA$507,4,))*$F115))</f>
        <v>0</v>
      </c>
      <c r="AB115" s="32">
        <f t="shared" ref="AB115:AB133" si="89">SUM(H115:AA115)</f>
        <v>0</v>
      </c>
      <c r="AC115" s="14" t="str">
        <f t="shared" ref="AC115:AC121" si="90">IF(ABS(AB115-F115)&lt;1,"ok","err")</f>
        <v>ok</v>
      </c>
    </row>
    <row r="116" spans="1:29" ht="12.75" x14ac:dyDescent="0.2">
      <c r="A116" s="2" t="s">
        <v>370</v>
      </c>
      <c r="C116" s="2" t="s">
        <v>394</v>
      </c>
      <c r="D116" s="2" t="s">
        <v>16</v>
      </c>
      <c r="F116" s="32">
        <v>22382.29</v>
      </c>
      <c r="G116" s="32"/>
      <c r="H116" s="32">
        <f t="shared" si="77"/>
        <v>0</v>
      </c>
      <c r="I116" s="32">
        <f t="shared" si="78"/>
        <v>0</v>
      </c>
      <c r="J116" s="32"/>
      <c r="K116" s="32">
        <f t="shared" si="79"/>
        <v>0</v>
      </c>
      <c r="L116" s="32"/>
      <c r="M116" s="32">
        <f t="shared" si="80"/>
        <v>8.1704362644267547</v>
      </c>
      <c r="N116" s="32"/>
      <c r="O116" s="32">
        <f t="shared" si="81"/>
        <v>11896.115398954411</v>
      </c>
      <c r="P116" s="32">
        <f t="shared" si="82"/>
        <v>6130.6223252226546</v>
      </c>
      <c r="Q116" s="32"/>
      <c r="R116" s="32">
        <f t="shared" si="83"/>
        <v>0</v>
      </c>
      <c r="S116" s="32">
        <f t="shared" si="84"/>
        <v>2226.0508302429271</v>
      </c>
      <c r="T116" s="32"/>
      <c r="U116" s="32">
        <f t="shared" si="85"/>
        <v>1254.5876995394287</v>
      </c>
      <c r="V116" s="32"/>
      <c r="W116" s="32">
        <f t="shared" si="86"/>
        <v>866.7433097761525</v>
      </c>
      <c r="X116" s="32"/>
      <c r="Y116" s="32">
        <f t="shared" si="87"/>
        <v>0</v>
      </c>
      <c r="Z116" s="32"/>
      <c r="AA116" s="32">
        <f t="shared" si="88"/>
        <v>0</v>
      </c>
      <c r="AB116" s="32">
        <f t="shared" si="89"/>
        <v>22382.29</v>
      </c>
      <c r="AC116" s="14" t="str">
        <f t="shared" si="90"/>
        <v>ok</v>
      </c>
    </row>
    <row r="117" spans="1:29" ht="12.75" x14ac:dyDescent="0.2">
      <c r="A117" s="2" t="s">
        <v>805</v>
      </c>
      <c r="C117" s="2" t="s">
        <v>810</v>
      </c>
      <c r="D117" s="2" t="s">
        <v>754</v>
      </c>
      <c r="F117" s="32">
        <v>0</v>
      </c>
      <c r="G117" s="32"/>
      <c r="H117" s="32">
        <f t="shared" si="77"/>
        <v>0</v>
      </c>
      <c r="I117" s="32">
        <f t="shared" si="78"/>
        <v>0</v>
      </c>
      <c r="J117" s="32"/>
      <c r="K117" s="32">
        <f t="shared" si="79"/>
        <v>0</v>
      </c>
      <c r="L117" s="32"/>
      <c r="M117" s="32">
        <f t="shared" si="80"/>
        <v>0</v>
      </c>
      <c r="N117" s="32"/>
      <c r="O117" s="32">
        <f t="shared" si="81"/>
        <v>0</v>
      </c>
      <c r="P117" s="32">
        <f t="shared" si="82"/>
        <v>0</v>
      </c>
      <c r="Q117" s="32"/>
      <c r="R117" s="32">
        <f t="shared" si="83"/>
        <v>0</v>
      </c>
      <c r="S117" s="32">
        <f t="shared" si="84"/>
        <v>0</v>
      </c>
      <c r="T117" s="32"/>
      <c r="U117" s="32">
        <f t="shared" si="85"/>
        <v>0</v>
      </c>
      <c r="V117" s="32"/>
      <c r="W117" s="32">
        <f t="shared" si="86"/>
        <v>0</v>
      </c>
      <c r="X117" s="32"/>
      <c r="Y117" s="32">
        <f t="shared" si="87"/>
        <v>0</v>
      </c>
      <c r="Z117" s="32"/>
      <c r="AA117" s="32">
        <f t="shared" si="88"/>
        <v>0</v>
      </c>
      <c r="AB117" s="32">
        <f t="shared" si="89"/>
        <v>0</v>
      </c>
      <c r="AC117" s="14" t="str">
        <f t="shared" si="90"/>
        <v>ok</v>
      </c>
    </row>
    <row r="118" spans="1:29" ht="12.75" x14ac:dyDescent="0.2">
      <c r="A118" s="2" t="s">
        <v>368</v>
      </c>
      <c r="C118" s="2" t="s">
        <v>395</v>
      </c>
      <c r="D118" s="2" t="s">
        <v>390</v>
      </c>
      <c r="F118" s="32">
        <v>0</v>
      </c>
      <c r="G118" s="32"/>
      <c r="H118" s="32">
        <f t="shared" si="77"/>
        <v>0</v>
      </c>
      <c r="I118" s="32">
        <f t="shared" si="78"/>
        <v>0</v>
      </c>
      <c r="J118" s="32"/>
      <c r="K118" s="32">
        <f t="shared" si="79"/>
        <v>0</v>
      </c>
      <c r="L118" s="32"/>
      <c r="M118" s="32">
        <f t="shared" si="80"/>
        <v>0</v>
      </c>
      <c r="N118" s="32"/>
      <c r="O118" s="32">
        <f t="shared" si="81"/>
        <v>0</v>
      </c>
      <c r="P118" s="32">
        <f t="shared" si="82"/>
        <v>0</v>
      </c>
      <c r="Q118" s="32"/>
      <c r="R118" s="32">
        <f t="shared" si="83"/>
        <v>0</v>
      </c>
      <c r="S118" s="32">
        <f t="shared" si="84"/>
        <v>0</v>
      </c>
      <c r="T118" s="32"/>
      <c r="U118" s="32">
        <f t="shared" si="85"/>
        <v>0</v>
      </c>
      <c r="V118" s="32"/>
      <c r="W118" s="32">
        <f t="shared" si="86"/>
        <v>0</v>
      </c>
      <c r="X118" s="32"/>
      <c r="Y118" s="32">
        <f t="shared" si="87"/>
        <v>0</v>
      </c>
      <c r="Z118" s="32"/>
      <c r="AA118" s="32">
        <f t="shared" si="88"/>
        <v>0</v>
      </c>
      <c r="AB118" s="32">
        <f t="shared" si="89"/>
        <v>0</v>
      </c>
      <c r="AC118" s="14" t="str">
        <f t="shared" si="90"/>
        <v>ok</v>
      </c>
    </row>
    <row r="119" spans="1:29" ht="12.75" x14ac:dyDescent="0.2">
      <c r="A119" s="2" t="s">
        <v>992</v>
      </c>
      <c r="C119" s="2" t="s">
        <v>448</v>
      </c>
      <c r="D119" s="2" t="s">
        <v>16</v>
      </c>
      <c r="F119" s="32">
        <v>32499324.27</v>
      </c>
      <c r="G119" s="32"/>
      <c r="H119" s="32">
        <f t="shared" si="77"/>
        <v>0</v>
      </c>
      <c r="I119" s="32">
        <f t="shared" si="78"/>
        <v>0</v>
      </c>
      <c r="J119" s="32"/>
      <c r="K119" s="32">
        <f t="shared" si="79"/>
        <v>0</v>
      </c>
      <c r="L119" s="32"/>
      <c r="M119" s="32">
        <f t="shared" si="80"/>
        <v>11863.560769919992</v>
      </c>
      <c r="N119" s="32"/>
      <c r="O119" s="32">
        <f t="shared" si="81"/>
        <v>17273286.688000191</v>
      </c>
      <c r="P119" s="32">
        <f t="shared" si="82"/>
        <v>8901729.1315728836</v>
      </c>
      <c r="Q119" s="32"/>
      <c r="R119" s="32">
        <f t="shared" si="83"/>
        <v>0</v>
      </c>
      <c r="S119" s="32">
        <f t="shared" si="84"/>
        <v>3232249.5943698171</v>
      </c>
      <c r="T119" s="32"/>
      <c r="U119" s="32">
        <f t="shared" si="85"/>
        <v>1821674.7469756322</v>
      </c>
      <c r="V119" s="32"/>
      <c r="W119" s="32">
        <f t="shared" si="86"/>
        <v>1258520.5483115553</v>
      </c>
      <c r="X119" s="32"/>
      <c r="Y119" s="32">
        <f t="shared" si="87"/>
        <v>0</v>
      </c>
      <c r="Z119" s="32"/>
      <c r="AA119" s="32">
        <f t="shared" si="88"/>
        <v>0</v>
      </c>
      <c r="AB119" s="32">
        <f t="shared" si="89"/>
        <v>32499324.269999996</v>
      </c>
      <c r="AC119" s="14" t="str">
        <f t="shared" si="90"/>
        <v>ok</v>
      </c>
    </row>
    <row r="120" spans="1:29" ht="12.75" x14ac:dyDescent="0.2">
      <c r="A120" s="2" t="s">
        <v>426</v>
      </c>
      <c r="C120" s="2" t="s">
        <v>436</v>
      </c>
      <c r="D120" s="2" t="s">
        <v>424</v>
      </c>
      <c r="F120" s="32">
        <v>0</v>
      </c>
      <c r="G120" s="32"/>
      <c r="H120" s="32">
        <f t="shared" si="77"/>
        <v>0</v>
      </c>
      <c r="I120" s="32">
        <f t="shared" si="78"/>
        <v>0</v>
      </c>
      <c r="J120" s="32"/>
      <c r="K120" s="32">
        <f t="shared" si="79"/>
        <v>0</v>
      </c>
      <c r="L120" s="32"/>
      <c r="M120" s="32">
        <f t="shared" si="80"/>
        <v>0</v>
      </c>
      <c r="N120" s="32"/>
      <c r="O120" s="32">
        <f t="shared" si="81"/>
        <v>0</v>
      </c>
      <c r="P120" s="32">
        <f t="shared" si="82"/>
        <v>0</v>
      </c>
      <c r="Q120" s="32"/>
      <c r="R120" s="32">
        <f t="shared" si="83"/>
        <v>0</v>
      </c>
      <c r="S120" s="32">
        <f t="shared" si="84"/>
        <v>0</v>
      </c>
      <c r="T120" s="32"/>
      <c r="U120" s="32">
        <f t="shared" si="85"/>
        <v>0</v>
      </c>
      <c r="V120" s="32"/>
      <c r="W120" s="32">
        <f t="shared" si="86"/>
        <v>0</v>
      </c>
      <c r="X120" s="32"/>
      <c r="Y120" s="32">
        <f t="shared" si="87"/>
        <v>0</v>
      </c>
      <c r="Z120" s="32"/>
      <c r="AA120" s="32">
        <f t="shared" si="88"/>
        <v>0</v>
      </c>
      <c r="AB120" s="32">
        <f t="shared" si="89"/>
        <v>0</v>
      </c>
      <c r="AC120" s="14" t="str">
        <f t="shared" si="90"/>
        <v>ok</v>
      </c>
    </row>
    <row r="121" spans="1:29" ht="12.75" x14ac:dyDescent="0.2">
      <c r="A121" s="2" t="s">
        <v>427</v>
      </c>
      <c r="C121" s="2" t="s">
        <v>437</v>
      </c>
      <c r="D121" s="2" t="s">
        <v>23</v>
      </c>
      <c r="F121" s="32">
        <v>0</v>
      </c>
      <c r="G121" s="32"/>
      <c r="H121" s="32">
        <f t="shared" si="77"/>
        <v>0</v>
      </c>
      <c r="I121" s="32">
        <f t="shared" si="78"/>
        <v>0</v>
      </c>
      <c r="J121" s="32"/>
      <c r="K121" s="32">
        <f t="shared" si="79"/>
        <v>0</v>
      </c>
      <c r="L121" s="32"/>
      <c r="M121" s="32">
        <f t="shared" si="80"/>
        <v>0</v>
      </c>
      <c r="N121" s="32"/>
      <c r="O121" s="32">
        <f t="shared" si="81"/>
        <v>0</v>
      </c>
      <c r="P121" s="32">
        <f t="shared" si="82"/>
        <v>0</v>
      </c>
      <c r="Q121" s="32"/>
      <c r="R121" s="32">
        <f t="shared" si="83"/>
        <v>0</v>
      </c>
      <c r="S121" s="32">
        <f t="shared" si="84"/>
        <v>0</v>
      </c>
      <c r="T121" s="32"/>
      <c r="U121" s="32">
        <f t="shared" si="85"/>
        <v>0</v>
      </c>
      <c r="V121" s="32"/>
      <c r="W121" s="32">
        <f t="shared" si="86"/>
        <v>0</v>
      </c>
      <c r="X121" s="32"/>
      <c r="Y121" s="32">
        <f t="shared" si="87"/>
        <v>0</v>
      </c>
      <c r="Z121" s="32"/>
      <c r="AA121" s="32">
        <f t="shared" si="88"/>
        <v>0</v>
      </c>
      <c r="AB121" s="32">
        <f t="shared" si="89"/>
        <v>0</v>
      </c>
      <c r="AC121" s="14" t="str">
        <f t="shared" si="90"/>
        <v>ok</v>
      </c>
    </row>
    <row r="122" spans="1:29" ht="12.75" x14ac:dyDescent="0.2">
      <c r="A122" s="2" t="s">
        <v>428</v>
      </c>
      <c r="C122" s="2" t="s">
        <v>438</v>
      </c>
      <c r="D122" s="2" t="s">
        <v>26</v>
      </c>
      <c r="F122" s="32">
        <v>0</v>
      </c>
      <c r="G122" s="32"/>
      <c r="H122" s="32">
        <f t="shared" si="77"/>
        <v>0</v>
      </c>
      <c r="I122" s="32">
        <f t="shared" si="78"/>
        <v>0</v>
      </c>
      <c r="J122" s="32"/>
      <c r="K122" s="32">
        <f t="shared" si="79"/>
        <v>0</v>
      </c>
      <c r="L122" s="32"/>
      <c r="M122" s="32">
        <f t="shared" si="80"/>
        <v>0</v>
      </c>
      <c r="N122" s="32"/>
      <c r="O122" s="32">
        <f t="shared" si="81"/>
        <v>0</v>
      </c>
      <c r="P122" s="32">
        <f t="shared" si="82"/>
        <v>0</v>
      </c>
      <c r="Q122" s="32"/>
      <c r="R122" s="32">
        <f t="shared" si="83"/>
        <v>0</v>
      </c>
      <c r="S122" s="32">
        <f t="shared" si="84"/>
        <v>0</v>
      </c>
      <c r="T122" s="32"/>
      <c r="U122" s="32">
        <f t="shared" si="85"/>
        <v>0</v>
      </c>
      <c r="V122" s="32"/>
      <c r="W122" s="32">
        <f t="shared" si="86"/>
        <v>0</v>
      </c>
      <c r="X122" s="32"/>
      <c r="Y122" s="32">
        <f t="shared" si="87"/>
        <v>0</v>
      </c>
      <c r="Z122" s="32"/>
      <c r="AA122" s="32">
        <f t="shared" si="88"/>
        <v>0</v>
      </c>
      <c r="AB122" s="32">
        <f t="shared" si="89"/>
        <v>0</v>
      </c>
      <c r="AC122" s="14" t="str">
        <f t="shared" ref="AC122:AC130" si="91">IF(ABS(AB122-F122)&lt;1,"ok","err")</f>
        <v>ok</v>
      </c>
    </row>
    <row r="123" spans="1:29" ht="12.75" x14ac:dyDescent="0.2">
      <c r="A123" s="2" t="s">
        <v>429</v>
      </c>
      <c r="C123" s="2" t="s">
        <v>439</v>
      </c>
      <c r="D123" s="2" t="s">
        <v>29</v>
      </c>
      <c r="F123" s="32">
        <v>0</v>
      </c>
      <c r="G123" s="32"/>
      <c r="H123" s="32">
        <f t="shared" si="77"/>
        <v>0</v>
      </c>
      <c r="I123" s="32">
        <f t="shared" si="78"/>
        <v>0</v>
      </c>
      <c r="J123" s="32"/>
      <c r="K123" s="32">
        <f t="shared" si="79"/>
        <v>0</v>
      </c>
      <c r="L123" s="32"/>
      <c r="M123" s="32">
        <f t="shared" si="80"/>
        <v>0</v>
      </c>
      <c r="N123" s="32"/>
      <c r="O123" s="32">
        <f t="shared" si="81"/>
        <v>0</v>
      </c>
      <c r="P123" s="32">
        <f t="shared" si="82"/>
        <v>0</v>
      </c>
      <c r="Q123" s="32"/>
      <c r="R123" s="32">
        <f t="shared" si="83"/>
        <v>0</v>
      </c>
      <c r="S123" s="32">
        <f t="shared" si="84"/>
        <v>0</v>
      </c>
      <c r="T123" s="32"/>
      <c r="U123" s="32">
        <f t="shared" si="85"/>
        <v>0</v>
      </c>
      <c r="V123" s="32"/>
      <c r="W123" s="32">
        <f t="shared" si="86"/>
        <v>0</v>
      </c>
      <c r="X123" s="32"/>
      <c r="Y123" s="32">
        <f t="shared" si="87"/>
        <v>0</v>
      </c>
      <c r="Z123" s="32"/>
      <c r="AA123" s="32">
        <f t="shared" si="88"/>
        <v>0</v>
      </c>
      <c r="AB123" s="32">
        <f t="shared" si="89"/>
        <v>0</v>
      </c>
      <c r="AC123" s="14" t="str">
        <f t="shared" si="91"/>
        <v>ok</v>
      </c>
    </row>
    <row r="124" spans="1:29" ht="12.75" x14ac:dyDescent="0.2">
      <c r="A124" s="2" t="s">
        <v>447</v>
      </c>
      <c r="C124" s="2" t="s">
        <v>440</v>
      </c>
      <c r="D124" s="2" t="s">
        <v>32</v>
      </c>
      <c r="F124" s="32">
        <v>0</v>
      </c>
      <c r="G124" s="32"/>
      <c r="H124" s="32">
        <f t="shared" si="77"/>
        <v>0</v>
      </c>
      <c r="I124" s="32">
        <f t="shared" si="78"/>
        <v>0</v>
      </c>
      <c r="J124" s="32"/>
      <c r="K124" s="32">
        <f t="shared" si="79"/>
        <v>0</v>
      </c>
      <c r="L124" s="32"/>
      <c r="M124" s="32">
        <f t="shared" si="80"/>
        <v>0</v>
      </c>
      <c r="N124" s="32"/>
      <c r="O124" s="32">
        <f t="shared" si="81"/>
        <v>0</v>
      </c>
      <c r="P124" s="32">
        <f t="shared" si="82"/>
        <v>0</v>
      </c>
      <c r="Q124" s="32"/>
      <c r="R124" s="32">
        <f t="shared" si="83"/>
        <v>0</v>
      </c>
      <c r="S124" s="32">
        <f t="shared" si="84"/>
        <v>0</v>
      </c>
      <c r="T124" s="32"/>
      <c r="U124" s="32">
        <f t="shared" si="85"/>
        <v>0</v>
      </c>
      <c r="V124" s="32"/>
      <c r="W124" s="32">
        <f t="shared" si="86"/>
        <v>0</v>
      </c>
      <c r="X124" s="32"/>
      <c r="Y124" s="32">
        <f t="shared" si="87"/>
        <v>0</v>
      </c>
      <c r="Z124" s="32"/>
      <c r="AA124" s="32">
        <f t="shared" si="88"/>
        <v>0</v>
      </c>
      <c r="AB124" s="32">
        <f t="shared" si="89"/>
        <v>0</v>
      </c>
      <c r="AC124" s="14" t="str">
        <f t="shared" si="91"/>
        <v>ok</v>
      </c>
    </row>
    <row r="125" spans="1:29" ht="12.75" x14ac:dyDescent="0.2">
      <c r="A125" s="2" t="s">
        <v>430</v>
      </c>
      <c r="C125" s="2" t="s">
        <v>441</v>
      </c>
      <c r="D125" s="2" t="s">
        <v>35</v>
      </c>
      <c r="F125" s="32">
        <v>0</v>
      </c>
      <c r="G125" s="32"/>
      <c r="H125" s="32">
        <f t="shared" si="77"/>
        <v>0</v>
      </c>
      <c r="I125" s="32">
        <f t="shared" si="78"/>
        <v>0</v>
      </c>
      <c r="J125" s="32"/>
      <c r="K125" s="32">
        <f t="shared" si="79"/>
        <v>0</v>
      </c>
      <c r="L125" s="32"/>
      <c r="M125" s="32">
        <f t="shared" si="80"/>
        <v>0</v>
      </c>
      <c r="N125" s="32"/>
      <c r="O125" s="32">
        <f t="shared" si="81"/>
        <v>0</v>
      </c>
      <c r="P125" s="32">
        <f t="shared" si="82"/>
        <v>0</v>
      </c>
      <c r="Q125" s="32"/>
      <c r="R125" s="32">
        <f t="shared" si="83"/>
        <v>0</v>
      </c>
      <c r="S125" s="32">
        <f t="shared" si="84"/>
        <v>0</v>
      </c>
      <c r="T125" s="32"/>
      <c r="U125" s="32">
        <f t="shared" si="85"/>
        <v>0</v>
      </c>
      <c r="V125" s="32"/>
      <c r="W125" s="32">
        <f t="shared" si="86"/>
        <v>0</v>
      </c>
      <c r="X125" s="32"/>
      <c r="Y125" s="32">
        <f t="shared" si="87"/>
        <v>0</v>
      </c>
      <c r="Z125" s="32"/>
      <c r="AA125" s="32">
        <f t="shared" si="88"/>
        <v>0</v>
      </c>
      <c r="AB125" s="32">
        <f t="shared" si="89"/>
        <v>0</v>
      </c>
      <c r="AC125" s="14" t="str">
        <f t="shared" si="91"/>
        <v>ok</v>
      </c>
    </row>
    <row r="126" spans="1:29" ht="12.75" x14ac:dyDescent="0.2">
      <c r="A126" s="2" t="s">
        <v>431</v>
      </c>
      <c r="C126" s="2" t="s">
        <v>442</v>
      </c>
      <c r="D126" s="2" t="s">
        <v>37</v>
      </c>
      <c r="F126" s="32">
        <v>0</v>
      </c>
      <c r="G126" s="32"/>
      <c r="H126" s="32">
        <f t="shared" si="77"/>
        <v>0</v>
      </c>
      <c r="I126" s="32">
        <f t="shared" si="78"/>
        <v>0</v>
      </c>
      <c r="J126" s="32"/>
      <c r="K126" s="32">
        <f t="shared" si="79"/>
        <v>0</v>
      </c>
      <c r="L126" s="32"/>
      <c r="M126" s="32">
        <f t="shared" si="80"/>
        <v>0</v>
      </c>
      <c r="N126" s="32"/>
      <c r="O126" s="32">
        <f t="shared" si="81"/>
        <v>0</v>
      </c>
      <c r="P126" s="32">
        <f t="shared" si="82"/>
        <v>0</v>
      </c>
      <c r="Q126" s="32"/>
      <c r="R126" s="32">
        <f t="shared" si="83"/>
        <v>0</v>
      </c>
      <c r="S126" s="32">
        <f t="shared" si="84"/>
        <v>0</v>
      </c>
      <c r="T126" s="32"/>
      <c r="U126" s="32">
        <f t="shared" si="85"/>
        <v>0</v>
      </c>
      <c r="V126" s="32"/>
      <c r="W126" s="32">
        <f t="shared" si="86"/>
        <v>0</v>
      </c>
      <c r="X126" s="32"/>
      <c r="Y126" s="32">
        <f t="shared" si="87"/>
        <v>0</v>
      </c>
      <c r="Z126" s="32"/>
      <c r="AA126" s="32">
        <f t="shared" si="88"/>
        <v>0</v>
      </c>
      <c r="AB126" s="32">
        <f t="shared" si="89"/>
        <v>0</v>
      </c>
      <c r="AC126" s="14" t="str">
        <f>IF(ABS(AB126-F126)&lt;1,"ok","err")</f>
        <v>ok</v>
      </c>
    </row>
    <row r="127" spans="1:29" ht="12.75" x14ac:dyDescent="0.2">
      <c r="A127" s="2" t="s">
        <v>432</v>
      </c>
      <c r="C127" s="2" t="s">
        <v>443</v>
      </c>
      <c r="D127" s="2" t="s">
        <v>40</v>
      </c>
      <c r="F127" s="32">
        <v>0</v>
      </c>
      <c r="G127" s="32"/>
      <c r="H127" s="32">
        <f t="shared" si="77"/>
        <v>0</v>
      </c>
      <c r="I127" s="32">
        <f t="shared" si="78"/>
        <v>0</v>
      </c>
      <c r="J127" s="32"/>
      <c r="K127" s="32">
        <f t="shared" si="79"/>
        <v>0</v>
      </c>
      <c r="L127" s="32"/>
      <c r="M127" s="32">
        <f t="shared" si="80"/>
        <v>0</v>
      </c>
      <c r="N127" s="32"/>
      <c r="O127" s="32">
        <f t="shared" si="81"/>
        <v>0</v>
      </c>
      <c r="P127" s="32">
        <f t="shared" si="82"/>
        <v>0</v>
      </c>
      <c r="Q127" s="32"/>
      <c r="R127" s="32">
        <f t="shared" si="83"/>
        <v>0</v>
      </c>
      <c r="S127" s="32">
        <f t="shared" si="84"/>
        <v>0</v>
      </c>
      <c r="T127" s="32"/>
      <c r="U127" s="32">
        <f t="shared" si="85"/>
        <v>0</v>
      </c>
      <c r="V127" s="32"/>
      <c r="W127" s="32">
        <f t="shared" si="86"/>
        <v>0</v>
      </c>
      <c r="X127" s="32"/>
      <c r="Y127" s="32">
        <f t="shared" si="87"/>
        <v>0</v>
      </c>
      <c r="Z127" s="32"/>
      <c r="AA127" s="32">
        <f t="shared" si="88"/>
        <v>0</v>
      </c>
      <c r="AB127" s="32">
        <f t="shared" si="89"/>
        <v>0</v>
      </c>
      <c r="AC127" s="14" t="str">
        <f t="shared" si="91"/>
        <v>ok</v>
      </c>
    </row>
    <row r="128" spans="1:29" ht="12.75" x14ac:dyDescent="0.2">
      <c r="A128" s="2" t="s">
        <v>433</v>
      </c>
      <c r="C128" s="2" t="s">
        <v>444</v>
      </c>
      <c r="D128" s="2" t="s">
        <v>43</v>
      </c>
      <c r="F128" s="32">
        <v>0</v>
      </c>
      <c r="G128" s="32"/>
      <c r="H128" s="32">
        <f t="shared" si="77"/>
        <v>0</v>
      </c>
      <c r="I128" s="32">
        <f t="shared" si="78"/>
        <v>0</v>
      </c>
      <c r="J128" s="32"/>
      <c r="K128" s="32">
        <f t="shared" si="79"/>
        <v>0</v>
      </c>
      <c r="L128" s="32"/>
      <c r="M128" s="32">
        <f t="shared" si="80"/>
        <v>0</v>
      </c>
      <c r="N128" s="32"/>
      <c r="O128" s="32">
        <f t="shared" si="81"/>
        <v>0</v>
      </c>
      <c r="P128" s="32">
        <f t="shared" si="82"/>
        <v>0</v>
      </c>
      <c r="Q128" s="32"/>
      <c r="R128" s="32">
        <f t="shared" si="83"/>
        <v>0</v>
      </c>
      <c r="S128" s="32">
        <f t="shared" si="84"/>
        <v>0</v>
      </c>
      <c r="T128" s="32"/>
      <c r="U128" s="32">
        <f t="shared" si="85"/>
        <v>0</v>
      </c>
      <c r="V128" s="32"/>
      <c r="W128" s="32">
        <f t="shared" si="86"/>
        <v>0</v>
      </c>
      <c r="X128" s="32"/>
      <c r="Y128" s="32">
        <f t="shared" si="87"/>
        <v>0</v>
      </c>
      <c r="Z128" s="32"/>
      <c r="AA128" s="32">
        <f t="shared" si="88"/>
        <v>0</v>
      </c>
      <c r="AB128" s="32">
        <f t="shared" si="89"/>
        <v>0</v>
      </c>
      <c r="AC128" s="14" t="str">
        <f t="shared" si="91"/>
        <v>ok</v>
      </c>
    </row>
    <row r="129" spans="1:29" ht="12.75" x14ac:dyDescent="0.2">
      <c r="A129" s="2" t="s">
        <v>434</v>
      </c>
      <c r="C129" s="2" t="s">
        <v>445</v>
      </c>
      <c r="D129" s="2" t="s">
        <v>46</v>
      </c>
      <c r="F129" s="32">
        <v>0</v>
      </c>
      <c r="G129" s="32"/>
      <c r="H129" s="32">
        <f t="shared" si="77"/>
        <v>0</v>
      </c>
      <c r="I129" s="32">
        <f t="shared" si="78"/>
        <v>0</v>
      </c>
      <c r="J129" s="32"/>
      <c r="K129" s="32">
        <f t="shared" si="79"/>
        <v>0</v>
      </c>
      <c r="L129" s="32"/>
      <c r="M129" s="32">
        <f t="shared" si="80"/>
        <v>0</v>
      </c>
      <c r="N129" s="32"/>
      <c r="O129" s="32">
        <f t="shared" si="81"/>
        <v>0</v>
      </c>
      <c r="P129" s="32">
        <f t="shared" si="82"/>
        <v>0</v>
      </c>
      <c r="Q129" s="32"/>
      <c r="R129" s="32">
        <f t="shared" si="83"/>
        <v>0</v>
      </c>
      <c r="S129" s="32">
        <f t="shared" si="84"/>
        <v>0</v>
      </c>
      <c r="T129" s="32"/>
      <c r="U129" s="32">
        <f t="shared" si="85"/>
        <v>0</v>
      </c>
      <c r="V129" s="32"/>
      <c r="W129" s="32">
        <f t="shared" si="86"/>
        <v>0</v>
      </c>
      <c r="X129" s="32"/>
      <c r="Y129" s="32">
        <f t="shared" si="87"/>
        <v>0</v>
      </c>
      <c r="Z129" s="32"/>
      <c r="AA129" s="32">
        <f t="shared" si="88"/>
        <v>0</v>
      </c>
      <c r="AB129" s="32">
        <f t="shared" si="89"/>
        <v>0</v>
      </c>
      <c r="AC129" s="14" t="str">
        <f t="shared" si="91"/>
        <v>ok</v>
      </c>
    </row>
    <row r="130" spans="1:29" ht="12.75" x14ac:dyDescent="0.2">
      <c r="A130" s="2" t="s">
        <v>435</v>
      </c>
      <c r="C130" s="2" t="s">
        <v>446</v>
      </c>
      <c r="D130" s="2" t="s">
        <v>48</v>
      </c>
      <c r="F130" s="32">
        <v>0</v>
      </c>
      <c r="G130" s="32"/>
      <c r="H130" s="32">
        <f t="shared" si="77"/>
        <v>0</v>
      </c>
      <c r="I130" s="32">
        <f t="shared" si="78"/>
        <v>0</v>
      </c>
      <c r="J130" s="32"/>
      <c r="K130" s="32">
        <f t="shared" si="79"/>
        <v>0</v>
      </c>
      <c r="L130" s="32"/>
      <c r="M130" s="32">
        <f t="shared" si="80"/>
        <v>0</v>
      </c>
      <c r="N130" s="32"/>
      <c r="O130" s="32">
        <f t="shared" si="81"/>
        <v>0</v>
      </c>
      <c r="P130" s="32">
        <f t="shared" si="82"/>
        <v>0</v>
      </c>
      <c r="Q130" s="32"/>
      <c r="R130" s="32">
        <f t="shared" si="83"/>
        <v>0</v>
      </c>
      <c r="S130" s="32">
        <f t="shared" si="84"/>
        <v>0</v>
      </c>
      <c r="T130" s="32"/>
      <c r="U130" s="32">
        <f t="shared" si="85"/>
        <v>0</v>
      </c>
      <c r="V130" s="32"/>
      <c r="W130" s="32">
        <f t="shared" si="86"/>
        <v>0</v>
      </c>
      <c r="X130" s="32"/>
      <c r="Y130" s="32">
        <f t="shared" si="87"/>
        <v>0</v>
      </c>
      <c r="Z130" s="32"/>
      <c r="AA130" s="32">
        <f t="shared" si="88"/>
        <v>0</v>
      </c>
      <c r="AB130" s="32">
        <f t="shared" si="89"/>
        <v>0</v>
      </c>
      <c r="AC130" s="14" t="str">
        <f t="shared" si="91"/>
        <v>ok</v>
      </c>
    </row>
    <row r="131" spans="1:29" ht="12.75" x14ac:dyDescent="0.2">
      <c r="A131" s="2" t="s">
        <v>807</v>
      </c>
      <c r="D131" s="2" t="s">
        <v>70</v>
      </c>
      <c r="F131" s="32">
        <v>0</v>
      </c>
      <c r="G131" s="32"/>
      <c r="H131" s="32">
        <f t="shared" si="77"/>
        <v>0</v>
      </c>
      <c r="I131" s="32">
        <f t="shared" si="78"/>
        <v>0</v>
      </c>
      <c r="J131" s="32"/>
      <c r="K131" s="32">
        <f t="shared" si="79"/>
        <v>0</v>
      </c>
      <c r="L131" s="32"/>
      <c r="M131" s="32">
        <f t="shared" si="80"/>
        <v>0</v>
      </c>
      <c r="N131" s="32"/>
      <c r="O131" s="32">
        <f t="shared" si="81"/>
        <v>0</v>
      </c>
      <c r="P131" s="32">
        <f t="shared" si="82"/>
        <v>0</v>
      </c>
      <c r="Q131" s="32"/>
      <c r="R131" s="32">
        <f t="shared" si="83"/>
        <v>0</v>
      </c>
      <c r="S131" s="32">
        <f t="shared" si="84"/>
        <v>0</v>
      </c>
      <c r="T131" s="32"/>
      <c r="U131" s="32">
        <f t="shared" si="85"/>
        <v>0</v>
      </c>
      <c r="V131" s="32"/>
      <c r="W131" s="32">
        <f t="shared" si="86"/>
        <v>0</v>
      </c>
      <c r="X131" s="32"/>
      <c r="Y131" s="32">
        <f t="shared" si="87"/>
        <v>0</v>
      </c>
      <c r="Z131" s="32"/>
      <c r="AA131" s="32">
        <f t="shared" si="88"/>
        <v>0</v>
      </c>
      <c r="AB131" s="32">
        <f t="shared" si="89"/>
        <v>0</v>
      </c>
      <c r="AC131" s="14" t="str">
        <f>IF(ABS(AB131-F131)&lt;1,"ok","err")</f>
        <v>ok</v>
      </c>
    </row>
    <row r="132" spans="1:29" ht="12.75" x14ac:dyDescent="0.2">
      <c r="A132" s="122" t="s">
        <v>808</v>
      </c>
      <c r="D132" s="2" t="s">
        <v>70</v>
      </c>
      <c r="F132" s="32">
        <v>0</v>
      </c>
      <c r="G132" s="32"/>
      <c r="H132" s="32">
        <f t="shared" si="77"/>
        <v>0</v>
      </c>
      <c r="I132" s="32">
        <f t="shared" si="78"/>
        <v>0</v>
      </c>
      <c r="J132" s="32"/>
      <c r="K132" s="32">
        <f t="shared" si="79"/>
        <v>0</v>
      </c>
      <c r="L132" s="32"/>
      <c r="M132" s="32">
        <f t="shared" si="80"/>
        <v>0</v>
      </c>
      <c r="N132" s="32"/>
      <c r="O132" s="32">
        <f t="shared" si="81"/>
        <v>0</v>
      </c>
      <c r="P132" s="32">
        <f t="shared" si="82"/>
        <v>0</v>
      </c>
      <c r="Q132" s="32"/>
      <c r="R132" s="32">
        <f t="shared" si="83"/>
        <v>0</v>
      </c>
      <c r="S132" s="32">
        <f t="shared" si="84"/>
        <v>0</v>
      </c>
      <c r="T132" s="32"/>
      <c r="U132" s="32">
        <f t="shared" si="85"/>
        <v>0</v>
      </c>
      <c r="V132" s="32"/>
      <c r="W132" s="32">
        <f t="shared" si="86"/>
        <v>0</v>
      </c>
      <c r="X132" s="32"/>
      <c r="Y132" s="32">
        <f t="shared" si="87"/>
        <v>0</v>
      </c>
      <c r="Z132" s="32"/>
      <c r="AA132" s="32">
        <f t="shared" si="88"/>
        <v>0</v>
      </c>
      <c r="AB132" s="32">
        <f t="shared" si="89"/>
        <v>0</v>
      </c>
      <c r="AC132" s="14" t="str">
        <f>IF(ABS(AB132-F132)&lt;1,"ok","err")</f>
        <v>ok</v>
      </c>
    </row>
    <row r="133" spans="1:29" ht="12.75" x14ac:dyDescent="0.2">
      <c r="A133" s="2" t="s">
        <v>809</v>
      </c>
      <c r="D133" s="2" t="s">
        <v>70</v>
      </c>
      <c r="F133" s="32">
        <v>6411887.8799999999</v>
      </c>
      <c r="G133" s="32"/>
      <c r="H133" s="32">
        <f t="shared" si="77"/>
        <v>0</v>
      </c>
      <c r="I133" s="32">
        <f t="shared" si="78"/>
        <v>0</v>
      </c>
      <c r="J133" s="32"/>
      <c r="K133" s="32">
        <f t="shared" si="79"/>
        <v>0</v>
      </c>
      <c r="L133" s="32"/>
      <c r="M133" s="32">
        <f t="shared" si="80"/>
        <v>2340.5970192589939</v>
      </c>
      <c r="N133" s="32"/>
      <c r="O133" s="32">
        <f t="shared" si="81"/>
        <v>3407897.8578884094</v>
      </c>
      <c r="P133" s="32">
        <f t="shared" si="82"/>
        <v>1756248.4886020408</v>
      </c>
      <c r="Q133" s="32"/>
      <c r="R133" s="32">
        <f t="shared" si="83"/>
        <v>0</v>
      </c>
      <c r="S133" s="32">
        <f t="shared" si="84"/>
        <v>637700.08961096313</v>
      </c>
      <c r="T133" s="32"/>
      <c r="U133" s="32">
        <f t="shared" si="85"/>
        <v>359403.6028071277</v>
      </c>
      <c r="V133" s="32"/>
      <c r="W133" s="32">
        <f t="shared" si="86"/>
        <v>248297.24407220172</v>
      </c>
      <c r="X133" s="32"/>
      <c r="Y133" s="32">
        <f t="shared" si="87"/>
        <v>0</v>
      </c>
      <c r="Z133" s="32"/>
      <c r="AA133" s="32">
        <f t="shared" si="88"/>
        <v>0</v>
      </c>
      <c r="AB133" s="32">
        <f t="shared" si="89"/>
        <v>6411887.8800000018</v>
      </c>
      <c r="AC133" s="14" t="str">
        <f>IF(ABS(AB133-F133)&lt;1,"ok","err")</f>
        <v>ok</v>
      </c>
    </row>
    <row r="134" spans="1:29" x14ac:dyDescent="0.25">
      <c r="Q134" s="2"/>
      <c r="AB134" s="32"/>
      <c r="AC134" s="14"/>
    </row>
    <row r="135" spans="1:29" ht="12.75" x14ac:dyDescent="0.2">
      <c r="A135" s="2" t="s">
        <v>806</v>
      </c>
      <c r="C135" s="2" t="s">
        <v>82</v>
      </c>
      <c r="F135" s="69">
        <f>SUM(F115:F133)</f>
        <v>38933594.439999998</v>
      </c>
      <c r="G135" s="69"/>
      <c r="H135" s="69">
        <f>SUM(H115:H133)</f>
        <v>0</v>
      </c>
      <c r="I135" s="69">
        <f>SUM(I115:I133)</f>
        <v>0</v>
      </c>
      <c r="J135" s="69"/>
      <c r="K135" s="69">
        <f>SUM(K115:K133)</f>
        <v>0</v>
      </c>
      <c r="L135" s="69"/>
      <c r="M135" s="69">
        <f>SUM(M115:M133)</f>
        <v>14212.328225443413</v>
      </c>
      <c r="N135" s="69"/>
      <c r="O135" s="69">
        <f>SUM(O115:O133)</f>
        <v>20693080.661287554</v>
      </c>
      <c r="P135" s="69">
        <f>SUM(P115:P133)</f>
        <v>10664108.242500147</v>
      </c>
      <c r="Q135" s="69"/>
      <c r="R135" s="69">
        <f>SUM(R115:R133)</f>
        <v>0</v>
      </c>
      <c r="S135" s="69">
        <f>SUM(S115:S133)</f>
        <v>3872175.7348110233</v>
      </c>
      <c r="T135" s="69"/>
      <c r="U135" s="69">
        <f>SUM(U115:U133)</f>
        <v>2182332.9374822993</v>
      </c>
      <c r="V135" s="69"/>
      <c r="W135" s="69">
        <f>SUM(W115:W133)</f>
        <v>1507684.535693533</v>
      </c>
      <c r="X135" s="69"/>
      <c r="Y135" s="69">
        <f>SUM(Y115:Y133)</f>
        <v>0</v>
      </c>
      <c r="Z135" s="69"/>
      <c r="AA135" s="69">
        <f>SUM(AA115:AA133)</f>
        <v>0</v>
      </c>
      <c r="AB135" s="32">
        <f>SUM(H135:AA135)</f>
        <v>38933594.439999998</v>
      </c>
      <c r="AC135" s="14" t="str">
        <f>IF(ABS(AB135-F135)&lt;1,"ok","err")</f>
        <v>ok</v>
      </c>
    </row>
    <row r="136" spans="1:29" ht="12.75" x14ac:dyDescent="0.2">
      <c r="D136" s="146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32"/>
      <c r="AC136" s="14"/>
    </row>
    <row r="137" spans="1:29" ht="12.75" x14ac:dyDescent="0.2">
      <c r="A137" s="12" t="s">
        <v>83</v>
      </c>
      <c r="C137" s="2" t="s">
        <v>84</v>
      </c>
      <c r="F137" s="69">
        <f>F112-F135</f>
        <v>86840623.909999996</v>
      </c>
      <c r="G137" s="69"/>
      <c r="H137" s="69">
        <f>H112-H135</f>
        <v>1502071.3599999999</v>
      </c>
      <c r="I137" s="69">
        <f>I112-I135</f>
        <v>0</v>
      </c>
      <c r="J137" s="69"/>
      <c r="K137" s="69">
        <f>K112-K135</f>
        <v>0</v>
      </c>
      <c r="L137" s="69"/>
      <c r="M137" s="69">
        <f>M112-M135</f>
        <v>31152.004755018726</v>
      </c>
      <c r="N137" s="69"/>
      <c r="O137" s="69">
        <f>O112-O135</f>
        <v>45357167.167190447</v>
      </c>
      <c r="P137" s="69">
        <f>P112-P135</f>
        <v>23374660.745849356</v>
      </c>
      <c r="Q137" s="69"/>
      <c r="R137" s="69">
        <f>R112-R135</f>
        <v>0</v>
      </c>
      <c r="S137" s="69">
        <f>S112-S135</f>
        <v>8487422.6790760532</v>
      </c>
      <c r="T137" s="69"/>
      <c r="U137" s="69">
        <f>U112-U135</f>
        <v>4783455.9522608779</v>
      </c>
      <c r="V137" s="69"/>
      <c r="W137" s="69">
        <f>W112-W135</f>
        <v>3304694.0008682366</v>
      </c>
      <c r="X137" s="69"/>
      <c r="Y137" s="69">
        <f>Y112-Y135</f>
        <v>0</v>
      </c>
      <c r="Z137" s="69"/>
      <c r="AA137" s="69">
        <f>AA112-AA135</f>
        <v>0</v>
      </c>
      <c r="AB137" s="32">
        <f>SUM(H137:AA137)</f>
        <v>86840623.909999996</v>
      </c>
      <c r="AC137" s="14" t="str">
        <f>IF(ABS(AB137-F137)&lt;1,"ok","err")</f>
        <v>ok</v>
      </c>
    </row>
    <row r="138" spans="1:29" x14ac:dyDescent="0.25">
      <c r="Q138" s="2"/>
      <c r="AC138" s="14"/>
    </row>
    <row r="139" spans="1:29" x14ac:dyDescent="0.25">
      <c r="A139" s="12" t="s">
        <v>85</v>
      </c>
      <c r="Q139" s="2"/>
      <c r="AC139" s="14"/>
    </row>
    <row r="140" spans="1:29" ht="12.75" x14ac:dyDescent="0.2">
      <c r="A140" s="2" t="s">
        <v>413</v>
      </c>
      <c r="C140" s="2" t="s">
        <v>87</v>
      </c>
      <c r="D140" s="2" t="s">
        <v>88</v>
      </c>
      <c r="F140" s="45">
        <f>0.125*(F296-F191)</f>
        <v>1250237.9524999997</v>
      </c>
      <c r="G140" s="45"/>
      <c r="H140" s="45">
        <f>0.125*(H296-H191)</f>
        <v>66.950622355798259</v>
      </c>
      <c r="I140" s="45">
        <f>0.125*(I296-I191)</f>
        <v>0</v>
      </c>
      <c r="J140" s="45"/>
      <c r="K140" s="45">
        <f>0.125*(K296-K191)</f>
        <v>0</v>
      </c>
      <c r="L140" s="45"/>
      <c r="M140" s="45">
        <f>0.125*(M296-M191)</f>
        <v>71.842312676016945</v>
      </c>
      <c r="N140" s="45"/>
      <c r="O140" s="45">
        <f>0.125*(O296-O191)</f>
        <v>664682.2616140662</v>
      </c>
      <c r="P140" s="45">
        <f>0.125*(P296-P191)</f>
        <v>219394.51268399315</v>
      </c>
      <c r="Q140" s="45"/>
      <c r="R140" s="45">
        <f>0.125*(R296-R191)</f>
        <v>0</v>
      </c>
      <c r="S140" s="45">
        <f>0.125*(S296-S191)</f>
        <v>29408.282659164426</v>
      </c>
      <c r="T140" s="45"/>
      <c r="U140" s="45">
        <f>0.125*(U296-U191)</f>
        <v>50414.646544605654</v>
      </c>
      <c r="V140" s="45"/>
      <c r="W140" s="45">
        <f>0.125*(W296-W191)</f>
        <v>7621.238555142565</v>
      </c>
      <c r="X140" s="45"/>
      <c r="Y140" s="45">
        <f>0.125*(Y296-Y191)</f>
        <v>278578.21750799601</v>
      </c>
      <c r="Z140" s="45"/>
      <c r="AA140" s="45">
        <f>0.125*(AA296-AA191)</f>
        <v>0</v>
      </c>
      <c r="AB140" s="32">
        <f>SUM(H140:AA140)</f>
        <v>1250237.9524999997</v>
      </c>
      <c r="AC140" s="14" t="str">
        <f>IF(ABS(AB140-F140)&lt;1,"ok","err")</f>
        <v>ok</v>
      </c>
    </row>
    <row r="141" spans="1:29" ht="12.75" x14ac:dyDescent="0.2">
      <c r="A141" s="2" t="s">
        <v>915</v>
      </c>
      <c r="C141" s="2" t="s">
        <v>396</v>
      </c>
      <c r="D141" s="2" t="s">
        <v>72</v>
      </c>
      <c r="F141" s="32">
        <v>1114433.0599999996</v>
      </c>
      <c r="G141" s="32"/>
      <c r="H141" s="32">
        <f>IF(VLOOKUP($D141,$C$5:$AA$507,6,)=0,0,((VLOOKUP($D141,$C$5:$AA$507,6,)/VLOOKUP($D141,$C$5:$AA$507,4,))*$F141))</f>
        <v>13331.168538762067</v>
      </c>
      <c r="I141" s="32">
        <f>IF(VLOOKUP($D141,$C$5:$AA$507,7,)=0,0,((VLOOKUP($D141,$C$5:$AA$507,7,)/VLOOKUP($D141,$C$5:$AA$507,4,))*$F141))</f>
        <v>0</v>
      </c>
      <c r="J141" s="32"/>
      <c r="K141" s="32">
        <f>IF(VLOOKUP($D141,$C$5:$AA$507,9,)=0,0,((VLOOKUP($D141,$C$5:$AA$507,9,)/VLOOKUP($D141,$C$5:$AA$507,4,))*$F141))</f>
        <v>0</v>
      </c>
      <c r="L141" s="32"/>
      <c r="M141" s="32">
        <f>IF(VLOOKUP($D141,$C$5:$AA$507,11,)=0,0,((VLOOKUP($D141,$C$5:$AA$507,11,)/VLOOKUP($D141,$C$5:$AA$507,4,))*$F141))</f>
        <v>401.94648647764757</v>
      </c>
      <c r="N141" s="32"/>
      <c r="O141" s="32">
        <f>IF(VLOOKUP($D141,$C$5:$AA$507,13,)=0,0,((VLOOKUP($D141,$C$5:$AA$507,13,)/VLOOKUP($D141,$C$5:$AA$507,4,))*$F141))</f>
        <v>585232.12624042737</v>
      </c>
      <c r="P141" s="32">
        <f>IF(VLOOKUP($D141,$C$5:$AA$507,14,)=0,0,((VLOOKUP($D141,$C$5:$AA$507,14,)/VLOOKUP($D141,$C$5:$AA$507,4,))*$F141))</f>
        <v>301597.37176746235</v>
      </c>
      <c r="Q141" s="32"/>
      <c r="R141" s="32">
        <f>IF(VLOOKUP($D141,$C$5:$AA$507,16,)=0,0,((VLOOKUP($D141,$C$5:$AA$507,16,)/VLOOKUP($D141,$C$5:$AA$507,4,))*$F141))</f>
        <v>0</v>
      </c>
      <c r="S141" s="32">
        <f>IF(VLOOKUP($D141,$C$5:$AA$507,17,)=0,0,((VLOOKUP($D141,$C$5:$AA$507,17,)/VLOOKUP($D141,$C$5:$AA$507,4,))*$F141))</f>
        <v>109511.08129102721</v>
      </c>
      <c r="T141" s="32"/>
      <c r="U141" s="32">
        <f>IF(VLOOKUP($D141,$C$5:$AA$507,19,)=0,0,((VLOOKUP($D141,$C$5:$AA$507,19,)/VLOOKUP($D141,$C$5:$AA$507,4,))*$F141))</f>
        <v>61719.729704461322</v>
      </c>
      <c r="V141" s="32"/>
      <c r="W141" s="32">
        <f>IF(VLOOKUP($D141,$C$5:$AA$507,21,)=0,0,((VLOOKUP($D141,$C$5:$AA$507,21,)/VLOOKUP($D141,$C$5:$AA$507,4,))*$F141))</f>
        <v>42639.635971381613</v>
      </c>
      <c r="X141" s="32"/>
      <c r="Y141" s="32">
        <f>IF(VLOOKUP($D141,$C$5:$AA$507,23,)=0,0,((VLOOKUP($D141,$C$5:$AA$507,23,)/VLOOKUP($D141,$C$5:$AA$507,4,))*$F141))</f>
        <v>0</v>
      </c>
      <c r="Z141" s="32"/>
      <c r="AA141" s="32">
        <f>IF(VLOOKUP($D141,$C$5:$AA$507,25,)=0,0,((VLOOKUP($D141,$C$5:$AA$507,25,)/VLOOKUP($D141,$C$5:$AA$507,4,))*$F141))</f>
        <v>0</v>
      </c>
      <c r="AB141" s="32">
        <f>SUM(H141:AA141)</f>
        <v>1114433.0599999996</v>
      </c>
      <c r="AC141" s="14" t="str">
        <f>IF(ABS(AB141-F141)&lt;1,"ok","err")</f>
        <v>ok</v>
      </c>
    </row>
    <row r="142" spans="1:29" ht="12.75" x14ac:dyDescent="0.2">
      <c r="A142" s="2" t="s">
        <v>916</v>
      </c>
      <c r="C142" s="2" t="s">
        <v>89</v>
      </c>
      <c r="D142" s="2" t="s">
        <v>72</v>
      </c>
      <c r="F142" s="32">
        <v>210315.24923076932</v>
      </c>
      <c r="G142" s="32"/>
      <c r="H142" s="32">
        <f>IF(VLOOKUP($D142,$C$5:$AA$507,6,)=0,0,((VLOOKUP($D142,$C$5:$AA$507,6,)/VLOOKUP($D142,$C$5:$AA$507,4,))*$F142))</f>
        <v>2515.8514534440819</v>
      </c>
      <c r="I142" s="32">
        <f>IF(VLOOKUP($D142,$C$5:$AA$507,7,)=0,0,((VLOOKUP($D142,$C$5:$AA$507,7,)/VLOOKUP($D142,$C$5:$AA$507,4,))*$F142))</f>
        <v>0</v>
      </c>
      <c r="J142" s="32"/>
      <c r="K142" s="32">
        <f>IF(VLOOKUP($D142,$C$5:$AA$507,9,)=0,0,((VLOOKUP($D142,$C$5:$AA$507,9,)/VLOOKUP($D142,$C$5:$AA$507,4,))*$F142))</f>
        <v>0</v>
      </c>
      <c r="L142" s="32"/>
      <c r="M142" s="32">
        <f>IF(VLOOKUP($D142,$C$5:$AA$507,11,)=0,0,((VLOOKUP($D142,$C$5:$AA$507,11,)/VLOOKUP($D142,$C$5:$AA$507,4,))*$F142))</f>
        <v>75.855139725465904</v>
      </c>
      <c r="N142" s="32"/>
      <c r="O142" s="32">
        <f>IF(VLOOKUP($D142,$C$5:$AA$507,13,)=0,0,((VLOOKUP($D142,$C$5:$AA$507,13,)/VLOOKUP($D142,$C$5:$AA$507,4,))*$F142))</f>
        <v>110444.7139140942</v>
      </c>
      <c r="P142" s="32">
        <f>IF(VLOOKUP($D142,$C$5:$AA$507,14,)=0,0,((VLOOKUP($D142,$C$5:$AA$507,14,)/VLOOKUP($D142,$C$5:$AA$507,4,))*$F142))</f>
        <v>56917.305029176772</v>
      </c>
      <c r="Q142" s="32"/>
      <c r="R142" s="32">
        <f>IF(VLOOKUP($D142,$C$5:$AA$507,16,)=0,0,((VLOOKUP($D142,$C$5:$AA$507,16,)/VLOOKUP($D142,$C$5:$AA$507,4,))*$F142))</f>
        <v>0</v>
      </c>
      <c r="S142" s="32">
        <f>IF(VLOOKUP($D142,$C$5:$AA$507,17,)=0,0,((VLOOKUP($D142,$C$5:$AA$507,17,)/VLOOKUP($D142,$C$5:$AA$507,4,))*$F142))</f>
        <v>20666.876443214485</v>
      </c>
      <c r="T142" s="32"/>
      <c r="U142" s="32">
        <f>IF(VLOOKUP($D142,$C$5:$AA$507,19,)=0,0,((VLOOKUP($D142,$C$5:$AA$507,19,)/VLOOKUP($D142,$C$5:$AA$507,4,))*$F142))</f>
        <v>11647.716494743529</v>
      </c>
      <c r="V142" s="32"/>
      <c r="W142" s="32">
        <f>IF(VLOOKUP($D142,$C$5:$AA$507,21,)=0,0,((VLOOKUP($D142,$C$5:$AA$507,21,)/VLOOKUP($D142,$C$5:$AA$507,4,))*$F142))</f>
        <v>8046.9307563707807</v>
      </c>
      <c r="X142" s="32"/>
      <c r="Y142" s="32">
        <f>IF(VLOOKUP($D142,$C$5:$AA$507,23,)=0,0,((VLOOKUP($D142,$C$5:$AA$507,23,)/VLOOKUP($D142,$C$5:$AA$507,4,))*$F142))</f>
        <v>0</v>
      </c>
      <c r="Z142" s="32"/>
      <c r="AA142" s="32">
        <f>IF(VLOOKUP($D142,$C$5:$AA$507,25,)=0,0,((VLOOKUP($D142,$C$5:$AA$507,25,)/VLOOKUP($D142,$C$5:$AA$507,4,))*$F142))</f>
        <v>0</v>
      </c>
      <c r="AB142" s="32">
        <f>SUM(H142:AA142)</f>
        <v>210315.24923076932</v>
      </c>
      <c r="AC142" s="14" t="str">
        <f>IF(ABS(AB142-F142)&lt;1,"ok","err")</f>
        <v>ok</v>
      </c>
    </row>
    <row r="143" spans="1:29" x14ac:dyDescent="0.25">
      <c r="Q143" s="2"/>
      <c r="AB143" s="32"/>
      <c r="AC143" s="14"/>
    </row>
    <row r="144" spans="1:29" ht="12.75" x14ac:dyDescent="0.2">
      <c r="A144" s="72" t="s">
        <v>90</v>
      </c>
      <c r="C144" s="2" t="s">
        <v>91</v>
      </c>
      <c r="F144" s="69">
        <f>SUM(F140:F143)</f>
        <v>2574986.2617307687</v>
      </c>
      <c r="G144" s="69"/>
      <c r="H144" s="69">
        <f t="shared" ref="H144:W144" si="92">SUM(H140:H143)</f>
        <v>15913.970614561948</v>
      </c>
      <c r="I144" s="69">
        <f t="shared" si="92"/>
        <v>0</v>
      </c>
      <c r="J144" s="69"/>
      <c r="K144" s="69">
        <f t="shared" si="92"/>
        <v>0</v>
      </c>
      <c r="L144" s="69"/>
      <c r="M144" s="69">
        <f t="shared" si="92"/>
        <v>549.64393887913047</v>
      </c>
      <c r="N144" s="69"/>
      <c r="O144" s="69">
        <f t="shared" si="92"/>
        <v>1360359.1017685879</v>
      </c>
      <c r="P144" s="69">
        <f t="shared" si="92"/>
        <v>577909.18948063231</v>
      </c>
      <c r="Q144" s="69"/>
      <c r="R144" s="69">
        <f t="shared" si="92"/>
        <v>0</v>
      </c>
      <c r="S144" s="69">
        <f t="shared" si="92"/>
        <v>159586.24039340613</v>
      </c>
      <c r="T144" s="69"/>
      <c r="U144" s="69">
        <f t="shared" si="92"/>
        <v>123782.0927438105</v>
      </c>
      <c r="V144" s="69"/>
      <c r="W144" s="69">
        <f t="shared" si="92"/>
        <v>58307.805282894959</v>
      </c>
      <c r="X144" s="69"/>
      <c r="Y144" s="69">
        <f>SUM(Y140:Y143)</f>
        <v>278578.21750799601</v>
      </c>
      <c r="Z144" s="69"/>
      <c r="AA144" s="69">
        <f>SUM(AA140:AA143)</f>
        <v>0</v>
      </c>
      <c r="AB144" s="32">
        <f>SUM(H144:AA144)</f>
        <v>2574986.2617307687</v>
      </c>
      <c r="AC144" s="14" t="str">
        <f>IF(ABS(AB144-F144)&lt;1,"ok","err")</f>
        <v>ok</v>
      </c>
    </row>
    <row r="145" spans="1:29" x14ac:dyDescent="0.25">
      <c r="Q145" s="2"/>
      <c r="AC145" s="14"/>
    </row>
    <row r="146" spans="1:29" hidden="1" x14ac:dyDescent="0.25">
      <c r="A146" s="12" t="s">
        <v>897</v>
      </c>
      <c r="Q146" s="2"/>
      <c r="AC146" s="14"/>
    </row>
    <row r="147" spans="1:29" ht="12.75" hidden="1" x14ac:dyDescent="0.2">
      <c r="A147" s="16">
        <v>1</v>
      </c>
      <c r="C147" s="2" t="s">
        <v>898</v>
      </c>
      <c r="D147" s="2" t="s">
        <v>16</v>
      </c>
      <c r="F147" s="45">
        <v>0</v>
      </c>
      <c r="G147" s="45"/>
      <c r="H147" s="32">
        <f>IF(VLOOKUP($D147,$C$5:$AA$507,6,)=0,0,((VLOOKUP($D147,$C$5:$AA$507,6,)/VLOOKUP($D147,$C$5:$AA$507,4,))*$F147))</f>
        <v>0</v>
      </c>
      <c r="I147" s="32">
        <f>IF(VLOOKUP($D147,$C$5:$AA$507,7,)=0,0,((VLOOKUP($D147,$C$5:$AA$507,7,)/VLOOKUP($D147,$C$5:$AA$507,4,))*$F147))</f>
        <v>0</v>
      </c>
      <c r="J147" s="32"/>
      <c r="K147" s="32">
        <f>IF(VLOOKUP($D147,$C$5:$AA$507,9,)=0,0,((VLOOKUP($D147,$C$5:$AA$507,9,)/VLOOKUP($D147,$C$5:$AA$507,4,))*$F147))</f>
        <v>0</v>
      </c>
      <c r="L147" s="32"/>
      <c r="M147" s="32">
        <f>IF(VLOOKUP($D147,$C$5:$AA$507,11,)=0,0,((VLOOKUP($D147,$C$5:$AA$507,11,)/VLOOKUP($D147,$C$5:$AA$507,4,))*$F147))</f>
        <v>0</v>
      </c>
      <c r="N147" s="32"/>
      <c r="O147" s="32">
        <f>IF(VLOOKUP($D147,$C$5:$AA$507,13,)=0,0,((VLOOKUP($D147,$C$5:$AA$507,13,)/VLOOKUP($D147,$C$5:$AA$507,4,))*$F147))</f>
        <v>0</v>
      </c>
      <c r="P147" s="32">
        <f>IF(VLOOKUP($D147,$C$5:$AA$507,14,)=0,0,((VLOOKUP($D147,$C$5:$AA$507,14,)/VLOOKUP($D147,$C$5:$AA$507,4,))*$F147))</f>
        <v>0</v>
      </c>
      <c r="Q147" s="32"/>
      <c r="R147" s="32">
        <f>IF(VLOOKUP($D147,$C$5:$AA$507,16,)=0,0,((VLOOKUP($D147,$C$5:$AA$507,16,)/VLOOKUP($D147,$C$5:$AA$507,4,))*$F147))</f>
        <v>0</v>
      </c>
      <c r="S147" s="32">
        <f>IF(VLOOKUP($D147,$C$5:$AA$507,17,)=0,0,((VLOOKUP($D147,$C$5:$AA$507,17,)/VLOOKUP($D147,$C$5:$AA$507,4,))*$F147))</f>
        <v>0</v>
      </c>
      <c r="T147" s="32"/>
      <c r="U147" s="32">
        <f>IF(VLOOKUP($D147,$C$5:$AA$507,19,)=0,0,((VLOOKUP($D147,$C$5:$AA$507,19,)/VLOOKUP($D147,$C$5:$AA$507,4,))*$F147))</f>
        <v>0</v>
      </c>
      <c r="V147" s="32"/>
      <c r="W147" s="32">
        <f>IF(VLOOKUP($D147,$C$5:$AA$507,21,)=0,0,((VLOOKUP($D147,$C$5:$AA$507,21,)/VLOOKUP($D147,$C$5:$AA$507,4,))*$F147))</f>
        <v>0</v>
      </c>
      <c r="X147" s="32"/>
      <c r="Y147" s="32">
        <f>IF(VLOOKUP($D147,$C$5:$AA$507,23,)=0,0,((VLOOKUP($D147,$C$5:$AA$507,23,)/VLOOKUP($D147,$C$5:$AA$507,4,))*$F147))</f>
        <v>0</v>
      </c>
      <c r="Z147" s="32"/>
      <c r="AA147" s="32">
        <f>IF(VLOOKUP($D147,$C$5:$AA$507,25,)=0,0,((VLOOKUP($D147,$C$5:$AA$507,25,)/VLOOKUP($D147,$C$5:$AA$507,4,))*$F147))</f>
        <v>0</v>
      </c>
      <c r="AB147" s="32">
        <f>SUM(H147:AA147)</f>
        <v>0</v>
      </c>
      <c r="AC147" s="14" t="str">
        <f>IF(ABS(AB147-F147)&lt;1,"ok","err")</f>
        <v>ok</v>
      </c>
    </row>
    <row r="148" spans="1:29" ht="12.75" hidden="1" x14ac:dyDescent="0.2">
      <c r="A148" s="16">
        <v>2</v>
      </c>
      <c r="C148" s="2" t="s">
        <v>899</v>
      </c>
      <c r="D148" s="2" t="s">
        <v>16</v>
      </c>
      <c r="F148" s="45">
        <v>0</v>
      </c>
      <c r="G148" s="45"/>
      <c r="H148" s="32">
        <f>IF(VLOOKUP($D148,$C$5:$AA$507,6,)=0,0,((VLOOKUP($D148,$C$5:$AA$507,6,)/VLOOKUP($D148,$C$5:$AA$507,4,))*$F148))</f>
        <v>0</v>
      </c>
      <c r="I148" s="32">
        <f>IF(VLOOKUP($D148,$C$5:$AA$507,7,)=0,0,((VLOOKUP($D148,$C$5:$AA$507,7,)/VLOOKUP($D148,$C$5:$AA$507,4,))*$F148))</f>
        <v>0</v>
      </c>
      <c r="J148" s="32"/>
      <c r="K148" s="32">
        <f>IF(VLOOKUP($D148,$C$5:$AA$507,9,)=0,0,((VLOOKUP($D148,$C$5:$AA$507,9,)/VLOOKUP($D148,$C$5:$AA$507,4,))*$F148))</f>
        <v>0</v>
      </c>
      <c r="L148" s="32"/>
      <c r="M148" s="32">
        <f>IF(VLOOKUP($D148,$C$5:$AA$507,11,)=0,0,((VLOOKUP($D148,$C$5:$AA$507,11,)/VLOOKUP($D148,$C$5:$AA$507,4,))*$F148))</f>
        <v>0</v>
      </c>
      <c r="N148" s="32"/>
      <c r="O148" s="32">
        <f>IF(VLOOKUP($D148,$C$5:$AA$507,13,)=0,0,((VLOOKUP($D148,$C$5:$AA$507,13,)/VLOOKUP($D148,$C$5:$AA$507,4,))*$F148))</f>
        <v>0</v>
      </c>
      <c r="P148" s="32">
        <f>IF(VLOOKUP($D148,$C$5:$AA$507,14,)=0,0,((VLOOKUP($D148,$C$5:$AA$507,14,)/VLOOKUP($D148,$C$5:$AA$507,4,))*$F148))</f>
        <v>0</v>
      </c>
      <c r="Q148" s="32"/>
      <c r="R148" s="32">
        <f>IF(VLOOKUP($D148,$C$5:$AA$507,16,)=0,0,((VLOOKUP($D148,$C$5:$AA$507,16,)/VLOOKUP($D148,$C$5:$AA$507,4,))*$F148))</f>
        <v>0</v>
      </c>
      <c r="S148" s="32">
        <f>IF(VLOOKUP($D148,$C$5:$AA$507,17,)=0,0,((VLOOKUP($D148,$C$5:$AA$507,17,)/VLOOKUP($D148,$C$5:$AA$507,4,))*$F148))</f>
        <v>0</v>
      </c>
      <c r="T148" s="32"/>
      <c r="U148" s="32">
        <f>IF(VLOOKUP($D148,$C$5:$AA$507,19,)=0,0,((VLOOKUP($D148,$C$5:$AA$507,19,)/VLOOKUP($D148,$C$5:$AA$507,4,))*$F148))</f>
        <v>0</v>
      </c>
      <c r="V148" s="32"/>
      <c r="W148" s="32">
        <f>IF(VLOOKUP($D148,$C$5:$AA$507,21,)=0,0,((VLOOKUP($D148,$C$5:$AA$507,21,)/VLOOKUP($D148,$C$5:$AA$507,4,))*$F148))</f>
        <v>0</v>
      </c>
      <c r="X148" s="32"/>
      <c r="Y148" s="32">
        <f>IF(VLOOKUP($D148,$C$5:$AA$507,23,)=0,0,((VLOOKUP($D148,$C$5:$AA$507,23,)/VLOOKUP($D148,$C$5:$AA$507,4,))*$F148))</f>
        <v>0</v>
      </c>
      <c r="Z148" s="32"/>
      <c r="AA148" s="32">
        <f>IF(VLOOKUP($D148,$C$5:$AA$507,25,)=0,0,((VLOOKUP($D148,$C$5:$AA$507,25,)/VLOOKUP($D148,$C$5:$AA$507,4,))*$F148))</f>
        <v>0</v>
      </c>
      <c r="AB148" s="32">
        <f>SUM(H148:AA148)</f>
        <v>0</v>
      </c>
      <c r="AC148" s="14" t="str">
        <f>IF(ABS(AB148-F148)&lt;1,"ok","err")</f>
        <v>ok</v>
      </c>
    </row>
    <row r="149" spans="1:29" ht="12.75" hidden="1" x14ac:dyDescent="0.2">
      <c r="A149" s="16">
        <v>3</v>
      </c>
      <c r="C149" s="2" t="s">
        <v>900</v>
      </c>
      <c r="D149" s="2" t="s">
        <v>16</v>
      </c>
      <c r="F149" s="45">
        <v>0</v>
      </c>
      <c r="G149" s="45"/>
      <c r="H149" s="32">
        <f>IF(VLOOKUP($D149,$C$5:$AA$507,6,)=0,0,((VLOOKUP($D149,$C$5:$AA$507,6,)/VLOOKUP($D149,$C$5:$AA$507,4,))*$F149))</f>
        <v>0</v>
      </c>
      <c r="I149" s="32">
        <f>IF(VLOOKUP($D149,$C$5:$AA$507,7,)=0,0,((VLOOKUP($D149,$C$5:$AA$507,7,)/VLOOKUP($D149,$C$5:$AA$507,4,))*$F149))</f>
        <v>0</v>
      </c>
      <c r="J149" s="32"/>
      <c r="K149" s="32">
        <f>IF(VLOOKUP($D149,$C$5:$AA$507,9,)=0,0,((VLOOKUP($D149,$C$5:$AA$507,9,)/VLOOKUP($D149,$C$5:$AA$507,4,))*$F149))</f>
        <v>0</v>
      </c>
      <c r="L149" s="32"/>
      <c r="M149" s="32">
        <f>IF(VLOOKUP($D149,$C$5:$AA$507,11,)=0,0,((VLOOKUP($D149,$C$5:$AA$507,11,)/VLOOKUP($D149,$C$5:$AA$507,4,))*$F149))</f>
        <v>0</v>
      </c>
      <c r="N149" s="32"/>
      <c r="O149" s="32">
        <f>IF(VLOOKUP($D149,$C$5:$AA$507,13,)=0,0,((VLOOKUP($D149,$C$5:$AA$507,13,)/VLOOKUP($D149,$C$5:$AA$507,4,))*$F149))</f>
        <v>0</v>
      </c>
      <c r="P149" s="32">
        <f>IF(VLOOKUP($D149,$C$5:$AA$507,14,)=0,0,((VLOOKUP($D149,$C$5:$AA$507,14,)/VLOOKUP($D149,$C$5:$AA$507,4,))*$F149))</f>
        <v>0</v>
      </c>
      <c r="Q149" s="32"/>
      <c r="R149" s="32">
        <f>IF(VLOOKUP($D149,$C$5:$AA$507,16,)=0,0,((VLOOKUP($D149,$C$5:$AA$507,16,)/VLOOKUP($D149,$C$5:$AA$507,4,))*$F149))</f>
        <v>0</v>
      </c>
      <c r="S149" s="32">
        <f>IF(VLOOKUP($D149,$C$5:$AA$507,17,)=0,0,((VLOOKUP($D149,$C$5:$AA$507,17,)/VLOOKUP($D149,$C$5:$AA$507,4,))*$F149))</f>
        <v>0</v>
      </c>
      <c r="T149" s="32"/>
      <c r="U149" s="32">
        <f>IF(VLOOKUP($D149,$C$5:$AA$507,19,)=0,0,((VLOOKUP($D149,$C$5:$AA$507,19,)/VLOOKUP($D149,$C$5:$AA$507,4,))*$F149))</f>
        <v>0</v>
      </c>
      <c r="V149" s="32"/>
      <c r="W149" s="32">
        <f>IF(VLOOKUP($D149,$C$5:$AA$507,21,)=0,0,((VLOOKUP($D149,$C$5:$AA$507,21,)/VLOOKUP($D149,$C$5:$AA$507,4,))*$F149))</f>
        <v>0</v>
      </c>
      <c r="X149" s="32"/>
      <c r="Y149" s="32">
        <f>IF(VLOOKUP($D149,$C$5:$AA$507,23,)=0,0,((VLOOKUP($D149,$C$5:$AA$507,23,)/VLOOKUP($D149,$C$5:$AA$507,4,))*$F149))</f>
        <v>0</v>
      </c>
      <c r="Z149" s="32"/>
      <c r="AA149" s="32">
        <f>IF(VLOOKUP($D149,$C$5:$AA$507,25,)=0,0,((VLOOKUP($D149,$C$5:$AA$507,25,)/VLOOKUP($D149,$C$5:$AA$507,4,))*$F149))</f>
        <v>0</v>
      </c>
      <c r="AB149" s="32">
        <f>SUM(H149:AA149)</f>
        <v>0</v>
      </c>
      <c r="AC149" s="14" t="str">
        <f>IF(ABS(AB149-F149)&lt;1,"ok","err")</f>
        <v>ok</v>
      </c>
    </row>
    <row r="150" spans="1:29" ht="12.75" hidden="1" x14ac:dyDescent="0.2">
      <c r="A150" s="16">
        <v>4</v>
      </c>
      <c r="C150" s="2" t="s">
        <v>901</v>
      </c>
      <c r="D150" s="2" t="s">
        <v>16</v>
      </c>
      <c r="F150" s="45">
        <v>0</v>
      </c>
      <c r="G150" s="45"/>
      <c r="H150" s="32">
        <f>IF(VLOOKUP($D150,$C$5:$AA$507,6,)=0,0,((VLOOKUP($D150,$C$5:$AA$507,6,)/VLOOKUP($D150,$C$5:$AA$507,4,))*$F150))</f>
        <v>0</v>
      </c>
      <c r="I150" s="32">
        <f>IF(VLOOKUP($D150,$C$5:$AA$507,7,)=0,0,((VLOOKUP($D150,$C$5:$AA$507,7,)/VLOOKUP($D150,$C$5:$AA$507,4,))*$F150))</f>
        <v>0</v>
      </c>
      <c r="J150" s="32"/>
      <c r="K150" s="32">
        <f>IF(VLOOKUP($D150,$C$5:$AA$507,9,)=0,0,((VLOOKUP($D150,$C$5:$AA$507,9,)/VLOOKUP($D150,$C$5:$AA$507,4,))*$F150))</f>
        <v>0</v>
      </c>
      <c r="L150" s="32"/>
      <c r="M150" s="32">
        <f>IF(VLOOKUP($D150,$C$5:$AA$507,11,)=0,0,((VLOOKUP($D150,$C$5:$AA$507,11,)/VLOOKUP($D150,$C$5:$AA$507,4,))*$F150))</f>
        <v>0</v>
      </c>
      <c r="N150" s="32"/>
      <c r="O150" s="32">
        <f>IF(VLOOKUP($D150,$C$5:$AA$507,13,)=0,0,((VLOOKUP($D150,$C$5:$AA$507,13,)/VLOOKUP($D150,$C$5:$AA$507,4,))*$F150))</f>
        <v>0</v>
      </c>
      <c r="P150" s="32">
        <f>IF(VLOOKUP($D150,$C$5:$AA$507,14,)=0,0,((VLOOKUP($D150,$C$5:$AA$507,14,)/VLOOKUP($D150,$C$5:$AA$507,4,))*$F150))</f>
        <v>0</v>
      </c>
      <c r="Q150" s="32"/>
      <c r="R150" s="32">
        <f>IF(VLOOKUP($D150,$C$5:$AA$507,16,)=0,0,((VLOOKUP($D150,$C$5:$AA$507,16,)/VLOOKUP($D150,$C$5:$AA$507,4,))*$F150))</f>
        <v>0</v>
      </c>
      <c r="S150" s="32">
        <f>IF(VLOOKUP($D150,$C$5:$AA$507,17,)=0,0,((VLOOKUP($D150,$C$5:$AA$507,17,)/VLOOKUP($D150,$C$5:$AA$507,4,))*$F150))</f>
        <v>0</v>
      </c>
      <c r="T150" s="32"/>
      <c r="U150" s="32">
        <f>IF(VLOOKUP($D150,$C$5:$AA$507,19,)=0,0,((VLOOKUP($D150,$C$5:$AA$507,19,)/VLOOKUP($D150,$C$5:$AA$507,4,))*$F150))</f>
        <v>0</v>
      </c>
      <c r="V150" s="32"/>
      <c r="W150" s="32">
        <f>IF(VLOOKUP($D150,$C$5:$AA$507,21,)=0,0,((VLOOKUP($D150,$C$5:$AA$507,21,)/VLOOKUP($D150,$C$5:$AA$507,4,))*$F150))</f>
        <v>0</v>
      </c>
      <c r="X150" s="32"/>
      <c r="Y150" s="32">
        <f>IF(VLOOKUP($D150,$C$5:$AA$507,23,)=0,0,((VLOOKUP($D150,$C$5:$AA$507,23,)/VLOOKUP($D150,$C$5:$AA$507,4,))*$F150))</f>
        <v>0</v>
      </c>
      <c r="Z150" s="32"/>
      <c r="AA150" s="32">
        <f>IF(VLOOKUP($D150,$C$5:$AA$507,25,)=0,0,((VLOOKUP($D150,$C$5:$AA$507,25,)/VLOOKUP($D150,$C$5:$AA$507,4,))*$F150))</f>
        <v>0</v>
      </c>
      <c r="AB150" s="32">
        <f>SUM(H150:AA150)</f>
        <v>0</v>
      </c>
      <c r="AC150" s="14" t="str">
        <f>IF(ABS(AB150-F150)&lt;1,"ok","err")</f>
        <v>ok</v>
      </c>
    </row>
    <row r="151" spans="1:29" ht="12.75" hidden="1" x14ac:dyDescent="0.2">
      <c r="F151" s="45"/>
      <c r="G151" s="45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14"/>
    </row>
    <row r="152" spans="1:29" ht="12.75" hidden="1" x14ac:dyDescent="0.2">
      <c r="A152" s="2" t="s">
        <v>902</v>
      </c>
      <c r="F152" s="69">
        <v>0</v>
      </c>
      <c r="G152" s="69"/>
      <c r="H152" s="69">
        <f>SUM(H147:H150)</f>
        <v>0</v>
      </c>
      <c r="I152" s="69">
        <f>SUM(I147:I150)</f>
        <v>0</v>
      </c>
      <c r="J152" s="69"/>
      <c r="K152" s="69">
        <f>SUM(K147:K150)</f>
        <v>0</v>
      </c>
      <c r="L152" s="69"/>
      <c r="M152" s="69">
        <f>SUM(M147:M150)</f>
        <v>0</v>
      </c>
      <c r="N152" s="69"/>
      <c r="O152" s="69">
        <f>SUM(O147:O150)</f>
        <v>0</v>
      </c>
      <c r="P152" s="69">
        <f>SUM(P147:P150)</f>
        <v>0</v>
      </c>
      <c r="Q152" s="69"/>
      <c r="R152" s="69">
        <f>SUM(R147:R150)</f>
        <v>0</v>
      </c>
      <c r="S152" s="69">
        <f>SUM(S147:S150)</f>
        <v>0</v>
      </c>
      <c r="T152" s="69"/>
      <c r="U152" s="69">
        <f>SUM(U147:U150)</f>
        <v>0</v>
      </c>
      <c r="V152" s="69"/>
      <c r="W152" s="69">
        <f>SUM(W147:W150)</f>
        <v>0</v>
      </c>
      <c r="X152" s="69"/>
      <c r="Y152" s="69">
        <f>SUM(Y147:Y150)</f>
        <v>0</v>
      </c>
      <c r="Z152" s="69"/>
      <c r="AA152" s="69">
        <f>SUM(AA147:AA150)</f>
        <v>0</v>
      </c>
      <c r="AB152" s="32">
        <f>SUM(H152:AA152)</f>
        <v>0</v>
      </c>
      <c r="AC152" s="14" t="str">
        <f>IF(ABS(AB152-F152)&lt;1,"ok","err")</f>
        <v>ok</v>
      </c>
    </row>
    <row r="153" spans="1:29" ht="12.75" x14ac:dyDescent="0.2">
      <c r="A153" s="2" t="s">
        <v>92</v>
      </c>
      <c r="C153" s="2" t="s">
        <v>93</v>
      </c>
      <c r="D153" s="2" t="s">
        <v>72</v>
      </c>
      <c r="F153" s="69">
        <v>1343487</v>
      </c>
      <c r="G153" s="69"/>
      <c r="H153" s="32">
        <f>IF(VLOOKUP($D153,$C$5:$AA$507,6,)=0,0,((VLOOKUP($D153,$C$5:$AA$507,6,)/VLOOKUP($D153,$C$5:$AA$507,4,))*$F153))</f>
        <v>16071.177596468504</v>
      </c>
      <c r="I153" s="32">
        <f>IF(VLOOKUP($D153,$C$5:$AA$507,7,)=0,0,((VLOOKUP($D153,$C$5:$AA$507,7,)/VLOOKUP($D153,$C$5:$AA$507,4,))*$F153))</f>
        <v>0</v>
      </c>
      <c r="J153" s="32"/>
      <c r="K153" s="32">
        <f>IF(VLOOKUP($D153,$C$5:$AA$507,9,)=0,0,((VLOOKUP($D153,$C$5:$AA$507,9,)/VLOOKUP($D153,$C$5:$AA$507,4,))*$F153))</f>
        <v>0</v>
      </c>
      <c r="L153" s="32"/>
      <c r="M153" s="32">
        <f>IF(VLOOKUP($D153,$C$5:$AA$507,11,)=0,0,((VLOOKUP($D153,$C$5:$AA$507,11,)/VLOOKUP($D153,$C$5:$AA$507,4,))*$F153))</f>
        <v>484.56017562723372</v>
      </c>
      <c r="N153" s="32"/>
      <c r="O153" s="32">
        <f>IF(VLOOKUP($D153,$C$5:$AA$507,13,)=0,0,((VLOOKUP($D153,$C$5:$AA$507,13,)/VLOOKUP($D153,$C$5:$AA$507,4,))*$F153))</f>
        <v>705517.25519195688</v>
      </c>
      <c r="P153" s="32">
        <f>IF(VLOOKUP($D153,$C$5:$AA$507,14,)=0,0,((VLOOKUP($D153,$C$5:$AA$507,14,)/VLOOKUP($D153,$C$5:$AA$507,4,))*$F153))</f>
        <v>363585.90098157432</v>
      </c>
      <c r="Q153" s="32"/>
      <c r="R153" s="32">
        <f>IF(VLOOKUP($D153,$C$5:$AA$507,16,)=0,0,((VLOOKUP($D153,$C$5:$AA$507,16,)/VLOOKUP($D153,$C$5:$AA$507,4,))*$F153))</f>
        <v>0</v>
      </c>
      <c r="S153" s="32">
        <f>IF(VLOOKUP($D153,$C$5:$AA$507,17,)=0,0,((VLOOKUP($D153,$C$5:$AA$507,17,)/VLOOKUP($D153,$C$5:$AA$507,4,))*$F153))</f>
        <v>132019.33732156001</v>
      </c>
      <c r="T153" s="32"/>
      <c r="U153" s="32">
        <f>IF(VLOOKUP($D153,$C$5:$AA$507,19,)=0,0,((VLOOKUP($D153,$C$5:$AA$507,19,)/VLOOKUP($D153,$C$5:$AA$507,4,))*$F153))</f>
        <v>74405.235700256104</v>
      </c>
      <c r="V153" s="32"/>
      <c r="W153" s="32">
        <f>IF(VLOOKUP($D153,$C$5:$AA$507,21,)=0,0,((VLOOKUP($D153,$C$5:$AA$507,21,)/VLOOKUP($D153,$C$5:$AA$507,4,))*$F153))</f>
        <v>51403.53303255701</v>
      </c>
      <c r="X153" s="32"/>
      <c r="Y153" s="32">
        <f>IF(VLOOKUP($D153,$C$5:$AA$507,23,)=0,0,((VLOOKUP($D153,$C$5:$AA$507,23,)/VLOOKUP($D153,$C$5:$AA$507,4,))*$F153))</f>
        <v>0</v>
      </c>
      <c r="Z153" s="32"/>
      <c r="AA153" s="32">
        <f>IF(VLOOKUP($D153,$C$5:$AA$507,25,)=0,0,((VLOOKUP($D153,$C$5:$AA$507,25,)/VLOOKUP($D153,$C$5:$AA$507,4,))*$F153))</f>
        <v>0</v>
      </c>
      <c r="AB153" s="32">
        <f>SUM(H153:AA153)</f>
        <v>1343487</v>
      </c>
      <c r="AC153" s="14" t="str">
        <f>IF(ABS(AB153-F153)&lt;1,"ok","err")</f>
        <v>ok</v>
      </c>
    </row>
    <row r="154" spans="1:29" ht="12.75" x14ac:dyDescent="0.2">
      <c r="F154" s="45"/>
      <c r="G154" s="45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14"/>
    </row>
    <row r="155" spans="1:29" ht="12.75" x14ac:dyDescent="0.2">
      <c r="A155" s="1" t="s">
        <v>94</v>
      </c>
      <c r="C155" s="2" t="s">
        <v>95</v>
      </c>
      <c r="F155" s="69">
        <f>F137+F144-F153</f>
        <v>88072123.171730772</v>
      </c>
      <c r="G155" s="69"/>
      <c r="H155" s="69">
        <f>H137+H144-H153</f>
        <v>1501914.1530180934</v>
      </c>
      <c r="I155" s="69">
        <f>I137+I144-I153</f>
        <v>0</v>
      </c>
      <c r="J155" s="69"/>
      <c r="K155" s="69">
        <f>K137+K144-K153</f>
        <v>0</v>
      </c>
      <c r="L155" s="69"/>
      <c r="M155" s="69">
        <f>M137+M144-M153</f>
        <v>31217.088518270622</v>
      </c>
      <c r="N155" s="69"/>
      <c r="O155" s="69">
        <f>O137+O144-O153</f>
        <v>46012009.013767079</v>
      </c>
      <c r="P155" s="69">
        <f>P137+P144-P153</f>
        <v>23588984.034348413</v>
      </c>
      <c r="Q155" s="69"/>
      <c r="R155" s="69">
        <f>R137+R144-R153</f>
        <v>0</v>
      </c>
      <c r="S155" s="69">
        <f>S137+S144-S153</f>
        <v>8514989.5821478982</v>
      </c>
      <c r="T155" s="69"/>
      <c r="U155" s="69">
        <f>U137+U144-U153</f>
        <v>4832832.809304432</v>
      </c>
      <c r="V155" s="69"/>
      <c r="W155" s="69">
        <f>W137+W144-W153</f>
        <v>3311598.2731185746</v>
      </c>
      <c r="X155" s="69"/>
      <c r="Y155" s="69">
        <f>Y137+Y144-Y153</f>
        <v>278578.21750799601</v>
      </c>
      <c r="Z155" s="69"/>
      <c r="AA155" s="69">
        <f>AA137+AA144-AA153</f>
        <v>0</v>
      </c>
      <c r="AB155" s="32">
        <f>SUM(H155:AA155)</f>
        <v>88072123.171730757</v>
      </c>
      <c r="AC155" s="14" t="str">
        <f>IF(ABS(AB155-F155)&lt;1,"ok","err")</f>
        <v>ok</v>
      </c>
    </row>
    <row r="156" spans="1:29" x14ac:dyDescent="0.25">
      <c r="Q156" s="2"/>
      <c r="AC156" s="14"/>
    </row>
    <row r="157" spans="1:29" x14ac:dyDescent="0.25">
      <c r="A157" s="12" t="s">
        <v>86</v>
      </c>
      <c r="Q157" s="2"/>
      <c r="AC157" s="14"/>
    </row>
    <row r="158" spans="1:29" x14ac:dyDescent="0.25">
      <c r="A158" s="12"/>
      <c r="Q158" s="2"/>
      <c r="AC158" s="14"/>
    </row>
    <row r="159" spans="1:29" x14ac:dyDescent="0.25">
      <c r="A159" s="1" t="s">
        <v>760</v>
      </c>
      <c r="Q159" s="2"/>
      <c r="AC159" s="14"/>
    </row>
    <row r="160" spans="1:29" ht="12.75" x14ac:dyDescent="0.2">
      <c r="A160" s="2">
        <v>500</v>
      </c>
      <c r="B160" s="2" t="s">
        <v>765</v>
      </c>
      <c r="C160" s="2" t="s">
        <v>778</v>
      </c>
      <c r="D160" s="2" t="s">
        <v>754</v>
      </c>
      <c r="F160" s="45">
        <v>0</v>
      </c>
      <c r="G160" s="45"/>
      <c r="H160" s="32">
        <f t="shared" ref="H160:H168" si="93">IF(VLOOKUP($D160,$C$5:$AA$507,6,)=0,0,((VLOOKUP($D160,$C$5:$AA$507,6,)/VLOOKUP($D160,$C$5:$AA$507,4,))*$F160))</f>
        <v>0</v>
      </c>
      <c r="I160" s="32">
        <f t="shared" ref="I160:I168" si="94">IF(VLOOKUP($D160,$C$5:$AA$507,7,)=0,0,((VLOOKUP($D160,$C$5:$AA$507,7,)/VLOOKUP($D160,$C$5:$AA$507,4,))*$F160))</f>
        <v>0</v>
      </c>
      <c r="J160" s="32"/>
      <c r="K160" s="32">
        <f t="shared" ref="K160:K168" si="95">IF(VLOOKUP($D160,$C$5:$AA$507,9,)=0,0,((VLOOKUP($D160,$C$5:$AA$507,9,)/VLOOKUP($D160,$C$5:$AA$507,4,))*$F160))</f>
        <v>0</v>
      </c>
      <c r="L160" s="32"/>
      <c r="M160" s="32">
        <f t="shared" ref="M160:M168" si="96">IF(VLOOKUP($D160,$C$5:$AA$507,11,)=0,0,((VLOOKUP($D160,$C$5:$AA$507,11,)/VLOOKUP($D160,$C$5:$AA$507,4,))*$F160))</f>
        <v>0</v>
      </c>
      <c r="N160" s="32"/>
      <c r="O160" s="32">
        <f t="shared" ref="O160:O168" si="97">IF(VLOOKUP($D160,$C$5:$AA$507,13,)=0,0,((VLOOKUP($D160,$C$5:$AA$507,13,)/VLOOKUP($D160,$C$5:$AA$507,4,))*$F160))</f>
        <v>0</v>
      </c>
      <c r="P160" s="32">
        <f t="shared" ref="P160:P168" si="98">IF(VLOOKUP($D160,$C$5:$AA$507,14,)=0,0,((VLOOKUP($D160,$C$5:$AA$507,14,)/VLOOKUP($D160,$C$5:$AA$507,4,))*$F160))</f>
        <v>0</v>
      </c>
      <c r="Q160" s="32"/>
      <c r="R160" s="32">
        <f t="shared" ref="R160:R168" si="99">IF(VLOOKUP($D160,$C$5:$AA$507,16,)=0,0,((VLOOKUP($D160,$C$5:$AA$507,16,)/VLOOKUP($D160,$C$5:$AA$507,4,))*$F160))</f>
        <v>0</v>
      </c>
      <c r="S160" s="32">
        <f t="shared" ref="S160:S168" si="100">IF(VLOOKUP($D160,$C$5:$AA$507,17,)=0,0,((VLOOKUP($D160,$C$5:$AA$507,17,)/VLOOKUP($D160,$C$5:$AA$507,4,))*$F160))</f>
        <v>0</v>
      </c>
      <c r="T160" s="32"/>
      <c r="U160" s="32">
        <f t="shared" ref="U160:U168" si="101">IF(VLOOKUP($D160,$C$5:$AA$507,19,)=0,0,((VLOOKUP($D160,$C$5:$AA$507,19,)/VLOOKUP($D160,$C$5:$AA$507,4,))*$F160))</f>
        <v>0</v>
      </c>
      <c r="V160" s="32"/>
      <c r="W160" s="32">
        <f t="shared" ref="W160:W168" si="102">IF(VLOOKUP($D160,$C$5:$AA$507,21,)=0,0,((VLOOKUP($D160,$C$5:$AA$507,21,)/VLOOKUP($D160,$C$5:$AA$507,4,))*$F160))</f>
        <v>0</v>
      </c>
      <c r="X160" s="32"/>
      <c r="Y160" s="32">
        <f t="shared" ref="Y160:Y168" si="103">IF(VLOOKUP($D160,$C$5:$AA$507,23,)=0,0,((VLOOKUP($D160,$C$5:$AA$507,23,)/VLOOKUP($D160,$C$5:$AA$507,4,))*$F160))</f>
        <v>0</v>
      </c>
      <c r="Z160" s="32"/>
      <c r="AA160" s="32">
        <f t="shared" ref="AA160:AA168" si="104">IF(VLOOKUP($D160,$C$5:$AA$507,25,)=0,0,((VLOOKUP($D160,$C$5:$AA$507,25,)/VLOOKUP($D160,$C$5:$AA$507,4,))*$F160))</f>
        <v>0</v>
      </c>
      <c r="AB160" s="32">
        <f t="shared" ref="AB160:AB168" si="105">SUM(H160:AA160)</f>
        <v>0</v>
      </c>
      <c r="AC160" s="14" t="str">
        <f t="shared" ref="AC160:AC168" si="106">IF(ABS(AB160-F160)&lt;1,"ok","err")</f>
        <v>ok</v>
      </c>
    </row>
    <row r="161" spans="1:29" ht="12.75" x14ac:dyDescent="0.2">
      <c r="A161" s="2">
        <v>501</v>
      </c>
      <c r="B161" s="2" t="s">
        <v>766</v>
      </c>
      <c r="C161" s="2" t="s">
        <v>779</v>
      </c>
      <c r="D161" s="2" t="s">
        <v>758</v>
      </c>
      <c r="F161" s="32">
        <v>0</v>
      </c>
      <c r="G161" s="32"/>
      <c r="H161" s="32">
        <f t="shared" si="93"/>
        <v>0</v>
      </c>
      <c r="I161" s="32">
        <f t="shared" si="94"/>
        <v>0</v>
      </c>
      <c r="J161" s="32"/>
      <c r="K161" s="32">
        <f t="shared" si="95"/>
        <v>0</v>
      </c>
      <c r="L161" s="32"/>
      <c r="M161" s="32">
        <f t="shared" si="96"/>
        <v>0</v>
      </c>
      <c r="N161" s="32"/>
      <c r="O161" s="32">
        <f t="shared" si="97"/>
        <v>0</v>
      </c>
      <c r="P161" s="32">
        <f t="shared" si="98"/>
        <v>0</v>
      </c>
      <c r="Q161" s="32"/>
      <c r="R161" s="32">
        <f t="shared" si="99"/>
        <v>0</v>
      </c>
      <c r="S161" s="32">
        <f t="shared" si="100"/>
        <v>0</v>
      </c>
      <c r="T161" s="32"/>
      <c r="U161" s="32">
        <f t="shared" si="101"/>
        <v>0</v>
      </c>
      <c r="V161" s="32"/>
      <c r="W161" s="32">
        <f t="shared" si="102"/>
        <v>0</v>
      </c>
      <c r="X161" s="32"/>
      <c r="Y161" s="32">
        <f t="shared" si="103"/>
        <v>0</v>
      </c>
      <c r="Z161" s="32"/>
      <c r="AA161" s="32">
        <f t="shared" si="104"/>
        <v>0</v>
      </c>
      <c r="AB161" s="32">
        <f t="shared" si="105"/>
        <v>0</v>
      </c>
      <c r="AC161" s="14" t="str">
        <f t="shared" si="106"/>
        <v>ok</v>
      </c>
    </row>
    <row r="162" spans="1:29" ht="12.75" x14ac:dyDescent="0.2">
      <c r="A162" s="2">
        <v>502</v>
      </c>
      <c r="B162" s="2" t="s">
        <v>767</v>
      </c>
      <c r="C162" s="2" t="s">
        <v>780</v>
      </c>
      <c r="D162" s="2" t="s">
        <v>552</v>
      </c>
      <c r="F162" s="32">
        <v>0</v>
      </c>
      <c r="G162" s="32"/>
      <c r="H162" s="32">
        <f t="shared" si="93"/>
        <v>0</v>
      </c>
      <c r="I162" s="32">
        <f t="shared" si="94"/>
        <v>0</v>
      </c>
      <c r="J162" s="32"/>
      <c r="K162" s="32">
        <f t="shared" si="95"/>
        <v>0</v>
      </c>
      <c r="L162" s="32"/>
      <c r="M162" s="32">
        <f t="shared" si="96"/>
        <v>0</v>
      </c>
      <c r="N162" s="32"/>
      <c r="O162" s="32">
        <f t="shared" si="97"/>
        <v>0</v>
      </c>
      <c r="P162" s="32">
        <f t="shared" si="98"/>
        <v>0</v>
      </c>
      <c r="Q162" s="32"/>
      <c r="R162" s="32">
        <f t="shared" si="99"/>
        <v>0</v>
      </c>
      <c r="S162" s="32">
        <f t="shared" si="100"/>
        <v>0</v>
      </c>
      <c r="T162" s="32"/>
      <c r="U162" s="32">
        <f t="shared" si="101"/>
        <v>0</v>
      </c>
      <c r="V162" s="32"/>
      <c r="W162" s="32">
        <f t="shared" si="102"/>
        <v>0</v>
      </c>
      <c r="X162" s="32"/>
      <c r="Y162" s="32">
        <f t="shared" si="103"/>
        <v>0</v>
      </c>
      <c r="Z162" s="32"/>
      <c r="AA162" s="32">
        <f t="shared" si="104"/>
        <v>0</v>
      </c>
      <c r="AB162" s="32">
        <f t="shared" si="105"/>
        <v>0</v>
      </c>
      <c r="AC162" s="14" t="str">
        <f t="shared" si="106"/>
        <v>ok</v>
      </c>
    </row>
    <row r="163" spans="1:29" ht="12.75" x14ac:dyDescent="0.2">
      <c r="A163" s="2">
        <v>503</v>
      </c>
      <c r="B163" s="2" t="s">
        <v>768</v>
      </c>
      <c r="C163" s="2" t="s">
        <v>781</v>
      </c>
      <c r="D163" s="2" t="s">
        <v>552</v>
      </c>
      <c r="F163" s="32">
        <v>0</v>
      </c>
      <c r="G163" s="32"/>
      <c r="H163" s="32">
        <f t="shared" si="93"/>
        <v>0</v>
      </c>
      <c r="I163" s="32">
        <f t="shared" si="94"/>
        <v>0</v>
      </c>
      <c r="J163" s="32"/>
      <c r="K163" s="32">
        <f t="shared" si="95"/>
        <v>0</v>
      </c>
      <c r="L163" s="32"/>
      <c r="M163" s="32">
        <f t="shared" si="96"/>
        <v>0</v>
      </c>
      <c r="N163" s="32"/>
      <c r="O163" s="32">
        <f t="shared" si="97"/>
        <v>0</v>
      </c>
      <c r="P163" s="32">
        <f t="shared" si="98"/>
        <v>0</v>
      </c>
      <c r="Q163" s="32"/>
      <c r="R163" s="32">
        <f t="shared" si="99"/>
        <v>0</v>
      </c>
      <c r="S163" s="32">
        <f t="shared" si="100"/>
        <v>0</v>
      </c>
      <c r="T163" s="32"/>
      <c r="U163" s="32">
        <f t="shared" si="101"/>
        <v>0</v>
      </c>
      <c r="V163" s="32"/>
      <c r="W163" s="32">
        <f t="shared" si="102"/>
        <v>0</v>
      </c>
      <c r="X163" s="32"/>
      <c r="Y163" s="32">
        <f t="shared" si="103"/>
        <v>0</v>
      </c>
      <c r="Z163" s="32"/>
      <c r="AA163" s="32">
        <f t="shared" si="104"/>
        <v>0</v>
      </c>
      <c r="AB163" s="32">
        <f t="shared" si="105"/>
        <v>0</v>
      </c>
      <c r="AC163" s="14" t="str">
        <f t="shared" si="106"/>
        <v>ok</v>
      </c>
    </row>
    <row r="164" spans="1:29" ht="12.75" x14ac:dyDescent="0.2">
      <c r="A164" s="2">
        <v>504</v>
      </c>
      <c r="B164" s="2" t="s">
        <v>769</v>
      </c>
      <c r="C164" s="2" t="s">
        <v>782</v>
      </c>
      <c r="D164" s="2" t="s">
        <v>552</v>
      </c>
      <c r="F164" s="32">
        <v>0</v>
      </c>
      <c r="G164" s="32"/>
      <c r="H164" s="32">
        <f t="shared" si="93"/>
        <v>0</v>
      </c>
      <c r="I164" s="32">
        <f t="shared" si="94"/>
        <v>0</v>
      </c>
      <c r="J164" s="32"/>
      <c r="K164" s="32">
        <f t="shared" si="95"/>
        <v>0</v>
      </c>
      <c r="L164" s="32"/>
      <c r="M164" s="32">
        <f t="shared" si="96"/>
        <v>0</v>
      </c>
      <c r="N164" s="32"/>
      <c r="O164" s="32">
        <f t="shared" si="97"/>
        <v>0</v>
      </c>
      <c r="P164" s="32">
        <f t="shared" si="98"/>
        <v>0</v>
      </c>
      <c r="Q164" s="32"/>
      <c r="R164" s="32">
        <f t="shared" si="99"/>
        <v>0</v>
      </c>
      <c r="S164" s="32">
        <f t="shared" si="100"/>
        <v>0</v>
      </c>
      <c r="T164" s="32"/>
      <c r="U164" s="32">
        <f t="shared" si="101"/>
        <v>0</v>
      </c>
      <c r="V164" s="32"/>
      <c r="W164" s="32">
        <f t="shared" si="102"/>
        <v>0</v>
      </c>
      <c r="X164" s="32"/>
      <c r="Y164" s="32">
        <f t="shared" si="103"/>
        <v>0</v>
      </c>
      <c r="Z164" s="32"/>
      <c r="AA164" s="32">
        <f t="shared" si="104"/>
        <v>0</v>
      </c>
      <c r="AB164" s="32">
        <f t="shared" si="105"/>
        <v>0</v>
      </c>
      <c r="AC164" s="14" t="str">
        <f t="shared" si="106"/>
        <v>ok</v>
      </c>
    </row>
    <row r="165" spans="1:29" ht="12.75" x14ac:dyDescent="0.2">
      <c r="A165" s="2">
        <v>505</v>
      </c>
      <c r="B165" s="2" t="s">
        <v>770</v>
      </c>
      <c r="C165" s="2" t="s">
        <v>783</v>
      </c>
      <c r="D165" s="2" t="s">
        <v>552</v>
      </c>
      <c r="F165" s="32">
        <v>0</v>
      </c>
      <c r="G165" s="32"/>
      <c r="H165" s="32">
        <f t="shared" si="93"/>
        <v>0</v>
      </c>
      <c r="I165" s="32">
        <f t="shared" si="94"/>
        <v>0</v>
      </c>
      <c r="J165" s="32"/>
      <c r="K165" s="32">
        <f t="shared" si="95"/>
        <v>0</v>
      </c>
      <c r="L165" s="32"/>
      <c r="M165" s="32">
        <f t="shared" si="96"/>
        <v>0</v>
      </c>
      <c r="N165" s="32"/>
      <c r="O165" s="32">
        <f t="shared" si="97"/>
        <v>0</v>
      </c>
      <c r="P165" s="32">
        <f t="shared" si="98"/>
        <v>0</v>
      </c>
      <c r="Q165" s="32"/>
      <c r="R165" s="32">
        <f t="shared" si="99"/>
        <v>0</v>
      </c>
      <c r="S165" s="32">
        <f t="shared" si="100"/>
        <v>0</v>
      </c>
      <c r="T165" s="32"/>
      <c r="U165" s="32">
        <f t="shared" si="101"/>
        <v>0</v>
      </c>
      <c r="V165" s="32"/>
      <c r="W165" s="32">
        <f t="shared" si="102"/>
        <v>0</v>
      </c>
      <c r="X165" s="32"/>
      <c r="Y165" s="32">
        <f t="shared" si="103"/>
        <v>0</v>
      </c>
      <c r="Z165" s="32"/>
      <c r="AA165" s="32">
        <f t="shared" si="104"/>
        <v>0</v>
      </c>
      <c r="AB165" s="32">
        <f t="shared" si="105"/>
        <v>0</v>
      </c>
      <c r="AC165" s="14" t="str">
        <f t="shared" si="106"/>
        <v>ok</v>
      </c>
    </row>
    <row r="166" spans="1:29" ht="12.75" x14ac:dyDescent="0.2">
      <c r="A166" s="2">
        <v>506</v>
      </c>
      <c r="B166" s="2" t="s">
        <v>771</v>
      </c>
      <c r="C166" s="2" t="s">
        <v>784</v>
      </c>
      <c r="D166" s="2" t="s">
        <v>552</v>
      </c>
      <c r="F166" s="32">
        <v>0</v>
      </c>
      <c r="G166" s="32"/>
      <c r="H166" s="32">
        <f t="shared" si="93"/>
        <v>0</v>
      </c>
      <c r="I166" s="32">
        <f t="shared" si="94"/>
        <v>0</v>
      </c>
      <c r="J166" s="32"/>
      <c r="K166" s="32">
        <f t="shared" si="95"/>
        <v>0</v>
      </c>
      <c r="L166" s="32"/>
      <c r="M166" s="32">
        <f t="shared" si="96"/>
        <v>0</v>
      </c>
      <c r="N166" s="32"/>
      <c r="O166" s="32">
        <f t="shared" si="97"/>
        <v>0</v>
      </c>
      <c r="P166" s="32">
        <f t="shared" si="98"/>
        <v>0</v>
      </c>
      <c r="Q166" s="32"/>
      <c r="R166" s="32">
        <f t="shared" si="99"/>
        <v>0</v>
      </c>
      <c r="S166" s="32">
        <f t="shared" si="100"/>
        <v>0</v>
      </c>
      <c r="T166" s="32"/>
      <c r="U166" s="32">
        <f t="shared" si="101"/>
        <v>0</v>
      </c>
      <c r="V166" s="32"/>
      <c r="W166" s="32">
        <f t="shared" si="102"/>
        <v>0</v>
      </c>
      <c r="X166" s="32"/>
      <c r="Y166" s="32">
        <f t="shared" si="103"/>
        <v>0</v>
      </c>
      <c r="Z166" s="32"/>
      <c r="AA166" s="32">
        <f t="shared" si="104"/>
        <v>0</v>
      </c>
      <c r="AB166" s="32">
        <f t="shared" si="105"/>
        <v>0</v>
      </c>
      <c r="AC166" s="14" t="str">
        <f t="shared" si="106"/>
        <v>ok</v>
      </c>
    </row>
    <row r="167" spans="1:29" ht="12.75" x14ac:dyDescent="0.2">
      <c r="A167" s="2">
        <v>507</v>
      </c>
      <c r="B167" s="2" t="s">
        <v>115</v>
      </c>
      <c r="C167" s="2" t="s">
        <v>785</v>
      </c>
      <c r="D167" s="2" t="s">
        <v>552</v>
      </c>
      <c r="F167" s="32">
        <v>0</v>
      </c>
      <c r="G167" s="32"/>
      <c r="H167" s="32">
        <f t="shared" si="93"/>
        <v>0</v>
      </c>
      <c r="I167" s="32">
        <f t="shared" si="94"/>
        <v>0</v>
      </c>
      <c r="J167" s="32"/>
      <c r="K167" s="32">
        <f t="shared" si="95"/>
        <v>0</v>
      </c>
      <c r="L167" s="32"/>
      <c r="M167" s="32">
        <f t="shared" si="96"/>
        <v>0</v>
      </c>
      <c r="N167" s="32"/>
      <c r="O167" s="32">
        <f t="shared" si="97"/>
        <v>0</v>
      </c>
      <c r="P167" s="32">
        <f t="shared" si="98"/>
        <v>0</v>
      </c>
      <c r="Q167" s="32"/>
      <c r="R167" s="32">
        <f t="shared" si="99"/>
        <v>0</v>
      </c>
      <c r="S167" s="32">
        <f t="shared" si="100"/>
        <v>0</v>
      </c>
      <c r="T167" s="32"/>
      <c r="U167" s="32">
        <f t="shared" si="101"/>
        <v>0</v>
      </c>
      <c r="V167" s="32"/>
      <c r="W167" s="32">
        <f t="shared" si="102"/>
        <v>0</v>
      </c>
      <c r="X167" s="32"/>
      <c r="Y167" s="32">
        <f t="shared" si="103"/>
        <v>0</v>
      </c>
      <c r="Z167" s="32"/>
      <c r="AA167" s="32">
        <f t="shared" si="104"/>
        <v>0</v>
      </c>
      <c r="AB167" s="32">
        <f t="shared" si="105"/>
        <v>0</v>
      </c>
      <c r="AC167" s="14" t="str">
        <f t="shared" si="106"/>
        <v>ok</v>
      </c>
    </row>
    <row r="168" spans="1:29" ht="12.75" x14ac:dyDescent="0.2">
      <c r="A168" s="2">
        <v>509</v>
      </c>
      <c r="B168" s="2" t="s">
        <v>772</v>
      </c>
      <c r="C168" s="2" t="s">
        <v>786</v>
      </c>
      <c r="D168" s="2" t="s">
        <v>758</v>
      </c>
      <c r="F168" s="32">
        <v>0</v>
      </c>
      <c r="G168" s="32"/>
      <c r="H168" s="32">
        <f t="shared" si="93"/>
        <v>0</v>
      </c>
      <c r="I168" s="32">
        <f t="shared" si="94"/>
        <v>0</v>
      </c>
      <c r="J168" s="32"/>
      <c r="K168" s="32">
        <f t="shared" si="95"/>
        <v>0</v>
      </c>
      <c r="L168" s="32"/>
      <c r="M168" s="32">
        <f t="shared" si="96"/>
        <v>0</v>
      </c>
      <c r="N168" s="32"/>
      <c r="O168" s="32">
        <f t="shared" si="97"/>
        <v>0</v>
      </c>
      <c r="P168" s="32">
        <f t="shared" si="98"/>
        <v>0</v>
      </c>
      <c r="Q168" s="32"/>
      <c r="R168" s="32">
        <f t="shared" si="99"/>
        <v>0</v>
      </c>
      <c r="S168" s="32">
        <f t="shared" si="100"/>
        <v>0</v>
      </c>
      <c r="T168" s="32"/>
      <c r="U168" s="32">
        <f t="shared" si="101"/>
        <v>0</v>
      </c>
      <c r="V168" s="32"/>
      <c r="W168" s="32">
        <f t="shared" si="102"/>
        <v>0</v>
      </c>
      <c r="X168" s="32"/>
      <c r="Y168" s="32">
        <f t="shared" si="103"/>
        <v>0</v>
      </c>
      <c r="Z168" s="32"/>
      <c r="AA168" s="32">
        <f t="shared" si="104"/>
        <v>0</v>
      </c>
      <c r="AB168" s="32">
        <f t="shared" si="105"/>
        <v>0</v>
      </c>
      <c r="AC168" s="14" t="str">
        <f t="shared" si="106"/>
        <v>ok</v>
      </c>
    </row>
    <row r="169" spans="1:29" ht="12.75" x14ac:dyDescent="0.2"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C169" s="14"/>
    </row>
    <row r="170" spans="1:29" ht="12.75" x14ac:dyDescent="0.2">
      <c r="A170" s="2" t="s">
        <v>764</v>
      </c>
      <c r="C170" s="2" t="s">
        <v>787</v>
      </c>
      <c r="F170" s="45">
        <f>SUM(F160:F169)</f>
        <v>0</v>
      </c>
      <c r="G170" s="45"/>
      <c r="H170" s="45">
        <f>SUM(H160:H169)</f>
        <v>0</v>
      </c>
      <c r="I170" s="45">
        <f>SUM(I160:I169)</f>
        <v>0</v>
      </c>
      <c r="J170" s="45"/>
      <c r="K170" s="45">
        <f>SUM(K160:K169)</f>
        <v>0</v>
      </c>
      <c r="L170" s="45"/>
      <c r="M170" s="45">
        <f>SUM(M160:M169)</f>
        <v>0</v>
      </c>
      <c r="N170" s="45"/>
      <c r="O170" s="45">
        <f>SUM(O160:O169)</f>
        <v>0</v>
      </c>
      <c r="P170" s="45">
        <f>SUM(P160:P169)</f>
        <v>0</v>
      </c>
      <c r="Q170" s="45"/>
      <c r="R170" s="45">
        <f>SUM(R160:R169)</f>
        <v>0</v>
      </c>
      <c r="S170" s="45">
        <f>SUM(S160:S169)</f>
        <v>0</v>
      </c>
      <c r="T170" s="45"/>
      <c r="U170" s="45">
        <f>SUM(U160:U169)</f>
        <v>0</v>
      </c>
      <c r="V170" s="45"/>
      <c r="W170" s="45">
        <f>SUM(W160:W169)</f>
        <v>0</v>
      </c>
      <c r="X170" s="45"/>
      <c r="Y170" s="45">
        <f>SUM(Y160:Y169)</f>
        <v>0</v>
      </c>
      <c r="Z170" s="45"/>
      <c r="AA170" s="45">
        <f>SUM(AA160:AA169)</f>
        <v>0</v>
      </c>
      <c r="AB170" s="32">
        <f>SUM(H170:AA170)</f>
        <v>0</v>
      </c>
      <c r="AC170" s="14" t="str">
        <f>IF(ABS(AB170-F170)&lt;1,"ok","err")</f>
        <v>ok</v>
      </c>
    </row>
    <row r="171" spans="1:29" ht="12.75" x14ac:dyDescent="0.2">
      <c r="A171" s="1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C171" s="14"/>
    </row>
    <row r="172" spans="1:29" ht="12.75" x14ac:dyDescent="0.2">
      <c r="A172" s="1" t="s">
        <v>761</v>
      </c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C172" s="14"/>
    </row>
    <row r="173" spans="1:29" ht="12.75" x14ac:dyDescent="0.2">
      <c r="A173" s="2">
        <v>510</v>
      </c>
      <c r="B173" s="2" t="s">
        <v>773</v>
      </c>
      <c r="C173" s="2" t="s">
        <v>789</v>
      </c>
      <c r="D173" s="2" t="s">
        <v>758</v>
      </c>
      <c r="F173" s="45">
        <v>0</v>
      </c>
      <c r="G173" s="45"/>
      <c r="H173" s="32">
        <f>IF(VLOOKUP($D173,$C$5:$AA$507,6,)=0,0,((VLOOKUP($D173,$C$5:$AA$507,6,)/VLOOKUP($D173,$C$5:$AA$507,4,))*$F173))</f>
        <v>0</v>
      </c>
      <c r="I173" s="32">
        <f>IF(VLOOKUP($D173,$C$5:$AA$507,7,)=0,0,((VLOOKUP($D173,$C$5:$AA$507,7,)/VLOOKUP($D173,$C$5:$AA$507,4,))*$F173))</f>
        <v>0</v>
      </c>
      <c r="J173" s="32"/>
      <c r="K173" s="32">
        <f>IF(VLOOKUP($D173,$C$5:$AA$507,9,)=0,0,((VLOOKUP($D173,$C$5:$AA$507,9,)/VLOOKUP($D173,$C$5:$AA$507,4,))*$F173))</f>
        <v>0</v>
      </c>
      <c r="L173" s="32"/>
      <c r="M173" s="32">
        <f>IF(VLOOKUP($D173,$C$5:$AA$507,11,)=0,0,((VLOOKUP($D173,$C$5:$AA$507,11,)/VLOOKUP($D173,$C$5:$AA$507,4,))*$F173))</f>
        <v>0</v>
      </c>
      <c r="N173" s="32"/>
      <c r="O173" s="32">
        <f>IF(VLOOKUP($D173,$C$5:$AA$507,13,)=0,0,((VLOOKUP($D173,$C$5:$AA$507,13,)/VLOOKUP($D173,$C$5:$AA$507,4,))*$F173))</f>
        <v>0</v>
      </c>
      <c r="P173" s="32">
        <f>IF(VLOOKUP($D173,$C$5:$AA$507,14,)=0,0,((VLOOKUP($D173,$C$5:$AA$507,14,)/VLOOKUP($D173,$C$5:$AA$507,4,))*$F173))</f>
        <v>0</v>
      </c>
      <c r="Q173" s="32"/>
      <c r="R173" s="32">
        <f>IF(VLOOKUP($D173,$C$5:$AA$507,16,)=0,0,((VLOOKUP($D173,$C$5:$AA$507,16,)/VLOOKUP($D173,$C$5:$AA$507,4,))*$F173))</f>
        <v>0</v>
      </c>
      <c r="S173" s="32">
        <f>IF(VLOOKUP($D173,$C$5:$AA$507,17,)=0,0,((VLOOKUP($D173,$C$5:$AA$507,17,)/VLOOKUP($D173,$C$5:$AA$507,4,))*$F173))</f>
        <v>0</v>
      </c>
      <c r="T173" s="32"/>
      <c r="U173" s="32">
        <f>IF(VLOOKUP($D173,$C$5:$AA$507,19,)=0,0,((VLOOKUP($D173,$C$5:$AA$507,19,)/VLOOKUP($D173,$C$5:$AA$507,4,))*$F173))</f>
        <v>0</v>
      </c>
      <c r="V173" s="32"/>
      <c r="W173" s="32">
        <f>IF(VLOOKUP($D173,$C$5:$AA$507,21,)=0,0,((VLOOKUP($D173,$C$5:$AA$507,21,)/VLOOKUP($D173,$C$5:$AA$507,4,))*$F173))</f>
        <v>0</v>
      </c>
      <c r="X173" s="32"/>
      <c r="Y173" s="32">
        <f>IF(VLOOKUP($D173,$C$5:$AA$507,23,)=0,0,((VLOOKUP($D173,$C$5:$AA$507,23,)/VLOOKUP($D173,$C$5:$AA$507,4,))*$F173))</f>
        <v>0</v>
      </c>
      <c r="Z173" s="32"/>
      <c r="AA173" s="32">
        <f>IF(VLOOKUP($D173,$C$5:$AA$507,25,)=0,0,((VLOOKUP($D173,$C$5:$AA$507,25,)/VLOOKUP($D173,$C$5:$AA$507,4,))*$F173))</f>
        <v>0</v>
      </c>
      <c r="AB173" s="32">
        <f>SUM(H173:AA173)</f>
        <v>0</v>
      </c>
      <c r="AC173" s="14" t="str">
        <f>IF(ABS(AB173-F173)&lt;1,"ok","err")</f>
        <v>ok</v>
      </c>
    </row>
    <row r="174" spans="1:29" ht="12.75" x14ac:dyDescent="0.2">
      <c r="A174" s="2">
        <v>511</v>
      </c>
      <c r="B174" s="2" t="s">
        <v>774</v>
      </c>
      <c r="C174" s="2" t="s">
        <v>790</v>
      </c>
      <c r="D174" s="2" t="s">
        <v>552</v>
      </c>
      <c r="F174" s="32">
        <v>0</v>
      </c>
      <c r="G174" s="32"/>
      <c r="H174" s="32">
        <f>IF(VLOOKUP($D174,$C$5:$AA$507,6,)=0,0,((VLOOKUP($D174,$C$5:$AA$507,6,)/VLOOKUP($D174,$C$5:$AA$507,4,))*$F174))</f>
        <v>0</v>
      </c>
      <c r="I174" s="32">
        <f>IF(VLOOKUP($D174,$C$5:$AA$507,7,)=0,0,((VLOOKUP($D174,$C$5:$AA$507,7,)/VLOOKUP($D174,$C$5:$AA$507,4,))*$F174))</f>
        <v>0</v>
      </c>
      <c r="J174" s="32"/>
      <c r="K174" s="32">
        <f>IF(VLOOKUP($D174,$C$5:$AA$507,9,)=0,0,((VLOOKUP($D174,$C$5:$AA$507,9,)/VLOOKUP($D174,$C$5:$AA$507,4,))*$F174))</f>
        <v>0</v>
      </c>
      <c r="L174" s="32"/>
      <c r="M174" s="32">
        <f>IF(VLOOKUP($D174,$C$5:$AA$507,11,)=0,0,((VLOOKUP($D174,$C$5:$AA$507,11,)/VLOOKUP($D174,$C$5:$AA$507,4,))*$F174))</f>
        <v>0</v>
      </c>
      <c r="N174" s="32"/>
      <c r="O174" s="32">
        <f>IF(VLOOKUP($D174,$C$5:$AA$507,13,)=0,0,((VLOOKUP($D174,$C$5:$AA$507,13,)/VLOOKUP($D174,$C$5:$AA$507,4,))*$F174))</f>
        <v>0</v>
      </c>
      <c r="P174" s="32">
        <f>IF(VLOOKUP($D174,$C$5:$AA$507,14,)=0,0,((VLOOKUP($D174,$C$5:$AA$507,14,)/VLOOKUP($D174,$C$5:$AA$507,4,))*$F174))</f>
        <v>0</v>
      </c>
      <c r="Q174" s="32"/>
      <c r="R174" s="32">
        <f>IF(VLOOKUP($D174,$C$5:$AA$507,16,)=0,0,((VLOOKUP($D174,$C$5:$AA$507,16,)/VLOOKUP($D174,$C$5:$AA$507,4,))*$F174))</f>
        <v>0</v>
      </c>
      <c r="S174" s="32">
        <f>IF(VLOOKUP($D174,$C$5:$AA$507,17,)=0,0,((VLOOKUP($D174,$C$5:$AA$507,17,)/VLOOKUP($D174,$C$5:$AA$507,4,))*$F174))</f>
        <v>0</v>
      </c>
      <c r="T174" s="32"/>
      <c r="U174" s="32">
        <f>IF(VLOOKUP($D174,$C$5:$AA$507,19,)=0,0,((VLOOKUP($D174,$C$5:$AA$507,19,)/VLOOKUP($D174,$C$5:$AA$507,4,))*$F174))</f>
        <v>0</v>
      </c>
      <c r="V174" s="32"/>
      <c r="W174" s="32">
        <f>IF(VLOOKUP($D174,$C$5:$AA$507,21,)=0,0,((VLOOKUP($D174,$C$5:$AA$507,21,)/VLOOKUP($D174,$C$5:$AA$507,4,))*$F174))</f>
        <v>0</v>
      </c>
      <c r="X174" s="32"/>
      <c r="Y174" s="32">
        <f>IF(VLOOKUP($D174,$C$5:$AA$507,23,)=0,0,((VLOOKUP($D174,$C$5:$AA$507,23,)/VLOOKUP($D174,$C$5:$AA$507,4,))*$F174))</f>
        <v>0</v>
      </c>
      <c r="Z174" s="32"/>
      <c r="AA174" s="32">
        <f>IF(VLOOKUP($D174,$C$5:$AA$507,25,)=0,0,((VLOOKUP($D174,$C$5:$AA$507,25,)/VLOOKUP($D174,$C$5:$AA$507,4,))*$F174))</f>
        <v>0</v>
      </c>
      <c r="AB174" s="32">
        <f>SUM(H174:AA174)</f>
        <v>0</v>
      </c>
      <c r="AC174" s="14" t="str">
        <f>IF(ABS(AB174-F174)&lt;1,"ok","err")</f>
        <v>ok</v>
      </c>
    </row>
    <row r="175" spans="1:29" ht="12.75" x14ac:dyDescent="0.2">
      <c r="A175" s="2">
        <v>512</v>
      </c>
      <c r="B175" s="2" t="s">
        <v>775</v>
      </c>
      <c r="C175" s="2" t="s">
        <v>791</v>
      </c>
      <c r="D175" s="2" t="s">
        <v>758</v>
      </c>
      <c r="F175" s="32">
        <v>0</v>
      </c>
      <c r="G175" s="32"/>
      <c r="H175" s="32">
        <f>IF(VLOOKUP($D175,$C$5:$AA$507,6,)=0,0,((VLOOKUP($D175,$C$5:$AA$507,6,)/VLOOKUP($D175,$C$5:$AA$507,4,))*$F175))</f>
        <v>0</v>
      </c>
      <c r="I175" s="32">
        <f>IF(VLOOKUP($D175,$C$5:$AA$507,7,)=0,0,((VLOOKUP($D175,$C$5:$AA$507,7,)/VLOOKUP($D175,$C$5:$AA$507,4,))*$F175))</f>
        <v>0</v>
      </c>
      <c r="J175" s="32"/>
      <c r="K175" s="32">
        <f>IF(VLOOKUP($D175,$C$5:$AA$507,9,)=0,0,((VLOOKUP($D175,$C$5:$AA$507,9,)/VLOOKUP($D175,$C$5:$AA$507,4,))*$F175))</f>
        <v>0</v>
      </c>
      <c r="L175" s="32"/>
      <c r="M175" s="32">
        <f>IF(VLOOKUP($D175,$C$5:$AA$507,11,)=0,0,((VLOOKUP($D175,$C$5:$AA$507,11,)/VLOOKUP($D175,$C$5:$AA$507,4,))*$F175))</f>
        <v>0</v>
      </c>
      <c r="N175" s="32"/>
      <c r="O175" s="32">
        <f>IF(VLOOKUP($D175,$C$5:$AA$507,13,)=0,0,((VLOOKUP($D175,$C$5:$AA$507,13,)/VLOOKUP($D175,$C$5:$AA$507,4,))*$F175))</f>
        <v>0</v>
      </c>
      <c r="P175" s="32">
        <f>IF(VLOOKUP($D175,$C$5:$AA$507,14,)=0,0,((VLOOKUP($D175,$C$5:$AA$507,14,)/VLOOKUP($D175,$C$5:$AA$507,4,))*$F175))</f>
        <v>0</v>
      </c>
      <c r="Q175" s="32"/>
      <c r="R175" s="32">
        <f>IF(VLOOKUP($D175,$C$5:$AA$507,16,)=0,0,((VLOOKUP($D175,$C$5:$AA$507,16,)/VLOOKUP($D175,$C$5:$AA$507,4,))*$F175))</f>
        <v>0</v>
      </c>
      <c r="S175" s="32">
        <f>IF(VLOOKUP($D175,$C$5:$AA$507,17,)=0,0,((VLOOKUP($D175,$C$5:$AA$507,17,)/VLOOKUP($D175,$C$5:$AA$507,4,))*$F175))</f>
        <v>0</v>
      </c>
      <c r="T175" s="32"/>
      <c r="U175" s="32">
        <f>IF(VLOOKUP($D175,$C$5:$AA$507,19,)=0,0,((VLOOKUP($D175,$C$5:$AA$507,19,)/VLOOKUP($D175,$C$5:$AA$507,4,))*$F175))</f>
        <v>0</v>
      </c>
      <c r="V175" s="32"/>
      <c r="W175" s="32">
        <f>IF(VLOOKUP($D175,$C$5:$AA$507,21,)=0,0,((VLOOKUP($D175,$C$5:$AA$507,21,)/VLOOKUP($D175,$C$5:$AA$507,4,))*$F175))</f>
        <v>0</v>
      </c>
      <c r="X175" s="32"/>
      <c r="Y175" s="32">
        <f>IF(VLOOKUP($D175,$C$5:$AA$507,23,)=0,0,((VLOOKUP($D175,$C$5:$AA$507,23,)/VLOOKUP($D175,$C$5:$AA$507,4,))*$F175))</f>
        <v>0</v>
      </c>
      <c r="Z175" s="32"/>
      <c r="AA175" s="32">
        <f>IF(VLOOKUP($D175,$C$5:$AA$507,25,)=0,0,((VLOOKUP($D175,$C$5:$AA$507,25,)/VLOOKUP($D175,$C$5:$AA$507,4,))*$F175))</f>
        <v>0</v>
      </c>
      <c r="AB175" s="32">
        <f>SUM(H175:AA175)</f>
        <v>0</v>
      </c>
      <c r="AC175" s="14" t="str">
        <f>IF(ABS(AB175-F175)&lt;1,"ok","err")</f>
        <v>ok</v>
      </c>
    </row>
    <row r="176" spans="1:29" ht="12.75" x14ac:dyDescent="0.2">
      <c r="A176" s="2">
        <v>513</v>
      </c>
      <c r="B176" s="2" t="s">
        <v>776</v>
      </c>
      <c r="C176" s="2" t="s">
        <v>792</v>
      </c>
      <c r="D176" s="2" t="s">
        <v>758</v>
      </c>
      <c r="F176" s="32">
        <v>0</v>
      </c>
      <c r="G176" s="32"/>
      <c r="H176" s="32">
        <f>IF(VLOOKUP($D176,$C$5:$AA$507,6,)=0,0,((VLOOKUP($D176,$C$5:$AA$507,6,)/VLOOKUP($D176,$C$5:$AA$507,4,))*$F176))</f>
        <v>0</v>
      </c>
      <c r="I176" s="32">
        <f>IF(VLOOKUP($D176,$C$5:$AA$507,7,)=0,0,((VLOOKUP($D176,$C$5:$AA$507,7,)/VLOOKUP($D176,$C$5:$AA$507,4,))*$F176))</f>
        <v>0</v>
      </c>
      <c r="J176" s="32"/>
      <c r="K176" s="32">
        <f>IF(VLOOKUP($D176,$C$5:$AA$507,9,)=0,0,((VLOOKUP($D176,$C$5:$AA$507,9,)/VLOOKUP($D176,$C$5:$AA$507,4,))*$F176))</f>
        <v>0</v>
      </c>
      <c r="L176" s="32"/>
      <c r="M176" s="32">
        <f>IF(VLOOKUP($D176,$C$5:$AA$507,11,)=0,0,((VLOOKUP($D176,$C$5:$AA$507,11,)/VLOOKUP($D176,$C$5:$AA$507,4,))*$F176))</f>
        <v>0</v>
      </c>
      <c r="N176" s="32"/>
      <c r="O176" s="32">
        <f>IF(VLOOKUP($D176,$C$5:$AA$507,13,)=0,0,((VLOOKUP($D176,$C$5:$AA$507,13,)/VLOOKUP($D176,$C$5:$AA$507,4,))*$F176))</f>
        <v>0</v>
      </c>
      <c r="P176" s="32">
        <f>IF(VLOOKUP($D176,$C$5:$AA$507,14,)=0,0,((VLOOKUP($D176,$C$5:$AA$507,14,)/VLOOKUP($D176,$C$5:$AA$507,4,))*$F176))</f>
        <v>0</v>
      </c>
      <c r="Q176" s="32"/>
      <c r="R176" s="32">
        <f>IF(VLOOKUP($D176,$C$5:$AA$507,16,)=0,0,((VLOOKUP($D176,$C$5:$AA$507,16,)/VLOOKUP($D176,$C$5:$AA$507,4,))*$F176))</f>
        <v>0</v>
      </c>
      <c r="S176" s="32">
        <f>IF(VLOOKUP($D176,$C$5:$AA$507,17,)=0,0,((VLOOKUP($D176,$C$5:$AA$507,17,)/VLOOKUP($D176,$C$5:$AA$507,4,))*$F176))</f>
        <v>0</v>
      </c>
      <c r="T176" s="32"/>
      <c r="U176" s="32">
        <f>IF(VLOOKUP($D176,$C$5:$AA$507,19,)=0,0,((VLOOKUP($D176,$C$5:$AA$507,19,)/VLOOKUP($D176,$C$5:$AA$507,4,))*$F176))</f>
        <v>0</v>
      </c>
      <c r="V176" s="32"/>
      <c r="W176" s="32">
        <f>IF(VLOOKUP($D176,$C$5:$AA$507,21,)=0,0,((VLOOKUP($D176,$C$5:$AA$507,21,)/VLOOKUP($D176,$C$5:$AA$507,4,))*$F176))</f>
        <v>0</v>
      </c>
      <c r="X176" s="32"/>
      <c r="Y176" s="32">
        <f>IF(VLOOKUP($D176,$C$5:$AA$507,23,)=0,0,((VLOOKUP($D176,$C$5:$AA$507,23,)/VLOOKUP($D176,$C$5:$AA$507,4,))*$F176))</f>
        <v>0</v>
      </c>
      <c r="Z176" s="32"/>
      <c r="AA176" s="32">
        <f>IF(VLOOKUP($D176,$C$5:$AA$507,25,)=0,0,((VLOOKUP($D176,$C$5:$AA$507,25,)/VLOOKUP($D176,$C$5:$AA$507,4,))*$F176))</f>
        <v>0</v>
      </c>
      <c r="AB176" s="32">
        <f>SUM(H176:AA176)</f>
        <v>0</v>
      </c>
      <c r="AC176" s="14" t="str">
        <f>IF(ABS(AB176-F176)&lt;1,"ok","err")</f>
        <v>ok</v>
      </c>
    </row>
    <row r="177" spans="1:29" ht="12.75" x14ac:dyDescent="0.2">
      <c r="A177" s="2">
        <v>514</v>
      </c>
      <c r="B177" s="2" t="s">
        <v>777</v>
      </c>
      <c r="C177" s="2" t="s">
        <v>793</v>
      </c>
      <c r="D177" s="2" t="s">
        <v>552</v>
      </c>
      <c r="F177" s="32">
        <v>0</v>
      </c>
      <c r="G177" s="32"/>
      <c r="H177" s="32">
        <f>IF(VLOOKUP($D177,$C$5:$AA$507,6,)=0,0,((VLOOKUP($D177,$C$5:$AA$507,6,)/VLOOKUP($D177,$C$5:$AA$507,4,))*$F177))</f>
        <v>0</v>
      </c>
      <c r="I177" s="32">
        <f>IF(VLOOKUP($D177,$C$5:$AA$507,7,)=0,0,((VLOOKUP($D177,$C$5:$AA$507,7,)/VLOOKUP($D177,$C$5:$AA$507,4,))*$F177))</f>
        <v>0</v>
      </c>
      <c r="J177" s="32"/>
      <c r="K177" s="32">
        <f>IF(VLOOKUP($D177,$C$5:$AA$507,9,)=0,0,((VLOOKUP($D177,$C$5:$AA$507,9,)/VLOOKUP($D177,$C$5:$AA$507,4,))*$F177))</f>
        <v>0</v>
      </c>
      <c r="L177" s="32"/>
      <c r="M177" s="32">
        <f>IF(VLOOKUP($D177,$C$5:$AA$507,11,)=0,0,((VLOOKUP($D177,$C$5:$AA$507,11,)/VLOOKUP($D177,$C$5:$AA$507,4,))*$F177))</f>
        <v>0</v>
      </c>
      <c r="N177" s="32"/>
      <c r="O177" s="32">
        <f>IF(VLOOKUP($D177,$C$5:$AA$507,13,)=0,0,((VLOOKUP($D177,$C$5:$AA$507,13,)/VLOOKUP($D177,$C$5:$AA$507,4,))*$F177))</f>
        <v>0</v>
      </c>
      <c r="P177" s="32">
        <f>IF(VLOOKUP($D177,$C$5:$AA$507,14,)=0,0,((VLOOKUP($D177,$C$5:$AA$507,14,)/VLOOKUP($D177,$C$5:$AA$507,4,))*$F177))</f>
        <v>0</v>
      </c>
      <c r="Q177" s="32"/>
      <c r="R177" s="32">
        <f>IF(VLOOKUP($D177,$C$5:$AA$507,16,)=0,0,((VLOOKUP($D177,$C$5:$AA$507,16,)/VLOOKUP($D177,$C$5:$AA$507,4,))*$F177))</f>
        <v>0</v>
      </c>
      <c r="S177" s="32">
        <f>IF(VLOOKUP($D177,$C$5:$AA$507,17,)=0,0,((VLOOKUP($D177,$C$5:$AA$507,17,)/VLOOKUP($D177,$C$5:$AA$507,4,))*$F177))</f>
        <v>0</v>
      </c>
      <c r="T177" s="32"/>
      <c r="U177" s="32">
        <f>IF(VLOOKUP($D177,$C$5:$AA$507,19,)=0,0,((VLOOKUP($D177,$C$5:$AA$507,19,)/VLOOKUP($D177,$C$5:$AA$507,4,))*$F177))</f>
        <v>0</v>
      </c>
      <c r="V177" s="32"/>
      <c r="W177" s="32">
        <f>IF(VLOOKUP($D177,$C$5:$AA$507,21,)=0,0,((VLOOKUP($D177,$C$5:$AA$507,21,)/VLOOKUP($D177,$C$5:$AA$507,4,))*$F177))</f>
        <v>0</v>
      </c>
      <c r="X177" s="32"/>
      <c r="Y177" s="32">
        <f>IF(VLOOKUP($D177,$C$5:$AA$507,23,)=0,0,((VLOOKUP($D177,$C$5:$AA$507,23,)/VLOOKUP($D177,$C$5:$AA$507,4,))*$F177))</f>
        <v>0</v>
      </c>
      <c r="Z177" s="32"/>
      <c r="AA177" s="32">
        <f>IF(VLOOKUP($D177,$C$5:$AA$507,25,)=0,0,((VLOOKUP($D177,$C$5:$AA$507,25,)/VLOOKUP($D177,$C$5:$AA$507,4,))*$F177))</f>
        <v>0</v>
      </c>
      <c r="AB177" s="32">
        <f>SUM(H177:AA177)</f>
        <v>0</v>
      </c>
      <c r="AC177" s="14" t="str">
        <f>IF(ABS(AB177-F177)&lt;1,"ok","err")</f>
        <v>ok</v>
      </c>
    </row>
    <row r="178" spans="1:29" ht="12.75" x14ac:dyDescent="0.2"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14"/>
    </row>
    <row r="179" spans="1:29" ht="12.75" x14ac:dyDescent="0.2">
      <c r="A179" s="2" t="s">
        <v>762</v>
      </c>
      <c r="C179" s="2" t="s">
        <v>788</v>
      </c>
      <c r="F179" s="45">
        <f>SUM(F173:F178)</f>
        <v>0</v>
      </c>
      <c r="G179" s="45"/>
      <c r="H179" s="45">
        <f>SUM(H173:H178)</f>
        <v>0</v>
      </c>
      <c r="I179" s="45">
        <f>SUM(I173:I178)</f>
        <v>0</v>
      </c>
      <c r="J179" s="45"/>
      <c r="K179" s="45">
        <f>SUM(K173:K178)</f>
        <v>0</v>
      </c>
      <c r="L179" s="45"/>
      <c r="M179" s="45">
        <f>SUM(M173:M178)</f>
        <v>0</v>
      </c>
      <c r="N179" s="45"/>
      <c r="O179" s="45">
        <f>SUM(O173:O178)</f>
        <v>0</v>
      </c>
      <c r="P179" s="45">
        <f>SUM(P173:P178)</f>
        <v>0</v>
      </c>
      <c r="Q179" s="45"/>
      <c r="R179" s="45">
        <f>SUM(R173:R178)</f>
        <v>0</v>
      </c>
      <c r="S179" s="45">
        <f>SUM(S173:S178)</f>
        <v>0</v>
      </c>
      <c r="T179" s="45"/>
      <c r="U179" s="45">
        <f>SUM(U173:U178)</f>
        <v>0</v>
      </c>
      <c r="V179" s="45"/>
      <c r="W179" s="45">
        <f>SUM(W173:W178)</f>
        <v>0</v>
      </c>
      <c r="X179" s="45"/>
      <c r="Y179" s="45">
        <f>SUM(Y173:Y178)</f>
        <v>0</v>
      </c>
      <c r="Z179" s="45"/>
      <c r="AA179" s="45">
        <f>SUM(AA173:AA178)</f>
        <v>0</v>
      </c>
      <c r="AB179" s="32">
        <f>SUM(H179:AA179)</f>
        <v>0</v>
      </c>
      <c r="AC179" s="14" t="str">
        <f>IF(ABS(AB179-F179)&lt;1,"ok","err")</f>
        <v>ok</v>
      </c>
    </row>
    <row r="180" spans="1:29" ht="12.75" x14ac:dyDescent="0.2"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C180" s="14"/>
    </row>
    <row r="181" spans="1:29" ht="12.75" x14ac:dyDescent="0.2">
      <c r="A181" s="2" t="s">
        <v>763</v>
      </c>
      <c r="C181" s="2" t="s">
        <v>796</v>
      </c>
      <c r="F181" s="32">
        <f>F170+F179</f>
        <v>0</v>
      </c>
      <c r="G181" s="32"/>
      <c r="H181" s="32">
        <f>H170+H179</f>
        <v>0</v>
      </c>
      <c r="I181" s="32">
        <f>I170+I179</f>
        <v>0</v>
      </c>
      <c r="J181" s="32"/>
      <c r="K181" s="32">
        <f>K170+K179</f>
        <v>0</v>
      </c>
      <c r="L181" s="32"/>
      <c r="M181" s="32">
        <f>M170+M179</f>
        <v>0</v>
      </c>
      <c r="N181" s="32"/>
      <c r="O181" s="32">
        <f>O170+O179</f>
        <v>0</v>
      </c>
      <c r="P181" s="32">
        <f>P170+P179</f>
        <v>0</v>
      </c>
      <c r="Q181" s="32"/>
      <c r="R181" s="32">
        <f>R170+R179</f>
        <v>0</v>
      </c>
      <c r="S181" s="32">
        <f>S170+S179</f>
        <v>0</v>
      </c>
      <c r="T181" s="32"/>
      <c r="U181" s="32">
        <f>U170+U179</f>
        <v>0</v>
      </c>
      <c r="V181" s="32"/>
      <c r="W181" s="32">
        <f>W170+W179</f>
        <v>0</v>
      </c>
      <c r="X181" s="32"/>
      <c r="Y181" s="32">
        <f>Y170+Y179</f>
        <v>0</v>
      </c>
      <c r="Z181" s="32"/>
      <c r="AA181" s="32">
        <f>AA170+AA179</f>
        <v>0</v>
      </c>
      <c r="AB181" s="32">
        <f>SUM(H181:AA181)</f>
        <v>0</v>
      </c>
      <c r="AC181" s="14" t="str">
        <f>IF(ABS(AB181-F181)&lt;1,"ok","err")</f>
        <v>ok</v>
      </c>
    </row>
    <row r="182" spans="1:29" ht="12.75" x14ac:dyDescent="0.2"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C182" s="14"/>
    </row>
    <row r="183" spans="1:29" ht="12.75" x14ac:dyDescent="0.2">
      <c r="A183" s="12" t="s">
        <v>136</v>
      </c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C183" s="14"/>
    </row>
    <row r="184" spans="1:29" ht="12.75" x14ac:dyDescent="0.2"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C184" s="14"/>
    </row>
    <row r="185" spans="1:29" x14ac:dyDescent="0.25">
      <c r="A185" s="1" t="s">
        <v>96</v>
      </c>
      <c r="H185" s="45"/>
      <c r="I185" s="45"/>
      <c r="Q185" s="2"/>
      <c r="AC185" s="14"/>
    </row>
    <row r="186" spans="1:29" ht="12.75" x14ac:dyDescent="0.2">
      <c r="A186" s="2">
        <v>555</v>
      </c>
      <c r="B186" s="2" t="s">
        <v>379</v>
      </c>
      <c r="C186" s="2" t="s">
        <v>397</v>
      </c>
      <c r="D186" s="2" t="s">
        <v>97</v>
      </c>
      <c r="F186" s="45">
        <v>42568608.799999997</v>
      </c>
      <c r="G186" s="45"/>
      <c r="H186" s="45">
        <f>IF(VLOOKUP($D186,$C$5:$AA$507,6,)=0,0,((VLOOKUP($D186,$C$5:$AA$507,6,)/VLOOKUP($D186,$C$5:$AA$507,4,))*$F186))</f>
        <v>12119345.707594331</v>
      </c>
      <c r="I186" s="45">
        <f>IF(VLOOKUP($D186,$C$5:$AA$507,7,)=0,0,((VLOOKUP($D186,$C$5:$AA$507,7,)/VLOOKUP($D186,$C$5:$AA$507,4,))*$F186))</f>
        <v>30449263.092405669</v>
      </c>
      <c r="J186" s="32"/>
      <c r="K186" s="32">
        <f>IF(VLOOKUP($D186,$C$5:$AA$507,9,)=0,0,((VLOOKUP($D186,$C$5:$AA$507,9,)/VLOOKUP($D186,$C$5:$AA$507,4,))*$F186))</f>
        <v>0</v>
      </c>
      <c r="L186" s="32"/>
      <c r="M186" s="32">
        <f>IF(VLOOKUP($D186,$C$5:$AA$507,11,)=0,0,((VLOOKUP($D186,$C$5:$AA$507,11,)/VLOOKUP($D186,$C$5:$AA$507,4,))*$F186))</f>
        <v>0</v>
      </c>
      <c r="N186" s="32"/>
      <c r="O186" s="32">
        <f>IF(VLOOKUP($D186,$C$5:$AA$507,13,)=0,0,((VLOOKUP($D186,$C$5:$AA$507,13,)/VLOOKUP($D186,$C$5:$AA$507,4,))*$F186))</f>
        <v>0</v>
      </c>
      <c r="P186" s="32">
        <f>IF(VLOOKUP($D186,$C$5:$AA$507,14,)=0,0,((VLOOKUP($D186,$C$5:$AA$507,14,)/VLOOKUP($D186,$C$5:$AA$507,4,))*$F186))</f>
        <v>0</v>
      </c>
      <c r="Q186" s="32"/>
      <c r="R186" s="32">
        <f>IF(VLOOKUP($D186,$C$5:$AA$507,16,)=0,0,((VLOOKUP($D186,$C$5:$AA$507,16,)/VLOOKUP($D186,$C$5:$AA$507,4,))*$F186))</f>
        <v>0</v>
      </c>
      <c r="S186" s="32">
        <f>IF(VLOOKUP($D186,$C$5:$AA$507,17,)=0,0,((VLOOKUP($D186,$C$5:$AA$507,17,)/VLOOKUP($D186,$C$5:$AA$507,4,))*$F186))</f>
        <v>0</v>
      </c>
      <c r="T186" s="32"/>
      <c r="U186" s="32">
        <f>IF(VLOOKUP($D186,$C$5:$AA$507,19,)=0,0,((VLOOKUP($D186,$C$5:$AA$507,19,)/VLOOKUP($D186,$C$5:$AA$507,4,))*$F186))</f>
        <v>0</v>
      </c>
      <c r="V186" s="32"/>
      <c r="W186" s="32">
        <f>IF(VLOOKUP($D186,$C$5:$AA$507,21,)=0,0,((VLOOKUP($D186,$C$5:$AA$507,21,)/VLOOKUP($D186,$C$5:$AA$507,4,))*$F186))</f>
        <v>0</v>
      </c>
      <c r="X186" s="32"/>
      <c r="Y186" s="32">
        <f>IF(VLOOKUP($D186,$C$5:$AA$507,23,)=0,0,((VLOOKUP($D186,$C$5:$AA$507,23,)/VLOOKUP($D186,$C$5:$AA$507,4,))*$F186))</f>
        <v>0</v>
      </c>
      <c r="Z186" s="32"/>
      <c r="AA186" s="32">
        <f>IF(VLOOKUP($D186,$C$5:$AA$507,25,)=0,0,((VLOOKUP($D186,$C$5:$AA$507,25,)/VLOOKUP($D186,$C$5:$AA$507,4,))*$F186))</f>
        <v>0</v>
      </c>
      <c r="AB186" s="32">
        <f>SUM(H186:AA186)</f>
        <v>42568608.799999997</v>
      </c>
      <c r="AC186" s="14" t="str">
        <f>IF(ABS(AB186-F186)&lt;1,"ok","err")</f>
        <v>ok</v>
      </c>
    </row>
    <row r="187" spans="1:29" ht="12.75" x14ac:dyDescent="0.2">
      <c r="A187" s="2">
        <v>556</v>
      </c>
      <c r="B187" s="2" t="s">
        <v>874</v>
      </c>
      <c r="C187" s="2" t="s">
        <v>875</v>
      </c>
      <c r="D187" s="2" t="s">
        <v>97</v>
      </c>
      <c r="F187" s="32">
        <v>0</v>
      </c>
      <c r="G187" s="32"/>
      <c r="H187" s="32">
        <f>IF(VLOOKUP($D187,$C$5:$AA$507,6,)=0,0,((VLOOKUP($D187,$C$5:$AA$507,6,)/VLOOKUP($D187,$C$5:$AA$507,4,))*$F187))</f>
        <v>0</v>
      </c>
      <c r="I187" s="32">
        <f>IF(VLOOKUP($D187,$C$5:$AA$507,7,)=0,0,((VLOOKUP($D187,$C$5:$AA$507,7,)/VLOOKUP($D187,$C$5:$AA$507,4,))*$F187))</f>
        <v>0</v>
      </c>
      <c r="J187" s="32"/>
      <c r="K187" s="32">
        <f>IF(VLOOKUP($D187,$C$5:$AA$507,9,)=0,0,((VLOOKUP($D187,$C$5:$AA$507,9,)/VLOOKUP($D187,$C$5:$AA$507,4,))*$F187))</f>
        <v>0</v>
      </c>
      <c r="L187" s="32"/>
      <c r="M187" s="32">
        <f>IF(VLOOKUP($D187,$C$5:$AA$507,11,)=0,0,((VLOOKUP($D187,$C$5:$AA$507,11,)/VLOOKUP($D187,$C$5:$AA$507,4,))*$F187))</f>
        <v>0</v>
      </c>
      <c r="N187" s="32"/>
      <c r="O187" s="32">
        <f>IF(VLOOKUP($D187,$C$5:$AA$507,13,)=0,0,((VLOOKUP($D187,$C$5:$AA$507,13,)/VLOOKUP($D187,$C$5:$AA$507,4,))*$F187))</f>
        <v>0</v>
      </c>
      <c r="P187" s="32">
        <f>IF(VLOOKUP($D187,$C$5:$AA$507,14,)=0,0,((VLOOKUP($D187,$C$5:$AA$507,14,)/VLOOKUP($D187,$C$5:$AA$507,4,))*$F187))</f>
        <v>0</v>
      </c>
      <c r="Q187" s="32"/>
      <c r="R187" s="32">
        <f>IF(VLOOKUP($D187,$C$5:$AA$507,16,)=0,0,((VLOOKUP($D187,$C$5:$AA$507,16,)/VLOOKUP($D187,$C$5:$AA$507,4,))*$F187))</f>
        <v>0</v>
      </c>
      <c r="S187" s="32">
        <f>IF(VLOOKUP($D187,$C$5:$AA$507,17,)=0,0,((VLOOKUP($D187,$C$5:$AA$507,17,)/VLOOKUP($D187,$C$5:$AA$507,4,))*$F187))</f>
        <v>0</v>
      </c>
      <c r="T187" s="32"/>
      <c r="U187" s="32">
        <f>IF(VLOOKUP($D187,$C$5:$AA$507,19,)=0,0,((VLOOKUP($D187,$C$5:$AA$507,19,)/VLOOKUP($D187,$C$5:$AA$507,4,))*$F187))</f>
        <v>0</v>
      </c>
      <c r="V187" s="32"/>
      <c r="W187" s="32">
        <f>IF(VLOOKUP($D187,$C$5:$AA$507,21,)=0,0,((VLOOKUP($D187,$C$5:$AA$507,21,)/VLOOKUP($D187,$C$5:$AA$507,4,))*$F187))</f>
        <v>0</v>
      </c>
      <c r="X187" s="32"/>
      <c r="Y187" s="32">
        <f>IF(VLOOKUP($D187,$C$5:$AA$507,23,)=0,0,((VLOOKUP($D187,$C$5:$AA$507,23,)/VLOOKUP($D187,$C$5:$AA$507,4,))*$F187))</f>
        <v>0</v>
      </c>
      <c r="Z187" s="32"/>
      <c r="AA187" s="32">
        <f>IF(VLOOKUP($D187,$C$5:$AA$507,25,)=0,0,((VLOOKUP($D187,$C$5:$AA$507,25,)/VLOOKUP($D187,$C$5:$AA$507,4,))*$F187))</f>
        <v>0</v>
      </c>
      <c r="AB187" s="32">
        <f>SUM(H187:AA187)</f>
        <v>0</v>
      </c>
      <c r="AC187" s="14" t="str">
        <f>IF(ABS(AB187-F187)&lt;1,"ok","err")</f>
        <v>ok</v>
      </c>
    </row>
    <row r="188" spans="1:29" ht="12.75" x14ac:dyDescent="0.2">
      <c r="A188" s="2">
        <v>557</v>
      </c>
      <c r="B188" s="2" t="s">
        <v>398</v>
      </c>
      <c r="C188" s="2" t="s">
        <v>400</v>
      </c>
      <c r="D188" s="2" t="s">
        <v>97</v>
      </c>
      <c r="F188" s="32">
        <v>0</v>
      </c>
      <c r="G188" s="32"/>
      <c r="H188" s="32">
        <f>IF(VLOOKUP($D188,$C$5:$AA$507,6,)=0,0,((VLOOKUP($D188,$C$5:$AA$507,6,)/VLOOKUP($D188,$C$5:$AA$507,4,))*$F188))</f>
        <v>0</v>
      </c>
      <c r="I188" s="32">
        <f>IF(VLOOKUP($D188,$C$5:$AA$507,7,)=0,0,((VLOOKUP($D188,$C$5:$AA$507,7,)/VLOOKUP($D188,$C$5:$AA$507,4,))*$F188))</f>
        <v>0</v>
      </c>
      <c r="J188" s="32"/>
      <c r="K188" s="32">
        <f>IF(VLOOKUP($D188,$C$5:$AA$507,9,)=0,0,((VLOOKUP($D188,$C$5:$AA$507,9,)/VLOOKUP($D188,$C$5:$AA$507,4,))*$F188))</f>
        <v>0</v>
      </c>
      <c r="L188" s="32"/>
      <c r="M188" s="32">
        <f>IF(VLOOKUP($D188,$C$5:$AA$507,11,)=0,0,((VLOOKUP($D188,$C$5:$AA$507,11,)/VLOOKUP($D188,$C$5:$AA$507,4,))*$F188))</f>
        <v>0</v>
      </c>
      <c r="N188" s="32"/>
      <c r="O188" s="32">
        <f>IF(VLOOKUP($D188,$C$5:$AA$507,13,)=0,0,((VLOOKUP($D188,$C$5:$AA$507,13,)/VLOOKUP($D188,$C$5:$AA$507,4,))*$F188))</f>
        <v>0</v>
      </c>
      <c r="P188" s="32">
        <f>IF(VLOOKUP($D188,$C$5:$AA$507,14,)=0,0,((VLOOKUP($D188,$C$5:$AA$507,14,)/VLOOKUP($D188,$C$5:$AA$507,4,))*$F188))</f>
        <v>0</v>
      </c>
      <c r="Q188" s="32"/>
      <c r="R188" s="32">
        <f>IF(VLOOKUP($D188,$C$5:$AA$507,16,)=0,0,((VLOOKUP($D188,$C$5:$AA$507,16,)/VLOOKUP($D188,$C$5:$AA$507,4,))*$F188))</f>
        <v>0</v>
      </c>
      <c r="S188" s="32">
        <f>IF(VLOOKUP($D188,$C$5:$AA$507,17,)=0,0,((VLOOKUP($D188,$C$5:$AA$507,17,)/VLOOKUP($D188,$C$5:$AA$507,4,))*$F188))</f>
        <v>0</v>
      </c>
      <c r="T188" s="32"/>
      <c r="U188" s="32">
        <f>IF(VLOOKUP($D188,$C$5:$AA$507,19,)=0,0,((VLOOKUP($D188,$C$5:$AA$507,19,)/VLOOKUP($D188,$C$5:$AA$507,4,))*$F188))</f>
        <v>0</v>
      </c>
      <c r="V188" s="32"/>
      <c r="W188" s="32">
        <f>IF(VLOOKUP($D188,$C$5:$AA$507,21,)=0,0,((VLOOKUP($D188,$C$5:$AA$507,21,)/VLOOKUP($D188,$C$5:$AA$507,4,))*$F188))</f>
        <v>0</v>
      </c>
      <c r="X188" s="32"/>
      <c r="Y188" s="32">
        <f>IF(VLOOKUP($D188,$C$5:$AA$507,23,)=0,0,((VLOOKUP($D188,$C$5:$AA$507,23,)/VLOOKUP($D188,$C$5:$AA$507,4,))*$F188))</f>
        <v>0</v>
      </c>
      <c r="Z188" s="32"/>
      <c r="AA188" s="32">
        <f>IF(VLOOKUP($D188,$C$5:$AA$507,25,)=0,0,((VLOOKUP($D188,$C$5:$AA$507,25,)/VLOOKUP($D188,$C$5:$AA$507,4,))*$F188))</f>
        <v>0</v>
      </c>
      <c r="AB188" s="32">
        <f>SUM(H188:AA188)</f>
        <v>0</v>
      </c>
      <c r="AC188" s="14" t="str">
        <f>IF(ABS(AB188-F188)&lt;1,"ok","err")</f>
        <v>ok</v>
      </c>
    </row>
    <row r="189" spans="1:29" ht="12.75" x14ac:dyDescent="0.2">
      <c r="A189" s="2">
        <v>559</v>
      </c>
      <c r="B189" s="2" t="s">
        <v>803</v>
      </c>
      <c r="C189" s="2" t="s">
        <v>804</v>
      </c>
      <c r="D189" s="2" t="s">
        <v>97</v>
      </c>
      <c r="F189" s="32">
        <v>0</v>
      </c>
      <c r="G189" s="32"/>
      <c r="H189" s="32">
        <f>IF(VLOOKUP($D189,$C$5:$AA$507,6,)=0,0,((VLOOKUP($D189,$C$5:$AA$507,6,)/VLOOKUP($D189,$C$5:$AA$507,4,))*$F189))</f>
        <v>0</v>
      </c>
      <c r="I189" s="32">
        <f>IF(VLOOKUP($D189,$C$5:$AA$507,7,)=0,0,((VLOOKUP($D189,$C$5:$AA$507,7,)/VLOOKUP($D189,$C$5:$AA$507,4,))*$F189))</f>
        <v>0</v>
      </c>
      <c r="J189" s="32"/>
      <c r="K189" s="32">
        <f>IF(VLOOKUP($D189,$C$5:$AA$507,9,)=0,0,((VLOOKUP($D189,$C$5:$AA$507,9,)/VLOOKUP($D189,$C$5:$AA$507,4,))*$F189))</f>
        <v>0</v>
      </c>
      <c r="L189" s="32"/>
      <c r="M189" s="32">
        <f>IF(VLOOKUP($D189,$C$5:$AA$507,11,)=0,0,((VLOOKUP($D189,$C$5:$AA$507,11,)/VLOOKUP($D189,$C$5:$AA$507,4,))*$F189))</f>
        <v>0</v>
      </c>
      <c r="N189" s="32"/>
      <c r="O189" s="32">
        <f>IF(VLOOKUP($D189,$C$5:$AA$507,13,)=0,0,((VLOOKUP($D189,$C$5:$AA$507,13,)/VLOOKUP($D189,$C$5:$AA$507,4,))*$F189))</f>
        <v>0</v>
      </c>
      <c r="P189" s="32">
        <f>IF(VLOOKUP($D189,$C$5:$AA$507,14,)=0,0,((VLOOKUP($D189,$C$5:$AA$507,14,)/VLOOKUP($D189,$C$5:$AA$507,4,))*$F189))</f>
        <v>0</v>
      </c>
      <c r="Q189" s="32"/>
      <c r="R189" s="32">
        <f>IF(VLOOKUP($D189,$C$5:$AA$507,16,)=0,0,((VLOOKUP($D189,$C$5:$AA$507,16,)/VLOOKUP($D189,$C$5:$AA$507,4,))*$F189))</f>
        <v>0</v>
      </c>
      <c r="S189" s="32">
        <f>IF(VLOOKUP($D189,$C$5:$AA$507,17,)=0,0,((VLOOKUP($D189,$C$5:$AA$507,17,)/VLOOKUP($D189,$C$5:$AA$507,4,))*$F189))</f>
        <v>0</v>
      </c>
      <c r="T189" s="32"/>
      <c r="U189" s="32">
        <f>IF(VLOOKUP($D189,$C$5:$AA$507,19,)=0,0,((VLOOKUP($D189,$C$5:$AA$507,19,)/VLOOKUP($D189,$C$5:$AA$507,4,))*$F189))</f>
        <v>0</v>
      </c>
      <c r="V189" s="32"/>
      <c r="W189" s="32">
        <f>IF(VLOOKUP($D189,$C$5:$AA$507,21,)=0,0,((VLOOKUP($D189,$C$5:$AA$507,21,)/VLOOKUP($D189,$C$5:$AA$507,4,))*$F189))</f>
        <v>0</v>
      </c>
      <c r="X189" s="32"/>
      <c r="Y189" s="32">
        <f>IF(VLOOKUP($D189,$C$5:$AA$507,23,)=0,0,((VLOOKUP($D189,$C$5:$AA$507,23,)/VLOOKUP($D189,$C$5:$AA$507,4,))*$F189))</f>
        <v>0</v>
      </c>
      <c r="Z189" s="32"/>
      <c r="AA189" s="32">
        <f>IF(VLOOKUP($D189,$C$5:$AA$507,25,)=0,0,((VLOOKUP($D189,$C$5:$AA$507,25,)/VLOOKUP($D189,$C$5:$AA$507,4,))*$F189))</f>
        <v>0</v>
      </c>
      <c r="AB189" s="32">
        <f>SUM(H189:AA189)</f>
        <v>0</v>
      </c>
      <c r="AC189" s="14" t="str">
        <f>IF(ABS(AB189-F189)&lt;1,"ok","err")</f>
        <v>ok</v>
      </c>
    </row>
    <row r="190" spans="1:29" ht="12.75" x14ac:dyDescent="0.2"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32"/>
      <c r="AC190" s="14"/>
    </row>
    <row r="191" spans="1:29" ht="12.75" x14ac:dyDescent="0.2">
      <c r="A191" s="2" t="s">
        <v>399</v>
      </c>
      <c r="C191" s="2" t="s">
        <v>401</v>
      </c>
      <c r="F191" s="45">
        <f>SUM(F186:F190)</f>
        <v>42568608.799999997</v>
      </c>
      <c r="G191" s="45"/>
      <c r="H191" s="45">
        <f>SUM(H186:H190)</f>
        <v>12119345.707594331</v>
      </c>
      <c r="I191" s="45">
        <f t="shared" ref="I191:AA191" si="107">SUM(I186:I190)</f>
        <v>30449263.092405669</v>
      </c>
      <c r="J191" s="45"/>
      <c r="K191" s="45">
        <f t="shared" si="107"/>
        <v>0</v>
      </c>
      <c r="L191" s="45"/>
      <c r="M191" s="45">
        <f t="shared" si="107"/>
        <v>0</v>
      </c>
      <c r="N191" s="45"/>
      <c r="O191" s="45">
        <f t="shared" si="107"/>
        <v>0</v>
      </c>
      <c r="P191" s="45">
        <f t="shared" si="107"/>
        <v>0</v>
      </c>
      <c r="Q191" s="45"/>
      <c r="R191" s="45">
        <f t="shared" si="107"/>
        <v>0</v>
      </c>
      <c r="S191" s="45">
        <f t="shared" si="107"/>
        <v>0</v>
      </c>
      <c r="T191" s="45"/>
      <c r="U191" s="45">
        <f t="shared" si="107"/>
        <v>0</v>
      </c>
      <c r="V191" s="45"/>
      <c r="W191" s="45">
        <f t="shared" si="107"/>
        <v>0</v>
      </c>
      <c r="X191" s="45"/>
      <c r="Y191" s="45">
        <f t="shared" si="107"/>
        <v>0</v>
      </c>
      <c r="Z191" s="45"/>
      <c r="AA191" s="45">
        <f t="shared" si="107"/>
        <v>0</v>
      </c>
      <c r="AB191" s="32">
        <f>SUM(H191:AA191)</f>
        <v>42568608.799999997</v>
      </c>
      <c r="AC191" s="14" t="str">
        <f>IF(ABS(AB191-F191)&lt;1,"ok","err")</f>
        <v>ok</v>
      </c>
    </row>
    <row r="192" spans="1:29" ht="12.75" x14ac:dyDescent="0.2"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32"/>
      <c r="AC192" s="14"/>
    </row>
    <row r="193" spans="1:29" ht="12.75" x14ac:dyDescent="0.2">
      <c r="A193" s="1" t="s">
        <v>371</v>
      </c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32"/>
      <c r="AC193" s="14"/>
    </row>
    <row r="194" spans="1:29" ht="12.75" x14ac:dyDescent="0.2">
      <c r="A194" s="2">
        <v>560</v>
      </c>
      <c r="B194" s="2" t="s">
        <v>374</v>
      </c>
      <c r="C194" s="2" t="s">
        <v>403</v>
      </c>
      <c r="D194" s="2" t="s">
        <v>390</v>
      </c>
      <c r="F194" s="45">
        <v>0</v>
      </c>
      <c r="G194" s="45"/>
      <c r="H194" s="32">
        <f t="shared" ref="H194:H208" si="108">IF((VLOOKUP($D194,$C$5:$AA$507,6,)=0),0,((VLOOKUP($D194,$C$5:$AA$507,6,)/VLOOKUP($D194,$C$5:$AA$507,4,))*$F194))</f>
        <v>0</v>
      </c>
      <c r="I194" s="32">
        <f t="shared" ref="I194:I208" si="109">IF((VLOOKUP($D194,$C$5:$AA$507,7,)=0),0,((VLOOKUP($D194,$C$5:$AA$507,7,)/VLOOKUP($D194,$C$5:$AA$507,4,))*$F194))</f>
        <v>0</v>
      </c>
      <c r="J194" s="32"/>
      <c r="K194" s="32">
        <f t="shared" ref="K194:K208" si="110">IF((VLOOKUP($D194,$C$5:$AA$507,9,)=0),0,((VLOOKUP($D194,$C$5:$AA$507,9,)/VLOOKUP($D194,$C$5:$AA$507,4,))*$F194))</f>
        <v>0</v>
      </c>
      <c r="L194" s="32"/>
      <c r="M194" s="32">
        <f t="shared" ref="M194:M208" si="111">IF((VLOOKUP($D194,$C$5:$AA$507,11,)=0),0,((VLOOKUP($D194,$C$5:$AA$507,11,)/VLOOKUP($D194,$C$5:$AA$507,4,))*$F194))</f>
        <v>0</v>
      </c>
      <c r="N194" s="32"/>
      <c r="O194" s="32">
        <f t="shared" ref="O194:O208" si="112">IF((VLOOKUP($D194,$C$5:$AA$507,13,)=0),0,((VLOOKUP($D194,$C$5:$AA$507,13,)/VLOOKUP($D194,$C$5:$AA$507,4,))*$F194))</f>
        <v>0</v>
      </c>
      <c r="P194" s="32">
        <f t="shared" ref="P194:P208" si="113">IF((VLOOKUP($D194,$C$5:$AA$507,14,)=0),0,((VLOOKUP($D194,$C$5:$AA$507,14,)/VLOOKUP($D194,$C$5:$AA$507,4,))*$F194))</f>
        <v>0</v>
      </c>
      <c r="Q194" s="32"/>
      <c r="R194" s="32">
        <f t="shared" ref="R194:R208" si="114">IF((VLOOKUP($D194,$C$5:$AA$507,16,)=0),0,((VLOOKUP($D194,$C$5:$AA$507,16,)/VLOOKUP($D194,$C$5:$AA$507,4,))*$F194))</f>
        <v>0</v>
      </c>
      <c r="S194" s="32">
        <f t="shared" ref="S194:S208" si="115">IF((VLOOKUP($D194,$C$5:$AA$507,17,)=0),0,((VLOOKUP($D194,$C$5:$AA$507,17,)/VLOOKUP($D194,$C$5:$AA$507,4,))*$F194))</f>
        <v>0</v>
      </c>
      <c r="T194" s="32"/>
      <c r="U194" s="32">
        <f t="shared" ref="U194:U208" si="116">IF((VLOOKUP($D194,$C$5:$AA$507,19,)=0),0,((VLOOKUP($D194,$C$5:$AA$507,19,)/VLOOKUP($D194,$C$5:$AA$507,4,))*$F194))</f>
        <v>0</v>
      </c>
      <c r="V194" s="32"/>
      <c r="W194" s="32">
        <f t="shared" ref="W194:W208" si="117">IF((VLOOKUP($D194,$C$5:$AA$507,21,)=0),0,((VLOOKUP($D194,$C$5:$AA$507,21,)/VLOOKUP($D194,$C$5:$AA$507,4,))*$F194))</f>
        <v>0</v>
      </c>
      <c r="X194" s="32"/>
      <c r="Y194" s="32">
        <f t="shared" ref="Y194:Y208" si="118">IF((VLOOKUP($D194,$C$5:$AA$507,23,)=0),0,((VLOOKUP($D194,$C$5:$AA$507,23,)/VLOOKUP($D194,$C$5:$AA$507,4,))*$F194))</f>
        <v>0</v>
      </c>
      <c r="Z194" s="32"/>
      <c r="AA194" s="32">
        <f t="shared" ref="AA194:AA208" si="119">IF((VLOOKUP($D194,$C$5:$AA$507,25,)=0),0,((VLOOKUP($D194,$C$5:$AA$507,25,)/VLOOKUP($D194,$C$5:$AA$507,4,))*$F194))</f>
        <v>0</v>
      </c>
      <c r="AB194" s="32">
        <f t="shared" ref="AB194:AB208" si="120">SUM(H194:AA194)</f>
        <v>0</v>
      </c>
      <c r="AC194" s="14" t="str">
        <f t="shared" ref="AC194:AC208" si="121">IF(ABS(AB194-F194)&lt;1,"ok","err")</f>
        <v>ok</v>
      </c>
    </row>
    <row r="195" spans="1:29" ht="12.75" x14ac:dyDescent="0.2">
      <c r="A195" s="2">
        <v>561</v>
      </c>
      <c r="B195" s="2" t="s">
        <v>101</v>
      </c>
      <c r="C195" s="2" t="s">
        <v>404</v>
      </c>
      <c r="D195" s="2" t="s">
        <v>390</v>
      </c>
      <c r="F195" s="32">
        <v>0</v>
      </c>
      <c r="G195" s="32"/>
      <c r="H195" s="32">
        <f t="shared" si="108"/>
        <v>0</v>
      </c>
      <c r="I195" s="32">
        <f t="shared" si="109"/>
        <v>0</v>
      </c>
      <c r="J195" s="32"/>
      <c r="K195" s="32">
        <f t="shared" si="110"/>
        <v>0</v>
      </c>
      <c r="L195" s="32"/>
      <c r="M195" s="32">
        <f t="shared" si="111"/>
        <v>0</v>
      </c>
      <c r="N195" s="32"/>
      <c r="O195" s="32">
        <f t="shared" si="112"/>
        <v>0</v>
      </c>
      <c r="P195" s="32">
        <f t="shared" si="113"/>
        <v>0</v>
      </c>
      <c r="Q195" s="32"/>
      <c r="R195" s="32">
        <f t="shared" si="114"/>
        <v>0</v>
      </c>
      <c r="S195" s="32">
        <f t="shared" si="115"/>
        <v>0</v>
      </c>
      <c r="T195" s="32"/>
      <c r="U195" s="32">
        <f t="shared" si="116"/>
        <v>0</v>
      </c>
      <c r="V195" s="32"/>
      <c r="W195" s="32">
        <f t="shared" si="117"/>
        <v>0</v>
      </c>
      <c r="X195" s="32"/>
      <c r="Y195" s="32">
        <f t="shared" si="118"/>
        <v>0</v>
      </c>
      <c r="Z195" s="32"/>
      <c r="AA195" s="32">
        <f t="shared" si="119"/>
        <v>0</v>
      </c>
      <c r="AB195" s="32">
        <f t="shared" si="120"/>
        <v>0</v>
      </c>
      <c r="AC195" s="14" t="str">
        <f t="shared" si="121"/>
        <v>ok</v>
      </c>
    </row>
    <row r="196" spans="1:29" ht="12.75" x14ac:dyDescent="0.2">
      <c r="A196" s="2">
        <v>562</v>
      </c>
      <c r="B196" s="2" t="s">
        <v>372</v>
      </c>
      <c r="C196" s="2" t="s">
        <v>405</v>
      </c>
      <c r="D196" s="2" t="s">
        <v>390</v>
      </c>
      <c r="F196" s="32">
        <v>0</v>
      </c>
      <c r="G196" s="32"/>
      <c r="H196" s="32">
        <f t="shared" si="108"/>
        <v>0</v>
      </c>
      <c r="I196" s="32">
        <f t="shared" si="109"/>
        <v>0</v>
      </c>
      <c r="J196" s="32"/>
      <c r="K196" s="32">
        <f t="shared" si="110"/>
        <v>0</v>
      </c>
      <c r="L196" s="32"/>
      <c r="M196" s="32">
        <f t="shared" si="111"/>
        <v>0</v>
      </c>
      <c r="N196" s="32"/>
      <c r="O196" s="32">
        <f t="shared" si="112"/>
        <v>0</v>
      </c>
      <c r="P196" s="32">
        <f t="shared" si="113"/>
        <v>0</v>
      </c>
      <c r="Q196" s="32"/>
      <c r="R196" s="32">
        <f t="shared" si="114"/>
        <v>0</v>
      </c>
      <c r="S196" s="32">
        <f t="shared" si="115"/>
        <v>0</v>
      </c>
      <c r="T196" s="32"/>
      <c r="U196" s="32">
        <f t="shared" si="116"/>
        <v>0</v>
      </c>
      <c r="V196" s="32"/>
      <c r="W196" s="32">
        <f t="shared" si="117"/>
        <v>0</v>
      </c>
      <c r="X196" s="32"/>
      <c r="Y196" s="32">
        <f t="shared" si="118"/>
        <v>0</v>
      </c>
      <c r="Z196" s="32"/>
      <c r="AA196" s="32">
        <f t="shared" si="119"/>
        <v>0</v>
      </c>
      <c r="AB196" s="32">
        <f t="shared" si="120"/>
        <v>0</v>
      </c>
      <c r="AC196" s="14" t="str">
        <f t="shared" si="121"/>
        <v>ok</v>
      </c>
    </row>
    <row r="197" spans="1:29" ht="12.75" x14ac:dyDescent="0.2">
      <c r="A197" s="2">
        <v>563</v>
      </c>
      <c r="B197" s="2" t="s">
        <v>103</v>
      </c>
      <c r="C197" s="2" t="s">
        <v>406</v>
      </c>
      <c r="D197" s="2" t="s">
        <v>390</v>
      </c>
      <c r="F197" s="32">
        <v>0</v>
      </c>
      <c r="G197" s="32"/>
      <c r="H197" s="32">
        <f t="shared" si="108"/>
        <v>0</v>
      </c>
      <c r="I197" s="32">
        <f t="shared" si="109"/>
        <v>0</v>
      </c>
      <c r="J197" s="32"/>
      <c r="K197" s="32">
        <f t="shared" si="110"/>
        <v>0</v>
      </c>
      <c r="L197" s="32"/>
      <c r="M197" s="32">
        <f t="shared" si="111"/>
        <v>0</v>
      </c>
      <c r="N197" s="32"/>
      <c r="O197" s="32">
        <f t="shared" si="112"/>
        <v>0</v>
      </c>
      <c r="P197" s="32">
        <f t="shared" si="113"/>
        <v>0</v>
      </c>
      <c r="Q197" s="32"/>
      <c r="R197" s="32">
        <f t="shared" si="114"/>
        <v>0</v>
      </c>
      <c r="S197" s="32">
        <f t="shared" si="115"/>
        <v>0</v>
      </c>
      <c r="T197" s="32"/>
      <c r="U197" s="32">
        <f t="shared" si="116"/>
        <v>0</v>
      </c>
      <c r="V197" s="32"/>
      <c r="W197" s="32">
        <f t="shared" si="117"/>
        <v>0</v>
      </c>
      <c r="X197" s="32"/>
      <c r="Y197" s="32">
        <f t="shared" si="118"/>
        <v>0</v>
      </c>
      <c r="Z197" s="32"/>
      <c r="AA197" s="32">
        <f t="shared" si="119"/>
        <v>0</v>
      </c>
      <c r="AB197" s="32">
        <f t="shared" si="120"/>
        <v>0</v>
      </c>
      <c r="AC197" s="14" t="str">
        <f t="shared" si="121"/>
        <v>ok</v>
      </c>
    </row>
    <row r="198" spans="1:29" ht="12.75" x14ac:dyDescent="0.2">
      <c r="A198" s="2">
        <v>564</v>
      </c>
      <c r="B198" s="2" t="s">
        <v>105</v>
      </c>
      <c r="C198" s="2" t="s">
        <v>877</v>
      </c>
      <c r="D198" s="2" t="s">
        <v>390</v>
      </c>
      <c r="F198" s="32">
        <v>0</v>
      </c>
      <c r="G198" s="32"/>
      <c r="H198" s="32">
        <f t="shared" si="108"/>
        <v>0</v>
      </c>
      <c r="I198" s="32">
        <f t="shared" si="109"/>
        <v>0</v>
      </c>
      <c r="J198" s="32"/>
      <c r="K198" s="32">
        <f t="shared" si="110"/>
        <v>0</v>
      </c>
      <c r="L198" s="32"/>
      <c r="M198" s="32">
        <f t="shared" si="111"/>
        <v>0</v>
      </c>
      <c r="N198" s="32"/>
      <c r="O198" s="32">
        <f t="shared" si="112"/>
        <v>0</v>
      </c>
      <c r="P198" s="32">
        <f t="shared" si="113"/>
        <v>0</v>
      </c>
      <c r="Q198" s="32"/>
      <c r="R198" s="32">
        <f t="shared" si="114"/>
        <v>0</v>
      </c>
      <c r="S198" s="32">
        <f t="shared" si="115"/>
        <v>0</v>
      </c>
      <c r="T198" s="32"/>
      <c r="U198" s="32">
        <f t="shared" si="116"/>
        <v>0</v>
      </c>
      <c r="V198" s="32"/>
      <c r="W198" s="32">
        <f t="shared" si="117"/>
        <v>0</v>
      </c>
      <c r="X198" s="32"/>
      <c r="Y198" s="32">
        <f t="shared" si="118"/>
        <v>0</v>
      </c>
      <c r="Z198" s="32"/>
      <c r="AA198" s="32">
        <f t="shared" si="119"/>
        <v>0</v>
      </c>
      <c r="AB198" s="32">
        <f>SUM(H198:AA198)</f>
        <v>0</v>
      </c>
      <c r="AC198" s="14" t="str">
        <f>IF(ABS(AB198-F198)&lt;1,"ok","err")</f>
        <v>ok</v>
      </c>
    </row>
    <row r="199" spans="1:29" ht="12.75" x14ac:dyDescent="0.2">
      <c r="A199" s="2">
        <v>565</v>
      </c>
      <c r="B199" s="2" t="s">
        <v>876</v>
      </c>
      <c r="C199" s="2" t="s">
        <v>878</v>
      </c>
      <c r="D199" s="2" t="s">
        <v>390</v>
      </c>
      <c r="F199" s="32">
        <v>0</v>
      </c>
      <c r="G199" s="32"/>
      <c r="H199" s="32">
        <f t="shared" si="108"/>
        <v>0</v>
      </c>
      <c r="I199" s="32">
        <f t="shared" si="109"/>
        <v>0</v>
      </c>
      <c r="J199" s="32"/>
      <c r="K199" s="32">
        <f t="shared" si="110"/>
        <v>0</v>
      </c>
      <c r="L199" s="32"/>
      <c r="M199" s="32">
        <f t="shared" si="111"/>
        <v>0</v>
      </c>
      <c r="N199" s="32"/>
      <c r="O199" s="32">
        <f t="shared" si="112"/>
        <v>0</v>
      </c>
      <c r="P199" s="32">
        <f t="shared" si="113"/>
        <v>0</v>
      </c>
      <c r="Q199" s="32"/>
      <c r="R199" s="32">
        <f t="shared" si="114"/>
        <v>0</v>
      </c>
      <c r="S199" s="32">
        <f t="shared" si="115"/>
        <v>0</v>
      </c>
      <c r="T199" s="32"/>
      <c r="U199" s="32">
        <f t="shared" si="116"/>
        <v>0</v>
      </c>
      <c r="V199" s="32"/>
      <c r="W199" s="32">
        <f t="shared" si="117"/>
        <v>0</v>
      </c>
      <c r="X199" s="32"/>
      <c r="Y199" s="32">
        <f t="shared" si="118"/>
        <v>0</v>
      </c>
      <c r="Z199" s="32"/>
      <c r="AA199" s="32">
        <f t="shared" si="119"/>
        <v>0</v>
      </c>
      <c r="AB199" s="32">
        <f>SUM(H199:AA199)</f>
        <v>0</v>
      </c>
      <c r="AC199" s="14" t="str">
        <f>IF(ABS(AB199-F199)&lt;1,"ok","err")</f>
        <v>ok</v>
      </c>
    </row>
    <row r="200" spans="1:29" ht="12.75" x14ac:dyDescent="0.2">
      <c r="A200" s="2">
        <v>566</v>
      </c>
      <c r="B200" s="2" t="s">
        <v>585</v>
      </c>
      <c r="C200" s="2" t="s">
        <v>586</v>
      </c>
      <c r="D200" s="2" t="s">
        <v>390</v>
      </c>
      <c r="F200" s="32">
        <v>0</v>
      </c>
      <c r="G200" s="32"/>
      <c r="H200" s="32">
        <f t="shared" si="108"/>
        <v>0</v>
      </c>
      <c r="I200" s="32">
        <f t="shared" si="109"/>
        <v>0</v>
      </c>
      <c r="J200" s="32"/>
      <c r="K200" s="32">
        <f t="shared" si="110"/>
        <v>0</v>
      </c>
      <c r="L200" s="32"/>
      <c r="M200" s="32">
        <f t="shared" si="111"/>
        <v>0</v>
      </c>
      <c r="N200" s="32"/>
      <c r="O200" s="32">
        <f t="shared" si="112"/>
        <v>0</v>
      </c>
      <c r="P200" s="32">
        <f t="shared" si="113"/>
        <v>0</v>
      </c>
      <c r="Q200" s="32"/>
      <c r="R200" s="32">
        <f t="shared" si="114"/>
        <v>0</v>
      </c>
      <c r="S200" s="32">
        <f t="shared" si="115"/>
        <v>0</v>
      </c>
      <c r="T200" s="32"/>
      <c r="U200" s="32">
        <f t="shared" si="116"/>
        <v>0</v>
      </c>
      <c r="V200" s="32"/>
      <c r="W200" s="32">
        <f t="shared" si="117"/>
        <v>0</v>
      </c>
      <c r="X200" s="32"/>
      <c r="Y200" s="32">
        <f t="shared" si="118"/>
        <v>0</v>
      </c>
      <c r="Z200" s="32"/>
      <c r="AA200" s="32">
        <f t="shared" si="119"/>
        <v>0</v>
      </c>
      <c r="AB200" s="32">
        <f>SUM(H200:AA200)</f>
        <v>0</v>
      </c>
      <c r="AC200" s="14" t="str">
        <f>IF(ABS(AB200-F200)&lt;1,"ok","err")</f>
        <v>ok</v>
      </c>
    </row>
    <row r="201" spans="1:29" ht="12.75" x14ac:dyDescent="0.2">
      <c r="A201" s="2">
        <v>567</v>
      </c>
      <c r="B201" s="2" t="s">
        <v>115</v>
      </c>
      <c r="C201" s="2" t="s">
        <v>879</v>
      </c>
      <c r="D201" s="2" t="s">
        <v>390</v>
      </c>
      <c r="F201" s="32">
        <v>0</v>
      </c>
      <c r="G201" s="32"/>
      <c r="H201" s="32">
        <f t="shared" si="108"/>
        <v>0</v>
      </c>
      <c r="I201" s="32">
        <f t="shared" si="109"/>
        <v>0</v>
      </c>
      <c r="J201" s="32"/>
      <c r="K201" s="32">
        <f t="shared" si="110"/>
        <v>0</v>
      </c>
      <c r="L201" s="32"/>
      <c r="M201" s="32">
        <f t="shared" si="111"/>
        <v>0</v>
      </c>
      <c r="N201" s="32"/>
      <c r="O201" s="32">
        <f t="shared" si="112"/>
        <v>0</v>
      </c>
      <c r="P201" s="32">
        <f t="shared" si="113"/>
        <v>0</v>
      </c>
      <c r="Q201" s="32"/>
      <c r="R201" s="32">
        <f t="shared" si="114"/>
        <v>0</v>
      </c>
      <c r="S201" s="32">
        <f t="shared" si="115"/>
        <v>0</v>
      </c>
      <c r="T201" s="32"/>
      <c r="U201" s="32">
        <f t="shared" si="116"/>
        <v>0</v>
      </c>
      <c r="V201" s="32"/>
      <c r="W201" s="32">
        <f t="shared" si="117"/>
        <v>0</v>
      </c>
      <c r="X201" s="32"/>
      <c r="Y201" s="32">
        <f t="shared" si="118"/>
        <v>0</v>
      </c>
      <c r="Z201" s="32"/>
      <c r="AA201" s="32">
        <f t="shared" si="119"/>
        <v>0</v>
      </c>
      <c r="AB201" s="32">
        <f>SUM(H201:AA201)</f>
        <v>0</v>
      </c>
      <c r="AC201" s="14" t="str">
        <f>IF(ABS(AB201-F201)&lt;1,"ok","err")</f>
        <v>ok</v>
      </c>
    </row>
    <row r="202" spans="1:29" ht="12.75" x14ac:dyDescent="0.2">
      <c r="A202" s="2">
        <v>568</v>
      </c>
      <c r="B202" s="2" t="s">
        <v>880</v>
      </c>
      <c r="C202" s="2" t="s">
        <v>407</v>
      </c>
      <c r="D202" s="2" t="s">
        <v>390</v>
      </c>
      <c r="F202" s="32">
        <v>0</v>
      </c>
      <c r="G202" s="32"/>
      <c r="H202" s="32">
        <f t="shared" si="108"/>
        <v>0</v>
      </c>
      <c r="I202" s="32">
        <f t="shared" si="109"/>
        <v>0</v>
      </c>
      <c r="J202" s="32"/>
      <c r="K202" s="32">
        <f t="shared" si="110"/>
        <v>0</v>
      </c>
      <c r="L202" s="32"/>
      <c r="M202" s="32">
        <f t="shared" si="111"/>
        <v>0</v>
      </c>
      <c r="N202" s="32"/>
      <c r="O202" s="32">
        <f t="shared" si="112"/>
        <v>0</v>
      </c>
      <c r="P202" s="32">
        <f t="shared" si="113"/>
        <v>0</v>
      </c>
      <c r="Q202" s="32"/>
      <c r="R202" s="32">
        <f t="shared" si="114"/>
        <v>0</v>
      </c>
      <c r="S202" s="32">
        <f t="shared" si="115"/>
        <v>0</v>
      </c>
      <c r="T202" s="32"/>
      <c r="U202" s="32">
        <f t="shared" si="116"/>
        <v>0</v>
      </c>
      <c r="V202" s="32"/>
      <c r="W202" s="32">
        <f t="shared" si="117"/>
        <v>0</v>
      </c>
      <c r="X202" s="32"/>
      <c r="Y202" s="32">
        <f t="shared" si="118"/>
        <v>0</v>
      </c>
      <c r="Z202" s="32"/>
      <c r="AA202" s="32">
        <f t="shared" si="119"/>
        <v>0</v>
      </c>
      <c r="AB202" s="32">
        <f>SUM(H202:AA202)</f>
        <v>0</v>
      </c>
      <c r="AC202" s="14" t="str">
        <f>IF(ABS(AB202-F202)&lt;1,"ok","err")</f>
        <v>ok</v>
      </c>
    </row>
    <row r="203" spans="1:29" ht="12.75" x14ac:dyDescent="0.2">
      <c r="A203" s="2">
        <v>569</v>
      </c>
      <c r="B203" s="2" t="s">
        <v>774</v>
      </c>
      <c r="C203" s="2" t="s">
        <v>881</v>
      </c>
      <c r="D203" s="2" t="s">
        <v>390</v>
      </c>
      <c r="F203" s="32">
        <v>0</v>
      </c>
      <c r="G203" s="32"/>
      <c r="H203" s="32">
        <f t="shared" si="108"/>
        <v>0</v>
      </c>
      <c r="I203" s="32">
        <f t="shared" si="109"/>
        <v>0</v>
      </c>
      <c r="J203" s="32"/>
      <c r="K203" s="32">
        <f t="shared" si="110"/>
        <v>0</v>
      </c>
      <c r="L203" s="32"/>
      <c r="M203" s="32">
        <f t="shared" si="111"/>
        <v>0</v>
      </c>
      <c r="N203" s="32"/>
      <c r="O203" s="32">
        <f t="shared" si="112"/>
        <v>0</v>
      </c>
      <c r="P203" s="32">
        <f t="shared" si="113"/>
        <v>0</v>
      </c>
      <c r="Q203" s="32"/>
      <c r="R203" s="32">
        <f t="shared" si="114"/>
        <v>0</v>
      </c>
      <c r="S203" s="32">
        <f t="shared" si="115"/>
        <v>0</v>
      </c>
      <c r="T203" s="32"/>
      <c r="U203" s="32">
        <f t="shared" si="116"/>
        <v>0</v>
      </c>
      <c r="V203" s="32"/>
      <c r="W203" s="32">
        <f t="shared" si="117"/>
        <v>0</v>
      </c>
      <c r="X203" s="32"/>
      <c r="Y203" s="32">
        <f t="shared" si="118"/>
        <v>0</v>
      </c>
      <c r="Z203" s="32"/>
      <c r="AA203" s="32">
        <f t="shared" si="119"/>
        <v>0</v>
      </c>
      <c r="AB203" s="32">
        <f t="shared" si="120"/>
        <v>0</v>
      </c>
      <c r="AC203" s="14" t="str">
        <f t="shared" si="121"/>
        <v>ok</v>
      </c>
    </row>
    <row r="204" spans="1:29" ht="12.75" x14ac:dyDescent="0.2">
      <c r="A204" s="2">
        <v>570</v>
      </c>
      <c r="B204" s="2" t="s">
        <v>375</v>
      </c>
      <c r="C204" s="2" t="s">
        <v>408</v>
      </c>
      <c r="D204" s="2" t="s">
        <v>390</v>
      </c>
      <c r="F204" s="32">
        <v>0</v>
      </c>
      <c r="G204" s="32"/>
      <c r="H204" s="32">
        <f t="shared" si="108"/>
        <v>0</v>
      </c>
      <c r="I204" s="32">
        <f t="shared" si="109"/>
        <v>0</v>
      </c>
      <c r="J204" s="32"/>
      <c r="K204" s="32">
        <f t="shared" si="110"/>
        <v>0</v>
      </c>
      <c r="L204" s="32"/>
      <c r="M204" s="32">
        <f t="shared" si="111"/>
        <v>0</v>
      </c>
      <c r="N204" s="32"/>
      <c r="O204" s="32">
        <f t="shared" si="112"/>
        <v>0</v>
      </c>
      <c r="P204" s="32">
        <f t="shared" si="113"/>
        <v>0</v>
      </c>
      <c r="Q204" s="32"/>
      <c r="R204" s="32">
        <f t="shared" si="114"/>
        <v>0</v>
      </c>
      <c r="S204" s="32">
        <f t="shared" si="115"/>
        <v>0</v>
      </c>
      <c r="T204" s="32"/>
      <c r="U204" s="32">
        <f t="shared" si="116"/>
        <v>0</v>
      </c>
      <c r="V204" s="32"/>
      <c r="W204" s="32">
        <f t="shared" si="117"/>
        <v>0</v>
      </c>
      <c r="X204" s="32"/>
      <c r="Y204" s="32">
        <f t="shared" si="118"/>
        <v>0</v>
      </c>
      <c r="Z204" s="32"/>
      <c r="AA204" s="32">
        <f t="shared" si="119"/>
        <v>0</v>
      </c>
      <c r="AB204" s="32">
        <f t="shared" si="120"/>
        <v>0</v>
      </c>
      <c r="AC204" s="14" t="str">
        <f t="shared" si="121"/>
        <v>ok</v>
      </c>
    </row>
    <row r="205" spans="1:29" ht="12.75" x14ac:dyDescent="0.2">
      <c r="A205" s="2">
        <v>571</v>
      </c>
      <c r="B205" s="2" t="s">
        <v>376</v>
      </c>
      <c r="C205" s="2" t="s">
        <v>409</v>
      </c>
      <c r="D205" s="2" t="s">
        <v>390</v>
      </c>
      <c r="F205" s="32">
        <v>0</v>
      </c>
      <c r="G205" s="32"/>
      <c r="H205" s="32">
        <f t="shared" si="108"/>
        <v>0</v>
      </c>
      <c r="I205" s="32">
        <f t="shared" si="109"/>
        <v>0</v>
      </c>
      <c r="J205" s="32"/>
      <c r="K205" s="32">
        <f t="shared" si="110"/>
        <v>0</v>
      </c>
      <c r="L205" s="32"/>
      <c r="M205" s="32">
        <f t="shared" si="111"/>
        <v>0</v>
      </c>
      <c r="N205" s="32"/>
      <c r="O205" s="32">
        <f t="shared" si="112"/>
        <v>0</v>
      </c>
      <c r="P205" s="32">
        <f t="shared" si="113"/>
        <v>0</v>
      </c>
      <c r="Q205" s="32"/>
      <c r="R205" s="32">
        <f t="shared" si="114"/>
        <v>0</v>
      </c>
      <c r="S205" s="32">
        <f t="shared" si="115"/>
        <v>0</v>
      </c>
      <c r="T205" s="32"/>
      <c r="U205" s="32">
        <f t="shared" si="116"/>
        <v>0</v>
      </c>
      <c r="V205" s="32"/>
      <c r="W205" s="32">
        <f t="shared" si="117"/>
        <v>0</v>
      </c>
      <c r="X205" s="32"/>
      <c r="Y205" s="32">
        <f t="shared" si="118"/>
        <v>0</v>
      </c>
      <c r="Z205" s="32"/>
      <c r="AA205" s="32">
        <f t="shared" si="119"/>
        <v>0</v>
      </c>
      <c r="AB205" s="32">
        <f t="shared" si="120"/>
        <v>0</v>
      </c>
      <c r="AC205" s="14" t="str">
        <f t="shared" si="121"/>
        <v>ok</v>
      </c>
    </row>
    <row r="206" spans="1:29" ht="12.75" x14ac:dyDescent="0.2">
      <c r="A206" s="2">
        <v>572</v>
      </c>
      <c r="B206" s="2" t="s">
        <v>887</v>
      </c>
      <c r="C206" s="2" t="s">
        <v>884</v>
      </c>
      <c r="D206" s="2" t="s">
        <v>390</v>
      </c>
      <c r="F206" s="32">
        <v>0</v>
      </c>
      <c r="G206" s="32"/>
      <c r="H206" s="32">
        <f t="shared" si="108"/>
        <v>0</v>
      </c>
      <c r="I206" s="32">
        <f t="shared" si="109"/>
        <v>0</v>
      </c>
      <c r="J206" s="32"/>
      <c r="K206" s="32">
        <f t="shared" si="110"/>
        <v>0</v>
      </c>
      <c r="L206" s="32"/>
      <c r="M206" s="32">
        <f t="shared" si="111"/>
        <v>0</v>
      </c>
      <c r="N206" s="32"/>
      <c r="O206" s="32">
        <f t="shared" si="112"/>
        <v>0</v>
      </c>
      <c r="P206" s="32">
        <f t="shared" si="113"/>
        <v>0</v>
      </c>
      <c r="Q206" s="32"/>
      <c r="R206" s="32">
        <f t="shared" si="114"/>
        <v>0</v>
      </c>
      <c r="S206" s="32">
        <f t="shared" si="115"/>
        <v>0</v>
      </c>
      <c r="T206" s="32"/>
      <c r="U206" s="32">
        <f t="shared" si="116"/>
        <v>0</v>
      </c>
      <c r="V206" s="32"/>
      <c r="W206" s="32">
        <f t="shared" si="117"/>
        <v>0</v>
      </c>
      <c r="X206" s="32"/>
      <c r="Y206" s="32">
        <f t="shared" si="118"/>
        <v>0</v>
      </c>
      <c r="Z206" s="32"/>
      <c r="AA206" s="32">
        <f t="shared" si="119"/>
        <v>0</v>
      </c>
      <c r="AB206" s="32">
        <f>SUM(H206:AA206)</f>
        <v>0</v>
      </c>
      <c r="AC206" s="14" t="str">
        <f>IF(ABS(AB206-F206)&lt;1,"ok","err")</f>
        <v>ok</v>
      </c>
    </row>
    <row r="207" spans="1:29" ht="12.75" x14ac:dyDescent="0.2">
      <c r="A207" s="2">
        <v>573</v>
      </c>
      <c r="B207" s="2" t="s">
        <v>882</v>
      </c>
      <c r="C207" s="2" t="s">
        <v>885</v>
      </c>
      <c r="D207" s="2" t="s">
        <v>390</v>
      </c>
      <c r="F207" s="32">
        <v>0</v>
      </c>
      <c r="G207" s="32"/>
      <c r="H207" s="32">
        <f t="shared" si="108"/>
        <v>0</v>
      </c>
      <c r="I207" s="32">
        <f t="shared" si="109"/>
        <v>0</v>
      </c>
      <c r="J207" s="32"/>
      <c r="K207" s="32">
        <f t="shared" si="110"/>
        <v>0</v>
      </c>
      <c r="L207" s="32"/>
      <c r="M207" s="32">
        <f t="shared" si="111"/>
        <v>0</v>
      </c>
      <c r="N207" s="32"/>
      <c r="O207" s="32">
        <f t="shared" si="112"/>
        <v>0</v>
      </c>
      <c r="P207" s="32">
        <f t="shared" si="113"/>
        <v>0</v>
      </c>
      <c r="Q207" s="32"/>
      <c r="R207" s="32">
        <f t="shared" si="114"/>
        <v>0</v>
      </c>
      <c r="S207" s="32">
        <f t="shared" si="115"/>
        <v>0</v>
      </c>
      <c r="T207" s="32"/>
      <c r="U207" s="32">
        <f t="shared" si="116"/>
        <v>0</v>
      </c>
      <c r="V207" s="32"/>
      <c r="W207" s="32">
        <f t="shared" si="117"/>
        <v>0</v>
      </c>
      <c r="X207" s="32"/>
      <c r="Y207" s="32">
        <f t="shared" si="118"/>
        <v>0</v>
      </c>
      <c r="Z207" s="32"/>
      <c r="AA207" s="32">
        <f t="shared" si="119"/>
        <v>0</v>
      </c>
      <c r="AB207" s="32">
        <f>SUM(H207:AA207)</f>
        <v>0</v>
      </c>
      <c r="AC207" s="14" t="str">
        <f>IF(ABS(AB207-F207)&lt;1,"ok","err")</f>
        <v>ok</v>
      </c>
    </row>
    <row r="208" spans="1:29" ht="12.75" x14ac:dyDescent="0.2">
      <c r="A208" s="2">
        <v>574</v>
      </c>
      <c r="B208" s="2" t="s">
        <v>883</v>
      </c>
      <c r="C208" s="2" t="s">
        <v>886</v>
      </c>
      <c r="D208" s="2" t="s">
        <v>390</v>
      </c>
      <c r="F208" s="32">
        <v>0</v>
      </c>
      <c r="G208" s="32"/>
      <c r="H208" s="32">
        <f t="shared" si="108"/>
        <v>0</v>
      </c>
      <c r="I208" s="32">
        <f t="shared" si="109"/>
        <v>0</v>
      </c>
      <c r="J208" s="32"/>
      <c r="K208" s="32">
        <f t="shared" si="110"/>
        <v>0</v>
      </c>
      <c r="L208" s="32"/>
      <c r="M208" s="32">
        <f t="shared" si="111"/>
        <v>0</v>
      </c>
      <c r="N208" s="32"/>
      <c r="O208" s="32">
        <f t="shared" si="112"/>
        <v>0</v>
      </c>
      <c r="P208" s="32">
        <f t="shared" si="113"/>
        <v>0</v>
      </c>
      <c r="Q208" s="32"/>
      <c r="R208" s="32">
        <f t="shared" si="114"/>
        <v>0</v>
      </c>
      <c r="S208" s="32">
        <f t="shared" si="115"/>
        <v>0</v>
      </c>
      <c r="T208" s="32"/>
      <c r="U208" s="32">
        <f t="shared" si="116"/>
        <v>0</v>
      </c>
      <c r="V208" s="32"/>
      <c r="W208" s="32">
        <f t="shared" si="117"/>
        <v>0</v>
      </c>
      <c r="X208" s="32"/>
      <c r="Y208" s="32">
        <f t="shared" si="118"/>
        <v>0</v>
      </c>
      <c r="Z208" s="32"/>
      <c r="AA208" s="32">
        <f t="shared" si="119"/>
        <v>0</v>
      </c>
      <c r="AB208" s="32">
        <f t="shared" si="120"/>
        <v>0</v>
      </c>
      <c r="AC208" s="14" t="str">
        <f t="shared" si="121"/>
        <v>ok</v>
      </c>
    </row>
    <row r="209" spans="1:29" ht="12.75" x14ac:dyDescent="0.2"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32"/>
      <c r="AC209" s="14"/>
    </row>
    <row r="210" spans="1:29" ht="12.75" x14ac:dyDescent="0.2">
      <c r="A210" s="2" t="s">
        <v>377</v>
      </c>
      <c r="F210" s="69">
        <f>SUM(F194:F208)</f>
        <v>0</v>
      </c>
      <c r="G210" s="69"/>
      <c r="H210" s="69">
        <f t="shared" ref="H210:AA210" si="122">SUM(H194:H208)</f>
        <v>0</v>
      </c>
      <c r="I210" s="69">
        <f t="shared" si="122"/>
        <v>0</v>
      </c>
      <c r="J210" s="69"/>
      <c r="K210" s="69">
        <f t="shared" si="122"/>
        <v>0</v>
      </c>
      <c r="L210" s="69"/>
      <c r="M210" s="69">
        <f t="shared" si="122"/>
        <v>0</v>
      </c>
      <c r="N210" s="69"/>
      <c r="O210" s="69">
        <f t="shared" si="122"/>
        <v>0</v>
      </c>
      <c r="P210" s="69">
        <f t="shared" si="122"/>
        <v>0</v>
      </c>
      <c r="Q210" s="69"/>
      <c r="R210" s="69">
        <f t="shared" si="122"/>
        <v>0</v>
      </c>
      <c r="S210" s="69">
        <f t="shared" si="122"/>
        <v>0</v>
      </c>
      <c r="T210" s="69"/>
      <c r="U210" s="69">
        <f t="shared" si="122"/>
        <v>0</v>
      </c>
      <c r="V210" s="69"/>
      <c r="W210" s="69">
        <f t="shared" si="122"/>
        <v>0</v>
      </c>
      <c r="X210" s="69"/>
      <c r="Y210" s="69">
        <f t="shared" si="122"/>
        <v>0</v>
      </c>
      <c r="Z210" s="69"/>
      <c r="AA210" s="69">
        <f t="shared" si="122"/>
        <v>0</v>
      </c>
      <c r="AB210" s="45">
        <f>SUM(H210:AA210)</f>
        <v>0</v>
      </c>
      <c r="AC210" s="14" t="str">
        <f>IF(ABS(AB210-F210)&lt;1,"ok","err")</f>
        <v>ok</v>
      </c>
    </row>
    <row r="211" spans="1:29" x14ac:dyDescent="0.25">
      <c r="B211" s="69"/>
      <c r="Q211" s="2"/>
      <c r="AC211" s="14"/>
    </row>
    <row r="212" spans="1:29" x14ac:dyDescent="0.25">
      <c r="A212" s="1" t="s">
        <v>98</v>
      </c>
      <c r="Q212" s="2"/>
      <c r="AC212" s="14"/>
    </row>
    <row r="213" spans="1:29" ht="12.75" x14ac:dyDescent="0.2">
      <c r="A213" s="2">
        <v>580</v>
      </c>
      <c r="B213" s="2" t="s">
        <v>99</v>
      </c>
      <c r="C213" s="2" t="s">
        <v>100</v>
      </c>
      <c r="D213" s="2" t="s">
        <v>16</v>
      </c>
      <c r="F213" s="45">
        <v>34751.339999999997</v>
      </c>
      <c r="G213" s="45"/>
      <c r="H213" s="32">
        <f t="shared" ref="H213:H224" si="123">IF(VLOOKUP($D213,$C$5:$AA$507,6,)=0,0,((VLOOKUP($D213,$C$5:$AA$507,6,)/VLOOKUP($D213,$C$5:$AA$507,4,))*$F213))</f>
        <v>0</v>
      </c>
      <c r="I213" s="32">
        <f t="shared" ref="I213:I224" si="124">IF(VLOOKUP($D213,$C$5:$AA$507,7,)=0,0,((VLOOKUP($D213,$C$5:$AA$507,7,)/VLOOKUP($D213,$C$5:$AA$507,4,))*$F213))</f>
        <v>0</v>
      </c>
      <c r="J213" s="32"/>
      <c r="K213" s="32">
        <f t="shared" ref="K213:K224" si="125">IF(VLOOKUP($D213,$C$5:$AA$507,9,)=0,0,((VLOOKUP($D213,$C$5:$AA$507,9,)/VLOOKUP($D213,$C$5:$AA$507,4,))*$F213))</f>
        <v>0</v>
      </c>
      <c r="L213" s="32"/>
      <c r="M213" s="32">
        <f t="shared" ref="M213:M224" si="126">IF(VLOOKUP($D213,$C$5:$AA$507,11,)=0,0,((VLOOKUP($D213,$C$5:$AA$507,11,)/VLOOKUP($D213,$C$5:$AA$507,4,))*$F213))</f>
        <v>12.685637107437353</v>
      </c>
      <c r="N213" s="32"/>
      <c r="O213" s="32">
        <f t="shared" ref="O213:O224" si="127">IF(VLOOKUP($D213,$C$5:$AA$507,13,)=0,0,((VLOOKUP($D213,$C$5:$AA$507,13,)/VLOOKUP($D213,$C$5:$AA$507,4,))*$F213))</f>
        <v>18470.225830703665</v>
      </c>
      <c r="P213" s="32">
        <f t="shared" ref="P213:P224" si="128">IF(VLOOKUP($D213,$C$5:$AA$507,14,)=0,0,((VLOOKUP($D213,$C$5:$AA$507,14,)/VLOOKUP($D213,$C$5:$AA$507,4,))*$F213))</f>
        <v>9518.5676191043458</v>
      </c>
      <c r="Q213" s="32"/>
      <c r="R213" s="32">
        <f t="shared" ref="R213:R224" si="129">IF(VLOOKUP($D213,$C$5:$AA$507,16,)=0,0,((VLOOKUP($D213,$C$5:$AA$507,16,)/VLOOKUP($D213,$C$5:$AA$507,4,))*$F213))</f>
        <v>0</v>
      </c>
      <c r="S213" s="32">
        <f t="shared" ref="S213:S224" si="130">IF(VLOOKUP($D213,$C$5:$AA$507,17,)=0,0,((VLOOKUP($D213,$C$5:$AA$507,17,)/VLOOKUP($D213,$C$5:$AA$507,4,))*$F213))</f>
        <v>3456.2258490554023</v>
      </c>
      <c r="T213" s="32"/>
      <c r="U213" s="32">
        <f t="shared" ref="U213:U224" si="131">IF(VLOOKUP($D213,$C$5:$AA$507,19,)=0,0,((VLOOKUP($D213,$C$5:$AA$507,19,)/VLOOKUP($D213,$C$5:$AA$507,4,))*$F213))</f>
        <v>1947.9063003165684</v>
      </c>
      <c r="V213" s="32"/>
      <c r="W213" s="32">
        <f t="shared" ref="W213:W224" si="132">IF(VLOOKUP($D213,$C$5:$AA$507,21,)=0,0,((VLOOKUP($D213,$C$5:$AA$507,21,)/VLOOKUP($D213,$C$5:$AA$507,4,))*$F213))</f>
        <v>1345.728763712578</v>
      </c>
      <c r="X213" s="32"/>
      <c r="Y213" s="32">
        <f t="shared" ref="Y213:Y224" si="133">IF(VLOOKUP($D213,$C$5:$AA$507,23,)=0,0,((VLOOKUP($D213,$C$5:$AA$507,23,)/VLOOKUP($D213,$C$5:$AA$507,4,))*$F213))</f>
        <v>0</v>
      </c>
      <c r="Z213" s="32"/>
      <c r="AA213" s="32">
        <f t="shared" ref="AA213:AA224" si="134">IF(VLOOKUP($D213,$C$5:$AA$507,25,)=0,0,((VLOOKUP($D213,$C$5:$AA$507,25,)/VLOOKUP($D213,$C$5:$AA$507,4,))*$F213))</f>
        <v>0</v>
      </c>
      <c r="AB213" s="32">
        <f t="shared" ref="AB213:AB224" si="135">SUM(H213:AA213)</f>
        <v>34751.339999999997</v>
      </c>
      <c r="AC213" s="14" t="str">
        <f t="shared" ref="AC213:AC224" si="136">IF(ABS(AB213-F213)&lt;1,"ok","err")</f>
        <v>ok</v>
      </c>
    </row>
    <row r="214" spans="1:29" ht="12.75" x14ac:dyDescent="0.2">
      <c r="A214" s="2">
        <v>581</v>
      </c>
      <c r="B214" s="2" t="s">
        <v>101</v>
      </c>
      <c r="C214" s="2" t="s">
        <v>102</v>
      </c>
      <c r="D214" s="2" t="s">
        <v>23</v>
      </c>
      <c r="F214" s="32">
        <v>0</v>
      </c>
      <c r="G214" s="32"/>
      <c r="H214" s="32">
        <f t="shared" si="123"/>
        <v>0</v>
      </c>
      <c r="I214" s="32">
        <f t="shared" si="124"/>
        <v>0</v>
      </c>
      <c r="J214" s="32"/>
      <c r="K214" s="32">
        <f t="shared" si="125"/>
        <v>0</v>
      </c>
      <c r="L214" s="32"/>
      <c r="M214" s="32">
        <f t="shared" si="126"/>
        <v>0</v>
      </c>
      <c r="N214" s="32"/>
      <c r="O214" s="32">
        <f t="shared" si="127"/>
        <v>0</v>
      </c>
      <c r="P214" s="32">
        <f t="shared" si="128"/>
        <v>0</v>
      </c>
      <c r="Q214" s="32"/>
      <c r="R214" s="32">
        <f t="shared" si="129"/>
        <v>0</v>
      </c>
      <c r="S214" s="32">
        <f t="shared" si="130"/>
        <v>0</v>
      </c>
      <c r="T214" s="32"/>
      <c r="U214" s="32">
        <f t="shared" si="131"/>
        <v>0</v>
      </c>
      <c r="V214" s="32"/>
      <c r="W214" s="32">
        <f t="shared" si="132"/>
        <v>0</v>
      </c>
      <c r="X214" s="32"/>
      <c r="Y214" s="32">
        <f t="shared" si="133"/>
        <v>0</v>
      </c>
      <c r="Z214" s="32"/>
      <c r="AA214" s="32">
        <f t="shared" si="134"/>
        <v>0</v>
      </c>
      <c r="AB214" s="32">
        <f t="shared" si="135"/>
        <v>0</v>
      </c>
      <c r="AC214" s="14" t="str">
        <f t="shared" si="136"/>
        <v>ok</v>
      </c>
    </row>
    <row r="215" spans="1:29" ht="12.75" x14ac:dyDescent="0.2">
      <c r="A215" s="2">
        <v>582</v>
      </c>
      <c r="B215" s="2" t="s">
        <v>372</v>
      </c>
      <c r="C215" s="2" t="s">
        <v>378</v>
      </c>
      <c r="D215" s="2" t="s">
        <v>23</v>
      </c>
      <c r="F215" s="32">
        <v>0</v>
      </c>
      <c r="G215" s="32"/>
      <c r="H215" s="32">
        <f t="shared" si="123"/>
        <v>0</v>
      </c>
      <c r="I215" s="32">
        <f t="shared" si="124"/>
        <v>0</v>
      </c>
      <c r="J215" s="32"/>
      <c r="K215" s="32">
        <f t="shared" si="125"/>
        <v>0</v>
      </c>
      <c r="L215" s="32"/>
      <c r="M215" s="32">
        <f t="shared" si="126"/>
        <v>0</v>
      </c>
      <c r="N215" s="32"/>
      <c r="O215" s="32">
        <f t="shared" si="127"/>
        <v>0</v>
      </c>
      <c r="P215" s="32">
        <f t="shared" si="128"/>
        <v>0</v>
      </c>
      <c r="Q215" s="32"/>
      <c r="R215" s="32">
        <f t="shared" si="129"/>
        <v>0</v>
      </c>
      <c r="S215" s="32">
        <f t="shared" si="130"/>
        <v>0</v>
      </c>
      <c r="T215" s="32"/>
      <c r="U215" s="32">
        <f t="shared" si="131"/>
        <v>0</v>
      </c>
      <c r="V215" s="32"/>
      <c r="W215" s="32">
        <f t="shared" si="132"/>
        <v>0</v>
      </c>
      <c r="X215" s="32"/>
      <c r="Y215" s="32">
        <f t="shared" si="133"/>
        <v>0</v>
      </c>
      <c r="Z215" s="32"/>
      <c r="AA215" s="32">
        <f t="shared" si="134"/>
        <v>0</v>
      </c>
      <c r="AB215" s="32">
        <f t="shared" ref="AB215" si="137">SUM(H215:AA215)</f>
        <v>0</v>
      </c>
      <c r="AC215" s="14" t="str">
        <f t="shared" si="136"/>
        <v>ok</v>
      </c>
    </row>
    <row r="216" spans="1:29" ht="12.75" x14ac:dyDescent="0.2">
      <c r="A216" s="2">
        <v>583</v>
      </c>
      <c r="B216" s="2" t="s">
        <v>103</v>
      </c>
      <c r="C216" s="2" t="s">
        <v>104</v>
      </c>
      <c r="D216" s="2" t="s">
        <v>29</v>
      </c>
      <c r="F216" s="32">
        <v>241304.89</v>
      </c>
      <c r="G216" s="32"/>
      <c r="H216" s="32">
        <f t="shared" si="123"/>
        <v>0</v>
      </c>
      <c r="I216" s="32">
        <f t="shared" si="124"/>
        <v>0</v>
      </c>
      <c r="J216" s="32"/>
      <c r="K216" s="32">
        <f t="shared" si="125"/>
        <v>0</v>
      </c>
      <c r="L216" s="32"/>
      <c r="M216" s="32">
        <f t="shared" si="126"/>
        <v>0</v>
      </c>
      <c r="N216" s="32"/>
      <c r="O216" s="32">
        <f t="shared" si="127"/>
        <v>187237.10780201436</v>
      </c>
      <c r="P216" s="32">
        <f t="shared" si="128"/>
        <v>54067.782197985638</v>
      </c>
      <c r="Q216" s="32"/>
      <c r="R216" s="32">
        <f t="shared" si="129"/>
        <v>0</v>
      </c>
      <c r="S216" s="32">
        <f t="shared" si="130"/>
        <v>0</v>
      </c>
      <c r="T216" s="32"/>
      <c r="U216" s="32">
        <f t="shared" si="131"/>
        <v>0</v>
      </c>
      <c r="V216" s="32"/>
      <c r="W216" s="32">
        <f t="shared" si="132"/>
        <v>0</v>
      </c>
      <c r="X216" s="32"/>
      <c r="Y216" s="32">
        <f t="shared" si="133"/>
        <v>0</v>
      </c>
      <c r="Z216" s="32"/>
      <c r="AA216" s="32">
        <f t="shared" si="134"/>
        <v>0</v>
      </c>
      <c r="AB216" s="32">
        <f t="shared" ref="AB216" si="138">SUM(H216:AA216)</f>
        <v>241304.89</v>
      </c>
      <c r="AC216" s="14" t="str">
        <f t="shared" si="136"/>
        <v>ok</v>
      </c>
    </row>
    <row r="217" spans="1:29" ht="12.75" x14ac:dyDescent="0.2">
      <c r="A217" s="2">
        <v>584</v>
      </c>
      <c r="B217" s="2" t="s">
        <v>105</v>
      </c>
      <c r="C217" s="2" t="s">
        <v>106</v>
      </c>
      <c r="D217" s="2" t="s">
        <v>35</v>
      </c>
      <c r="F217" s="32">
        <v>0</v>
      </c>
      <c r="G217" s="32"/>
      <c r="H217" s="32">
        <f t="shared" si="123"/>
        <v>0</v>
      </c>
      <c r="I217" s="32">
        <f t="shared" si="124"/>
        <v>0</v>
      </c>
      <c r="J217" s="32"/>
      <c r="K217" s="32">
        <f t="shared" si="125"/>
        <v>0</v>
      </c>
      <c r="L217" s="32"/>
      <c r="M217" s="32">
        <f t="shared" si="126"/>
        <v>0</v>
      </c>
      <c r="N217" s="32"/>
      <c r="O217" s="32">
        <f t="shared" si="127"/>
        <v>0</v>
      </c>
      <c r="P217" s="32">
        <f t="shared" si="128"/>
        <v>0</v>
      </c>
      <c r="Q217" s="32"/>
      <c r="R217" s="32">
        <f t="shared" si="129"/>
        <v>0</v>
      </c>
      <c r="S217" s="32">
        <f t="shared" si="130"/>
        <v>0</v>
      </c>
      <c r="T217" s="32"/>
      <c r="U217" s="32">
        <f t="shared" si="131"/>
        <v>0</v>
      </c>
      <c r="V217" s="32"/>
      <c r="W217" s="32">
        <f t="shared" si="132"/>
        <v>0</v>
      </c>
      <c r="X217" s="32"/>
      <c r="Y217" s="32">
        <f t="shared" si="133"/>
        <v>0</v>
      </c>
      <c r="Z217" s="32"/>
      <c r="AA217" s="32">
        <f t="shared" si="134"/>
        <v>0</v>
      </c>
      <c r="AB217" s="32">
        <f t="shared" si="135"/>
        <v>0</v>
      </c>
      <c r="AC217" s="14" t="str">
        <f t="shared" si="136"/>
        <v>ok</v>
      </c>
    </row>
    <row r="218" spans="1:29" ht="12.75" x14ac:dyDescent="0.2">
      <c r="A218" s="2">
        <v>585</v>
      </c>
      <c r="B218" s="2" t="s">
        <v>107</v>
      </c>
      <c r="C218" s="2" t="s">
        <v>108</v>
      </c>
      <c r="D218" s="2" t="s">
        <v>46</v>
      </c>
      <c r="F218" s="32">
        <v>0</v>
      </c>
      <c r="G218" s="32"/>
      <c r="H218" s="32">
        <f t="shared" si="123"/>
        <v>0</v>
      </c>
      <c r="I218" s="32">
        <f t="shared" si="124"/>
        <v>0</v>
      </c>
      <c r="J218" s="32"/>
      <c r="K218" s="32">
        <f t="shared" si="125"/>
        <v>0</v>
      </c>
      <c r="L218" s="32"/>
      <c r="M218" s="32">
        <f t="shared" si="126"/>
        <v>0</v>
      </c>
      <c r="N218" s="32"/>
      <c r="O218" s="32">
        <f t="shared" si="127"/>
        <v>0</v>
      </c>
      <c r="P218" s="32">
        <f t="shared" si="128"/>
        <v>0</v>
      </c>
      <c r="Q218" s="32"/>
      <c r="R218" s="32">
        <f t="shared" si="129"/>
        <v>0</v>
      </c>
      <c r="S218" s="32">
        <f t="shared" si="130"/>
        <v>0</v>
      </c>
      <c r="T218" s="32"/>
      <c r="U218" s="32">
        <f t="shared" si="131"/>
        <v>0</v>
      </c>
      <c r="V218" s="32"/>
      <c r="W218" s="32">
        <f t="shared" si="132"/>
        <v>0</v>
      </c>
      <c r="X218" s="32"/>
      <c r="Y218" s="32">
        <f t="shared" si="133"/>
        <v>0</v>
      </c>
      <c r="Z218" s="32"/>
      <c r="AA218" s="32">
        <f t="shared" si="134"/>
        <v>0</v>
      </c>
      <c r="AB218" s="32">
        <f t="shared" si="135"/>
        <v>0</v>
      </c>
      <c r="AC218" s="14" t="str">
        <f t="shared" si="136"/>
        <v>ok</v>
      </c>
    </row>
    <row r="219" spans="1:29" ht="12.75" x14ac:dyDescent="0.2">
      <c r="A219" s="2">
        <v>586</v>
      </c>
      <c r="B219" s="2" t="s">
        <v>109</v>
      </c>
      <c r="C219" s="2" t="s">
        <v>110</v>
      </c>
      <c r="D219" s="2" t="s">
        <v>43</v>
      </c>
      <c r="F219" s="32">
        <v>239917.68</v>
      </c>
      <c r="G219" s="32"/>
      <c r="H219" s="32">
        <f t="shared" si="123"/>
        <v>0</v>
      </c>
      <c r="I219" s="32">
        <f t="shared" si="124"/>
        <v>0</v>
      </c>
      <c r="J219" s="32"/>
      <c r="K219" s="32">
        <f t="shared" si="125"/>
        <v>0</v>
      </c>
      <c r="L219" s="32"/>
      <c r="M219" s="32">
        <f t="shared" si="126"/>
        <v>0</v>
      </c>
      <c r="N219" s="32"/>
      <c r="O219" s="32">
        <f t="shared" si="127"/>
        <v>0</v>
      </c>
      <c r="P219" s="32">
        <f t="shared" si="128"/>
        <v>0</v>
      </c>
      <c r="Q219" s="32"/>
      <c r="R219" s="32">
        <f t="shared" si="129"/>
        <v>0</v>
      </c>
      <c r="S219" s="32">
        <f t="shared" si="130"/>
        <v>0</v>
      </c>
      <c r="T219" s="32"/>
      <c r="U219" s="32">
        <f t="shared" si="131"/>
        <v>239917.68</v>
      </c>
      <c r="V219" s="32"/>
      <c r="W219" s="32">
        <f t="shared" si="132"/>
        <v>0</v>
      </c>
      <c r="X219" s="32"/>
      <c r="Y219" s="32">
        <f t="shared" si="133"/>
        <v>0</v>
      </c>
      <c r="Z219" s="32"/>
      <c r="AA219" s="32">
        <f t="shared" si="134"/>
        <v>0</v>
      </c>
      <c r="AB219" s="32">
        <f t="shared" si="135"/>
        <v>239917.68</v>
      </c>
      <c r="AC219" s="14" t="str">
        <f t="shared" si="136"/>
        <v>ok</v>
      </c>
    </row>
    <row r="220" spans="1:29" ht="12.75" x14ac:dyDescent="0.2">
      <c r="A220" s="2">
        <v>586</v>
      </c>
      <c r="B220" s="2" t="s">
        <v>450</v>
      </c>
      <c r="C220" s="2" t="s">
        <v>451</v>
      </c>
      <c r="D220" s="2" t="s">
        <v>471</v>
      </c>
      <c r="F220" s="32">
        <v>0</v>
      </c>
      <c r="G220" s="32"/>
      <c r="H220" s="32">
        <f t="shared" si="123"/>
        <v>0</v>
      </c>
      <c r="I220" s="32">
        <f t="shared" si="124"/>
        <v>0</v>
      </c>
      <c r="J220" s="32"/>
      <c r="K220" s="32">
        <f t="shared" si="125"/>
        <v>0</v>
      </c>
      <c r="L220" s="32"/>
      <c r="M220" s="32">
        <f t="shared" si="126"/>
        <v>0</v>
      </c>
      <c r="N220" s="32"/>
      <c r="O220" s="32">
        <f t="shared" si="127"/>
        <v>0</v>
      </c>
      <c r="P220" s="32">
        <f t="shared" si="128"/>
        <v>0</v>
      </c>
      <c r="Q220" s="32"/>
      <c r="R220" s="32">
        <f t="shared" si="129"/>
        <v>0</v>
      </c>
      <c r="S220" s="32">
        <f t="shared" si="130"/>
        <v>0</v>
      </c>
      <c r="T220" s="32"/>
      <c r="U220" s="32">
        <f t="shared" si="131"/>
        <v>0</v>
      </c>
      <c r="V220" s="32"/>
      <c r="W220" s="32">
        <f t="shared" si="132"/>
        <v>0</v>
      </c>
      <c r="X220" s="32"/>
      <c r="Y220" s="32">
        <f t="shared" si="133"/>
        <v>0</v>
      </c>
      <c r="Z220" s="32"/>
      <c r="AA220" s="32">
        <f t="shared" si="134"/>
        <v>0</v>
      </c>
      <c r="AB220" s="32">
        <f t="shared" si="135"/>
        <v>0</v>
      </c>
      <c r="AC220" s="14" t="str">
        <f t="shared" si="136"/>
        <v>ok</v>
      </c>
    </row>
    <row r="221" spans="1:29" ht="12.75" x14ac:dyDescent="0.2">
      <c r="A221" s="2">
        <v>587</v>
      </c>
      <c r="B221" s="2" t="s">
        <v>111</v>
      </c>
      <c r="C221" s="2" t="s">
        <v>112</v>
      </c>
      <c r="D221" s="2" t="s">
        <v>40</v>
      </c>
      <c r="F221" s="32">
        <v>59820.76</v>
      </c>
      <c r="G221" s="32"/>
      <c r="H221" s="32">
        <f t="shared" si="123"/>
        <v>0</v>
      </c>
      <c r="I221" s="32">
        <f t="shared" si="124"/>
        <v>0</v>
      </c>
      <c r="J221" s="32"/>
      <c r="K221" s="32">
        <f t="shared" si="125"/>
        <v>0</v>
      </c>
      <c r="L221" s="32"/>
      <c r="M221" s="32">
        <f t="shared" si="126"/>
        <v>0</v>
      </c>
      <c r="N221" s="32"/>
      <c r="O221" s="32">
        <f t="shared" si="127"/>
        <v>0</v>
      </c>
      <c r="P221" s="32">
        <f t="shared" si="128"/>
        <v>0</v>
      </c>
      <c r="Q221" s="32"/>
      <c r="R221" s="32">
        <f t="shared" si="129"/>
        <v>0</v>
      </c>
      <c r="S221" s="32">
        <f t="shared" si="130"/>
        <v>59820.76</v>
      </c>
      <c r="T221" s="32"/>
      <c r="U221" s="32">
        <f t="shared" si="131"/>
        <v>0</v>
      </c>
      <c r="V221" s="32"/>
      <c r="W221" s="32">
        <f t="shared" si="132"/>
        <v>0</v>
      </c>
      <c r="X221" s="32"/>
      <c r="Y221" s="32">
        <f t="shared" si="133"/>
        <v>0</v>
      </c>
      <c r="Z221" s="32"/>
      <c r="AA221" s="32">
        <f t="shared" si="134"/>
        <v>0</v>
      </c>
      <c r="AB221" s="32">
        <f t="shared" si="135"/>
        <v>59820.76</v>
      </c>
      <c r="AC221" s="14" t="str">
        <f t="shared" si="136"/>
        <v>ok</v>
      </c>
    </row>
    <row r="222" spans="1:29" ht="12.75" x14ac:dyDescent="0.2">
      <c r="A222" s="2">
        <v>588</v>
      </c>
      <c r="B222" s="2" t="s">
        <v>113</v>
      </c>
      <c r="C222" s="2" t="s">
        <v>114</v>
      </c>
      <c r="D222" s="2" t="s">
        <v>16</v>
      </c>
      <c r="F222" s="32">
        <v>1077875.8899999999</v>
      </c>
      <c r="G222" s="32"/>
      <c r="H222" s="32">
        <f t="shared" si="123"/>
        <v>0</v>
      </c>
      <c r="I222" s="32">
        <f t="shared" si="124"/>
        <v>0</v>
      </c>
      <c r="J222" s="32"/>
      <c r="K222" s="32">
        <f t="shared" si="125"/>
        <v>0</v>
      </c>
      <c r="L222" s="32"/>
      <c r="M222" s="32">
        <f t="shared" si="126"/>
        <v>393.46806158830316</v>
      </c>
      <c r="N222" s="32"/>
      <c r="O222" s="32">
        <f t="shared" si="127"/>
        <v>572887.58090395085</v>
      </c>
      <c r="P222" s="32">
        <f t="shared" si="128"/>
        <v>295235.65260986419</v>
      </c>
      <c r="Q222" s="32"/>
      <c r="R222" s="32">
        <f t="shared" si="129"/>
        <v>0</v>
      </c>
      <c r="S222" s="32">
        <f t="shared" si="130"/>
        <v>107201.11837677618</v>
      </c>
      <c r="T222" s="32"/>
      <c r="U222" s="32">
        <f t="shared" si="131"/>
        <v>60417.849702783504</v>
      </c>
      <c r="V222" s="32"/>
      <c r="W222" s="32">
        <f t="shared" si="132"/>
        <v>41740.220345036898</v>
      </c>
      <c r="X222" s="32"/>
      <c r="Y222" s="32">
        <f t="shared" si="133"/>
        <v>0</v>
      </c>
      <c r="Z222" s="32"/>
      <c r="AA222" s="32">
        <f t="shared" si="134"/>
        <v>0</v>
      </c>
      <c r="AB222" s="32">
        <f t="shared" si="135"/>
        <v>1077875.8899999999</v>
      </c>
      <c r="AC222" s="14" t="str">
        <f t="shared" si="136"/>
        <v>ok</v>
      </c>
    </row>
    <row r="223" spans="1:29" ht="12.75" x14ac:dyDescent="0.2">
      <c r="A223" s="2">
        <v>588</v>
      </c>
      <c r="B223" s="2" t="s">
        <v>706</v>
      </c>
      <c r="C223" s="2" t="s">
        <v>550</v>
      </c>
      <c r="D223" s="2" t="s">
        <v>551</v>
      </c>
      <c r="F223" s="32">
        <v>0</v>
      </c>
      <c r="G223" s="32"/>
      <c r="H223" s="32">
        <f t="shared" si="123"/>
        <v>0</v>
      </c>
      <c r="I223" s="32">
        <f t="shared" si="124"/>
        <v>0</v>
      </c>
      <c r="J223" s="32"/>
      <c r="K223" s="32">
        <f t="shared" si="125"/>
        <v>0</v>
      </c>
      <c r="L223" s="32"/>
      <c r="M223" s="32">
        <f t="shared" si="126"/>
        <v>0</v>
      </c>
      <c r="N223" s="32"/>
      <c r="O223" s="32">
        <f t="shared" si="127"/>
        <v>0</v>
      </c>
      <c r="P223" s="32">
        <f t="shared" si="128"/>
        <v>0</v>
      </c>
      <c r="Q223" s="32"/>
      <c r="R223" s="32">
        <f t="shared" si="129"/>
        <v>0</v>
      </c>
      <c r="S223" s="32">
        <f t="shared" si="130"/>
        <v>0</v>
      </c>
      <c r="T223" s="32"/>
      <c r="U223" s="32">
        <f t="shared" si="131"/>
        <v>0</v>
      </c>
      <c r="V223" s="32"/>
      <c r="W223" s="32">
        <f t="shared" si="132"/>
        <v>0</v>
      </c>
      <c r="X223" s="32"/>
      <c r="Y223" s="32">
        <f t="shared" si="133"/>
        <v>0</v>
      </c>
      <c r="Z223" s="32"/>
      <c r="AA223" s="32">
        <f t="shared" si="134"/>
        <v>0</v>
      </c>
      <c r="AB223" s="32">
        <f t="shared" si="135"/>
        <v>0</v>
      </c>
      <c r="AC223" s="14" t="str">
        <f t="shared" si="136"/>
        <v>ok</v>
      </c>
    </row>
    <row r="224" spans="1:29" ht="12.75" x14ac:dyDescent="0.2">
      <c r="A224" s="2">
        <v>589</v>
      </c>
      <c r="B224" s="2" t="s">
        <v>115</v>
      </c>
      <c r="C224" s="2" t="s">
        <v>116</v>
      </c>
      <c r="D224" s="2" t="s">
        <v>16</v>
      </c>
      <c r="F224" s="32">
        <v>0</v>
      </c>
      <c r="G224" s="32"/>
      <c r="H224" s="32">
        <f t="shared" si="123"/>
        <v>0</v>
      </c>
      <c r="I224" s="32">
        <f t="shared" si="124"/>
        <v>0</v>
      </c>
      <c r="J224" s="32"/>
      <c r="K224" s="32">
        <f t="shared" si="125"/>
        <v>0</v>
      </c>
      <c r="L224" s="32"/>
      <c r="M224" s="32">
        <f t="shared" si="126"/>
        <v>0</v>
      </c>
      <c r="N224" s="32"/>
      <c r="O224" s="32">
        <f t="shared" si="127"/>
        <v>0</v>
      </c>
      <c r="P224" s="32">
        <f t="shared" si="128"/>
        <v>0</v>
      </c>
      <c r="Q224" s="32"/>
      <c r="R224" s="32">
        <f t="shared" si="129"/>
        <v>0</v>
      </c>
      <c r="S224" s="32">
        <f t="shared" si="130"/>
        <v>0</v>
      </c>
      <c r="T224" s="32"/>
      <c r="U224" s="32">
        <f t="shared" si="131"/>
        <v>0</v>
      </c>
      <c r="V224" s="32"/>
      <c r="W224" s="32">
        <f t="shared" si="132"/>
        <v>0</v>
      </c>
      <c r="X224" s="32"/>
      <c r="Y224" s="32">
        <f t="shared" si="133"/>
        <v>0</v>
      </c>
      <c r="Z224" s="32"/>
      <c r="AA224" s="32">
        <f t="shared" si="134"/>
        <v>0</v>
      </c>
      <c r="AB224" s="32">
        <f t="shared" si="135"/>
        <v>0</v>
      </c>
      <c r="AC224" s="14" t="str">
        <f t="shared" si="136"/>
        <v>ok</v>
      </c>
    </row>
    <row r="225" spans="1:29" ht="12.75" x14ac:dyDescent="0.2"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C225" s="14"/>
    </row>
    <row r="226" spans="1:29" ht="12.75" x14ac:dyDescent="0.2">
      <c r="A226" s="2" t="s">
        <v>117</v>
      </c>
      <c r="C226" s="2" t="s">
        <v>118</v>
      </c>
      <c r="F226" s="45">
        <f>SUM(F213:F225)</f>
        <v>1653670.5599999998</v>
      </c>
      <c r="G226" s="45"/>
      <c r="H226" s="45">
        <f t="shared" ref="H226:AA226" si="139">SUM(H213:H225)</f>
        <v>0</v>
      </c>
      <c r="I226" s="45">
        <f t="shared" si="139"/>
        <v>0</v>
      </c>
      <c r="J226" s="45"/>
      <c r="K226" s="45">
        <f t="shared" si="139"/>
        <v>0</v>
      </c>
      <c r="L226" s="45"/>
      <c r="M226" s="45">
        <f t="shared" si="139"/>
        <v>406.1536986957405</v>
      </c>
      <c r="N226" s="45"/>
      <c r="O226" s="45">
        <f t="shared" si="139"/>
        <v>778594.91453666892</v>
      </c>
      <c r="P226" s="45">
        <f t="shared" si="139"/>
        <v>358822.00242695416</v>
      </c>
      <c r="Q226" s="45"/>
      <c r="R226" s="45">
        <f t="shared" si="139"/>
        <v>0</v>
      </c>
      <c r="S226" s="45">
        <f t="shared" si="139"/>
        <v>170478.10422583157</v>
      </c>
      <c r="T226" s="45"/>
      <c r="U226" s="45">
        <f t="shared" si="139"/>
        <v>302283.43600310007</v>
      </c>
      <c r="V226" s="45"/>
      <c r="W226" s="45">
        <f t="shared" si="139"/>
        <v>43085.949108749475</v>
      </c>
      <c r="X226" s="45"/>
      <c r="Y226" s="45">
        <f t="shared" si="139"/>
        <v>0</v>
      </c>
      <c r="Z226" s="45"/>
      <c r="AA226" s="45">
        <f t="shared" si="139"/>
        <v>0</v>
      </c>
      <c r="AB226" s="32">
        <f>SUM(H226:AA226)</f>
        <v>1653670.5599999998</v>
      </c>
      <c r="AC226" s="14" t="str">
        <f>IF(ABS(AB226-F226)&lt;1,"ok","err")</f>
        <v>ok</v>
      </c>
    </row>
    <row r="227" spans="1:29" ht="12.75" x14ac:dyDescent="0.2"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32"/>
      <c r="AC227" s="14"/>
    </row>
    <row r="228" spans="1:29" ht="12.75" x14ac:dyDescent="0.2">
      <c r="A228" s="12" t="s">
        <v>136</v>
      </c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C228" s="14"/>
    </row>
    <row r="229" spans="1:29" ht="12.75" x14ac:dyDescent="0.2"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C229" s="14"/>
    </row>
    <row r="230" spans="1:29" ht="12.75" x14ac:dyDescent="0.2">
      <c r="A230" s="1" t="s">
        <v>119</v>
      </c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C230" s="14"/>
    </row>
    <row r="231" spans="1:29" ht="12.75" x14ac:dyDescent="0.2">
      <c r="A231" s="2">
        <v>590</v>
      </c>
      <c r="B231" s="2" t="s">
        <v>120</v>
      </c>
      <c r="C231" s="2" t="s">
        <v>121</v>
      </c>
      <c r="D231" s="2" t="s">
        <v>16</v>
      </c>
      <c r="F231" s="45">
        <v>0</v>
      </c>
      <c r="G231" s="45"/>
      <c r="H231" s="32">
        <f t="shared" ref="H231:H236" si="140">IF(VLOOKUP($D231,$C$5:$AA$507,6,)=0,0,((VLOOKUP($D231,$C$5:$AA$507,6,)/VLOOKUP($D231,$C$5:$AA$507,4,))*$F231))</f>
        <v>0</v>
      </c>
      <c r="I231" s="32">
        <f t="shared" ref="I231:I238" si="141">IF(VLOOKUP($D231,$C$5:$AA$507,7,)=0,0,((VLOOKUP($D231,$C$5:$AA$507,7,)/VLOOKUP($D231,$C$5:$AA$507,4,))*$F231))</f>
        <v>0</v>
      </c>
      <c r="J231" s="32"/>
      <c r="K231" s="32">
        <f t="shared" ref="K231:K238" si="142">IF(VLOOKUP($D231,$C$5:$AA$507,9,)=0,0,((VLOOKUP($D231,$C$5:$AA$507,9,)/VLOOKUP($D231,$C$5:$AA$507,4,))*$F231))</f>
        <v>0</v>
      </c>
      <c r="L231" s="32"/>
      <c r="M231" s="32">
        <f t="shared" ref="M231:M238" si="143">IF(VLOOKUP($D231,$C$5:$AA$507,11,)=0,0,((VLOOKUP($D231,$C$5:$AA$507,11,)/VLOOKUP($D231,$C$5:$AA$507,4,))*$F231))</f>
        <v>0</v>
      </c>
      <c r="N231" s="32"/>
      <c r="O231" s="32">
        <f t="shared" ref="O231:O238" si="144">IF(VLOOKUP($D231,$C$5:$AA$507,13,)=0,0,((VLOOKUP($D231,$C$5:$AA$507,13,)/VLOOKUP($D231,$C$5:$AA$507,4,))*$F231))</f>
        <v>0</v>
      </c>
      <c r="P231" s="32">
        <f t="shared" ref="P231:P238" si="145">IF(VLOOKUP($D231,$C$5:$AA$507,14,)=0,0,((VLOOKUP($D231,$C$5:$AA$507,14,)/VLOOKUP($D231,$C$5:$AA$507,4,))*$F231))</f>
        <v>0</v>
      </c>
      <c r="Q231" s="32"/>
      <c r="R231" s="32">
        <f t="shared" ref="R231:R238" si="146">IF(VLOOKUP($D231,$C$5:$AA$507,16,)=0,0,((VLOOKUP($D231,$C$5:$AA$507,16,)/VLOOKUP($D231,$C$5:$AA$507,4,))*$F231))</f>
        <v>0</v>
      </c>
      <c r="S231" s="32">
        <f t="shared" ref="S231:S238" si="147">IF(VLOOKUP($D231,$C$5:$AA$507,17,)=0,0,((VLOOKUP($D231,$C$5:$AA$507,17,)/VLOOKUP($D231,$C$5:$AA$507,4,))*$F231))</f>
        <v>0</v>
      </c>
      <c r="T231" s="32"/>
      <c r="U231" s="32">
        <f t="shared" ref="U231:U238" si="148">IF(VLOOKUP($D231,$C$5:$AA$507,19,)=0,0,((VLOOKUP($D231,$C$5:$AA$507,19,)/VLOOKUP($D231,$C$5:$AA$507,4,))*$F231))</f>
        <v>0</v>
      </c>
      <c r="V231" s="32"/>
      <c r="W231" s="32">
        <f t="shared" ref="W231:W238" si="149">IF(VLOOKUP($D231,$C$5:$AA$507,21,)=0,0,((VLOOKUP($D231,$C$5:$AA$507,21,)/VLOOKUP($D231,$C$5:$AA$507,4,))*$F231))</f>
        <v>0</v>
      </c>
      <c r="X231" s="32"/>
      <c r="Y231" s="32">
        <f t="shared" ref="Y231:Y238" si="150">IF(VLOOKUP($D231,$C$5:$AA$507,23,)=0,0,((VLOOKUP($D231,$C$5:$AA$507,23,)/VLOOKUP($D231,$C$5:$AA$507,4,))*$F231))</f>
        <v>0</v>
      </c>
      <c r="Z231" s="32"/>
      <c r="AA231" s="32">
        <f t="shared" ref="AA231:AA238" si="151">IF(VLOOKUP($D231,$C$5:$AA$507,25,)=0,0,((VLOOKUP($D231,$C$5:$AA$507,25,)/VLOOKUP($D231,$C$5:$AA$507,4,))*$F231))</f>
        <v>0</v>
      </c>
      <c r="AB231" s="32">
        <f t="shared" ref="AB231:AB238" si="152">SUM(H231:AA231)</f>
        <v>0</v>
      </c>
      <c r="AC231" s="14" t="str">
        <f t="shared" ref="AC231:AC238" si="153">IF(ABS(AB231-F231)&lt;1,"ok","err")</f>
        <v>ok</v>
      </c>
    </row>
    <row r="232" spans="1:29" ht="12.75" x14ac:dyDescent="0.2">
      <c r="A232" s="2">
        <v>592</v>
      </c>
      <c r="B232" s="2" t="s">
        <v>122</v>
      </c>
      <c r="C232" s="2" t="s">
        <v>123</v>
      </c>
      <c r="D232" s="2" t="s">
        <v>23</v>
      </c>
      <c r="F232" s="32">
        <v>0</v>
      </c>
      <c r="G232" s="32"/>
      <c r="H232" s="32">
        <f t="shared" si="140"/>
        <v>0</v>
      </c>
      <c r="I232" s="32">
        <f t="shared" si="141"/>
        <v>0</v>
      </c>
      <c r="J232" s="32"/>
      <c r="K232" s="32">
        <f t="shared" si="142"/>
        <v>0</v>
      </c>
      <c r="L232" s="32"/>
      <c r="M232" s="32">
        <f t="shared" si="143"/>
        <v>0</v>
      </c>
      <c r="N232" s="32"/>
      <c r="O232" s="32">
        <f t="shared" si="144"/>
        <v>0</v>
      </c>
      <c r="P232" s="32">
        <f t="shared" si="145"/>
        <v>0</v>
      </c>
      <c r="Q232" s="32"/>
      <c r="R232" s="32">
        <f t="shared" si="146"/>
        <v>0</v>
      </c>
      <c r="S232" s="32">
        <f t="shared" si="147"/>
        <v>0</v>
      </c>
      <c r="T232" s="32"/>
      <c r="U232" s="32">
        <f t="shared" si="148"/>
        <v>0</v>
      </c>
      <c r="V232" s="32"/>
      <c r="W232" s="32">
        <f t="shared" si="149"/>
        <v>0</v>
      </c>
      <c r="X232" s="32"/>
      <c r="Y232" s="32">
        <f t="shared" si="150"/>
        <v>0</v>
      </c>
      <c r="Z232" s="32"/>
      <c r="AA232" s="32">
        <f t="shared" si="151"/>
        <v>0</v>
      </c>
      <c r="AB232" s="32">
        <f t="shared" si="152"/>
        <v>0</v>
      </c>
      <c r="AC232" s="14" t="str">
        <f t="shared" si="153"/>
        <v>ok</v>
      </c>
    </row>
    <row r="233" spans="1:29" ht="12.75" x14ac:dyDescent="0.2">
      <c r="A233" s="2">
        <v>593</v>
      </c>
      <c r="B233" s="2" t="s">
        <v>124</v>
      </c>
      <c r="C233" s="2" t="s">
        <v>125</v>
      </c>
      <c r="D233" s="2" t="s">
        <v>29</v>
      </c>
      <c r="F233" s="32">
        <v>4360081.68</v>
      </c>
      <c r="G233" s="32"/>
      <c r="H233" s="32">
        <f t="shared" si="140"/>
        <v>0</v>
      </c>
      <c r="I233" s="32">
        <f t="shared" si="141"/>
        <v>0</v>
      </c>
      <c r="J233" s="32"/>
      <c r="K233" s="32">
        <f t="shared" si="142"/>
        <v>0</v>
      </c>
      <c r="L233" s="32"/>
      <c r="M233" s="32">
        <f t="shared" si="143"/>
        <v>0</v>
      </c>
      <c r="N233" s="32"/>
      <c r="O233" s="32">
        <f t="shared" si="144"/>
        <v>3383143.5556227136</v>
      </c>
      <c r="P233" s="32">
        <f t="shared" si="145"/>
        <v>976938.12437728583</v>
      </c>
      <c r="Q233" s="32"/>
      <c r="R233" s="32">
        <f t="shared" si="146"/>
        <v>0</v>
      </c>
      <c r="S233" s="32">
        <f t="shared" si="147"/>
        <v>0</v>
      </c>
      <c r="T233" s="32"/>
      <c r="U233" s="32">
        <f t="shared" si="148"/>
        <v>0</v>
      </c>
      <c r="V233" s="32"/>
      <c r="W233" s="32">
        <f t="shared" si="149"/>
        <v>0</v>
      </c>
      <c r="X233" s="32"/>
      <c r="Y233" s="32">
        <f t="shared" si="150"/>
        <v>0</v>
      </c>
      <c r="Z233" s="32"/>
      <c r="AA233" s="32">
        <f t="shared" si="151"/>
        <v>0</v>
      </c>
      <c r="AB233" s="32">
        <f t="shared" si="152"/>
        <v>4360081.68</v>
      </c>
      <c r="AC233" s="14" t="str">
        <f t="shared" si="153"/>
        <v>ok</v>
      </c>
    </row>
    <row r="234" spans="1:29" ht="12.75" x14ac:dyDescent="0.2">
      <c r="A234" s="2">
        <v>594</v>
      </c>
      <c r="B234" s="2" t="s">
        <v>126</v>
      </c>
      <c r="C234" s="2" t="s">
        <v>127</v>
      </c>
      <c r="D234" s="2" t="s">
        <v>35</v>
      </c>
      <c r="F234" s="32">
        <v>0</v>
      </c>
      <c r="G234" s="32"/>
      <c r="H234" s="32">
        <f t="shared" si="140"/>
        <v>0</v>
      </c>
      <c r="I234" s="32">
        <f t="shared" si="141"/>
        <v>0</v>
      </c>
      <c r="J234" s="32"/>
      <c r="K234" s="32">
        <f t="shared" si="142"/>
        <v>0</v>
      </c>
      <c r="L234" s="32"/>
      <c r="M234" s="32">
        <f t="shared" si="143"/>
        <v>0</v>
      </c>
      <c r="N234" s="32"/>
      <c r="O234" s="32">
        <f t="shared" si="144"/>
        <v>0</v>
      </c>
      <c r="P234" s="32">
        <f t="shared" si="145"/>
        <v>0</v>
      </c>
      <c r="Q234" s="32"/>
      <c r="R234" s="32">
        <f t="shared" si="146"/>
        <v>0</v>
      </c>
      <c r="S234" s="32">
        <f t="shared" si="147"/>
        <v>0</v>
      </c>
      <c r="T234" s="32"/>
      <c r="U234" s="32">
        <f t="shared" si="148"/>
        <v>0</v>
      </c>
      <c r="V234" s="32"/>
      <c r="W234" s="32">
        <f t="shared" si="149"/>
        <v>0</v>
      </c>
      <c r="X234" s="32"/>
      <c r="Y234" s="32">
        <f t="shared" si="150"/>
        <v>0</v>
      </c>
      <c r="Z234" s="32"/>
      <c r="AA234" s="32">
        <f t="shared" si="151"/>
        <v>0</v>
      </c>
      <c r="AB234" s="32">
        <f t="shared" si="152"/>
        <v>0</v>
      </c>
      <c r="AC234" s="14" t="str">
        <f t="shared" si="153"/>
        <v>ok</v>
      </c>
    </row>
    <row r="235" spans="1:29" ht="12.75" x14ac:dyDescent="0.2">
      <c r="A235" s="2">
        <v>595</v>
      </c>
      <c r="B235" s="2" t="s">
        <v>128</v>
      </c>
      <c r="C235" s="2" t="s">
        <v>129</v>
      </c>
      <c r="D235" s="2" t="s">
        <v>37</v>
      </c>
      <c r="F235" s="32">
        <v>44771.519999999997</v>
      </c>
      <c r="G235" s="32"/>
      <c r="H235" s="32">
        <f t="shared" si="140"/>
        <v>0</v>
      </c>
      <c r="I235" s="32">
        <f t="shared" si="141"/>
        <v>0</v>
      </c>
      <c r="J235" s="32"/>
      <c r="K235" s="32">
        <f t="shared" si="142"/>
        <v>0</v>
      </c>
      <c r="L235" s="32"/>
      <c r="M235" s="32">
        <f t="shared" si="143"/>
        <v>0</v>
      </c>
      <c r="N235" s="32"/>
      <c r="O235" s="32">
        <f t="shared" si="144"/>
        <v>15243.117379343603</v>
      </c>
      <c r="P235" s="32">
        <f t="shared" si="145"/>
        <v>29528.402620656394</v>
      </c>
      <c r="Q235" s="32"/>
      <c r="R235" s="32">
        <f t="shared" si="146"/>
        <v>0</v>
      </c>
      <c r="S235" s="32">
        <f t="shared" si="147"/>
        <v>0</v>
      </c>
      <c r="T235" s="32"/>
      <c r="U235" s="32">
        <f t="shared" si="148"/>
        <v>0</v>
      </c>
      <c r="V235" s="32"/>
      <c r="W235" s="32">
        <f t="shared" si="149"/>
        <v>0</v>
      </c>
      <c r="X235" s="32"/>
      <c r="Y235" s="32">
        <f t="shared" si="150"/>
        <v>0</v>
      </c>
      <c r="Z235" s="32"/>
      <c r="AA235" s="32">
        <f t="shared" si="151"/>
        <v>0</v>
      </c>
      <c r="AB235" s="32">
        <f t="shared" si="152"/>
        <v>44771.519999999997</v>
      </c>
      <c r="AC235" s="14" t="str">
        <f t="shared" si="153"/>
        <v>ok</v>
      </c>
    </row>
    <row r="236" spans="1:29" ht="12.75" x14ac:dyDescent="0.2">
      <c r="A236" s="2">
        <v>596</v>
      </c>
      <c r="B236" s="2" t="s">
        <v>380</v>
      </c>
      <c r="C236" s="2" t="s">
        <v>381</v>
      </c>
      <c r="D236" s="2" t="s">
        <v>48</v>
      </c>
      <c r="F236" s="32">
        <v>0</v>
      </c>
      <c r="G236" s="32"/>
      <c r="H236" s="32">
        <f t="shared" si="140"/>
        <v>0</v>
      </c>
      <c r="I236" s="32">
        <f t="shared" si="141"/>
        <v>0</v>
      </c>
      <c r="J236" s="32"/>
      <c r="K236" s="32">
        <f t="shared" si="142"/>
        <v>0</v>
      </c>
      <c r="L236" s="32"/>
      <c r="M236" s="32">
        <f t="shared" si="143"/>
        <v>0</v>
      </c>
      <c r="N236" s="32"/>
      <c r="O236" s="32">
        <f t="shared" si="144"/>
        <v>0</v>
      </c>
      <c r="P236" s="32">
        <f t="shared" si="145"/>
        <v>0</v>
      </c>
      <c r="Q236" s="32"/>
      <c r="R236" s="32">
        <f t="shared" si="146"/>
        <v>0</v>
      </c>
      <c r="S236" s="32">
        <f t="shared" si="147"/>
        <v>0</v>
      </c>
      <c r="T236" s="32"/>
      <c r="U236" s="32">
        <f t="shared" si="148"/>
        <v>0</v>
      </c>
      <c r="V236" s="32"/>
      <c r="W236" s="32">
        <f t="shared" si="149"/>
        <v>0</v>
      </c>
      <c r="X236" s="32"/>
      <c r="Y236" s="32">
        <f t="shared" si="150"/>
        <v>0</v>
      </c>
      <c r="Z236" s="32"/>
      <c r="AA236" s="32">
        <f t="shared" si="151"/>
        <v>0</v>
      </c>
      <c r="AB236" s="32">
        <f t="shared" si="152"/>
        <v>0</v>
      </c>
      <c r="AC236" s="14" t="str">
        <f t="shared" si="153"/>
        <v>ok</v>
      </c>
    </row>
    <row r="237" spans="1:29" ht="12.75" x14ac:dyDescent="0.2">
      <c r="A237" s="2">
        <v>597</v>
      </c>
      <c r="B237" s="2" t="s">
        <v>130</v>
      </c>
      <c r="C237" s="2" t="s">
        <v>131</v>
      </c>
      <c r="D237" s="2" t="s">
        <v>43</v>
      </c>
      <c r="F237" s="32">
        <v>0</v>
      </c>
      <c r="G237" s="32"/>
      <c r="H237" s="32"/>
      <c r="I237" s="32">
        <f t="shared" si="141"/>
        <v>0</v>
      </c>
      <c r="J237" s="32"/>
      <c r="K237" s="32">
        <f t="shared" si="142"/>
        <v>0</v>
      </c>
      <c r="L237" s="32"/>
      <c r="M237" s="32">
        <f t="shared" si="143"/>
        <v>0</v>
      </c>
      <c r="N237" s="32"/>
      <c r="O237" s="32">
        <f t="shared" si="144"/>
        <v>0</v>
      </c>
      <c r="P237" s="32">
        <f t="shared" si="145"/>
        <v>0</v>
      </c>
      <c r="Q237" s="32"/>
      <c r="R237" s="32">
        <f t="shared" si="146"/>
        <v>0</v>
      </c>
      <c r="S237" s="32">
        <f t="shared" si="147"/>
        <v>0</v>
      </c>
      <c r="T237" s="32"/>
      <c r="U237" s="32">
        <f t="shared" si="148"/>
        <v>0</v>
      </c>
      <c r="V237" s="32"/>
      <c r="W237" s="32">
        <f t="shared" si="149"/>
        <v>0</v>
      </c>
      <c r="X237" s="32"/>
      <c r="Y237" s="32">
        <f t="shared" si="150"/>
        <v>0</v>
      </c>
      <c r="Z237" s="32"/>
      <c r="AA237" s="32">
        <f t="shared" si="151"/>
        <v>0</v>
      </c>
      <c r="AB237" s="32">
        <f t="shared" si="152"/>
        <v>0</v>
      </c>
      <c r="AC237" s="14" t="str">
        <f t="shared" si="153"/>
        <v>ok</v>
      </c>
    </row>
    <row r="238" spans="1:29" ht="12.75" x14ac:dyDescent="0.2">
      <c r="A238" s="2">
        <v>598</v>
      </c>
      <c r="B238" s="2" t="s">
        <v>384</v>
      </c>
      <c r="C238" s="2" t="s">
        <v>132</v>
      </c>
      <c r="D238" s="2" t="s">
        <v>16</v>
      </c>
      <c r="F238" s="32">
        <v>4489.05</v>
      </c>
      <c r="G238" s="32"/>
      <c r="H238" s="32">
        <f>IF(VLOOKUP($D238,$C$5:$AA$507,6,)=0,0,((VLOOKUP($D238,$C$5:$AA$507,6,)/VLOOKUP($D238,$C$5:$AA$507,4,))*$F238))</f>
        <v>0</v>
      </c>
      <c r="I238" s="32">
        <f t="shared" si="141"/>
        <v>0</v>
      </c>
      <c r="J238" s="32"/>
      <c r="K238" s="32">
        <f t="shared" si="142"/>
        <v>0</v>
      </c>
      <c r="L238" s="32"/>
      <c r="M238" s="32">
        <f t="shared" si="143"/>
        <v>1.6386838394473899</v>
      </c>
      <c r="N238" s="32"/>
      <c r="O238" s="32">
        <f t="shared" si="144"/>
        <v>2385.9156874330688</v>
      </c>
      <c r="P238" s="32">
        <f t="shared" si="145"/>
        <v>1229.5734774699442</v>
      </c>
      <c r="Q238" s="32"/>
      <c r="R238" s="32">
        <f t="shared" si="146"/>
        <v>0</v>
      </c>
      <c r="S238" s="32">
        <f t="shared" si="147"/>
        <v>446.4625147606439</v>
      </c>
      <c r="T238" s="32"/>
      <c r="U238" s="32">
        <f t="shared" si="148"/>
        <v>251.62335545725983</v>
      </c>
      <c r="V238" s="32"/>
      <c r="W238" s="32">
        <f t="shared" si="149"/>
        <v>173.83628103963613</v>
      </c>
      <c r="X238" s="32"/>
      <c r="Y238" s="32">
        <f t="shared" si="150"/>
        <v>0</v>
      </c>
      <c r="Z238" s="32"/>
      <c r="AA238" s="32">
        <f t="shared" si="151"/>
        <v>0</v>
      </c>
      <c r="AB238" s="32">
        <f t="shared" si="152"/>
        <v>4489.0500000000011</v>
      </c>
      <c r="AC238" s="14" t="str">
        <f t="shared" si="153"/>
        <v>ok</v>
      </c>
    </row>
    <row r="239" spans="1:29" ht="12.75" x14ac:dyDescent="0.2"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14"/>
    </row>
    <row r="240" spans="1:29" ht="12.75" x14ac:dyDescent="0.2">
      <c r="A240" s="2" t="s">
        <v>133</v>
      </c>
      <c r="C240" s="2" t="s">
        <v>134</v>
      </c>
      <c r="F240" s="45">
        <f t="shared" ref="F240" si="154">SUM(F231:F239)</f>
        <v>4409342.2499999991</v>
      </c>
      <c r="G240" s="45"/>
      <c r="H240" s="45">
        <f t="shared" ref="H240:M240" si="155">SUM(H231:H239)</f>
        <v>0</v>
      </c>
      <c r="I240" s="45">
        <f t="shared" si="155"/>
        <v>0</v>
      </c>
      <c r="J240" s="45"/>
      <c r="K240" s="45">
        <f t="shared" si="155"/>
        <v>0</v>
      </c>
      <c r="L240" s="45"/>
      <c r="M240" s="45">
        <f t="shared" si="155"/>
        <v>1.6386838394473899</v>
      </c>
      <c r="N240" s="45"/>
      <c r="O240" s="45">
        <f t="shared" ref="O240:AA240" si="156">SUM(O231:O239)</f>
        <v>3400772.5886894902</v>
      </c>
      <c r="P240" s="45">
        <f t="shared" si="156"/>
        <v>1007696.1004754122</v>
      </c>
      <c r="Q240" s="45"/>
      <c r="R240" s="45">
        <f t="shared" si="156"/>
        <v>0</v>
      </c>
      <c r="S240" s="45">
        <f t="shared" si="156"/>
        <v>446.4625147606439</v>
      </c>
      <c r="T240" s="45"/>
      <c r="U240" s="45">
        <f t="shared" si="156"/>
        <v>251.62335545725983</v>
      </c>
      <c r="V240" s="45"/>
      <c r="W240" s="45">
        <f t="shared" si="156"/>
        <v>173.83628103963613</v>
      </c>
      <c r="X240" s="45"/>
      <c r="Y240" s="45">
        <f t="shared" si="156"/>
        <v>0</v>
      </c>
      <c r="Z240" s="45"/>
      <c r="AA240" s="45">
        <f t="shared" si="156"/>
        <v>0</v>
      </c>
      <c r="AB240" s="32">
        <f>SUM(H240:AA240)</f>
        <v>4409342.25</v>
      </c>
      <c r="AC240" s="14" t="str">
        <f>IF(ABS(AB240-F240)&lt;1,"ok","err")</f>
        <v>ok</v>
      </c>
    </row>
    <row r="241" spans="1:29" x14ac:dyDescent="0.25">
      <c r="D241" s="19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C241" s="14"/>
    </row>
    <row r="242" spans="1:29" ht="12.75" x14ac:dyDescent="0.2">
      <c r="A242" s="2" t="s">
        <v>382</v>
      </c>
      <c r="F242" s="32">
        <f>F226+F240</f>
        <v>6063012.8099999987</v>
      </c>
      <c r="G242" s="32"/>
      <c r="H242" s="32">
        <f>H226+H240</f>
        <v>0</v>
      </c>
      <c r="I242" s="32">
        <f>I226+I240</f>
        <v>0</v>
      </c>
      <c r="J242" s="32"/>
      <c r="K242" s="32">
        <f>K226+K240</f>
        <v>0</v>
      </c>
      <c r="L242" s="32"/>
      <c r="M242" s="32">
        <f>M226+M240</f>
        <v>407.79238253518787</v>
      </c>
      <c r="N242" s="32"/>
      <c r="O242" s="32">
        <f>O226+O240</f>
        <v>4179367.5032261591</v>
      </c>
      <c r="P242" s="32">
        <f>P226+P240</f>
        <v>1366518.1029023663</v>
      </c>
      <c r="Q242" s="32"/>
      <c r="R242" s="32">
        <f>R226+R240</f>
        <v>0</v>
      </c>
      <c r="S242" s="32">
        <f>S226+S240</f>
        <v>170924.56674059221</v>
      </c>
      <c r="T242" s="32"/>
      <c r="U242" s="32">
        <f>U226+U240</f>
        <v>302535.05935855734</v>
      </c>
      <c r="V242" s="32"/>
      <c r="W242" s="32">
        <f>W226+W240</f>
        <v>43259.785389789111</v>
      </c>
      <c r="X242" s="32"/>
      <c r="Y242" s="32">
        <f>Y226+Y240</f>
        <v>0</v>
      </c>
      <c r="Z242" s="32"/>
      <c r="AA242" s="32">
        <f>AA226+AA240</f>
        <v>0</v>
      </c>
      <c r="AB242" s="32">
        <f>SUM(H242:AA242)</f>
        <v>6063012.8099999996</v>
      </c>
      <c r="AC242" s="14" t="str">
        <f>IF(ABS(AB242-F242)&lt;1,"ok","err")</f>
        <v>ok</v>
      </c>
    </row>
    <row r="243" spans="1:29" ht="12.75" x14ac:dyDescent="0.2"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C243" s="14"/>
    </row>
    <row r="244" spans="1:29" ht="12.75" x14ac:dyDescent="0.2">
      <c r="A244" s="2" t="s">
        <v>383</v>
      </c>
      <c r="F244" s="32">
        <f>F242+F210</f>
        <v>6063012.8099999987</v>
      </c>
      <c r="G244" s="32"/>
      <c r="H244" s="32">
        <f>H242+H210</f>
        <v>0</v>
      </c>
      <c r="I244" s="32">
        <f>I242+I210</f>
        <v>0</v>
      </c>
      <c r="J244" s="32"/>
      <c r="K244" s="32">
        <f>K242+K210</f>
        <v>0</v>
      </c>
      <c r="L244" s="32"/>
      <c r="M244" s="32">
        <f>M242+M210</f>
        <v>407.79238253518787</v>
      </c>
      <c r="N244" s="32"/>
      <c r="O244" s="32">
        <f>O242+O210</f>
        <v>4179367.5032261591</v>
      </c>
      <c r="P244" s="32">
        <f>P242+P210</f>
        <v>1366518.1029023663</v>
      </c>
      <c r="Q244" s="32"/>
      <c r="R244" s="32">
        <f>R242+R210</f>
        <v>0</v>
      </c>
      <c r="S244" s="32">
        <f>S242+S210</f>
        <v>170924.56674059221</v>
      </c>
      <c r="T244" s="32"/>
      <c r="U244" s="32">
        <f>U242+U210</f>
        <v>302535.05935855734</v>
      </c>
      <c r="V244" s="32"/>
      <c r="W244" s="32">
        <f>W242+W210</f>
        <v>43259.785389789111</v>
      </c>
      <c r="X244" s="32"/>
      <c r="Y244" s="32">
        <f>Y242+Y210</f>
        <v>0</v>
      </c>
      <c r="Z244" s="32"/>
      <c r="AA244" s="32">
        <f>AA242+AA210</f>
        <v>0</v>
      </c>
      <c r="AB244" s="32">
        <f>SUM(H244:AA244)</f>
        <v>6063012.8099999996</v>
      </c>
      <c r="AC244" s="14" t="str">
        <f>IF(ABS(AB244-F244)&lt;1,"ok","err")</f>
        <v>ok</v>
      </c>
    </row>
    <row r="245" spans="1:29" ht="12.75" x14ac:dyDescent="0.2"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C245" s="14"/>
    </row>
    <row r="246" spans="1:29" ht="12.75" x14ac:dyDescent="0.2">
      <c r="A246" s="2" t="s">
        <v>798</v>
      </c>
      <c r="F246" s="32">
        <f>F181+F210+F242</f>
        <v>6063012.8099999987</v>
      </c>
      <c r="G246" s="32"/>
      <c r="H246" s="32">
        <f>H181+H210+H242</f>
        <v>0</v>
      </c>
      <c r="I246" s="32">
        <f>I181+I210+I242</f>
        <v>0</v>
      </c>
      <c r="J246" s="32"/>
      <c r="K246" s="32">
        <f>K181+K210+K242</f>
        <v>0</v>
      </c>
      <c r="L246" s="32"/>
      <c r="M246" s="32">
        <f>M181+M210+M242</f>
        <v>407.79238253518787</v>
      </c>
      <c r="N246" s="32"/>
      <c r="O246" s="32">
        <f>O181+O210+O242</f>
        <v>4179367.5032261591</v>
      </c>
      <c r="P246" s="32">
        <f>P181+P210+P242</f>
        <v>1366518.1029023663</v>
      </c>
      <c r="Q246" s="32"/>
      <c r="R246" s="32">
        <f>R181+R210+R242</f>
        <v>0</v>
      </c>
      <c r="S246" s="32">
        <f>S181+S210+S242</f>
        <v>170924.56674059221</v>
      </c>
      <c r="T246" s="32"/>
      <c r="U246" s="32">
        <f>U181+U210+U242</f>
        <v>302535.05935855734</v>
      </c>
      <c r="V246" s="32"/>
      <c r="W246" s="32">
        <f>W181+W210+W242</f>
        <v>43259.785389789111</v>
      </c>
      <c r="X246" s="32"/>
      <c r="Y246" s="32">
        <f>Y181+Y210+Y242</f>
        <v>0</v>
      </c>
      <c r="Z246" s="32"/>
      <c r="AA246" s="32">
        <f>AA181+AA210+AA242</f>
        <v>0</v>
      </c>
      <c r="AB246" s="32">
        <f>SUM(H246:AA246)</f>
        <v>6063012.8099999996</v>
      </c>
      <c r="AC246" s="14" t="str">
        <f>IF(ABS(AB246-F246)&lt;1,"ok","err")</f>
        <v>ok</v>
      </c>
    </row>
    <row r="247" spans="1:29" ht="12.75" x14ac:dyDescent="0.2"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C247" s="14"/>
    </row>
    <row r="248" spans="1:29" ht="12.75" x14ac:dyDescent="0.2">
      <c r="A248" s="2" t="s">
        <v>797</v>
      </c>
      <c r="C248" s="2" t="s">
        <v>135</v>
      </c>
      <c r="F248" s="45">
        <f>F242+F210+F191+F181</f>
        <v>48631621.609999999</v>
      </c>
      <c r="G248" s="45"/>
      <c r="H248" s="45">
        <f>H242+H210+H191+H181</f>
        <v>12119345.707594331</v>
      </c>
      <c r="I248" s="45">
        <f>I242+I210+I191+I181</f>
        <v>30449263.092405669</v>
      </c>
      <c r="J248" s="45"/>
      <c r="K248" s="45">
        <f>K242+K210+K191+K181</f>
        <v>0</v>
      </c>
      <c r="L248" s="45"/>
      <c r="M248" s="45">
        <f>M242+M210+M191+M181</f>
        <v>407.79238253518787</v>
      </c>
      <c r="N248" s="45"/>
      <c r="O248" s="45">
        <f>O242+O210+O191+O181</f>
        <v>4179367.5032261591</v>
      </c>
      <c r="P248" s="45">
        <f>P242+P210+P191+P181</f>
        <v>1366518.1029023663</v>
      </c>
      <c r="Q248" s="45"/>
      <c r="R248" s="45">
        <f>R242+R210+R191+R181</f>
        <v>0</v>
      </c>
      <c r="S248" s="45">
        <f>S242+S210+S191+S181</f>
        <v>170924.56674059221</v>
      </c>
      <c r="T248" s="45"/>
      <c r="U248" s="45">
        <f>U242+U210+U191+U181</f>
        <v>302535.05935855734</v>
      </c>
      <c r="V248" s="45"/>
      <c r="W248" s="45">
        <f>W242+W210+W191+W181</f>
        <v>43259.785389789111</v>
      </c>
      <c r="X248" s="45"/>
      <c r="Y248" s="45">
        <f>Y242+Y210+Y191+Y181</f>
        <v>0</v>
      </c>
      <c r="Z248" s="45"/>
      <c r="AA248" s="45">
        <f>AA242+AA210+AA191+AA181</f>
        <v>0</v>
      </c>
      <c r="AB248" s="32">
        <f>SUM(H248:AA248)</f>
        <v>48631621.610000007</v>
      </c>
      <c r="AC248" s="14" t="str">
        <f>IF(ABS(AB248-F248)&lt;1,"ok","err")</f>
        <v>ok</v>
      </c>
    </row>
    <row r="249" spans="1:29" ht="12.75" x14ac:dyDescent="0.2">
      <c r="A249" s="1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C249" s="14"/>
    </row>
    <row r="250" spans="1:29" ht="12.75" x14ac:dyDescent="0.2">
      <c r="A250" s="1" t="s">
        <v>137</v>
      </c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C250" s="14"/>
    </row>
    <row r="251" spans="1:29" ht="12.75" x14ac:dyDescent="0.2">
      <c r="A251" s="2">
        <v>901</v>
      </c>
      <c r="B251" s="2" t="s">
        <v>138</v>
      </c>
      <c r="C251" s="2" t="s">
        <v>139</v>
      </c>
      <c r="D251" s="2" t="s">
        <v>140</v>
      </c>
      <c r="F251" s="45">
        <v>0</v>
      </c>
      <c r="G251" s="45"/>
      <c r="H251" s="32">
        <f>IF(VLOOKUP($D251,$C$5:$AA$507,6,)=0,0,((VLOOKUP($D251,$C$5:$AA$507,6,)/VLOOKUP($D251,$C$5:$AA$507,4,))*$F251))</f>
        <v>0</v>
      </c>
      <c r="I251" s="32">
        <f>IF(VLOOKUP($D251,$C$5:$AA$507,7,)=0,0,((VLOOKUP($D251,$C$5:$AA$507,7,)/VLOOKUP($D251,$C$5:$AA$507,4,))*$F251))</f>
        <v>0</v>
      </c>
      <c r="J251" s="32"/>
      <c r="K251" s="32">
        <f>IF(VLOOKUP($D251,$C$5:$AA$507,9,)=0,0,((VLOOKUP($D251,$C$5:$AA$507,9,)/VLOOKUP($D251,$C$5:$AA$507,4,))*$F251))</f>
        <v>0</v>
      </c>
      <c r="L251" s="32"/>
      <c r="M251" s="32">
        <f>IF(VLOOKUP($D251,$C$5:$AA$507,11,)=0,0,((VLOOKUP($D251,$C$5:$AA$507,11,)/VLOOKUP($D251,$C$5:$AA$507,4,))*$F251))</f>
        <v>0</v>
      </c>
      <c r="N251" s="32"/>
      <c r="O251" s="32">
        <f>IF(VLOOKUP($D251,$C$5:$AA$507,13,)=0,0,((VLOOKUP($D251,$C$5:$AA$507,13,)/VLOOKUP($D251,$C$5:$AA$507,4,))*$F251))</f>
        <v>0</v>
      </c>
      <c r="P251" s="32">
        <f>IF(VLOOKUP($D251,$C$5:$AA$507,14,)=0,0,((VLOOKUP($D251,$C$5:$AA$507,14,)/VLOOKUP($D251,$C$5:$AA$507,4,))*$F251))</f>
        <v>0</v>
      </c>
      <c r="Q251" s="32"/>
      <c r="R251" s="32">
        <f>IF(VLOOKUP($D251,$C$5:$AA$507,16,)=0,0,((VLOOKUP($D251,$C$5:$AA$507,16,)/VLOOKUP($D251,$C$5:$AA$507,4,))*$F251))</f>
        <v>0</v>
      </c>
      <c r="S251" s="32">
        <f>IF(VLOOKUP($D251,$C$5:$AA$507,17,)=0,0,((VLOOKUP($D251,$C$5:$AA$507,17,)/VLOOKUP($D251,$C$5:$AA$507,4,))*$F251))</f>
        <v>0</v>
      </c>
      <c r="T251" s="32"/>
      <c r="U251" s="32">
        <f>IF(VLOOKUP($D251,$C$5:$AA$507,19,)=0,0,((VLOOKUP($D251,$C$5:$AA$507,19,)/VLOOKUP($D251,$C$5:$AA$507,4,))*$F251))</f>
        <v>0</v>
      </c>
      <c r="V251" s="32"/>
      <c r="W251" s="32">
        <f>IF(VLOOKUP($D251,$C$5:$AA$507,21,)=0,0,((VLOOKUP($D251,$C$5:$AA$507,21,)/VLOOKUP($D251,$C$5:$AA$507,4,))*$F251))</f>
        <v>0</v>
      </c>
      <c r="X251" s="32"/>
      <c r="Y251" s="32">
        <f>IF(VLOOKUP($D251,$C$5:$AA$507,23,)=0,0,((VLOOKUP($D251,$C$5:$AA$507,23,)/VLOOKUP($D251,$C$5:$AA$507,4,))*$F251))</f>
        <v>0</v>
      </c>
      <c r="Z251" s="32"/>
      <c r="AA251" s="32">
        <f>IF(VLOOKUP($D251,$C$5:$AA$507,25,)=0,0,((VLOOKUP($D251,$C$5:$AA$507,25,)/VLOOKUP($D251,$C$5:$AA$507,4,))*$F251))</f>
        <v>0</v>
      </c>
      <c r="AB251" s="32">
        <f>SUM(H251:AA251)</f>
        <v>0</v>
      </c>
      <c r="AC251" s="14" t="str">
        <f>IF(ABS(AB251-F251)&lt;1,"ok","err")</f>
        <v>ok</v>
      </c>
    </row>
    <row r="252" spans="1:29" ht="12.75" x14ac:dyDescent="0.2">
      <c r="A252" s="2">
        <v>902</v>
      </c>
      <c r="B252" s="2" t="s">
        <v>141</v>
      </c>
      <c r="C252" s="2" t="s">
        <v>142</v>
      </c>
      <c r="D252" s="2" t="s">
        <v>140</v>
      </c>
      <c r="F252" s="32">
        <v>18093.05</v>
      </c>
      <c r="G252" s="32"/>
      <c r="H252" s="32">
        <f>IF(VLOOKUP($D252,$C$5:$AA$507,6,)=0,0,((VLOOKUP($D252,$C$5:$AA$507,6,)/VLOOKUP($D252,$C$5:$AA$507,4,))*$F252))</f>
        <v>0</v>
      </c>
      <c r="I252" s="32">
        <f>IF(VLOOKUP($D252,$C$5:$AA$507,7,)=0,0,((VLOOKUP($D252,$C$5:$AA$507,7,)/VLOOKUP($D252,$C$5:$AA$507,4,))*$F252))</f>
        <v>0</v>
      </c>
      <c r="J252" s="32"/>
      <c r="K252" s="32">
        <f>IF(VLOOKUP($D252,$C$5:$AA$507,9,)=0,0,((VLOOKUP($D252,$C$5:$AA$507,9,)/VLOOKUP($D252,$C$5:$AA$507,4,))*$F252))</f>
        <v>0</v>
      </c>
      <c r="L252" s="32"/>
      <c r="M252" s="32">
        <f>IF(VLOOKUP($D252,$C$5:$AA$507,11,)=0,0,((VLOOKUP($D252,$C$5:$AA$507,11,)/VLOOKUP($D252,$C$5:$AA$507,4,))*$F252))</f>
        <v>0</v>
      </c>
      <c r="N252" s="32"/>
      <c r="O252" s="32">
        <f>IF(VLOOKUP($D252,$C$5:$AA$507,13,)=0,0,((VLOOKUP($D252,$C$5:$AA$507,13,)/VLOOKUP($D252,$C$5:$AA$507,4,))*$F252))</f>
        <v>0</v>
      </c>
      <c r="P252" s="32">
        <f>IF(VLOOKUP($D252,$C$5:$AA$507,14,)=0,0,((VLOOKUP($D252,$C$5:$AA$507,14,)/VLOOKUP($D252,$C$5:$AA$507,4,))*$F252))</f>
        <v>0</v>
      </c>
      <c r="Q252" s="32"/>
      <c r="R252" s="32">
        <f>IF(VLOOKUP($D252,$C$5:$AA$507,16,)=0,0,((VLOOKUP($D252,$C$5:$AA$507,16,)/VLOOKUP($D252,$C$5:$AA$507,4,))*$F252))</f>
        <v>0</v>
      </c>
      <c r="S252" s="32">
        <f>IF(VLOOKUP($D252,$C$5:$AA$507,17,)=0,0,((VLOOKUP($D252,$C$5:$AA$507,17,)/VLOOKUP($D252,$C$5:$AA$507,4,))*$F252))</f>
        <v>0</v>
      </c>
      <c r="T252" s="32"/>
      <c r="U252" s="32">
        <f>IF(VLOOKUP($D252,$C$5:$AA$507,19,)=0,0,((VLOOKUP($D252,$C$5:$AA$507,19,)/VLOOKUP($D252,$C$5:$AA$507,4,))*$F252))</f>
        <v>0</v>
      </c>
      <c r="V252" s="32"/>
      <c r="W252" s="32">
        <f>IF(VLOOKUP($D252,$C$5:$AA$507,21,)=0,0,((VLOOKUP($D252,$C$5:$AA$507,21,)/VLOOKUP($D252,$C$5:$AA$507,4,))*$F252))</f>
        <v>0</v>
      </c>
      <c r="X252" s="32"/>
      <c r="Y252" s="32">
        <f>IF(VLOOKUP($D252,$C$5:$AA$507,23,)=0,0,((VLOOKUP($D252,$C$5:$AA$507,23,)/VLOOKUP($D252,$C$5:$AA$507,4,))*$F252))</f>
        <v>18093.05</v>
      </c>
      <c r="Z252" s="32"/>
      <c r="AA252" s="32">
        <f>IF(VLOOKUP($D252,$C$5:$AA$507,25,)=0,0,((VLOOKUP($D252,$C$5:$AA$507,25,)/VLOOKUP($D252,$C$5:$AA$507,4,))*$F252))</f>
        <v>0</v>
      </c>
      <c r="AB252" s="32">
        <f>SUM(H252:AA252)</f>
        <v>18093.05</v>
      </c>
      <c r="AC252" s="14" t="str">
        <f>IF(ABS(AB252-F252)&lt;1,"ok","err")</f>
        <v>ok</v>
      </c>
    </row>
    <row r="253" spans="1:29" ht="12.75" x14ac:dyDescent="0.2">
      <c r="A253" s="2">
        <v>903</v>
      </c>
      <c r="B253" s="2" t="s">
        <v>452</v>
      </c>
      <c r="C253" s="2" t="s">
        <v>143</v>
      </c>
      <c r="D253" s="2" t="s">
        <v>140</v>
      </c>
      <c r="F253" s="32">
        <v>1516964</v>
      </c>
      <c r="G253" s="32"/>
      <c r="H253" s="32">
        <f>IF(VLOOKUP($D253,$C$5:$AA$507,6,)=0,0,((VLOOKUP($D253,$C$5:$AA$507,6,)/VLOOKUP($D253,$C$5:$AA$507,4,))*$F253))</f>
        <v>0</v>
      </c>
      <c r="I253" s="32">
        <f>IF(VLOOKUP($D253,$C$5:$AA$507,7,)=0,0,((VLOOKUP($D253,$C$5:$AA$507,7,)/VLOOKUP($D253,$C$5:$AA$507,4,))*$F253))</f>
        <v>0</v>
      </c>
      <c r="J253" s="32"/>
      <c r="K253" s="32">
        <f>IF(VLOOKUP($D253,$C$5:$AA$507,9,)=0,0,((VLOOKUP($D253,$C$5:$AA$507,9,)/VLOOKUP($D253,$C$5:$AA$507,4,))*$F253))</f>
        <v>0</v>
      </c>
      <c r="L253" s="32"/>
      <c r="M253" s="32">
        <f>IF(VLOOKUP($D253,$C$5:$AA$507,11,)=0,0,((VLOOKUP($D253,$C$5:$AA$507,11,)/VLOOKUP($D253,$C$5:$AA$507,4,))*$F253))</f>
        <v>0</v>
      </c>
      <c r="N253" s="32"/>
      <c r="O253" s="32">
        <f>IF(VLOOKUP($D253,$C$5:$AA$507,13,)=0,0,((VLOOKUP($D253,$C$5:$AA$507,13,)/VLOOKUP($D253,$C$5:$AA$507,4,))*$F253))</f>
        <v>0</v>
      </c>
      <c r="P253" s="32">
        <f>IF(VLOOKUP($D253,$C$5:$AA$507,14,)=0,0,((VLOOKUP($D253,$C$5:$AA$507,14,)/VLOOKUP($D253,$C$5:$AA$507,4,))*$F253))</f>
        <v>0</v>
      </c>
      <c r="Q253" s="32"/>
      <c r="R253" s="32">
        <f>IF(VLOOKUP($D253,$C$5:$AA$507,16,)=0,0,((VLOOKUP($D253,$C$5:$AA$507,16,)/VLOOKUP($D253,$C$5:$AA$507,4,))*$F253))</f>
        <v>0</v>
      </c>
      <c r="S253" s="32">
        <f>IF(VLOOKUP($D253,$C$5:$AA$507,17,)=0,0,((VLOOKUP($D253,$C$5:$AA$507,17,)/VLOOKUP($D253,$C$5:$AA$507,4,))*$F253))</f>
        <v>0</v>
      </c>
      <c r="T253" s="32"/>
      <c r="U253" s="32">
        <f>IF(VLOOKUP($D253,$C$5:$AA$507,19,)=0,0,((VLOOKUP($D253,$C$5:$AA$507,19,)/VLOOKUP($D253,$C$5:$AA$507,4,))*$F253))</f>
        <v>0</v>
      </c>
      <c r="V253" s="32"/>
      <c r="W253" s="32">
        <f>IF(VLOOKUP($D253,$C$5:$AA$507,21,)=0,0,((VLOOKUP($D253,$C$5:$AA$507,21,)/VLOOKUP($D253,$C$5:$AA$507,4,))*$F253))</f>
        <v>0</v>
      </c>
      <c r="X253" s="32"/>
      <c r="Y253" s="32">
        <f>IF(VLOOKUP($D253,$C$5:$AA$507,23,)=0,0,((VLOOKUP($D253,$C$5:$AA$507,23,)/VLOOKUP($D253,$C$5:$AA$507,4,))*$F253))</f>
        <v>1516964</v>
      </c>
      <c r="Z253" s="32"/>
      <c r="AA253" s="32">
        <f>IF(VLOOKUP($D253,$C$5:$AA$507,25,)=0,0,((VLOOKUP($D253,$C$5:$AA$507,25,)/VLOOKUP($D253,$C$5:$AA$507,4,))*$F253))</f>
        <v>0</v>
      </c>
      <c r="AB253" s="32">
        <f>SUM(H253:AA253)</f>
        <v>1516964</v>
      </c>
      <c r="AC253" s="14" t="str">
        <f>IF(ABS(AB253-F253)&lt;1,"ok","err")</f>
        <v>ok</v>
      </c>
    </row>
    <row r="254" spans="1:29" ht="12.75" x14ac:dyDescent="0.2">
      <c r="A254" s="2">
        <v>904</v>
      </c>
      <c r="B254" s="2" t="s">
        <v>144</v>
      </c>
      <c r="C254" s="2" t="s">
        <v>145</v>
      </c>
      <c r="D254" s="2" t="s">
        <v>140</v>
      </c>
      <c r="F254" s="32">
        <v>18000</v>
      </c>
      <c r="G254" s="32"/>
      <c r="H254" s="32">
        <f>IF(VLOOKUP($D254,$C$5:$AA$507,6,)=0,0,((VLOOKUP($D254,$C$5:$AA$507,6,)/VLOOKUP($D254,$C$5:$AA$507,4,))*$F254))</f>
        <v>0</v>
      </c>
      <c r="I254" s="32">
        <f>IF(VLOOKUP($D254,$C$5:$AA$507,7,)=0,0,((VLOOKUP($D254,$C$5:$AA$507,7,)/VLOOKUP($D254,$C$5:$AA$507,4,))*$F254))</f>
        <v>0</v>
      </c>
      <c r="J254" s="32"/>
      <c r="K254" s="32">
        <f>IF(VLOOKUP($D254,$C$5:$AA$507,9,)=0,0,((VLOOKUP($D254,$C$5:$AA$507,9,)/VLOOKUP($D254,$C$5:$AA$507,4,))*$F254))</f>
        <v>0</v>
      </c>
      <c r="L254" s="32"/>
      <c r="M254" s="32">
        <f>IF(VLOOKUP($D254,$C$5:$AA$507,11,)=0,0,((VLOOKUP($D254,$C$5:$AA$507,11,)/VLOOKUP($D254,$C$5:$AA$507,4,))*$F254))</f>
        <v>0</v>
      </c>
      <c r="N254" s="32"/>
      <c r="O254" s="32">
        <f>IF(VLOOKUP($D254,$C$5:$AA$507,13,)=0,0,((VLOOKUP($D254,$C$5:$AA$507,13,)/VLOOKUP($D254,$C$5:$AA$507,4,))*$F254))</f>
        <v>0</v>
      </c>
      <c r="P254" s="32">
        <f>IF(VLOOKUP($D254,$C$5:$AA$507,14,)=0,0,((VLOOKUP($D254,$C$5:$AA$507,14,)/VLOOKUP($D254,$C$5:$AA$507,4,))*$F254))</f>
        <v>0</v>
      </c>
      <c r="Q254" s="32"/>
      <c r="R254" s="32">
        <f>IF(VLOOKUP($D254,$C$5:$AA$507,16,)=0,0,((VLOOKUP($D254,$C$5:$AA$507,16,)/VLOOKUP($D254,$C$5:$AA$507,4,))*$F254))</f>
        <v>0</v>
      </c>
      <c r="S254" s="32">
        <f>IF(VLOOKUP($D254,$C$5:$AA$507,17,)=0,0,((VLOOKUP($D254,$C$5:$AA$507,17,)/VLOOKUP($D254,$C$5:$AA$507,4,))*$F254))</f>
        <v>0</v>
      </c>
      <c r="T254" s="32"/>
      <c r="U254" s="32">
        <f>IF(VLOOKUP($D254,$C$5:$AA$507,19,)=0,0,((VLOOKUP($D254,$C$5:$AA$507,19,)/VLOOKUP($D254,$C$5:$AA$507,4,))*$F254))</f>
        <v>0</v>
      </c>
      <c r="V254" s="32"/>
      <c r="W254" s="32">
        <f>IF(VLOOKUP($D254,$C$5:$AA$507,21,)=0,0,((VLOOKUP($D254,$C$5:$AA$507,21,)/VLOOKUP($D254,$C$5:$AA$507,4,))*$F254))</f>
        <v>0</v>
      </c>
      <c r="X254" s="32"/>
      <c r="Y254" s="32">
        <f>IF(VLOOKUP($D254,$C$5:$AA$507,23,)=0,0,((VLOOKUP($D254,$C$5:$AA$507,23,)/VLOOKUP($D254,$C$5:$AA$507,4,))*$F254))</f>
        <v>18000</v>
      </c>
      <c r="Z254" s="32"/>
      <c r="AA254" s="32">
        <f>IF(VLOOKUP($D254,$C$5:$AA$507,25,)=0,0,((VLOOKUP($D254,$C$5:$AA$507,25,)/VLOOKUP($D254,$C$5:$AA$507,4,))*$F254))</f>
        <v>0</v>
      </c>
      <c r="AB254" s="32">
        <f>SUM(H254:AA254)</f>
        <v>18000</v>
      </c>
      <c r="AC254" s="14" t="str">
        <f>IF(ABS(AB254-F254)&lt;1,"ok","err")</f>
        <v>ok</v>
      </c>
    </row>
    <row r="255" spans="1:29" ht="12.75" x14ac:dyDescent="0.2">
      <c r="A255" s="2">
        <v>905</v>
      </c>
      <c r="B255" s="2" t="s">
        <v>453</v>
      </c>
      <c r="C255" s="2" t="s">
        <v>143</v>
      </c>
      <c r="D255" s="2" t="s">
        <v>140</v>
      </c>
      <c r="F255" s="32">
        <v>0</v>
      </c>
      <c r="G255" s="32"/>
      <c r="H255" s="32">
        <f>IF(VLOOKUP($D255,$C$5:$AA$507,6,)=0,0,((VLOOKUP($D255,$C$5:$AA$507,6,)/VLOOKUP($D255,$C$5:$AA$507,4,))*$F255))</f>
        <v>0</v>
      </c>
      <c r="I255" s="32">
        <f>IF(VLOOKUP($D255,$C$5:$AA$507,7,)=0,0,((VLOOKUP($D255,$C$5:$AA$507,7,)/VLOOKUP($D255,$C$5:$AA$507,4,))*$F255))</f>
        <v>0</v>
      </c>
      <c r="J255" s="32"/>
      <c r="K255" s="32">
        <f>IF(VLOOKUP($D255,$C$5:$AA$507,9,)=0,0,((VLOOKUP($D255,$C$5:$AA$507,9,)/VLOOKUP($D255,$C$5:$AA$507,4,))*$F255))</f>
        <v>0</v>
      </c>
      <c r="L255" s="32"/>
      <c r="M255" s="32">
        <f>IF(VLOOKUP($D255,$C$5:$AA$507,11,)=0,0,((VLOOKUP($D255,$C$5:$AA$507,11,)/VLOOKUP($D255,$C$5:$AA$507,4,))*$F255))</f>
        <v>0</v>
      </c>
      <c r="N255" s="32"/>
      <c r="O255" s="32">
        <f>IF(VLOOKUP($D255,$C$5:$AA$507,13,)=0,0,((VLOOKUP($D255,$C$5:$AA$507,13,)/VLOOKUP($D255,$C$5:$AA$507,4,))*$F255))</f>
        <v>0</v>
      </c>
      <c r="P255" s="32">
        <f>IF(VLOOKUP($D255,$C$5:$AA$507,14,)=0,0,((VLOOKUP($D255,$C$5:$AA$507,14,)/VLOOKUP($D255,$C$5:$AA$507,4,))*$F255))</f>
        <v>0</v>
      </c>
      <c r="Q255" s="32"/>
      <c r="R255" s="32">
        <f>IF(VLOOKUP($D255,$C$5:$AA$507,16,)=0,0,((VLOOKUP($D255,$C$5:$AA$507,16,)/VLOOKUP($D255,$C$5:$AA$507,4,))*$F255))</f>
        <v>0</v>
      </c>
      <c r="S255" s="32">
        <f>IF(VLOOKUP($D255,$C$5:$AA$507,17,)=0,0,((VLOOKUP($D255,$C$5:$AA$507,17,)/VLOOKUP($D255,$C$5:$AA$507,4,))*$F255))</f>
        <v>0</v>
      </c>
      <c r="T255" s="32"/>
      <c r="U255" s="32">
        <f>IF(VLOOKUP($D255,$C$5:$AA$507,19,)=0,0,((VLOOKUP($D255,$C$5:$AA$507,19,)/VLOOKUP($D255,$C$5:$AA$507,4,))*$F255))</f>
        <v>0</v>
      </c>
      <c r="V255" s="32"/>
      <c r="W255" s="32">
        <f>IF(VLOOKUP($D255,$C$5:$AA$507,21,)=0,0,((VLOOKUP($D255,$C$5:$AA$507,21,)/VLOOKUP($D255,$C$5:$AA$507,4,))*$F255))</f>
        <v>0</v>
      </c>
      <c r="X255" s="32"/>
      <c r="Y255" s="32">
        <f>IF(VLOOKUP($D255,$C$5:$AA$507,23,)=0,0,((VLOOKUP($D255,$C$5:$AA$507,23,)/VLOOKUP($D255,$C$5:$AA$507,4,))*$F255))</f>
        <v>0</v>
      </c>
      <c r="Z255" s="32"/>
      <c r="AA255" s="32">
        <f>IF(VLOOKUP($D255,$C$5:$AA$507,25,)=0,0,((VLOOKUP($D255,$C$5:$AA$507,25,)/VLOOKUP($D255,$C$5:$AA$507,4,))*$F255))</f>
        <v>0</v>
      </c>
      <c r="AB255" s="32">
        <f>SUM(H255:AA255)</f>
        <v>0</v>
      </c>
      <c r="AC255" s="14" t="str">
        <f>IF(ABS(AB255-F255)&lt;1,"ok","err")</f>
        <v>ok</v>
      </c>
    </row>
    <row r="256" spans="1:29" ht="12.75" x14ac:dyDescent="0.2">
      <c r="A256" s="1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14"/>
    </row>
    <row r="257" spans="1:29" ht="12.75" x14ac:dyDescent="0.2">
      <c r="A257" s="2" t="s">
        <v>146</v>
      </c>
      <c r="C257" s="2" t="s">
        <v>147</v>
      </c>
      <c r="F257" s="45">
        <f>SUM(F251:F256)</f>
        <v>1553057.05</v>
      </c>
      <c r="G257" s="45"/>
      <c r="H257" s="45">
        <f t="shared" ref="H257:W257" si="157">SUM(H251:H256)</f>
        <v>0</v>
      </c>
      <c r="I257" s="45">
        <f t="shared" si="157"/>
        <v>0</v>
      </c>
      <c r="J257" s="45"/>
      <c r="K257" s="45">
        <f t="shared" si="157"/>
        <v>0</v>
      </c>
      <c r="L257" s="45"/>
      <c r="M257" s="45">
        <f t="shared" si="157"/>
        <v>0</v>
      </c>
      <c r="N257" s="45"/>
      <c r="O257" s="45">
        <f t="shared" si="157"/>
        <v>0</v>
      </c>
      <c r="P257" s="45">
        <f t="shared" si="157"/>
        <v>0</v>
      </c>
      <c r="Q257" s="45"/>
      <c r="R257" s="45"/>
      <c r="S257" s="45">
        <f t="shared" si="157"/>
        <v>0</v>
      </c>
      <c r="T257" s="45"/>
      <c r="U257" s="45">
        <f t="shared" si="157"/>
        <v>0</v>
      </c>
      <c r="V257" s="45"/>
      <c r="W257" s="45">
        <f t="shared" si="157"/>
        <v>0</v>
      </c>
      <c r="X257" s="45"/>
      <c r="Y257" s="45">
        <f>SUM(Y251:Y256)</f>
        <v>1553057.05</v>
      </c>
      <c r="Z257" s="45"/>
      <c r="AA257" s="45">
        <f>SUM(AA251:AA256)</f>
        <v>0</v>
      </c>
      <c r="AB257" s="32">
        <f>SUM(H257:AA257)</f>
        <v>1553057.05</v>
      </c>
      <c r="AC257" s="14" t="str">
        <f>IF(ABS(AB257-F257)&lt;1,"ok","err")</f>
        <v>ok</v>
      </c>
    </row>
    <row r="258" spans="1:29" ht="12.75" x14ac:dyDescent="0.2"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C258" s="14"/>
    </row>
    <row r="259" spans="1:29" ht="12.75" x14ac:dyDescent="0.2">
      <c r="A259" s="1" t="s">
        <v>148</v>
      </c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C259" s="14"/>
    </row>
    <row r="260" spans="1:29" ht="12.75" x14ac:dyDescent="0.2">
      <c r="A260" s="2">
        <v>907</v>
      </c>
      <c r="B260" s="2" t="s">
        <v>385</v>
      </c>
      <c r="C260" s="2" t="s">
        <v>149</v>
      </c>
      <c r="D260" s="2" t="s">
        <v>150</v>
      </c>
      <c r="F260" s="45">
        <v>0</v>
      </c>
      <c r="G260" s="45"/>
      <c r="H260" s="32">
        <f>IF(VLOOKUP($D260,$C$5:$AA$507,6,)=0,0,((VLOOKUP($D260,$C$5:$AA$507,6,)/VLOOKUP($D260,$C$5:$AA$507,4,))*$F260))</f>
        <v>0</v>
      </c>
      <c r="I260" s="32">
        <f t="shared" ref="I260:I271" si="158">IF(VLOOKUP($D260,$C$5:$AA$507,7,)=0,0,((VLOOKUP($D260,$C$5:$AA$507,7,)/VLOOKUP($D260,$C$5:$AA$507,4,))*$F260))</f>
        <v>0</v>
      </c>
      <c r="J260" s="32"/>
      <c r="K260" s="32">
        <f t="shared" ref="K260:K271" si="159">IF(VLOOKUP($D260,$C$5:$AA$507,9,)=0,0,((VLOOKUP($D260,$C$5:$AA$507,9,)/VLOOKUP($D260,$C$5:$AA$507,4,))*$F260))</f>
        <v>0</v>
      </c>
      <c r="L260" s="32"/>
      <c r="M260" s="32">
        <f t="shared" ref="M260:M271" si="160">IF(VLOOKUP($D260,$C$5:$AA$507,11,)=0,0,((VLOOKUP($D260,$C$5:$AA$507,11,)/VLOOKUP($D260,$C$5:$AA$507,4,))*$F260))</f>
        <v>0</v>
      </c>
      <c r="N260" s="32"/>
      <c r="O260" s="32">
        <f t="shared" ref="O260:O271" si="161">IF(VLOOKUP($D260,$C$5:$AA$507,13,)=0,0,((VLOOKUP($D260,$C$5:$AA$507,13,)/VLOOKUP($D260,$C$5:$AA$507,4,))*$F260))</f>
        <v>0</v>
      </c>
      <c r="P260" s="32">
        <f t="shared" ref="P260:P271" si="162">IF(VLOOKUP($D260,$C$5:$AA$507,14,)=0,0,((VLOOKUP($D260,$C$5:$AA$507,14,)/VLOOKUP($D260,$C$5:$AA$507,4,))*$F260))</f>
        <v>0</v>
      </c>
      <c r="Q260" s="32"/>
      <c r="R260" s="32">
        <f t="shared" ref="R260:R271" si="163">IF(VLOOKUP($D260,$C$5:$AA$507,16,)=0,0,((VLOOKUP($D260,$C$5:$AA$507,16,)/VLOOKUP($D260,$C$5:$AA$507,4,))*$F260))</f>
        <v>0</v>
      </c>
      <c r="S260" s="32">
        <f t="shared" ref="S260:S271" si="164">IF(VLOOKUP($D260,$C$5:$AA$507,17,)=0,0,((VLOOKUP($D260,$C$5:$AA$507,17,)/VLOOKUP($D260,$C$5:$AA$507,4,))*$F260))</f>
        <v>0</v>
      </c>
      <c r="T260" s="32"/>
      <c r="U260" s="32">
        <f t="shared" ref="U260:U271" si="165">IF(VLOOKUP($D260,$C$5:$AA$507,19,)=0,0,((VLOOKUP($D260,$C$5:$AA$507,19,)/VLOOKUP($D260,$C$5:$AA$507,4,))*$F260))</f>
        <v>0</v>
      </c>
      <c r="V260" s="32"/>
      <c r="W260" s="32">
        <f t="shared" ref="W260:W271" si="166">IF(VLOOKUP($D260,$C$5:$AA$507,21,)=0,0,((VLOOKUP($D260,$C$5:$AA$507,21,)/VLOOKUP($D260,$C$5:$AA$507,4,))*$F260))</f>
        <v>0</v>
      </c>
      <c r="X260" s="32"/>
      <c r="Y260" s="32">
        <f t="shared" ref="Y260:Y271" si="167">IF(VLOOKUP($D260,$C$5:$AA$507,23,)=0,0,((VLOOKUP($D260,$C$5:$AA$507,23,)/VLOOKUP($D260,$C$5:$AA$507,4,))*$F260))</f>
        <v>0</v>
      </c>
      <c r="Z260" s="32"/>
      <c r="AA260" s="32">
        <f t="shared" ref="AA260:AA271" si="168">IF(VLOOKUP($D260,$C$5:$AA$507,25,)=0,0,((VLOOKUP($D260,$C$5:$AA$507,25,)/VLOOKUP($D260,$C$5:$AA$507,4,))*$F260))</f>
        <v>0</v>
      </c>
      <c r="AB260" s="32">
        <f t="shared" ref="AB260:AB271" si="169">SUM(H260:AA260)</f>
        <v>0</v>
      </c>
      <c r="AC260" s="14" t="str">
        <f t="shared" ref="AC260:AC271" si="170">IF(ABS(AB260-F260)&lt;1,"ok","err")</f>
        <v>ok</v>
      </c>
    </row>
    <row r="261" spans="1:29" ht="12.75" x14ac:dyDescent="0.2">
      <c r="A261" s="2">
        <v>908</v>
      </c>
      <c r="B261" s="2" t="s">
        <v>151</v>
      </c>
      <c r="C261" s="2" t="s">
        <v>152</v>
      </c>
      <c r="D261" s="2" t="s">
        <v>150</v>
      </c>
      <c r="F261" s="32">
        <v>181841.89</v>
      </c>
      <c r="G261" s="32"/>
      <c r="H261" s="32"/>
      <c r="I261" s="32">
        <f t="shared" si="158"/>
        <v>0</v>
      </c>
      <c r="J261" s="32"/>
      <c r="K261" s="32">
        <f t="shared" si="159"/>
        <v>0</v>
      </c>
      <c r="L261" s="32"/>
      <c r="M261" s="32">
        <f t="shared" si="160"/>
        <v>0</v>
      </c>
      <c r="N261" s="32"/>
      <c r="O261" s="32">
        <f t="shared" si="161"/>
        <v>0</v>
      </c>
      <c r="P261" s="32">
        <f t="shared" si="162"/>
        <v>0</v>
      </c>
      <c r="Q261" s="32"/>
      <c r="R261" s="32">
        <f t="shared" si="163"/>
        <v>0</v>
      </c>
      <c r="S261" s="32">
        <f t="shared" si="164"/>
        <v>0</v>
      </c>
      <c r="T261" s="32"/>
      <c r="U261" s="32">
        <f t="shared" si="165"/>
        <v>0</v>
      </c>
      <c r="V261" s="32"/>
      <c r="W261" s="32">
        <f t="shared" si="166"/>
        <v>0</v>
      </c>
      <c r="X261" s="32"/>
      <c r="Y261" s="32">
        <f t="shared" si="167"/>
        <v>181841.89</v>
      </c>
      <c r="Z261" s="32"/>
      <c r="AA261" s="32">
        <f t="shared" si="168"/>
        <v>0</v>
      </c>
      <c r="AB261" s="32">
        <f t="shared" si="169"/>
        <v>181841.89</v>
      </c>
      <c r="AC261" s="14" t="str">
        <f t="shared" si="170"/>
        <v>ok</v>
      </c>
    </row>
    <row r="262" spans="1:29" ht="12.75" x14ac:dyDescent="0.2">
      <c r="A262" s="2">
        <v>908</v>
      </c>
      <c r="B262" s="2" t="s">
        <v>454</v>
      </c>
      <c r="C262" s="2" t="s">
        <v>455</v>
      </c>
      <c r="D262" s="2" t="s">
        <v>471</v>
      </c>
      <c r="F262" s="32">
        <v>0</v>
      </c>
      <c r="G262" s="32"/>
      <c r="H262" s="32">
        <f t="shared" ref="H262:H271" si="171">IF(VLOOKUP($D262,$C$5:$AA$507,6,)=0,0,((VLOOKUP($D262,$C$5:$AA$507,6,)/VLOOKUP($D262,$C$5:$AA$507,4,))*$F262))</f>
        <v>0</v>
      </c>
      <c r="I262" s="32">
        <f t="shared" si="158"/>
        <v>0</v>
      </c>
      <c r="J262" s="32"/>
      <c r="K262" s="32">
        <f t="shared" si="159"/>
        <v>0</v>
      </c>
      <c r="L262" s="32"/>
      <c r="M262" s="32">
        <f t="shared" si="160"/>
        <v>0</v>
      </c>
      <c r="N262" s="32"/>
      <c r="O262" s="32">
        <f t="shared" si="161"/>
        <v>0</v>
      </c>
      <c r="P262" s="32">
        <f t="shared" si="162"/>
        <v>0</v>
      </c>
      <c r="Q262" s="32"/>
      <c r="R262" s="32">
        <f t="shared" si="163"/>
        <v>0</v>
      </c>
      <c r="S262" s="32">
        <f t="shared" si="164"/>
        <v>0</v>
      </c>
      <c r="T262" s="32"/>
      <c r="U262" s="32">
        <f t="shared" si="165"/>
        <v>0</v>
      </c>
      <c r="V262" s="32"/>
      <c r="W262" s="32">
        <f t="shared" si="166"/>
        <v>0</v>
      </c>
      <c r="X262" s="32"/>
      <c r="Y262" s="32">
        <f t="shared" si="167"/>
        <v>0</v>
      </c>
      <c r="Z262" s="32"/>
      <c r="AA262" s="32">
        <f t="shared" si="168"/>
        <v>0</v>
      </c>
      <c r="AB262" s="32">
        <f t="shared" si="169"/>
        <v>0</v>
      </c>
      <c r="AC262" s="14" t="str">
        <f t="shared" si="170"/>
        <v>ok</v>
      </c>
    </row>
    <row r="263" spans="1:29" ht="12.75" x14ac:dyDescent="0.2">
      <c r="A263" s="2">
        <v>909</v>
      </c>
      <c r="B263" s="2" t="s">
        <v>153</v>
      </c>
      <c r="C263" s="2" t="s">
        <v>154</v>
      </c>
      <c r="D263" s="2" t="s">
        <v>150</v>
      </c>
      <c r="F263" s="32">
        <v>3715.44</v>
      </c>
      <c r="G263" s="32"/>
      <c r="H263" s="32">
        <f t="shared" si="171"/>
        <v>0</v>
      </c>
      <c r="I263" s="32">
        <f t="shared" si="158"/>
        <v>0</v>
      </c>
      <c r="J263" s="32"/>
      <c r="K263" s="32">
        <f t="shared" si="159"/>
        <v>0</v>
      </c>
      <c r="L263" s="32"/>
      <c r="M263" s="32">
        <f t="shared" si="160"/>
        <v>0</v>
      </c>
      <c r="N263" s="32"/>
      <c r="O263" s="32">
        <f t="shared" si="161"/>
        <v>0</v>
      </c>
      <c r="P263" s="32">
        <f t="shared" si="162"/>
        <v>0</v>
      </c>
      <c r="Q263" s="32"/>
      <c r="R263" s="32">
        <f t="shared" si="163"/>
        <v>0</v>
      </c>
      <c r="S263" s="32">
        <f t="shared" si="164"/>
        <v>0</v>
      </c>
      <c r="T263" s="32"/>
      <c r="U263" s="32">
        <f t="shared" si="165"/>
        <v>0</v>
      </c>
      <c r="V263" s="32"/>
      <c r="W263" s="32">
        <f t="shared" si="166"/>
        <v>0</v>
      </c>
      <c r="X263" s="32"/>
      <c r="Y263" s="32">
        <f t="shared" si="167"/>
        <v>3715.44</v>
      </c>
      <c r="Z263" s="32"/>
      <c r="AA263" s="32">
        <f t="shared" si="168"/>
        <v>0</v>
      </c>
      <c r="AB263" s="32">
        <f t="shared" si="169"/>
        <v>3715.44</v>
      </c>
      <c r="AC263" s="14" t="str">
        <f t="shared" si="170"/>
        <v>ok</v>
      </c>
    </row>
    <row r="264" spans="1:29" ht="12.75" x14ac:dyDescent="0.2">
      <c r="A264" s="2">
        <v>909</v>
      </c>
      <c r="B264" s="2" t="s">
        <v>456</v>
      </c>
      <c r="C264" s="2" t="s">
        <v>457</v>
      </c>
      <c r="D264" s="2" t="s">
        <v>471</v>
      </c>
      <c r="F264" s="32">
        <v>0</v>
      </c>
      <c r="G264" s="32"/>
      <c r="H264" s="32">
        <f t="shared" si="171"/>
        <v>0</v>
      </c>
      <c r="I264" s="32">
        <f t="shared" si="158"/>
        <v>0</v>
      </c>
      <c r="J264" s="32"/>
      <c r="K264" s="32">
        <f t="shared" si="159"/>
        <v>0</v>
      </c>
      <c r="L264" s="32"/>
      <c r="M264" s="32">
        <f t="shared" si="160"/>
        <v>0</v>
      </c>
      <c r="N264" s="32"/>
      <c r="O264" s="32">
        <f t="shared" si="161"/>
        <v>0</v>
      </c>
      <c r="P264" s="32">
        <f t="shared" si="162"/>
        <v>0</v>
      </c>
      <c r="Q264" s="32"/>
      <c r="R264" s="32">
        <f t="shared" si="163"/>
        <v>0</v>
      </c>
      <c r="S264" s="32">
        <f t="shared" si="164"/>
        <v>0</v>
      </c>
      <c r="T264" s="32"/>
      <c r="U264" s="32">
        <f t="shared" si="165"/>
        <v>0</v>
      </c>
      <c r="V264" s="32"/>
      <c r="W264" s="32">
        <f t="shared" si="166"/>
        <v>0</v>
      </c>
      <c r="X264" s="32"/>
      <c r="Y264" s="32">
        <f t="shared" si="167"/>
        <v>0</v>
      </c>
      <c r="Z264" s="32"/>
      <c r="AA264" s="32">
        <f t="shared" si="168"/>
        <v>0</v>
      </c>
      <c r="AB264" s="32">
        <f t="shared" si="169"/>
        <v>0</v>
      </c>
      <c r="AC264" s="14" t="str">
        <f t="shared" si="170"/>
        <v>ok</v>
      </c>
    </row>
    <row r="265" spans="1:29" ht="12.75" x14ac:dyDescent="0.2">
      <c r="A265" s="2">
        <v>910</v>
      </c>
      <c r="B265" s="2" t="s">
        <v>155</v>
      </c>
      <c r="C265" s="2" t="s">
        <v>156</v>
      </c>
      <c r="D265" s="2" t="s">
        <v>150</v>
      </c>
      <c r="F265" s="32">
        <v>0</v>
      </c>
      <c r="G265" s="32"/>
      <c r="H265" s="32">
        <f t="shared" si="171"/>
        <v>0</v>
      </c>
      <c r="I265" s="32">
        <f t="shared" si="158"/>
        <v>0</v>
      </c>
      <c r="J265" s="32"/>
      <c r="K265" s="32">
        <f t="shared" si="159"/>
        <v>0</v>
      </c>
      <c r="L265" s="32"/>
      <c r="M265" s="32">
        <f t="shared" si="160"/>
        <v>0</v>
      </c>
      <c r="N265" s="32"/>
      <c r="O265" s="32">
        <f t="shared" si="161"/>
        <v>0</v>
      </c>
      <c r="P265" s="32">
        <f t="shared" si="162"/>
        <v>0</v>
      </c>
      <c r="Q265" s="32"/>
      <c r="R265" s="32">
        <f t="shared" si="163"/>
        <v>0</v>
      </c>
      <c r="S265" s="32">
        <f t="shared" si="164"/>
        <v>0</v>
      </c>
      <c r="T265" s="32"/>
      <c r="U265" s="32">
        <f t="shared" si="165"/>
        <v>0</v>
      </c>
      <c r="V265" s="32"/>
      <c r="W265" s="32">
        <f t="shared" si="166"/>
        <v>0</v>
      </c>
      <c r="X265" s="32"/>
      <c r="Y265" s="32">
        <f t="shared" si="167"/>
        <v>0</v>
      </c>
      <c r="Z265" s="32"/>
      <c r="AA265" s="32">
        <f t="shared" si="168"/>
        <v>0</v>
      </c>
      <c r="AB265" s="32">
        <f t="shared" si="169"/>
        <v>0</v>
      </c>
      <c r="AC265" s="14" t="str">
        <f t="shared" si="170"/>
        <v>ok</v>
      </c>
    </row>
    <row r="266" spans="1:29" ht="12.75" x14ac:dyDescent="0.2">
      <c r="A266" s="2">
        <v>911</v>
      </c>
      <c r="B266" s="2" t="s">
        <v>385</v>
      </c>
      <c r="C266" s="2" t="s">
        <v>707</v>
      </c>
      <c r="D266" s="2" t="s">
        <v>150</v>
      </c>
      <c r="F266" s="32">
        <v>0</v>
      </c>
      <c r="G266" s="32"/>
      <c r="H266" s="32">
        <f t="shared" si="171"/>
        <v>0</v>
      </c>
      <c r="I266" s="32">
        <f t="shared" si="158"/>
        <v>0</v>
      </c>
      <c r="J266" s="32"/>
      <c r="K266" s="32">
        <f t="shared" si="159"/>
        <v>0</v>
      </c>
      <c r="L266" s="32"/>
      <c r="M266" s="32">
        <f t="shared" si="160"/>
        <v>0</v>
      </c>
      <c r="N266" s="32"/>
      <c r="O266" s="32">
        <f t="shared" si="161"/>
        <v>0</v>
      </c>
      <c r="P266" s="32">
        <f t="shared" si="162"/>
        <v>0</v>
      </c>
      <c r="Q266" s="32"/>
      <c r="R266" s="32">
        <f t="shared" si="163"/>
        <v>0</v>
      </c>
      <c r="S266" s="32">
        <f t="shared" si="164"/>
        <v>0</v>
      </c>
      <c r="T266" s="32"/>
      <c r="U266" s="32">
        <f t="shared" si="165"/>
        <v>0</v>
      </c>
      <c r="V266" s="32"/>
      <c r="W266" s="32">
        <f t="shared" si="166"/>
        <v>0</v>
      </c>
      <c r="X266" s="32"/>
      <c r="Y266" s="32">
        <f t="shared" si="167"/>
        <v>0</v>
      </c>
      <c r="Z266" s="32"/>
      <c r="AA266" s="32">
        <f t="shared" si="168"/>
        <v>0</v>
      </c>
      <c r="AB266" s="32">
        <f>SUM(H266:AA266)</f>
        <v>0</v>
      </c>
      <c r="AC266" s="14" t="str">
        <f>IF(ABS(AB266-F266)&lt;1,"ok","err")</f>
        <v>ok</v>
      </c>
    </row>
    <row r="267" spans="1:29" ht="12.75" x14ac:dyDescent="0.2">
      <c r="A267" s="2">
        <v>912</v>
      </c>
      <c r="B267" s="2" t="s">
        <v>587</v>
      </c>
      <c r="C267" s="2" t="s">
        <v>588</v>
      </c>
      <c r="D267" s="2" t="s">
        <v>471</v>
      </c>
      <c r="F267" s="32">
        <v>0</v>
      </c>
      <c r="G267" s="32"/>
      <c r="H267" s="32">
        <f t="shared" si="171"/>
        <v>0</v>
      </c>
      <c r="I267" s="32">
        <f t="shared" si="158"/>
        <v>0</v>
      </c>
      <c r="J267" s="32"/>
      <c r="K267" s="32">
        <f t="shared" si="159"/>
        <v>0</v>
      </c>
      <c r="L267" s="32"/>
      <c r="M267" s="32">
        <f t="shared" si="160"/>
        <v>0</v>
      </c>
      <c r="N267" s="32"/>
      <c r="O267" s="32">
        <f t="shared" si="161"/>
        <v>0</v>
      </c>
      <c r="P267" s="32">
        <f t="shared" si="162"/>
        <v>0</v>
      </c>
      <c r="Q267" s="32"/>
      <c r="R267" s="32">
        <f t="shared" si="163"/>
        <v>0</v>
      </c>
      <c r="S267" s="32">
        <f t="shared" si="164"/>
        <v>0</v>
      </c>
      <c r="T267" s="32"/>
      <c r="U267" s="32">
        <f t="shared" si="165"/>
        <v>0</v>
      </c>
      <c r="V267" s="32"/>
      <c r="W267" s="32">
        <f t="shared" si="166"/>
        <v>0</v>
      </c>
      <c r="X267" s="32"/>
      <c r="Y267" s="32">
        <f t="shared" si="167"/>
        <v>0</v>
      </c>
      <c r="Z267" s="32"/>
      <c r="AA267" s="32">
        <f t="shared" si="168"/>
        <v>0</v>
      </c>
      <c r="AB267" s="32">
        <f t="shared" si="169"/>
        <v>0</v>
      </c>
      <c r="AC267" s="14" t="str">
        <f t="shared" si="170"/>
        <v>ok</v>
      </c>
    </row>
    <row r="268" spans="1:29" ht="12.75" x14ac:dyDescent="0.2">
      <c r="A268" s="2">
        <v>913</v>
      </c>
      <c r="B268" s="2" t="s">
        <v>636</v>
      </c>
      <c r="C268" s="2" t="s">
        <v>577</v>
      </c>
      <c r="D268" s="2" t="s">
        <v>471</v>
      </c>
      <c r="F268" s="32">
        <v>0</v>
      </c>
      <c r="G268" s="32"/>
      <c r="H268" s="32">
        <f t="shared" si="171"/>
        <v>0</v>
      </c>
      <c r="I268" s="32">
        <f t="shared" si="158"/>
        <v>0</v>
      </c>
      <c r="J268" s="32"/>
      <c r="K268" s="32">
        <f t="shared" si="159"/>
        <v>0</v>
      </c>
      <c r="L268" s="32"/>
      <c r="M268" s="32">
        <f t="shared" si="160"/>
        <v>0</v>
      </c>
      <c r="N268" s="32"/>
      <c r="O268" s="32">
        <f t="shared" si="161"/>
        <v>0</v>
      </c>
      <c r="P268" s="32">
        <f t="shared" si="162"/>
        <v>0</v>
      </c>
      <c r="Q268" s="32"/>
      <c r="R268" s="32">
        <f t="shared" si="163"/>
        <v>0</v>
      </c>
      <c r="S268" s="32">
        <f t="shared" si="164"/>
        <v>0</v>
      </c>
      <c r="T268" s="32"/>
      <c r="U268" s="32">
        <f t="shared" si="165"/>
        <v>0</v>
      </c>
      <c r="V268" s="32"/>
      <c r="W268" s="32">
        <f t="shared" si="166"/>
        <v>0</v>
      </c>
      <c r="X268" s="32"/>
      <c r="Y268" s="32">
        <f t="shared" si="167"/>
        <v>0</v>
      </c>
      <c r="Z268" s="32"/>
      <c r="AA268" s="32">
        <f t="shared" si="168"/>
        <v>0</v>
      </c>
      <c r="AB268" s="32">
        <f t="shared" si="169"/>
        <v>0</v>
      </c>
      <c r="AC268" s="14" t="str">
        <f t="shared" si="170"/>
        <v>ok</v>
      </c>
    </row>
    <row r="269" spans="1:29" ht="12.75" x14ac:dyDescent="0.2">
      <c r="A269" s="2">
        <v>914</v>
      </c>
      <c r="B269" s="2" t="s">
        <v>893</v>
      </c>
      <c r="C269" s="2" t="s">
        <v>894</v>
      </c>
      <c r="D269" s="2" t="s">
        <v>471</v>
      </c>
      <c r="F269" s="32">
        <v>0</v>
      </c>
      <c r="G269" s="32"/>
      <c r="H269" s="32">
        <f t="shared" si="171"/>
        <v>0</v>
      </c>
      <c r="I269" s="32">
        <f t="shared" si="158"/>
        <v>0</v>
      </c>
      <c r="J269" s="32"/>
      <c r="K269" s="32">
        <f t="shared" si="159"/>
        <v>0</v>
      </c>
      <c r="L269" s="32"/>
      <c r="M269" s="32">
        <f t="shared" si="160"/>
        <v>0</v>
      </c>
      <c r="N269" s="32"/>
      <c r="O269" s="32">
        <f t="shared" si="161"/>
        <v>0</v>
      </c>
      <c r="P269" s="32">
        <f t="shared" si="162"/>
        <v>0</v>
      </c>
      <c r="Q269" s="32"/>
      <c r="R269" s="32">
        <f t="shared" si="163"/>
        <v>0</v>
      </c>
      <c r="S269" s="32">
        <f t="shared" si="164"/>
        <v>0</v>
      </c>
      <c r="T269" s="32"/>
      <c r="U269" s="32">
        <f t="shared" si="165"/>
        <v>0</v>
      </c>
      <c r="V269" s="32"/>
      <c r="W269" s="32">
        <f t="shared" si="166"/>
        <v>0</v>
      </c>
      <c r="X269" s="32"/>
      <c r="Y269" s="32">
        <f t="shared" si="167"/>
        <v>0</v>
      </c>
      <c r="Z269" s="32"/>
      <c r="AA269" s="32">
        <f t="shared" si="168"/>
        <v>0</v>
      </c>
      <c r="AB269" s="32">
        <f>SUM(H269:AA269)</f>
        <v>0</v>
      </c>
      <c r="AC269" s="14" t="str">
        <f>IF(ABS(AB269-F269)&lt;1,"ok","err")</f>
        <v>ok</v>
      </c>
    </row>
    <row r="270" spans="1:29" ht="12.75" x14ac:dyDescent="0.2">
      <c r="A270" s="2">
        <v>916</v>
      </c>
      <c r="B270" s="2" t="s">
        <v>638</v>
      </c>
      <c r="C270" s="2" t="s">
        <v>639</v>
      </c>
      <c r="D270" s="2" t="s">
        <v>471</v>
      </c>
      <c r="F270" s="32">
        <v>0</v>
      </c>
      <c r="G270" s="32"/>
      <c r="H270" s="32">
        <f t="shared" si="171"/>
        <v>0</v>
      </c>
      <c r="I270" s="32">
        <f t="shared" si="158"/>
        <v>0</v>
      </c>
      <c r="J270" s="32"/>
      <c r="K270" s="32">
        <f t="shared" si="159"/>
        <v>0</v>
      </c>
      <c r="L270" s="32"/>
      <c r="M270" s="32">
        <f t="shared" si="160"/>
        <v>0</v>
      </c>
      <c r="N270" s="32"/>
      <c r="O270" s="32">
        <f t="shared" si="161"/>
        <v>0</v>
      </c>
      <c r="P270" s="32">
        <f t="shared" si="162"/>
        <v>0</v>
      </c>
      <c r="Q270" s="32"/>
      <c r="R270" s="32">
        <f t="shared" si="163"/>
        <v>0</v>
      </c>
      <c r="S270" s="32">
        <f t="shared" si="164"/>
        <v>0</v>
      </c>
      <c r="T270" s="32"/>
      <c r="U270" s="32">
        <f t="shared" si="165"/>
        <v>0</v>
      </c>
      <c r="V270" s="32"/>
      <c r="W270" s="32">
        <f t="shared" si="166"/>
        <v>0</v>
      </c>
      <c r="X270" s="32"/>
      <c r="Y270" s="32">
        <f t="shared" si="167"/>
        <v>0</v>
      </c>
      <c r="Z270" s="32"/>
      <c r="AA270" s="32">
        <f t="shared" si="168"/>
        <v>0</v>
      </c>
      <c r="AB270" s="32">
        <f t="shared" si="169"/>
        <v>0</v>
      </c>
      <c r="AC270" s="14" t="str">
        <f t="shared" si="170"/>
        <v>ok</v>
      </c>
    </row>
    <row r="271" spans="1:29" ht="12.75" x14ac:dyDescent="0.2">
      <c r="A271" s="2">
        <v>917</v>
      </c>
      <c r="B271" s="2" t="s">
        <v>638</v>
      </c>
      <c r="C271" s="2" t="s">
        <v>888</v>
      </c>
      <c r="D271" s="2" t="s">
        <v>471</v>
      </c>
      <c r="F271" s="32">
        <v>0</v>
      </c>
      <c r="G271" s="32"/>
      <c r="H271" s="32">
        <f t="shared" si="171"/>
        <v>0</v>
      </c>
      <c r="I271" s="32">
        <f t="shared" si="158"/>
        <v>0</v>
      </c>
      <c r="J271" s="32"/>
      <c r="K271" s="32">
        <f t="shared" si="159"/>
        <v>0</v>
      </c>
      <c r="L271" s="32"/>
      <c r="M271" s="32">
        <f t="shared" si="160"/>
        <v>0</v>
      </c>
      <c r="N271" s="32"/>
      <c r="O271" s="32">
        <f t="shared" si="161"/>
        <v>0</v>
      </c>
      <c r="P271" s="32">
        <f t="shared" si="162"/>
        <v>0</v>
      </c>
      <c r="Q271" s="32"/>
      <c r="R271" s="32">
        <f t="shared" si="163"/>
        <v>0</v>
      </c>
      <c r="S271" s="32">
        <f t="shared" si="164"/>
        <v>0</v>
      </c>
      <c r="T271" s="32"/>
      <c r="U271" s="32">
        <f t="shared" si="165"/>
        <v>0</v>
      </c>
      <c r="V271" s="32"/>
      <c r="W271" s="32">
        <f t="shared" si="166"/>
        <v>0</v>
      </c>
      <c r="X271" s="32"/>
      <c r="Y271" s="32">
        <f t="shared" si="167"/>
        <v>0</v>
      </c>
      <c r="Z271" s="32"/>
      <c r="AA271" s="32">
        <f t="shared" si="168"/>
        <v>0</v>
      </c>
      <c r="AB271" s="32">
        <f t="shared" si="169"/>
        <v>0</v>
      </c>
      <c r="AC271" s="14" t="str">
        <f t="shared" si="170"/>
        <v>ok</v>
      </c>
    </row>
    <row r="272" spans="1:29" ht="12.75" x14ac:dyDescent="0.2"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14"/>
    </row>
    <row r="273" spans="1:29" ht="12.75" x14ac:dyDescent="0.2">
      <c r="A273" s="2" t="s">
        <v>157</v>
      </c>
      <c r="C273" s="2" t="s">
        <v>158</v>
      </c>
      <c r="F273" s="45">
        <f>SUM(F260:F271)</f>
        <v>185557.33000000002</v>
      </c>
      <c r="G273" s="45"/>
      <c r="H273" s="45">
        <f t="shared" ref="H273:W273" si="172">SUM(H260:H272)</f>
        <v>0</v>
      </c>
      <c r="I273" s="45">
        <f t="shared" si="172"/>
        <v>0</v>
      </c>
      <c r="J273" s="45"/>
      <c r="K273" s="45">
        <f t="shared" si="172"/>
        <v>0</v>
      </c>
      <c r="L273" s="45"/>
      <c r="M273" s="45">
        <f t="shared" si="172"/>
        <v>0</v>
      </c>
      <c r="N273" s="45"/>
      <c r="O273" s="45">
        <f t="shared" si="172"/>
        <v>0</v>
      </c>
      <c r="P273" s="45">
        <f t="shared" si="172"/>
        <v>0</v>
      </c>
      <c r="Q273" s="45"/>
      <c r="R273" s="45">
        <f t="shared" si="172"/>
        <v>0</v>
      </c>
      <c r="S273" s="45">
        <f t="shared" si="172"/>
        <v>0</v>
      </c>
      <c r="T273" s="45"/>
      <c r="U273" s="45">
        <f t="shared" si="172"/>
        <v>0</v>
      </c>
      <c r="V273" s="45"/>
      <c r="W273" s="45">
        <f t="shared" si="172"/>
        <v>0</v>
      </c>
      <c r="X273" s="45"/>
      <c r="Y273" s="45">
        <f>SUM(Y260:Y272)</f>
        <v>185557.33000000002</v>
      </c>
      <c r="Z273" s="45"/>
      <c r="AA273" s="45">
        <f>SUM(AA260:AA272)</f>
        <v>0</v>
      </c>
      <c r="AB273" s="32">
        <f>SUM(H273:AA273)</f>
        <v>185557.33000000002</v>
      </c>
      <c r="AC273" s="14" t="str">
        <f>IF(ABS(AB273-F273)&lt;1,"ok","err")</f>
        <v>ok</v>
      </c>
    </row>
    <row r="274" spans="1:29" ht="12.75" x14ac:dyDescent="0.2">
      <c r="D274" s="69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C274" s="14"/>
    </row>
    <row r="275" spans="1:29" ht="12.75" x14ac:dyDescent="0.2">
      <c r="A275" s="2" t="s">
        <v>410</v>
      </c>
      <c r="C275" s="2" t="s">
        <v>411</v>
      </c>
      <c r="F275" s="32">
        <f t="shared" ref="F275" si="173">F244+F257+F273</f>
        <v>7801627.1899999985</v>
      </c>
      <c r="G275" s="32"/>
      <c r="H275" s="32">
        <f t="shared" ref="H275:M275" si="174">H244+H257+H273</f>
        <v>0</v>
      </c>
      <c r="I275" s="32">
        <f t="shared" si="174"/>
        <v>0</v>
      </c>
      <c r="J275" s="32"/>
      <c r="K275" s="32">
        <f t="shared" si="174"/>
        <v>0</v>
      </c>
      <c r="L275" s="32"/>
      <c r="M275" s="32">
        <f t="shared" si="174"/>
        <v>407.79238253518787</v>
      </c>
      <c r="N275" s="32"/>
      <c r="O275" s="32">
        <f t="shared" ref="O275:AA275" si="175">O244+O257+O273</f>
        <v>4179367.5032261591</v>
      </c>
      <c r="P275" s="32">
        <f t="shared" si="175"/>
        <v>1366518.1029023663</v>
      </c>
      <c r="Q275" s="32"/>
      <c r="R275" s="32">
        <f t="shared" si="175"/>
        <v>0</v>
      </c>
      <c r="S275" s="32">
        <f t="shared" si="175"/>
        <v>170924.56674059221</v>
      </c>
      <c r="T275" s="32"/>
      <c r="U275" s="32">
        <f t="shared" si="175"/>
        <v>302535.05935855734</v>
      </c>
      <c r="V275" s="32"/>
      <c r="W275" s="32">
        <f t="shared" si="175"/>
        <v>43259.785389789111</v>
      </c>
      <c r="X275" s="32"/>
      <c r="Y275" s="32">
        <f t="shared" si="175"/>
        <v>1738614.3800000001</v>
      </c>
      <c r="Z275" s="32"/>
      <c r="AA275" s="32">
        <f t="shared" si="175"/>
        <v>0</v>
      </c>
      <c r="AB275" s="32">
        <f>SUM(H275:AA275)</f>
        <v>7801627.1899999995</v>
      </c>
      <c r="AC275" s="14" t="str">
        <f>IF(ABS(AB275-F275)&lt;1,"ok","err")</f>
        <v>ok</v>
      </c>
    </row>
    <row r="276" spans="1:29" ht="12.75" x14ac:dyDescent="0.2"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C276" s="14"/>
    </row>
    <row r="277" spans="1:29" ht="12.75" x14ac:dyDescent="0.2">
      <c r="A277" s="12" t="s">
        <v>136</v>
      </c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C277" s="14"/>
    </row>
    <row r="278" spans="1:29" ht="12.75" x14ac:dyDescent="0.2"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C278" s="14"/>
    </row>
    <row r="279" spans="1:29" ht="12.75" x14ac:dyDescent="0.2">
      <c r="A279" s="1" t="s">
        <v>159</v>
      </c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C279" s="14"/>
    </row>
    <row r="280" spans="1:29" ht="12.75" x14ac:dyDescent="0.2">
      <c r="A280" s="2">
        <v>920</v>
      </c>
      <c r="B280" s="2" t="s">
        <v>160</v>
      </c>
      <c r="C280" s="2" t="s">
        <v>161</v>
      </c>
      <c r="D280" s="2" t="s">
        <v>411</v>
      </c>
      <c r="F280" s="45">
        <v>1033179.76</v>
      </c>
      <c r="G280" s="45"/>
      <c r="H280" s="32">
        <f>IF((VLOOKUP($D280,$C$5:$AA$507,6,)=0),0,((VLOOKUP($D280,$C$5:$AA$507,6,)/VLOOKUP($D280,$C$5:$AA$507,4,))*$F280))</f>
        <v>0</v>
      </c>
      <c r="I280" s="32">
        <f>(VLOOKUP($D280,$C$5:$AA$507,7,)/VLOOKUP($D280,$C$5:$AA$507,4,))*$F280</f>
        <v>0</v>
      </c>
      <c r="J280" s="32"/>
      <c r="K280" s="32">
        <f>(VLOOKUP($D280,$C$5:$AA$507,9,)/VLOOKUP($D280,$C$5:$AA$507,4,))*$F280</f>
        <v>0</v>
      </c>
      <c r="L280" s="32"/>
      <c r="M280" s="32">
        <f>(VLOOKUP($D280,$C$5:$AA$507,11,)/VLOOKUP($D280,$C$5:$AA$507,4,))*$F280</f>
        <v>54.004482097988287</v>
      </c>
      <c r="N280" s="32"/>
      <c r="O280" s="32">
        <f>(VLOOKUP($D280,$C$5:$AA$507,13,)/VLOOKUP($D280,$C$5:$AA$507,4,))*$F280</f>
        <v>553479.14079639618</v>
      </c>
      <c r="P280" s="32">
        <f>(VLOOKUP($D280,$C$5:$AA$507,14,)/VLOOKUP($D280,$C$5:$AA$507,4,))*$F280</f>
        <v>180969.79145607215</v>
      </c>
      <c r="Q280" s="32"/>
      <c r="R280" s="32">
        <f>(VLOOKUP($D280,$C$5:$AA$507,16,)/VLOOKUP($D280,$C$5:$AA$507,4,))*$F280</f>
        <v>0</v>
      </c>
      <c r="S280" s="32">
        <f>(VLOOKUP($D280,$C$5:$AA$507,17,)/VLOOKUP($D280,$C$5:$AA$507,4,))*$F280</f>
        <v>22635.765404107842</v>
      </c>
      <c r="T280" s="32"/>
      <c r="U280" s="32">
        <f>(VLOOKUP($D280,$C$5:$AA$507,19,)/VLOOKUP($D280,$C$5:$AA$507,4,))*$F280</f>
        <v>40065.116213231937</v>
      </c>
      <c r="V280" s="32"/>
      <c r="W280" s="32">
        <f>(VLOOKUP($D280,$C$5:$AA$507,21,)/VLOOKUP($D280,$C$5:$AA$507,4,))*$F280</f>
        <v>5728.9503328181754</v>
      </c>
      <c r="X280" s="32"/>
      <c r="Y280" s="32">
        <f>(VLOOKUP($D280,$C$5:$AA$507,23,)/VLOOKUP($D280,$C$5:$AA$507,4,))*$F280</f>
        <v>230246.99131527578</v>
      </c>
      <c r="Z280" s="32"/>
      <c r="AA280" s="32">
        <f>(VLOOKUP($D280,$C$5:$AA$507,25,)/VLOOKUP($D280,$C$5:$AA$507,4,))*$F280</f>
        <v>0</v>
      </c>
      <c r="AB280" s="32">
        <f t="shared" ref="AB280:AB292" si="176">SUM(H280:AA280)</f>
        <v>1033179.7600000001</v>
      </c>
      <c r="AC280" s="14" t="str">
        <f t="shared" ref="AC280:AC292" si="177">IF(ABS(AB280-F280)&lt;1,"ok","err")</f>
        <v>ok</v>
      </c>
    </row>
    <row r="281" spans="1:29" ht="12.75" x14ac:dyDescent="0.2">
      <c r="A281" s="2">
        <v>921</v>
      </c>
      <c r="B281" s="2" t="s">
        <v>162</v>
      </c>
      <c r="C281" s="2" t="s">
        <v>163</v>
      </c>
      <c r="D281" s="2" t="s">
        <v>516</v>
      </c>
      <c r="F281" s="32">
        <v>377643.31</v>
      </c>
      <c r="G281" s="32"/>
      <c r="H281" s="32">
        <f>IF(VLOOKUP($D281,$C$5:$AA$507,6,)=0,0,((VLOOKUP($D281,$C$5:$AA$507,6,)/VLOOKUP($D281,$C$5:$AA$507,4,))*$F281))</f>
        <v>0</v>
      </c>
      <c r="I281" s="32">
        <f>IF(VLOOKUP($D281,$C$5:$AA$507,7,)=0,0,((VLOOKUP($D281,$C$5:$AA$507,7,)/VLOOKUP($D281,$C$5:$AA$507,4,))*$F281))</f>
        <v>0</v>
      </c>
      <c r="J281" s="32"/>
      <c r="K281" s="32">
        <f>IF(VLOOKUP($D281,$C$5:$AA$507,9,)=0,0,((VLOOKUP($D281,$C$5:$AA$507,9,)/VLOOKUP($D281,$C$5:$AA$507,4,))*$F281))</f>
        <v>0</v>
      </c>
      <c r="L281" s="32"/>
      <c r="M281" s="32">
        <f>IF(VLOOKUP($D281,$C$5:$AA$507,11,)=0,0,((VLOOKUP($D281,$C$5:$AA$507,11,)/VLOOKUP($D281,$C$5:$AA$507,4,))*$F281))</f>
        <v>28.628544083226277</v>
      </c>
      <c r="N281" s="32"/>
      <c r="O281" s="32">
        <f>IF(VLOOKUP($D281,$C$5:$AA$507,13,)=0,0,((VLOOKUP($D281,$C$5:$AA$507,13,)/VLOOKUP($D281,$C$5:$AA$507,4,))*$F281))</f>
        <v>175797.41961301464</v>
      </c>
      <c r="P281" s="32">
        <f>IF(VLOOKUP($D281,$C$5:$AA$507,14,)=0,0,((VLOOKUP($D281,$C$5:$AA$507,14,)/VLOOKUP($D281,$C$5:$AA$507,4,))*$F281))</f>
        <v>60248.500173593842</v>
      </c>
      <c r="Q281" s="32"/>
      <c r="R281" s="32">
        <f>IF(VLOOKUP($D281,$C$5:$AA$507,16,)=0,0,((VLOOKUP($D281,$C$5:$AA$507,16,)/VLOOKUP($D281,$C$5:$AA$507,4,))*$F281))</f>
        <v>0</v>
      </c>
      <c r="S281" s="32">
        <f>IF(VLOOKUP($D281,$C$5:$AA$507,17,)=0,0,((VLOOKUP($D281,$C$5:$AA$507,17,)/VLOOKUP($D281,$C$5:$AA$507,4,))*$F281))</f>
        <v>12651.395006763571</v>
      </c>
      <c r="T281" s="32"/>
      <c r="U281" s="32">
        <f>IF(VLOOKUP($D281,$C$5:$AA$507,19,)=0,0,((VLOOKUP($D281,$C$5:$AA$507,19,)/VLOOKUP($D281,$C$5:$AA$507,4,))*$F281))</f>
        <v>23533.400896916552</v>
      </c>
      <c r="V281" s="32"/>
      <c r="W281" s="32">
        <f>IF(VLOOKUP($D281,$C$5:$AA$507,21,)=0,0,((VLOOKUP($D281,$C$5:$AA$507,21,)/VLOOKUP($D281,$C$5:$AA$507,4,))*$F281))</f>
        <v>3036.9980561263187</v>
      </c>
      <c r="X281" s="32"/>
      <c r="Y281" s="32">
        <f>IF(VLOOKUP($D281,$C$5:$AA$507,23,)=0,0,((VLOOKUP($D281,$C$5:$AA$507,23,)/VLOOKUP($D281,$C$5:$AA$507,4,))*$F281))</f>
        <v>102346.96770950183</v>
      </c>
      <c r="Z281" s="32"/>
      <c r="AA281" s="32">
        <f>IF(VLOOKUP($D281,$C$5:$AA$507,25,)=0,0,((VLOOKUP($D281,$C$5:$AA$507,25,)/VLOOKUP($D281,$C$5:$AA$507,4,))*$F281))</f>
        <v>0</v>
      </c>
      <c r="AB281" s="32">
        <f>SUM(H281:AA281)</f>
        <v>377643.30999999994</v>
      </c>
      <c r="AC281" s="14" t="str">
        <f>IF(ABS(AB281-F281)&lt;1,"ok","err")</f>
        <v>ok</v>
      </c>
    </row>
    <row r="282" spans="1:29" ht="12.75" x14ac:dyDescent="0.2">
      <c r="A282" s="2">
        <v>923</v>
      </c>
      <c r="B282" s="2" t="s">
        <v>164</v>
      </c>
      <c r="C282" s="2" t="s">
        <v>165</v>
      </c>
      <c r="D282" s="2" t="s">
        <v>411</v>
      </c>
      <c r="F282" s="32">
        <v>47901.88</v>
      </c>
      <c r="G282" s="32"/>
      <c r="H282" s="32">
        <f t="shared" ref="H282:H289" si="178">IF((VLOOKUP($D282,$C$5:$AA$507,6,)=0),0,((VLOOKUP($D282,$C$5:$AA$507,6,)/VLOOKUP($D282,$C$5:$AA$507,4,))*$F282))</f>
        <v>0</v>
      </c>
      <c r="I282" s="32">
        <f t="shared" ref="I282:I292" si="179">(VLOOKUP($D282,$C$5:$AA$507,7,)/VLOOKUP($D282,$C$5:$AA$507,4,))*$F282</f>
        <v>0</v>
      </c>
      <c r="J282" s="32"/>
      <c r="K282" s="32">
        <f t="shared" ref="K282:K292" si="180">(VLOOKUP($D282,$C$5:$AA$507,9,)/VLOOKUP($D282,$C$5:$AA$507,4,))*$F282</f>
        <v>0</v>
      </c>
      <c r="L282" s="32"/>
      <c r="M282" s="32">
        <f t="shared" ref="M282:M292" si="181">(VLOOKUP($D282,$C$5:$AA$507,11,)/VLOOKUP($D282,$C$5:$AA$507,4,))*$F282</f>
        <v>2.5038394295683677</v>
      </c>
      <c r="N282" s="32"/>
      <c r="O282" s="32">
        <f t="shared" ref="O282:O292" si="182">(VLOOKUP($D282,$C$5:$AA$507,13,)/VLOOKUP($D282,$C$5:$AA$507,4,))*$F282</f>
        <v>25661.257035205639</v>
      </c>
      <c r="P282" s="32">
        <f t="shared" ref="P282:P292" si="183">(VLOOKUP($D282,$C$5:$AA$507,14,)/VLOOKUP($D282,$C$5:$AA$507,4,))*$F282</f>
        <v>8390.4017186261899</v>
      </c>
      <c r="Q282" s="32"/>
      <c r="R282" s="32">
        <f t="shared" ref="R282:R292" si="184">(VLOOKUP($D282,$C$5:$AA$507,16,)/VLOOKUP($D282,$C$5:$AA$507,4,))*$F282</f>
        <v>0</v>
      </c>
      <c r="S282" s="32">
        <f t="shared" ref="S282:S292" si="185">(VLOOKUP($D282,$C$5:$AA$507,17,)/VLOOKUP($D282,$C$5:$AA$507,4,))*$F282</f>
        <v>1049.4744090764277</v>
      </c>
      <c r="T282" s="32"/>
      <c r="U282" s="32">
        <f t="shared" ref="U282:U292" si="186">(VLOOKUP($D282,$C$5:$AA$507,19,)/VLOOKUP($D282,$C$5:$AA$507,4,))*$F282</f>
        <v>1857.5609621236583</v>
      </c>
      <c r="V282" s="32"/>
      <c r="W282" s="32">
        <f t="shared" ref="W282:W292" si="187">(VLOOKUP($D282,$C$5:$AA$507,21,)/VLOOKUP($D282,$C$5:$AA$507,4,))*$F282</f>
        <v>265.61446709778392</v>
      </c>
      <c r="X282" s="32"/>
      <c r="Y282" s="32">
        <f t="shared" ref="Y282:Y292" si="188">(VLOOKUP($D282,$C$5:$AA$507,23,)/VLOOKUP($D282,$C$5:$AA$507,4,))*$F282</f>
        <v>10675.067568440734</v>
      </c>
      <c r="Z282" s="32"/>
      <c r="AA282" s="32">
        <f t="shared" ref="AA282:AA292" si="189">(VLOOKUP($D282,$C$5:$AA$507,25,)/VLOOKUP($D282,$C$5:$AA$507,4,))*$F282</f>
        <v>0</v>
      </c>
      <c r="AB282" s="32">
        <f t="shared" si="176"/>
        <v>47901.88</v>
      </c>
      <c r="AC282" s="14" t="str">
        <f t="shared" si="177"/>
        <v>ok</v>
      </c>
    </row>
    <row r="283" spans="1:29" ht="12.75" x14ac:dyDescent="0.2">
      <c r="A283" s="2">
        <v>924</v>
      </c>
      <c r="B283" s="2" t="s">
        <v>166</v>
      </c>
      <c r="C283" s="2" t="s">
        <v>167</v>
      </c>
      <c r="D283" s="2" t="s">
        <v>84</v>
      </c>
      <c r="F283" s="32">
        <v>30965.42</v>
      </c>
      <c r="G283" s="32"/>
      <c r="H283" s="32">
        <f t="shared" si="178"/>
        <v>535.60497884694666</v>
      </c>
      <c r="I283" s="32">
        <f t="shared" si="179"/>
        <v>0</v>
      </c>
      <c r="J283" s="32"/>
      <c r="K283" s="32">
        <f t="shared" si="180"/>
        <v>0</v>
      </c>
      <c r="L283" s="32"/>
      <c r="M283" s="32">
        <f t="shared" si="181"/>
        <v>11.108106640054562</v>
      </c>
      <c r="N283" s="32"/>
      <c r="O283" s="32">
        <f t="shared" si="182"/>
        <v>16173.349155089716</v>
      </c>
      <c r="P283" s="32">
        <f t="shared" si="183"/>
        <v>8334.880091406043</v>
      </c>
      <c r="Q283" s="32"/>
      <c r="R283" s="32">
        <f t="shared" si="184"/>
        <v>0</v>
      </c>
      <c r="S283" s="32">
        <f t="shared" si="185"/>
        <v>3026.4246863022704</v>
      </c>
      <c r="T283" s="32"/>
      <c r="U283" s="32">
        <f t="shared" si="186"/>
        <v>1705.6731739602494</v>
      </c>
      <c r="V283" s="32"/>
      <c r="W283" s="32">
        <f t="shared" si="187"/>
        <v>1178.3798077547151</v>
      </c>
      <c r="X283" s="32"/>
      <c r="Y283" s="32">
        <f t="shared" si="188"/>
        <v>0</v>
      </c>
      <c r="Z283" s="32"/>
      <c r="AA283" s="32">
        <f t="shared" si="189"/>
        <v>0</v>
      </c>
      <c r="AB283" s="32">
        <f t="shared" si="176"/>
        <v>30965.42</v>
      </c>
      <c r="AC283" s="14" t="str">
        <f t="shared" si="177"/>
        <v>ok</v>
      </c>
    </row>
    <row r="284" spans="1:29" ht="12.75" x14ac:dyDescent="0.2">
      <c r="A284" s="2">
        <v>925</v>
      </c>
      <c r="B284" s="2" t="s">
        <v>168</v>
      </c>
      <c r="C284" s="2" t="s">
        <v>169</v>
      </c>
      <c r="D284" s="2" t="s">
        <v>516</v>
      </c>
      <c r="F284" s="32">
        <v>118162.69</v>
      </c>
      <c r="G284" s="32"/>
      <c r="H284" s="32">
        <f t="shared" si="178"/>
        <v>0</v>
      </c>
      <c r="I284" s="32">
        <f t="shared" si="179"/>
        <v>0</v>
      </c>
      <c r="J284" s="32"/>
      <c r="K284" s="32">
        <f t="shared" si="180"/>
        <v>0</v>
      </c>
      <c r="L284" s="32"/>
      <c r="M284" s="32">
        <f t="shared" si="181"/>
        <v>8.9577272788378028</v>
      </c>
      <c r="N284" s="32"/>
      <c r="O284" s="32">
        <f t="shared" si="182"/>
        <v>55006.12733357455</v>
      </c>
      <c r="P284" s="32">
        <f t="shared" si="183"/>
        <v>18851.452310852048</v>
      </c>
      <c r="Q284" s="32"/>
      <c r="R284" s="32">
        <f t="shared" si="184"/>
        <v>0</v>
      </c>
      <c r="S284" s="32">
        <f t="shared" si="185"/>
        <v>3958.5577889669266</v>
      </c>
      <c r="T284" s="32"/>
      <c r="U284" s="32">
        <f t="shared" si="186"/>
        <v>7363.4826334619102</v>
      </c>
      <c r="V284" s="32"/>
      <c r="W284" s="32">
        <f t="shared" si="187"/>
        <v>950.26139834611877</v>
      </c>
      <c r="X284" s="32"/>
      <c r="Y284" s="32">
        <f t="shared" si="188"/>
        <v>32023.850807519597</v>
      </c>
      <c r="Z284" s="32"/>
      <c r="AA284" s="32">
        <f t="shared" si="189"/>
        <v>0</v>
      </c>
      <c r="AB284" s="32">
        <f t="shared" si="176"/>
        <v>118162.68999999999</v>
      </c>
      <c r="AC284" s="14" t="str">
        <f t="shared" si="177"/>
        <v>ok</v>
      </c>
    </row>
    <row r="285" spans="1:29" ht="12.75" x14ac:dyDescent="0.2">
      <c r="A285" s="2">
        <v>926</v>
      </c>
      <c r="B285" s="2" t="s">
        <v>170</v>
      </c>
      <c r="C285" s="2" t="s">
        <v>171</v>
      </c>
      <c r="D285" s="2" t="s">
        <v>516</v>
      </c>
      <c r="F285" s="32">
        <v>71219.839999999997</v>
      </c>
      <c r="G285" s="32"/>
      <c r="H285" s="32">
        <f t="shared" si="178"/>
        <v>0</v>
      </c>
      <c r="I285" s="32">
        <f t="shared" si="179"/>
        <v>0</v>
      </c>
      <c r="J285" s="32"/>
      <c r="K285" s="32">
        <f t="shared" si="180"/>
        <v>0</v>
      </c>
      <c r="L285" s="32"/>
      <c r="M285" s="32">
        <f t="shared" si="181"/>
        <v>5.399063812464524</v>
      </c>
      <c r="N285" s="32"/>
      <c r="O285" s="32">
        <f t="shared" si="182"/>
        <v>33153.67640764446</v>
      </c>
      <c r="P285" s="32">
        <f t="shared" si="183"/>
        <v>11362.278713750617</v>
      </c>
      <c r="Q285" s="32"/>
      <c r="R285" s="32">
        <f t="shared" si="184"/>
        <v>0</v>
      </c>
      <c r="S285" s="32">
        <f t="shared" si="185"/>
        <v>2385.9295380037324</v>
      </c>
      <c r="T285" s="32"/>
      <c r="U285" s="32">
        <f t="shared" si="186"/>
        <v>4438.1695694126111</v>
      </c>
      <c r="V285" s="32"/>
      <c r="W285" s="32">
        <f t="shared" si="187"/>
        <v>572.74817244247606</v>
      </c>
      <c r="X285" s="32"/>
      <c r="Y285" s="32">
        <f t="shared" si="188"/>
        <v>19301.638534933627</v>
      </c>
      <c r="Z285" s="32"/>
      <c r="AA285" s="32">
        <f t="shared" si="189"/>
        <v>0</v>
      </c>
      <c r="AB285" s="32">
        <f t="shared" si="176"/>
        <v>71219.839999999997</v>
      </c>
      <c r="AC285" s="14" t="str">
        <f t="shared" si="177"/>
        <v>ok</v>
      </c>
    </row>
    <row r="286" spans="1:29" ht="12.75" x14ac:dyDescent="0.2">
      <c r="A286" s="2">
        <v>928</v>
      </c>
      <c r="B286" s="2" t="s">
        <v>578</v>
      </c>
      <c r="C286" s="2" t="s">
        <v>173</v>
      </c>
      <c r="D286" s="2" t="s">
        <v>411</v>
      </c>
      <c r="F286" s="32">
        <v>978.5</v>
      </c>
      <c r="G286" s="32"/>
      <c r="H286" s="32">
        <f t="shared" si="178"/>
        <v>0</v>
      </c>
      <c r="I286" s="32">
        <f t="shared" si="179"/>
        <v>0</v>
      </c>
      <c r="J286" s="32"/>
      <c r="K286" s="32">
        <f t="shared" si="180"/>
        <v>0</v>
      </c>
      <c r="L286" s="32"/>
      <c r="M286" s="32">
        <f t="shared" si="181"/>
        <v>5.1146361725941614E-2</v>
      </c>
      <c r="N286" s="32"/>
      <c r="O286" s="32">
        <f t="shared" si="182"/>
        <v>524.18694232770656</v>
      </c>
      <c r="P286" s="32">
        <f t="shared" si="183"/>
        <v>171.39218923507232</v>
      </c>
      <c r="Q286" s="32"/>
      <c r="R286" s="32">
        <f t="shared" si="184"/>
        <v>0</v>
      </c>
      <c r="S286" s="32">
        <f t="shared" si="185"/>
        <v>21.437795537070453</v>
      </c>
      <c r="T286" s="32"/>
      <c r="U286" s="32">
        <f t="shared" si="186"/>
        <v>37.944719527459043</v>
      </c>
      <c r="V286" s="32"/>
      <c r="W286" s="32">
        <f t="shared" si="187"/>
        <v>5.4257527273497734</v>
      </c>
      <c r="X286" s="32"/>
      <c r="Y286" s="32">
        <f t="shared" si="188"/>
        <v>218.061454283616</v>
      </c>
      <c r="Z286" s="32"/>
      <c r="AA286" s="32">
        <f t="shared" si="189"/>
        <v>0</v>
      </c>
      <c r="AB286" s="32">
        <f t="shared" si="176"/>
        <v>978.5</v>
      </c>
      <c r="AC286" s="14" t="str">
        <f t="shared" si="177"/>
        <v>ok</v>
      </c>
    </row>
    <row r="287" spans="1:29" ht="12.75" x14ac:dyDescent="0.2">
      <c r="A287" s="2">
        <v>929</v>
      </c>
      <c r="B287" s="2" t="s">
        <v>895</v>
      </c>
      <c r="C287" s="2" t="s">
        <v>387</v>
      </c>
      <c r="D287" s="2" t="s">
        <v>411</v>
      </c>
      <c r="F287" s="32">
        <v>0</v>
      </c>
      <c r="G287" s="32"/>
      <c r="H287" s="32">
        <f t="shared" si="178"/>
        <v>0</v>
      </c>
      <c r="I287" s="32">
        <f t="shared" si="179"/>
        <v>0</v>
      </c>
      <c r="J287" s="32"/>
      <c r="K287" s="32">
        <f t="shared" si="180"/>
        <v>0</v>
      </c>
      <c r="L287" s="32"/>
      <c r="M287" s="32">
        <f t="shared" si="181"/>
        <v>0</v>
      </c>
      <c r="N287" s="32"/>
      <c r="O287" s="32">
        <f t="shared" si="182"/>
        <v>0</v>
      </c>
      <c r="P287" s="32">
        <f t="shared" si="183"/>
        <v>0</v>
      </c>
      <c r="Q287" s="32"/>
      <c r="R287" s="32">
        <f t="shared" si="184"/>
        <v>0</v>
      </c>
      <c r="S287" s="32">
        <f t="shared" si="185"/>
        <v>0</v>
      </c>
      <c r="T287" s="32"/>
      <c r="U287" s="32">
        <f t="shared" si="186"/>
        <v>0</v>
      </c>
      <c r="V287" s="32"/>
      <c r="W287" s="32">
        <f t="shared" si="187"/>
        <v>0</v>
      </c>
      <c r="X287" s="32"/>
      <c r="Y287" s="32">
        <f t="shared" si="188"/>
        <v>0</v>
      </c>
      <c r="Z287" s="32"/>
      <c r="AA287" s="32">
        <f t="shared" si="189"/>
        <v>0</v>
      </c>
      <c r="AB287" s="32">
        <f t="shared" si="176"/>
        <v>0</v>
      </c>
      <c r="AC287" s="14" t="str">
        <f t="shared" si="177"/>
        <v>ok</v>
      </c>
    </row>
    <row r="288" spans="1:29" ht="12.75" x14ac:dyDescent="0.2">
      <c r="A288" s="2">
        <v>930</v>
      </c>
      <c r="B288" s="2" t="s">
        <v>174</v>
      </c>
      <c r="C288" s="2" t="s">
        <v>175</v>
      </c>
      <c r="D288" s="2" t="s">
        <v>411</v>
      </c>
      <c r="F288" s="32">
        <v>427182.37000000005</v>
      </c>
      <c r="G288" s="32"/>
      <c r="H288" s="32">
        <f t="shared" si="178"/>
        <v>0</v>
      </c>
      <c r="I288" s="32">
        <f t="shared" si="179"/>
        <v>0</v>
      </c>
      <c r="J288" s="32"/>
      <c r="K288" s="32">
        <f t="shared" si="180"/>
        <v>0</v>
      </c>
      <c r="L288" s="32"/>
      <c r="M288" s="32">
        <f t="shared" si="181"/>
        <v>22.328895267210047</v>
      </c>
      <c r="N288" s="32"/>
      <c r="O288" s="32">
        <f t="shared" si="182"/>
        <v>228843.55681819419</v>
      </c>
      <c r="P288" s="32">
        <f t="shared" si="183"/>
        <v>74824.447211984356</v>
      </c>
      <c r="Q288" s="32"/>
      <c r="R288" s="32">
        <f t="shared" si="184"/>
        <v>0</v>
      </c>
      <c r="S288" s="32">
        <f t="shared" si="185"/>
        <v>9359.0682729700366</v>
      </c>
      <c r="T288" s="32"/>
      <c r="U288" s="32">
        <f t="shared" si="186"/>
        <v>16565.472883725331</v>
      </c>
      <c r="V288" s="32"/>
      <c r="W288" s="32">
        <f t="shared" si="187"/>
        <v>2368.713243845928</v>
      </c>
      <c r="X288" s="32"/>
      <c r="Y288" s="32">
        <f t="shared" si="188"/>
        <v>95198.782674013026</v>
      </c>
      <c r="Z288" s="32"/>
      <c r="AA288" s="32">
        <f t="shared" si="189"/>
        <v>0</v>
      </c>
      <c r="AB288" s="32">
        <f t="shared" si="176"/>
        <v>427182.37</v>
      </c>
      <c r="AC288" s="14" t="str">
        <f t="shared" si="177"/>
        <v>ok</v>
      </c>
    </row>
    <row r="289" spans="1:29" ht="12.75" x14ac:dyDescent="0.2">
      <c r="A289" s="2">
        <v>931</v>
      </c>
      <c r="B289" s="2" t="s">
        <v>176</v>
      </c>
      <c r="C289" s="2" t="s">
        <v>177</v>
      </c>
      <c r="D289" s="2" t="s">
        <v>84</v>
      </c>
      <c r="F289" s="32">
        <v>0</v>
      </c>
      <c r="G289" s="32"/>
      <c r="H289" s="32">
        <f t="shared" si="178"/>
        <v>0</v>
      </c>
      <c r="I289" s="32">
        <f t="shared" si="179"/>
        <v>0</v>
      </c>
      <c r="J289" s="32"/>
      <c r="K289" s="32">
        <f t="shared" si="180"/>
        <v>0</v>
      </c>
      <c r="L289" s="32"/>
      <c r="M289" s="32">
        <f t="shared" si="181"/>
        <v>0</v>
      </c>
      <c r="N289" s="32"/>
      <c r="O289" s="32">
        <f t="shared" si="182"/>
        <v>0</v>
      </c>
      <c r="P289" s="32">
        <f t="shared" si="183"/>
        <v>0</v>
      </c>
      <c r="Q289" s="32"/>
      <c r="R289" s="32">
        <f t="shared" si="184"/>
        <v>0</v>
      </c>
      <c r="S289" s="32">
        <f t="shared" si="185"/>
        <v>0</v>
      </c>
      <c r="T289" s="32"/>
      <c r="U289" s="32">
        <f t="shared" si="186"/>
        <v>0</v>
      </c>
      <c r="V289" s="32"/>
      <c r="W289" s="32">
        <f t="shared" si="187"/>
        <v>0</v>
      </c>
      <c r="X289" s="32"/>
      <c r="Y289" s="32">
        <f t="shared" si="188"/>
        <v>0</v>
      </c>
      <c r="Z289" s="32"/>
      <c r="AA289" s="32">
        <f t="shared" si="189"/>
        <v>0</v>
      </c>
      <c r="AB289" s="32">
        <f t="shared" si="176"/>
        <v>0</v>
      </c>
      <c r="AC289" s="14" t="str">
        <f t="shared" si="177"/>
        <v>ok</v>
      </c>
    </row>
    <row r="290" spans="1:29" ht="12.75" x14ac:dyDescent="0.2">
      <c r="A290" s="2">
        <v>932</v>
      </c>
      <c r="B290" s="2" t="s">
        <v>178</v>
      </c>
      <c r="C290" s="2" t="s">
        <v>891</v>
      </c>
      <c r="D290" s="2" t="s">
        <v>70</v>
      </c>
      <c r="F290" s="32">
        <v>93042.66</v>
      </c>
      <c r="G290" s="32"/>
      <c r="H290" s="32"/>
      <c r="I290" s="32">
        <f t="shared" si="179"/>
        <v>0</v>
      </c>
      <c r="J290" s="32"/>
      <c r="K290" s="32">
        <f t="shared" si="180"/>
        <v>0</v>
      </c>
      <c r="L290" s="32"/>
      <c r="M290" s="32">
        <f t="shared" si="181"/>
        <v>33.964313901871918</v>
      </c>
      <c r="N290" s="32"/>
      <c r="O290" s="32">
        <f t="shared" si="182"/>
        <v>49451.875584923611</v>
      </c>
      <c r="P290" s="32">
        <f t="shared" si="183"/>
        <v>25484.854704058482</v>
      </c>
      <c r="Q290" s="32"/>
      <c r="R290" s="32">
        <f t="shared" si="184"/>
        <v>0</v>
      </c>
      <c r="S290" s="32">
        <f t="shared" si="185"/>
        <v>9253.6416309953274</v>
      </c>
      <c r="T290" s="32"/>
      <c r="U290" s="32">
        <f t="shared" si="186"/>
        <v>5215.2919459281984</v>
      </c>
      <c r="V290" s="32"/>
      <c r="W290" s="32">
        <f t="shared" si="187"/>
        <v>3603.0318201925393</v>
      </c>
      <c r="X290" s="32"/>
      <c r="Y290" s="32">
        <f t="shared" si="188"/>
        <v>0</v>
      </c>
      <c r="Z290" s="32"/>
      <c r="AA290" s="32">
        <f t="shared" si="189"/>
        <v>0</v>
      </c>
      <c r="AB290" s="32">
        <f>SUM(H290:AA290)</f>
        <v>93042.660000000033</v>
      </c>
      <c r="AC290" s="14" t="str">
        <f>IF(ABS(AB290-F290)&lt;1,"ok","err")</f>
        <v>ok</v>
      </c>
    </row>
    <row r="291" spans="1:29" ht="12.75" x14ac:dyDescent="0.2">
      <c r="A291" s="2">
        <v>933</v>
      </c>
      <c r="B291" s="2" t="s">
        <v>889</v>
      </c>
      <c r="C291" s="2" t="s">
        <v>890</v>
      </c>
      <c r="D291" s="2" t="s">
        <v>70</v>
      </c>
      <c r="F291" s="32">
        <v>0</v>
      </c>
      <c r="G291" s="32"/>
      <c r="H291" s="32">
        <f>IF((VLOOKUP($D291,$C$5:$AA$507,6,)=0),0,((VLOOKUP($D291,$C$5:$AA$507,6,)/VLOOKUP($D291,$C$5:$AA$507,4,))*$F291))</f>
        <v>0</v>
      </c>
      <c r="I291" s="32">
        <f t="shared" si="179"/>
        <v>0</v>
      </c>
      <c r="J291" s="32"/>
      <c r="K291" s="32">
        <f t="shared" si="180"/>
        <v>0</v>
      </c>
      <c r="L291" s="32"/>
      <c r="M291" s="32">
        <f t="shared" si="181"/>
        <v>0</v>
      </c>
      <c r="N291" s="32"/>
      <c r="O291" s="32">
        <f t="shared" si="182"/>
        <v>0</v>
      </c>
      <c r="P291" s="32">
        <f t="shared" si="183"/>
        <v>0</v>
      </c>
      <c r="Q291" s="32"/>
      <c r="R291" s="32">
        <f t="shared" si="184"/>
        <v>0</v>
      </c>
      <c r="S291" s="32">
        <f t="shared" si="185"/>
        <v>0</v>
      </c>
      <c r="T291" s="32"/>
      <c r="U291" s="32">
        <f t="shared" si="186"/>
        <v>0</v>
      </c>
      <c r="V291" s="32"/>
      <c r="W291" s="32">
        <f t="shared" si="187"/>
        <v>0</v>
      </c>
      <c r="X291" s="32"/>
      <c r="Y291" s="32">
        <f t="shared" si="188"/>
        <v>0</v>
      </c>
      <c r="Z291" s="32"/>
      <c r="AA291" s="32">
        <f t="shared" si="189"/>
        <v>0</v>
      </c>
      <c r="AB291" s="32">
        <f>SUM(H291:AA291)</f>
        <v>0</v>
      </c>
      <c r="AC291" s="14" t="str">
        <f>IF(ABS(AB291-F291)&lt;1,"ok","err")</f>
        <v>ok</v>
      </c>
    </row>
    <row r="292" spans="1:29" ht="12.75" x14ac:dyDescent="0.2">
      <c r="A292" s="2">
        <v>935</v>
      </c>
      <c r="B292" s="2" t="s">
        <v>892</v>
      </c>
      <c r="C292" s="2" t="s">
        <v>708</v>
      </c>
      <c r="D292" s="2" t="s">
        <v>84</v>
      </c>
      <c r="F292" s="32">
        <v>0</v>
      </c>
      <c r="G292" s="32"/>
      <c r="H292" s="32">
        <f>IF((VLOOKUP($D292,$C$5:$AA$507,6,)=0),0,((VLOOKUP($D292,$C$5:$AA$507,6,)/VLOOKUP($D292,$C$5:$AA$507,4,))*$F292))</f>
        <v>0</v>
      </c>
      <c r="I292" s="32">
        <f t="shared" si="179"/>
        <v>0</v>
      </c>
      <c r="J292" s="32"/>
      <c r="K292" s="32">
        <f t="shared" si="180"/>
        <v>0</v>
      </c>
      <c r="L292" s="32"/>
      <c r="M292" s="32">
        <f t="shared" si="181"/>
        <v>0</v>
      </c>
      <c r="N292" s="32"/>
      <c r="O292" s="32">
        <f t="shared" si="182"/>
        <v>0</v>
      </c>
      <c r="P292" s="32">
        <f t="shared" si="183"/>
        <v>0</v>
      </c>
      <c r="Q292" s="32"/>
      <c r="R292" s="32">
        <f t="shared" si="184"/>
        <v>0</v>
      </c>
      <c r="S292" s="32">
        <f t="shared" si="185"/>
        <v>0</v>
      </c>
      <c r="T292" s="32"/>
      <c r="U292" s="32">
        <f t="shared" si="186"/>
        <v>0</v>
      </c>
      <c r="V292" s="32"/>
      <c r="W292" s="32">
        <f t="shared" si="187"/>
        <v>0</v>
      </c>
      <c r="X292" s="32"/>
      <c r="Y292" s="32">
        <f t="shared" si="188"/>
        <v>0</v>
      </c>
      <c r="Z292" s="32"/>
      <c r="AA292" s="32">
        <f t="shared" si="189"/>
        <v>0</v>
      </c>
      <c r="AB292" s="32">
        <f t="shared" si="176"/>
        <v>0</v>
      </c>
      <c r="AC292" s="14" t="str">
        <f t="shared" si="177"/>
        <v>ok</v>
      </c>
    </row>
    <row r="293" spans="1:29" ht="12.75" x14ac:dyDescent="0.2"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14"/>
    </row>
    <row r="294" spans="1:29" ht="12.75" x14ac:dyDescent="0.2">
      <c r="A294" s="2" t="s">
        <v>179</v>
      </c>
      <c r="C294" s="2" t="s">
        <v>180</v>
      </c>
      <c r="D294" s="118"/>
      <c r="F294" s="45">
        <f>SUM(F280:F293)</f>
        <v>2200276.4300000002</v>
      </c>
      <c r="G294" s="45"/>
      <c r="H294" s="45">
        <f>SUM(H280:H293)</f>
        <v>535.60497884694666</v>
      </c>
      <c r="I294" s="45">
        <f>SUM(I280:I293)</f>
        <v>0</v>
      </c>
      <c r="J294" s="45"/>
      <c r="K294" s="45">
        <f>SUM(K280:K293)</f>
        <v>0</v>
      </c>
      <c r="L294" s="45"/>
      <c r="M294" s="45">
        <f>SUM(M280:M293)</f>
        <v>166.94611887294772</v>
      </c>
      <c r="N294" s="45"/>
      <c r="O294" s="45">
        <f>SUM(O280:O293)</f>
        <v>1138090.5896863707</v>
      </c>
      <c r="P294" s="45">
        <f>SUM(P280:P293)</f>
        <v>388637.99856957881</v>
      </c>
      <c r="Q294" s="45"/>
      <c r="R294" s="45">
        <f>SUM(R280:R293)</f>
        <v>0</v>
      </c>
      <c r="S294" s="45">
        <f>SUM(S280:S293)</f>
        <v>64341.694532723202</v>
      </c>
      <c r="T294" s="45"/>
      <c r="U294" s="45">
        <f>SUM(U280:U293)</f>
        <v>100782.11299828791</v>
      </c>
      <c r="V294" s="45"/>
      <c r="W294" s="45">
        <f>SUM(W280:W293)</f>
        <v>17710.123051351406</v>
      </c>
      <c r="X294" s="45"/>
      <c r="Y294" s="45">
        <f>SUM(Y280:Y293)</f>
        <v>490011.36006396823</v>
      </c>
      <c r="Z294" s="45"/>
      <c r="AA294" s="45">
        <f>SUM(AA280:AA293)</f>
        <v>0</v>
      </c>
      <c r="AB294" s="32">
        <f>SUM(H294:AA294)</f>
        <v>2200276.4300000002</v>
      </c>
      <c r="AC294" s="14" t="str">
        <f>IF(ABS(AB294-F294)&lt;1,"ok","err")</f>
        <v>ok</v>
      </c>
    </row>
    <row r="295" spans="1:29" ht="12.75" x14ac:dyDescent="0.2">
      <c r="D295" s="69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14"/>
    </row>
    <row r="296" spans="1:29" ht="12.75" x14ac:dyDescent="0.2">
      <c r="A296" s="2" t="s">
        <v>181</v>
      </c>
      <c r="C296" s="2" t="s">
        <v>182</v>
      </c>
      <c r="F296" s="45">
        <f>F248+F257+F273+F294</f>
        <v>52570512.419999994</v>
      </c>
      <c r="G296" s="45"/>
      <c r="H296" s="45">
        <f>H248+H257+H273+H294</f>
        <v>12119881.312573178</v>
      </c>
      <c r="I296" s="45">
        <f>I248+I257+I273+I294</f>
        <v>30449263.092405669</v>
      </c>
      <c r="J296" s="45"/>
      <c r="K296" s="45">
        <f>K248+K257+K273+K294</f>
        <v>0</v>
      </c>
      <c r="L296" s="45"/>
      <c r="M296" s="45">
        <f>M248+M257+M273+M294</f>
        <v>574.73850140813556</v>
      </c>
      <c r="N296" s="45"/>
      <c r="O296" s="45">
        <f>O248+O257+O273+O294</f>
        <v>5317458.0929125296</v>
      </c>
      <c r="P296" s="45">
        <f>P248+P257+P273+P294</f>
        <v>1755156.1014719452</v>
      </c>
      <c r="Q296" s="45"/>
      <c r="R296" s="45">
        <f>R248+R257+R273+R294</f>
        <v>0</v>
      </c>
      <c r="S296" s="45">
        <f>S248+S257+S273+S294</f>
        <v>235266.26127331541</v>
      </c>
      <c r="T296" s="45"/>
      <c r="U296" s="45">
        <f>U248+U257+U273+U294</f>
        <v>403317.17235684523</v>
      </c>
      <c r="V296" s="45"/>
      <c r="W296" s="45">
        <f>W248+W257+W273+W294</f>
        <v>60969.90844114052</v>
      </c>
      <c r="X296" s="45"/>
      <c r="Y296" s="45">
        <f>Y248+Y257+Y273+Y294</f>
        <v>2228625.7400639681</v>
      </c>
      <c r="Z296" s="45"/>
      <c r="AA296" s="45">
        <f>AA248+AA257+AA273+AA294</f>
        <v>0</v>
      </c>
      <c r="AB296" s="32">
        <f>SUM(H296:AA296)</f>
        <v>52570512.420000002</v>
      </c>
      <c r="AC296" s="14" t="str">
        <f>IF(ABS(AB296-F296)&lt;1,"ok","err")</f>
        <v>ok</v>
      </c>
    </row>
    <row r="297" spans="1:29" ht="12.75" x14ac:dyDescent="0.2"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14"/>
    </row>
    <row r="298" spans="1:29" ht="12.75" x14ac:dyDescent="0.2">
      <c r="A298" s="2" t="s">
        <v>412</v>
      </c>
      <c r="C298" s="2" t="s">
        <v>88</v>
      </c>
      <c r="F298" s="69">
        <f>F296-F191</f>
        <v>10001903.619999997</v>
      </c>
      <c r="G298" s="69"/>
      <c r="H298" s="69">
        <f>H296-H191</f>
        <v>535.60497884638608</v>
      </c>
      <c r="I298" s="69">
        <f>I296-I191</f>
        <v>0</v>
      </c>
      <c r="J298" s="69"/>
      <c r="K298" s="69">
        <f>K296-K191</f>
        <v>0</v>
      </c>
      <c r="L298" s="69"/>
      <c r="M298" s="69">
        <f>M296-M191</f>
        <v>574.73850140813556</v>
      </c>
      <c r="N298" s="69"/>
      <c r="O298" s="69">
        <f>O296-O191</f>
        <v>5317458.0929125296</v>
      </c>
      <c r="P298" s="69">
        <f>P296-P191</f>
        <v>1755156.1014719452</v>
      </c>
      <c r="Q298" s="69">
        <f>Q296-Q191</f>
        <v>0</v>
      </c>
      <c r="R298" s="69">
        <f>R296-R191</f>
        <v>0</v>
      </c>
      <c r="S298" s="69">
        <f>S296-S191</f>
        <v>235266.26127331541</v>
      </c>
      <c r="T298" s="69"/>
      <c r="U298" s="69">
        <f>U296-U191</f>
        <v>403317.17235684523</v>
      </c>
      <c r="V298" s="69"/>
      <c r="W298" s="69">
        <f>W296-W191</f>
        <v>60969.90844114052</v>
      </c>
      <c r="X298" s="69"/>
      <c r="Y298" s="69">
        <f>Y296-Y191</f>
        <v>2228625.7400639681</v>
      </c>
      <c r="Z298" s="69"/>
      <c r="AA298" s="69">
        <f>AA296-AA191</f>
        <v>0</v>
      </c>
      <c r="AB298" s="32">
        <f>SUM(H298:AA298)</f>
        <v>10001903.619999997</v>
      </c>
      <c r="AC298" s="14" t="str">
        <f>IF(ABS(AB298-F298)&lt;1,"ok","err")</f>
        <v>ok</v>
      </c>
    </row>
    <row r="299" spans="1:29" x14ac:dyDescent="0.25">
      <c r="Q299" s="2"/>
      <c r="AC299" s="14"/>
    </row>
    <row r="300" spans="1:29" x14ac:dyDescent="0.25">
      <c r="AC300" s="14"/>
    </row>
    <row r="301" spans="1:29" x14ac:dyDescent="0.25">
      <c r="A301" s="12" t="s">
        <v>184</v>
      </c>
      <c r="AC301" s="14"/>
    </row>
    <row r="302" spans="1:29" x14ac:dyDescent="0.25">
      <c r="AC302" s="14"/>
    </row>
    <row r="303" spans="1:29" x14ac:dyDescent="0.25">
      <c r="A303" s="1" t="s">
        <v>185</v>
      </c>
      <c r="AC303" s="14"/>
    </row>
    <row r="304" spans="1:29" ht="12.75" x14ac:dyDescent="0.2">
      <c r="A304" s="2" t="s">
        <v>738</v>
      </c>
      <c r="C304" s="2" t="s">
        <v>799</v>
      </c>
      <c r="D304" s="2" t="s">
        <v>754</v>
      </c>
      <c r="F304" s="32"/>
      <c r="G304" s="32"/>
      <c r="H304" s="32">
        <f t="shared" ref="H304:H321" si="190">IF((VLOOKUP($D304,$C$5:$AA$507,6,)=0),0,((VLOOKUP($D304,$C$5:$AA$507,6,)/VLOOKUP($D304,$C$5:$AA$507,4,))*$F304))</f>
        <v>0</v>
      </c>
      <c r="I304" s="32">
        <f t="shared" ref="I304:I321" si="191">IF((VLOOKUP($D304,$C$5:$AA$507,7,)=0),0,((VLOOKUP($D304,$C$5:$AA$507,7,)/VLOOKUP($D304,$C$5:$AA$507,4,))*$F304))</f>
        <v>0</v>
      </c>
      <c r="J304" s="32"/>
      <c r="K304" s="32">
        <f t="shared" ref="K304:K321" si="192">IF((VLOOKUP($D304,$C$5:$AA$507,9,)=0),0,((VLOOKUP($D304,$C$5:$AA$507,9,)/VLOOKUP($D304,$C$5:$AA$507,4,))*$F304))</f>
        <v>0</v>
      </c>
      <c r="L304" s="32"/>
      <c r="M304" s="32">
        <f t="shared" ref="M304:M321" si="193">IF((VLOOKUP($D304,$C$5:$AA$507,11,)=0),0,((VLOOKUP($D304,$C$5:$AA$507,11,)/VLOOKUP($D304,$C$5:$AA$507,4,))*$F304))</f>
        <v>0</v>
      </c>
      <c r="N304" s="32"/>
      <c r="O304" s="32">
        <f t="shared" ref="O304:O321" si="194">IF((VLOOKUP($D304,$C$5:$AA$507,13,)=0),0,((VLOOKUP($D304,$C$5:$AA$507,13,)/VLOOKUP($D304,$C$5:$AA$507,4,))*$F304))</f>
        <v>0</v>
      </c>
      <c r="P304" s="32">
        <f t="shared" ref="P304:P321" si="195">IF((VLOOKUP($D304,$C$5:$AA$507,14,)=0),0,((VLOOKUP($D304,$C$5:$AA$507,14,)/VLOOKUP($D304,$C$5:$AA$507,4,))*$F304))</f>
        <v>0</v>
      </c>
      <c r="Q304" s="32"/>
      <c r="R304" s="32">
        <f t="shared" ref="R304:R321" si="196">IF((VLOOKUP($D304,$C$5:$AA$507,16,)=0),0,((VLOOKUP($D304,$C$5:$AA$507,16,)/VLOOKUP($D304,$C$5:$AA$507,4,))*$F304))</f>
        <v>0</v>
      </c>
      <c r="S304" s="32">
        <f t="shared" ref="S304:S321" si="197">IF((VLOOKUP($D304,$C$5:$AA$507,17,)=0),0,((VLOOKUP($D304,$C$5:$AA$507,17,)/VLOOKUP($D304,$C$5:$AA$507,4,))*$F304))</f>
        <v>0</v>
      </c>
      <c r="T304" s="32"/>
      <c r="U304" s="32">
        <f t="shared" ref="U304:U321" si="198">IF((VLOOKUP($D304,$C$5:$AA$507,19,)=0),0,((VLOOKUP($D304,$C$5:$AA$507,19,)/VLOOKUP($D304,$C$5:$AA$507,4,))*$F304))</f>
        <v>0</v>
      </c>
      <c r="V304" s="32"/>
      <c r="W304" s="32">
        <f t="shared" ref="W304:W321" si="199">IF((VLOOKUP($D304,$C$5:$AA$507,21,)=0),0,((VLOOKUP($D304,$C$5:$AA$507,21,)/VLOOKUP($D304,$C$5:$AA$507,4,))*$F304))</f>
        <v>0</v>
      </c>
      <c r="X304" s="32"/>
      <c r="Y304" s="32">
        <f t="shared" ref="Y304:Y321" si="200">IF((VLOOKUP($D304,$C$5:$AA$507,23,)=0),0,((VLOOKUP($D304,$C$5:$AA$507,23,)/VLOOKUP($D304,$C$5:$AA$507,4,))*$F304))</f>
        <v>0</v>
      </c>
      <c r="Z304" s="32"/>
      <c r="AA304" s="32">
        <f t="shared" ref="AA304:AA321" si="201">IF((VLOOKUP($D304,$C$5:$AA$507,25,)=0),0,((VLOOKUP($D304,$C$5:$AA$507,25,)/VLOOKUP($D304,$C$5:$AA$507,4,))*$F304))</f>
        <v>0</v>
      </c>
      <c r="AB304" s="32">
        <f>SUM(H304:AA304)</f>
        <v>0</v>
      </c>
      <c r="AC304" s="14" t="str">
        <f>IF(ABS(AB304-F304)&lt;1,"ok","err")</f>
        <v>ok</v>
      </c>
    </row>
    <row r="305" spans="1:29" ht="12.75" x14ac:dyDescent="0.2">
      <c r="A305" s="2" t="s">
        <v>368</v>
      </c>
      <c r="C305" s="2" t="s">
        <v>414</v>
      </c>
      <c r="D305" s="2" t="s">
        <v>390</v>
      </c>
      <c r="F305" s="32"/>
      <c r="G305" s="32"/>
      <c r="H305" s="32">
        <f t="shared" si="190"/>
        <v>0</v>
      </c>
      <c r="I305" s="32">
        <f t="shared" si="191"/>
        <v>0</v>
      </c>
      <c r="J305" s="32"/>
      <c r="K305" s="32">
        <f t="shared" si="192"/>
        <v>0</v>
      </c>
      <c r="L305" s="32"/>
      <c r="M305" s="32">
        <f t="shared" si="193"/>
        <v>0</v>
      </c>
      <c r="N305" s="32"/>
      <c r="O305" s="32">
        <f t="shared" si="194"/>
        <v>0</v>
      </c>
      <c r="P305" s="32">
        <f t="shared" si="195"/>
        <v>0</v>
      </c>
      <c r="Q305" s="32"/>
      <c r="R305" s="32">
        <f t="shared" si="196"/>
        <v>0</v>
      </c>
      <c r="S305" s="32">
        <f t="shared" si="197"/>
        <v>0</v>
      </c>
      <c r="T305" s="32"/>
      <c r="U305" s="32">
        <f t="shared" si="198"/>
        <v>0</v>
      </c>
      <c r="V305" s="32"/>
      <c r="W305" s="32">
        <f t="shared" si="199"/>
        <v>0</v>
      </c>
      <c r="X305" s="32"/>
      <c r="Y305" s="32">
        <f t="shared" si="200"/>
        <v>0</v>
      </c>
      <c r="Z305" s="32"/>
      <c r="AA305" s="32">
        <f t="shared" si="201"/>
        <v>0</v>
      </c>
      <c r="AB305" s="32">
        <f>SUM(H305:AA305)</f>
        <v>0</v>
      </c>
      <c r="AC305" s="14" t="str">
        <f>IF(ABS(AB305-F305)&lt;1,"ok","err")</f>
        <v>ok</v>
      </c>
    </row>
    <row r="306" spans="1:29" ht="12.75" x14ac:dyDescent="0.2">
      <c r="A306" s="2" t="s">
        <v>426</v>
      </c>
      <c r="C306" s="2" t="s">
        <v>458</v>
      </c>
      <c r="D306" s="2" t="s">
        <v>424</v>
      </c>
      <c r="F306" s="32"/>
      <c r="G306" s="32"/>
      <c r="H306" s="32">
        <f t="shared" si="190"/>
        <v>0</v>
      </c>
      <c r="I306" s="32">
        <f t="shared" si="191"/>
        <v>0</v>
      </c>
      <c r="J306" s="32"/>
      <c r="K306" s="32">
        <f t="shared" si="192"/>
        <v>0</v>
      </c>
      <c r="L306" s="32"/>
      <c r="M306" s="32">
        <f t="shared" si="193"/>
        <v>0</v>
      </c>
      <c r="N306" s="32"/>
      <c r="O306" s="32">
        <f t="shared" si="194"/>
        <v>0</v>
      </c>
      <c r="P306" s="32">
        <f t="shared" si="195"/>
        <v>0</v>
      </c>
      <c r="Q306" s="32"/>
      <c r="R306" s="32">
        <f t="shared" si="196"/>
        <v>0</v>
      </c>
      <c r="S306" s="32">
        <f t="shared" si="197"/>
        <v>0</v>
      </c>
      <c r="T306" s="32"/>
      <c r="U306" s="32">
        <f t="shared" si="198"/>
        <v>0</v>
      </c>
      <c r="V306" s="32"/>
      <c r="W306" s="32">
        <f t="shared" si="199"/>
        <v>0</v>
      </c>
      <c r="X306" s="32"/>
      <c r="Y306" s="32">
        <f t="shared" si="200"/>
        <v>0</v>
      </c>
      <c r="Z306" s="32"/>
      <c r="AA306" s="32">
        <f t="shared" si="201"/>
        <v>0</v>
      </c>
      <c r="AB306" s="32">
        <f t="shared" ref="AB306:AB317" si="202">SUM(H306:AA306)</f>
        <v>0</v>
      </c>
      <c r="AC306" s="14" t="str">
        <f t="shared" ref="AC306:AC317" si="203">IF(ABS(AB306-F306)&lt;1,"ok","err")</f>
        <v>ok</v>
      </c>
    </row>
    <row r="307" spans="1:29" ht="12.75" x14ac:dyDescent="0.2">
      <c r="A307" s="2" t="s">
        <v>427</v>
      </c>
      <c r="C307" s="2" t="s">
        <v>459</v>
      </c>
      <c r="D307" s="2" t="s">
        <v>23</v>
      </c>
      <c r="F307" s="32"/>
      <c r="G307" s="32"/>
      <c r="H307" s="32">
        <f t="shared" si="190"/>
        <v>0</v>
      </c>
      <c r="I307" s="32">
        <f t="shared" si="191"/>
        <v>0</v>
      </c>
      <c r="J307" s="32"/>
      <c r="K307" s="32">
        <f t="shared" si="192"/>
        <v>0</v>
      </c>
      <c r="L307" s="32"/>
      <c r="M307" s="32">
        <f t="shared" si="193"/>
        <v>0</v>
      </c>
      <c r="N307" s="32"/>
      <c r="O307" s="32">
        <f t="shared" si="194"/>
        <v>0</v>
      </c>
      <c r="P307" s="32">
        <f t="shared" si="195"/>
        <v>0</v>
      </c>
      <c r="Q307" s="32"/>
      <c r="R307" s="32">
        <f t="shared" si="196"/>
        <v>0</v>
      </c>
      <c r="S307" s="32">
        <f t="shared" si="197"/>
        <v>0</v>
      </c>
      <c r="T307" s="32"/>
      <c r="U307" s="32">
        <f t="shared" si="198"/>
        <v>0</v>
      </c>
      <c r="V307" s="32"/>
      <c r="W307" s="32">
        <f t="shared" si="199"/>
        <v>0</v>
      </c>
      <c r="X307" s="32"/>
      <c r="Y307" s="32">
        <f t="shared" si="200"/>
        <v>0</v>
      </c>
      <c r="Z307" s="32"/>
      <c r="AA307" s="32">
        <f t="shared" si="201"/>
        <v>0</v>
      </c>
      <c r="AB307" s="32">
        <f t="shared" si="202"/>
        <v>0</v>
      </c>
      <c r="AC307" s="14" t="str">
        <f t="shared" si="203"/>
        <v>ok</v>
      </c>
    </row>
    <row r="308" spans="1:29" ht="12.75" x14ac:dyDescent="0.2">
      <c r="A308" s="2" t="s">
        <v>428</v>
      </c>
      <c r="C308" s="2" t="s">
        <v>460</v>
      </c>
      <c r="D308" s="2" t="s">
        <v>26</v>
      </c>
      <c r="F308" s="32">
        <v>0</v>
      </c>
      <c r="G308" s="32"/>
      <c r="H308" s="32">
        <f t="shared" si="190"/>
        <v>0</v>
      </c>
      <c r="I308" s="32">
        <f t="shared" si="191"/>
        <v>0</v>
      </c>
      <c r="J308" s="32"/>
      <c r="K308" s="32">
        <f t="shared" si="192"/>
        <v>0</v>
      </c>
      <c r="L308" s="32"/>
      <c r="M308" s="32">
        <f t="shared" si="193"/>
        <v>0</v>
      </c>
      <c r="N308" s="32"/>
      <c r="O308" s="32">
        <f t="shared" si="194"/>
        <v>0</v>
      </c>
      <c r="P308" s="32">
        <f t="shared" si="195"/>
        <v>0</v>
      </c>
      <c r="Q308" s="32"/>
      <c r="R308" s="32">
        <f t="shared" si="196"/>
        <v>0</v>
      </c>
      <c r="S308" s="32">
        <f t="shared" si="197"/>
        <v>0</v>
      </c>
      <c r="T308" s="32"/>
      <c r="U308" s="32">
        <f t="shared" si="198"/>
        <v>0</v>
      </c>
      <c r="V308" s="32"/>
      <c r="W308" s="32">
        <f t="shared" si="199"/>
        <v>0</v>
      </c>
      <c r="X308" s="32"/>
      <c r="Y308" s="32">
        <f t="shared" si="200"/>
        <v>0</v>
      </c>
      <c r="Z308" s="32"/>
      <c r="AA308" s="32">
        <f t="shared" si="201"/>
        <v>0</v>
      </c>
      <c r="AB308" s="32">
        <f t="shared" si="202"/>
        <v>0</v>
      </c>
      <c r="AC308" s="14" t="str">
        <f t="shared" si="203"/>
        <v>ok</v>
      </c>
    </row>
    <row r="309" spans="1:29" ht="12.75" x14ac:dyDescent="0.2">
      <c r="A309" s="2" t="s">
        <v>429</v>
      </c>
      <c r="C309" s="2" t="s">
        <v>461</v>
      </c>
      <c r="D309" s="2" t="s">
        <v>29</v>
      </c>
      <c r="F309" s="32">
        <v>0</v>
      </c>
      <c r="G309" s="32"/>
      <c r="H309" s="32">
        <f t="shared" si="190"/>
        <v>0</v>
      </c>
      <c r="I309" s="32">
        <f t="shared" si="191"/>
        <v>0</v>
      </c>
      <c r="J309" s="32"/>
      <c r="K309" s="32">
        <f t="shared" si="192"/>
        <v>0</v>
      </c>
      <c r="L309" s="32"/>
      <c r="M309" s="32">
        <f t="shared" si="193"/>
        <v>0</v>
      </c>
      <c r="N309" s="32"/>
      <c r="O309" s="32">
        <f t="shared" si="194"/>
        <v>0</v>
      </c>
      <c r="P309" s="32">
        <f t="shared" si="195"/>
        <v>0</v>
      </c>
      <c r="Q309" s="32"/>
      <c r="R309" s="32">
        <f t="shared" si="196"/>
        <v>0</v>
      </c>
      <c r="S309" s="32">
        <f t="shared" si="197"/>
        <v>0</v>
      </c>
      <c r="T309" s="32"/>
      <c r="U309" s="32">
        <f t="shared" si="198"/>
        <v>0</v>
      </c>
      <c r="V309" s="32"/>
      <c r="W309" s="32">
        <f t="shared" si="199"/>
        <v>0</v>
      </c>
      <c r="X309" s="32"/>
      <c r="Y309" s="32">
        <f t="shared" si="200"/>
        <v>0</v>
      </c>
      <c r="Z309" s="32"/>
      <c r="AA309" s="32">
        <f t="shared" si="201"/>
        <v>0</v>
      </c>
      <c r="AB309" s="32">
        <f t="shared" si="202"/>
        <v>0</v>
      </c>
      <c r="AC309" s="14" t="str">
        <f t="shared" si="203"/>
        <v>ok</v>
      </c>
    </row>
    <row r="310" spans="1:29" ht="12.75" x14ac:dyDescent="0.2">
      <c r="A310" s="2" t="s">
        <v>447</v>
      </c>
      <c r="C310" s="2" t="s">
        <v>462</v>
      </c>
      <c r="D310" s="2" t="s">
        <v>32</v>
      </c>
      <c r="F310" s="32">
        <v>0</v>
      </c>
      <c r="G310" s="32"/>
      <c r="H310" s="32">
        <f t="shared" si="190"/>
        <v>0</v>
      </c>
      <c r="I310" s="32">
        <f t="shared" si="191"/>
        <v>0</v>
      </c>
      <c r="J310" s="32"/>
      <c r="K310" s="32">
        <f t="shared" si="192"/>
        <v>0</v>
      </c>
      <c r="L310" s="32"/>
      <c r="M310" s="32">
        <f t="shared" si="193"/>
        <v>0</v>
      </c>
      <c r="N310" s="32"/>
      <c r="O310" s="32">
        <f t="shared" si="194"/>
        <v>0</v>
      </c>
      <c r="P310" s="32">
        <f t="shared" si="195"/>
        <v>0</v>
      </c>
      <c r="Q310" s="32"/>
      <c r="R310" s="32">
        <f t="shared" si="196"/>
        <v>0</v>
      </c>
      <c r="S310" s="32">
        <f t="shared" si="197"/>
        <v>0</v>
      </c>
      <c r="T310" s="32"/>
      <c r="U310" s="32">
        <f t="shared" si="198"/>
        <v>0</v>
      </c>
      <c r="V310" s="32"/>
      <c r="W310" s="32">
        <f t="shared" si="199"/>
        <v>0</v>
      </c>
      <c r="X310" s="32"/>
      <c r="Y310" s="32">
        <f t="shared" si="200"/>
        <v>0</v>
      </c>
      <c r="Z310" s="32"/>
      <c r="AA310" s="32">
        <f t="shared" si="201"/>
        <v>0</v>
      </c>
      <c r="AB310" s="32">
        <f t="shared" si="202"/>
        <v>0</v>
      </c>
      <c r="AC310" s="14" t="str">
        <f t="shared" si="203"/>
        <v>ok</v>
      </c>
    </row>
    <row r="311" spans="1:29" ht="12.75" x14ac:dyDescent="0.2">
      <c r="A311" s="2" t="s">
        <v>430</v>
      </c>
      <c r="C311" s="2" t="s">
        <v>463</v>
      </c>
      <c r="D311" s="2" t="s">
        <v>35</v>
      </c>
      <c r="F311" s="32">
        <v>0</v>
      </c>
      <c r="G311" s="32"/>
      <c r="H311" s="32">
        <f t="shared" si="190"/>
        <v>0</v>
      </c>
      <c r="I311" s="32">
        <f t="shared" si="191"/>
        <v>0</v>
      </c>
      <c r="J311" s="32"/>
      <c r="K311" s="32">
        <f t="shared" si="192"/>
        <v>0</v>
      </c>
      <c r="L311" s="32"/>
      <c r="M311" s="32">
        <f t="shared" si="193"/>
        <v>0</v>
      </c>
      <c r="N311" s="32"/>
      <c r="O311" s="32">
        <f t="shared" si="194"/>
        <v>0</v>
      </c>
      <c r="P311" s="32">
        <f t="shared" si="195"/>
        <v>0</v>
      </c>
      <c r="Q311" s="32"/>
      <c r="R311" s="32">
        <f t="shared" si="196"/>
        <v>0</v>
      </c>
      <c r="S311" s="32">
        <f t="shared" si="197"/>
        <v>0</v>
      </c>
      <c r="T311" s="32"/>
      <c r="U311" s="32">
        <f t="shared" si="198"/>
        <v>0</v>
      </c>
      <c r="V311" s="32"/>
      <c r="W311" s="32">
        <f t="shared" si="199"/>
        <v>0</v>
      </c>
      <c r="X311" s="32"/>
      <c r="Y311" s="32">
        <f t="shared" si="200"/>
        <v>0</v>
      </c>
      <c r="Z311" s="32"/>
      <c r="AA311" s="32">
        <f t="shared" si="201"/>
        <v>0</v>
      </c>
      <c r="AB311" s="32">
        <f t="shared" si="202"/>
        <v>0</v>
      </c>
      <c r="AC311" s="14" t="str">
        <f t="shared" si="203"/>
        <v>ok</v>
      </c>
    </row>
    <row r="312" spans="1:29" ht="12.75" x14ac:dyDescent="0.2">
      <c r="A312" s="2" t="s">
        <v>431</v>
      </c>
      <c r="C312" s="2" t="s">
        <v>464</v>
      </c>
      <c r="D312" s="2" t="s">
        <v>37</v>
      </c>
      <c r="F312" s="32">
        <v>0</v>
      </c>
      <c r="G312" s="32"/>
      <c r="H312" s="32">
        <f t="shared" si="190"/>
        <v>0</v>
      </c>
      <c r="I312" s="32">
        <f t="shared" si="191"/>
        <v>0</v>
      </c>
      <c r="J312" s="32"/>
      <c r="K312" s="32">
        <f t="shared" si="192"/>
        <v>0</v>
      </c>
      <c r="L312" s="32"/>
      <c r="M312" s="32">
        <f t="shared" si="193"/>
        <v>0</v>
      </c>
      <c r="N312" s="32"/>
      <c r="O312" s="32">
        <f t="shared" si="194"/>
        <v>0</v>
      </c>
      <c r="P312" s="32">
        <f t="shared" si="195"/>
        <v>0</v>
      </c>
      <c r="Q312" s="32"/>
      <c r="R312" s="32">
        <f t="shared" si="196"/>
        <v>0</v>
      </c>
      <c r="S312" s="32">
        <f t="shared" si="197"/>
        <v>0</v>
      </c>
      <c r="T312" s="32"/>
      <c r="U312" s="32">
        <f t="shared" si="198"/>
        <v>0</v>
      </c>
      <c r="V312" s="32"/>
      <c r="W312" s="32">
        <f t="shared" si="199"/>
        <v>0</v>
      </c>
      <c r="X312" s="32"/>
      <c r="Y312" s="32">
        <f t="shared" si="200"/>
        <v>0</v>
      </c>
      <c r="Z312" s="32"/>
      <c r="AA312" s="32">
        <f t="shared" si="201"/>
        <v>0</v>
      </c>
      <c r="AB312" s="32">
        <f t="shared" si="202"/>
        <v>0</v>
      </c>
      <c r="AC312" s="14" t="str">
        <f t="shared" si="203"/>
        <v>ok</v>
      </c>
    </row>
    <row r="313" spans="1:29" ht="12.75" x14ac:dyDescent="0.2">
      <c r="A313" s="2" t="s">
        <v>432</v>
      </c>
      <c r="C313" s="2" t="s">
        <v>465</v>
      </c>
      <c r="D313" s="2" t="s">
        <v>40</v>
      </c>
      <c r="F313" s="32">
        <v>0</v>
      </c>
      <c r="G313" s="32"/>
      <c r="H313" s="32">
        <f t="shared" si="190"/>
        <v>0</v>
      </c>
      <c r="I313" s="32">
        <f t="shared" si="191"/>
        <v>0</v>
      </c>
      <c r="J313" s="32"/>
      <c r="K313" s="32">
        <f t="shared" si="192"/>
        <v>0</v>
      </c>
      <c r="L313" s="32"/>
      <c r="M313" s="32">
        <f t="shared" si="193"/>
        <v>0</v>
      </c>
      <c r="N313" s="32"/>
      <c r="O313" s="32">
        <f t="shared" si="194"/>
        <v>0</v>
      </c>
      <c r="P313" s="32">
        <f t="shared" si="195"/>
        <v>0</v>
      </c>
      <c r="Q313" s="32"/>
      <c r="R313" s="32">
        <f t="shared" si="196"/>
        <v>0</v>
      </c>
      <c r="S313" s="32">
        <f t="shared" si="197"/>
        <v>0</v>
      </c>
      <c r="T313" s="32"/>
      <c r="U313" s="32">
        <f t="shared" si="198"/>
        <v>0</v>
      </c>
      <c r="V313" s="32"/>
      <c r="W313" s="32">
        <f t="shared" si="199"/>
        <v>0</v>
      </c>
      <c r="X313" s="32"/>
      <c r="Y313" s="32">
        <f t="shared" si="200"/>
        <v>0</v>
      </c>
      <c r="Z313" s="32"/>
      <c r="AA313" s="32">
        <f t="shared" si="201"/>
        <v>0</v>
      </c>
      <c r="AB313" s="32">
        <f t="shared" si="202"/>
        <v>0</v>
      </c>
      <c r="AC313" s="14" t="str">
        <f t="shared" si="203"/>
        <v>ok</v>
      </c>
    </row>
    <row r="314" spans="1:29" ht="12.75" x14ac:dyDescent="0.2">
      <c r="A314" s="2" t="s">
        <v>433</v>
      </c>
      <c r="C314" s="2" t="s">
        <v>466</v>
      </c>
      <c r="D314" s="2" t="s">
        <v>43</v>
      </c>
      <c r="F314" s="32">
        <v>0</v>
      </c>
      <c r="G314" s="32"/>
      <c r="H314" s="32">
        <f t="shared" si="190"/>
        <v>0</v>
      </c>
      <c r="I314" s="32">
        <f t="shared" si="191"/>
        <v>0</v>
      </c>
      <c r="J314" s="32"/>
      <c r="K314" s="32">
        <f t="shared" si="192"/>
        <v>0</v>
      </c>
      <c r="L314" s="32"/>
      <c r="M314" s="32">
        <f t="shared" si="193"/>
        <v>0</v>
      </c>
      <c r="N314" s="32"/>
      <c r="O314" s="32">
        <f t="shared" si="194"/>
        <v>0</v>
      </c>
      <c r="P314" s="32">
        <f t="shared" si="195"/>
        <v>0</v>
      </c>
      <c r="Q314" s="32"/>
      <c r="R314" s="32">
        <f t="shared" si="196"/>
        <v>0</v>
      </c>
      <c r="S314" s="32">
        <f t="shared" si="197"/>
        <v>0</v>
      </c>
      <c r="T314" s="32"/>
      <c r="U314" s="32">
        <f t="shared" si="198"/>
        <v>0</v>
      </c>
      <c r="V314" s="32"/>
      <c r="W314" s="32">
        <f t="shared" si="199"/>
        <v>0</v>
      </c>
      <c r="X314" s="32"/>
      <c r="Y314" s="32">
        <f t="shared" si="200"/>
        <v>0</v>
      </c>
      <c r="Z314" s="32"/>
      <c r="AA314" s="32">
        <f t="shared" si="201"/>
        <v>0</v>
      </c>
      <c r="AB314" s="32">
        <f t="shared" si="202"/>
        <v>0</v>
      </c>
      <c r="AC314" s="14" t="str">
        <f t="shared" si="203"/>
        <v>ok</v>
      </c>
    </row>
    <row r="315" spans="1:29" ht="12.75" x14ac:dyDescent="0.2">
      <c r="A315" s="2" t="s">
        <v>434</v>
      </c>
      <c r="C315" s="2" t="s">
        <v>467</v>
      </c>
      <c r="D315" s="2" t="s">
        <v>46</v>
      </c>
      <c r="F315" s="32">
        <v>0</v>
      </c>
      <c r="G315" s="32"/>
      <c r="H315" s="32">
        <f t="shared" si="190"/>
        <v>0</v>
      </c>
      <c r="I315" s="32">
        <f t="shared" si="191"/>
        <v>0</v>
      </c>
      <c r="J315" s="32"/>
      <c r="K315" s="32">
        <f t="shared" si="192"/>
        <v>0</v>
      </c>
      <c r="L315" s="32"/>
      <c r="M315" s="32">
        <f t="shared" si="193"/>
        <v>0</v>
      </c>
      <c r="N315" s="32"/>
      <c r="O315" s="32">
        <f t="shared" si="194"/>
        <v>0</v>
      </c>
      <c r="P315" s="32">
        <f t="shared" si="195"/>
        <v>0</v>
      </c>
      <c r="Q315" s="32"/>
      <c r="R315" s="32">
        <f t="shared" si="196"/>
        <v>0</v>
      </c>
      <c r="S315" s="32">
        <f t="shared" si="197"/>
        <v>0</v>
      </c>
      <c r="T315" s="32"/>
      <c r="U315" s="32">
        <f t="shared" si="198"/>
        <v>0</v>
      </c>
      <c r="V315" s="32"/>
      <c r="W315" s="32">
        <f t="shared" si="199"/>
        <v>0</v>
      </c>
      <c r="X315" s="32"/>
      <c r="Y315" s="32">
        <f t="shared" si="200"/>
        <v>0</v>
      </c>
      <c r="Z315" s="32"/>
      <c r="AA315" s="32">
        <f t="shared" si="201"/>
        <v>0</v>
      </c>
      <c r="AB315" s="32">
        <f t="shared" si="202"/>
        <v>0</v>
      </c>
      <c r="AC315" s="14" t="str">
        <f t="shared" si="203"/>
        <v>ok</v>
      </c>
    </row>
    <row r="316" spans="1:29" ht="12.75" x14ac:dyDescent="0.2">
      <c r="A316" s="2" t="s">
        <v>435</v>
      </c>
      <c r="C316" s="2" t="s">
        <v>468</v>
      </c>
      <c r="D316" s="2" t="s">
        <v>48</v>
      </c>
      <c r="F316" s="32">
        <v>0</v>
      </c>
      <c r="G316" s="32"/>
      <c r="H316" s="32">
        <f t="shared" si="190"/>
        <v>0</v>
      </c>
      <c r="I316" s="32">
        <f t="shared" si="191"/>
        <v>0</v>
      </c>
      <c r="J316" s="32"/>
      <c r="K316" s="32">
        <f t="shared" si="192"/>
        <v>0</v>
      </c>
      <c r="L316" s="32"/>
      <c r="M316" s="32">
        <f t="shared" si="193"/>
        <v>0</v>
      </c>
      <c r="N316" s="32"/>
      <c r="O316" s="32">
        <f t="shared" si="194"/>
        <v>0</v>
      </c>
      <c r="P316" s="32">
        <f t="shared" si="195"/>
        <v>0</v>
      </c>
      <c r="Q316" s="32"/>
      <c r="R316" s="32">
        <f t="shared" si="196"/>
        <v>0</v>
      </c>
      <c r="S316" s="32">
        <f t="shared" si="197"/>
        <v>0</v>
      </c>
      <c r="T316" s="32"/>
      <c r="U316" s="32">
        <f t="shared" si="198"/>
        <v>0</v>
      </c>
      <c r="V316" s="32"/>
      <c r="W316" s="32">
        <f t="shared" si="199"/>
        <v>0</v>
      </c>
      <c r="X316" s="32"/>
      <c r="Y316" s="32">
        <f t="shared" si="200"/>
        <v>0</v>
      </c>
      <c r="Z316" s="32"/>
      <c r="AA316" s="32">
        <f t="shared" si="201"/>
        <v>0</v>
      </c>
      <c r="AB316" s="32">
        <f t="shared" si="202"/>
        <v>0</v>
      </c>
      <c r="AC316" s="14" t="str">
        <f t="shared" si="203"/>
        <v>ok</v>
      </c>
    </row>
    <row r="317" spans="1:29" ht="12.75" x14ac:dyDescent="0.2">
      <c r="A317" s="2" t="s">
        <v>579</v>
      </c>
      <c r="C317" s="2" t="s">
        <v>469</v>
      </c>
      <c r="D317" s="2" t="s">
        <v>16</v>
      </c>
      <c r="F317" s="32">
        <v>3862768.16</v>
      </c>
      <c r="G317" s="32"/>
      <c r="H317" s="32">
        <f t="shared" si="190"/>
        <v>0</v>
      </c>
      <c r="I317" s="32">
        <f t="shared" si="191"/>
        <v>0</v>
      </c>
      <c r="J317" s="32"/>
      <c r="K317" s="32">
        <f t="shared" si="192"/>
        <v>0</v>
      </c>
      <c r="L317" s="32"/>
      <c r="M317" s="32">
        <f t="shared" si="193"/>
        <v>1410.0657732312916</v>
      </c>
      <c r="N317" s="32"/>
      <c r="O317" s="32">
        <f t="shared" si="194"/>
        <v>2053048.8967289226</v>
      </c>
      <c r="P317" s="32">
        <f t="shared" si="195"/>
        <v>1058031.7169894248</v>
      </c>
      <c r="Q317" s="32"/>
      <c r="R317" s="32">
        <f t="shared" si="196"/>
        <v>0</v>
      </c>
      <c r="S317" s="32">
        <f t="shared" si="197"/>
        <v>384175.08975193975</v>
      </c>
      <c r="T317" s="32"/>
      <c r="U317" s="32">
        <f t="shared" si="198"/>
        <v>216518.56980266774</v>
      </c>
      <c r="V317" s="32"/>
      <c r="W317" s="32">
        <f t="shared" si="199"/>
        <v>149583.82095381388</v>
      </c>
      <c r="X317" s="32"/>
      <c r="Y317" s="32">
        <f t="shared" si="200"/>
        <v>0</v>
      </c>
      <c r="Z317" s="32"/>
      <c r="AA317" s="32">
        <f t="shared" si="201"/>
        <v>0</v>
      </c>
      <c r="AB317" s="32">
        <f t="shared" si="202"/>
        <v>3862768.16</v>
      </c>
      <c r="AC317" s="14" t="str">
        <f t="shared" si="203"/>
        <v>ok</v>
      </c>
    </row>
    <row r="318" spans="1:29" ht="12.75" x14ac:dyDescent="0.2">
      <c r="A318" s="2" t="s">
        <v>81</v>
      </c>
      <c r="C318" s="2" t="s">
        <v>415</v>
      </c>
      <c r="D318" s="2" t="s">
        <v>70</v>
      </c>
      <c r="F318" s="32">
        <v>217935.01</v>
      </c>
      <c r="G318" s="32"/>
      <c r="H318" s="32">
        <f t="shared" si="190"/>
        <v>0</v>
      </c>
      <c r="I318" s="32">
        <f t="shared" si="191"/>
        <v>0</v>
      </c>
      <c r="J318" s="32"/>
      <c r="K318" s="32">
        <f t="shared" si="192"/>
        <v>0</v>
      </c>
      <c r="L318" s="32"/>
      <c r="M318" s="32">
        <f t="shared" si="193"/>
        <v>79.555045931055659</v>
      </c>
      <c r="N318" s="32"/>
      <c r="O318" s="32">
        <f t="shared" si="194"/>
        <v>115831.75932544365</v>
      </c>
      <c r="P318" s="32">
        <f t="shared" si="195"/>
        <v>59693.500430636144</v>
      </c>
      <c r="Q318" s="32"/>
      <c r="R318" s="32">
        <f t="shared" si="196"/>
        <v>0</v>
      </c>
      <c r="S318" s="32">
        <f t="shared" si="197"/>
        <v>21674.922894373216</v>
      </c>
      <c r="T318" s="32"/>
      <c r="U318" s="32">
        <f t="shared" si="198"/>
        <v>12215.844886515297</v>
      </c>
      <c r="V318" s="32"/>
      <c r="W318" s="32">
        <f t="shared" si="199"/>
        <v>8439.4274171007055</v>
      </c>
      <c r="X318" s="32"/>
      <c r="Y318" s="32">
        <f t="shared" si="200"/>
        <v>0</v>
      </c>
      <c r="Z318" s="32"/>
      <c r="AA318" s="32">
        <f t="shared" si="201"/>
        <v>0</v>
      </c>
      <c r="AB318" s="32">
        <f>SUM(H318:AA318)</f>
        <v>217935.01000000007</v>
      </c>
      <c r="AC318" s="14" t="str">
        <f>IF(ABS(AB318-F318)&lt;1,"ok","err")</f>
        <v>ok</v>
      </c>
    </row>
    <row r="319" spans="1:29" ht="12.75" x14ac:dyDescent="0.2">
      <c r="A319" s="2" t="s">
        <v>737</v>
      </c>
      <c r="C319" s="2" t="s">
        <v>415</v>
      </c>
      <c r="D319" s="2" t="s">
        <v>70</v>
      </c>
      <c r="F319" s="32"/>
      <c r="G319" s="32"/>
      <c r="H319" s="32">
        <f t="shared" si="190"/>
        <v>0</v>
      </c>
      <c r="I319" s="32">
        <f t="shared" si="191"/>
        <v>0</v>
      </c>
      <c r="J319" s="32"/>
      <c r="K319" s="32">
        <f t="shared" si="192"/>
        <v>0</v>
      </c>
      <c r="L319" s="32"/>
      <c r="M319" s="32">
        <f t="shared" si="193"/>
        <v>0</v>
      </c>
      <c r="N319" s="32"/>
      <c r="O319" s="32">
        <f t="shared" si="194"/>
        <v>0</v>
      </c>
      <c r="P319" s="32">
        <f t="shared" si="195"/>
        <v>0</v>
      </c>
      <c r="Q319" s="32"/>
      <c r="R319" s="32">
        <f t="shared" si="196"/>
        <v>0</v>
      </c>
      <c r="S319" s="32">
        <f t="shared" si="197"/>
        <v>0</v>
      </c>
      <c r="T319" s="32"/>
      <c r="U319" s="32">
        <f t="shared" si="198"/>
        <v>0</v>
      </c>
      <c r="V319" s="32"/>
      <c r="W319" s="32">
        <f t="shared" si="199"/>
        <v>0</v>
      </c>
      <c r="X319" s="32"/>
      <c r="Y319" s="32">
        <f t="shared" si="200"/>
        <v>0</v>
      </c>
      <c r="Z319" s="32"/>
      <c r="AA319" s="32">
        <f t="shared" si="201"/>
        <v>0</v>
      </c>
      <c r="AB319" s="32">
        <f>SUM(H319:AA319)</f>
        <v>0</v>
      </c>
      <c r="AC319" s="14" t="str">
        <f>IF(ABS(AB319-F319)&lt;1,"ok","err")</f>
        <v>ok</v>
      </c>
    </row>
    <row r="320" spans="1:29" ht="12.75" x14ac:dyDescent="0.2">
      <c r="A320" s="2" t="s">
        <v>974</v>
      </c>
      <c r="C320" s="2" t="s">
        <v>416</v>
      </c>
      <c r="D320" s="2" t="s">
        <v>392</v>
      </c>
      <c r="F320" s="32"/>
      <c r="G320" s="32"/>
      <c r="H320" s="32">
        <f t="shared" si="190"/>
        <v>0</v>
      </c>
      <c r="I320" s="32">
        <f t="shared" si="191"/>
        <v>0</v>
      </c>
      <c r="J320" s="32"/>
      <c r="K320" s="32">
        <f t="shared" si="192"/>
        <v>0</v>
      </c>
      <c r="L320" s="32"/>
      <c r="M320" s="32">
        <f t="shared" si="193"/>
        <v>0</v>
      </c>
      <c r="N320" s="32"/>
      <c r="O320" s="32">
        <f t="shared" si="194"/>
        <v>0</v>
      </c>
      <c r="P320" s="32">
        <f t="shared" si="195"/>
        <v>0</v>
      </c>
      <c r="Q320" s="32"/>
      <c r="R320" s="32">
        <f t="shared" si="196"/>
        <v>0</v>
      </c>
      <c r="S320" s="32">
        <f t="shared" si="197"/>
        <v>0</v>
      </c>
      <c r="T320" s="32"/>
      <c r="U320" s="32">
        <f t="shared" si="198"/>
        <v>0</v>
      </c>
      <c r="V320" s="32"/>
      <c r="W320" s="32">
        <f t="shared" si="199"/>
        <v>0</v>
      </c>
      <c r="X320" s="32"/>
      <c r="Y320" s="32">
        <f t="shared" si="200"/>
        <v>0</v>
      </c>
      <c r="Z320" s="32"/>
      <c r="AA320" s="32">
        <f t="shared" si="201"/>
        <v>0</v>
      </c>
      <c r="AB320" s="32">
        <f>SUM(H320:AA320)</f>
        <v>0</v>
      </c>
      <c r="AC320" s="14" t="str">
        <f>IF(ABS(AB320-F320)&lt;1,"ok","err")</f>
        <v>ok</v>
      </c>
    </row>
    <row r="321" spans="1:29" ht="12.75" x14ac:dyDescent="0.2">
      <c r="A321" s="2" t="s">
        <v>388</v>
      </c>
      <c r="C321" s="2" t="s">
        <v>417</v>
      </c>
      <c r="D321" s="2" t="s">
        <v>16</v>
      </c>
      <c r="F321" s="32"/>
      <c r="G321" s="32"/>
      <c r="H321" s="32">
        <f t="shared" si="190"/>
        <v>0</v>
      </c>
      <c r="I321" s="32">
        <f t="shared" si="191"/>
        <v>0</v>
      </c>
      <c r="J321" s="32"/>
      <c r="K321" s="32">
        <f t="shared" si="192"/>
        <v>0</v>
      </c>
      <c r="L321" s="32"/>
      <c r="M321" s="32">
        <f t="shared" si="193"/>
        <v>0</v>
      </c>
      <c r="N321" s="32"/>
      <c r="O321" s="32">
        <f t="shared" si="194"/>
        <v>0</v>
      </c>
      <c r="P321" s="32">
        <f t="shared" si="195"/>
        <v>0</v>
      </c>
      <c r="Q321" s="32"/>
      <c r="R321" s="32">
        <f t="shared" si="196"/>
        <v>0</v>
      </c>
      <c r="S321" s="32">
        <f t="shared" si="197"/>
        <v>0</v>
      </c>
      <c r="T321" s="32"/>
      <c r="U321" s="32">
        <f t="shared" si="198"/>
        <v>0</v>
      </c>
      <c r="V321" s="32"/>
      <c r="W321" s="32">
        <f t="shared" si="199"/>
        <v>0</v>
      </c>
      <c r="X321" s="32"/>
      <c r="Y321" s="32">
        <f t="shared" si="200"/>
        <v>0</v>
      </c>
      <c r="Z321" s="32"/>
      <c r="AA321" s="32">
        <f t="shared" si="201"/>
        <v>0</v>
      </c>
      <c r="AB321" s="32">
        <f>SUM(H321:AA321)</f>
        <v>0</v>
      </c>
      <c r="AC321" s="14" t="str">
        <f>IF(ABS(AB321-F321)&lt;1,"ok","err")</f>
        <v>ok</v>
      </c>
    </row>
    <row r="322" spans="1:29" ht="12.75" x14ac:dyDescent="0.2">
      <c r="F322" s="32"/>
      <c r="G322" s="32"/>
      <c r="AC322" s="14"/>
    </row>
    <row r="323" spans="1:29" ht="12.75" x14ac:dyDescent="0.2">
      <c r="A323" s="2" t="s">
        <v>186</v>
      </c>
      <c r="C323" s="2" t="s">
        <v>187</v>
      </c>
      <c r="F323" s="45">
        <f>SUM(F304:F322)</f>
        <v>4080703.17</v>
      </c>
      <c r="G323" s="45"/>
      <c r="H323" s="32">
        <f>SUM(H304:H322)</f>
        <v>0</v>
      </c>
      <c r="I323" s="32">
        <f>SUM(I304:I322)</f>
        <v>0</v>
      </c>
      <c r="J323" s="32"/>
      <c r="K323" s="32">
        <f>SUM(K304:K322)</f>
        <v>0</v>
      </c>
      <c r="M323" s="32">
        <f>SUM(M304:M322)</f>
        <v>1489.6208191623473</v>
      </c>
      <c r="O323" s="32">
        <f>SUM(O304:O322)</f>
        <v>2168880.6560543664</v>
      </c>
      <c r="P323" s="32">
        <f>SUM(P304:P322)</f>
        <v>1117725.2174200609</v>
      </c>
      <c r="R323" s="32">
        <f>SUM(R304:R322)</f>
        <v>0</v>
      </c>
      <c r="S323" s="32">
        <f>SUM(S304:S322)</f>
        <v>405850.01264631294</v>
      </c>
      <c r="U323" s="32">
        <f>SUM(U304:U322)</f>
        <v>228734.41468918303</v>
      </c>
      <c r="W323" s="32">
        <f>SUM(W304:W322)</f>
        <v>158023.24837091457</v>
      </c>
      <c r="Y323" s="32">
        <f>SUM(Y304:Y322)</f>
        <v>0</v>
      </c>
      <c r="AA323" s="32">
        <f>SUM(AA304:AA322)</f>
        <v>0</v>
      </c>
      <c r="AB323" s="32">
        <f>SUM(H323:AA323)</f>
        <v>4080703.1700000009</v>
      </c>
      <c r="AC323" s="14" t="str">
        <f>IF(ABS(AB323-F323)&lt;1,"ok","err")</f>
        <v>ok</v>
      </c>
    </row>
    <row r="324" spans="1:29" ht="12.75" x14ac:dyDescent="0.2">
      <c r="B324" s="69"/>
      <c r="F324" s="32"/>
      <c r="G324" s="32"/>
      <c r="AC324" s="14"/>
    </row>
    <row r="325" spans="1:29" ht="12.75" x14ac:dyDescent="0.2">
      <c r="A325" s="2" t="s">
        <v>188</v>
      </c>
      <c r="C325" s="2" t="s">
        <v>189</v>
      </c>
      <c r="D325" s="2" t="s">
        <v>84</v>
      </c>
      <c r="F325" s="45">
        <v>849647</v>
      </c>
      <c r="G325" s="45"/>
      <c r="H325" s="32">
        <f>IF(VLOOKUP($D325,$C$5:$AA$507,6,)=0,0,((VLOOKUP($D325,$C$5:$AA$507,6,)/VLOOKUP($D325,$C$5:$AA$507,4,))*$F325))</f>
        <v>14696.237398439023</v>
      </c>
      <c r="I325" s="32">
        <f>IF(VLOOKUP($D325,$C$5:$AA$507,7,)=0,0,((VLOOKUP($D325,$C$5:$AA$507,7,)/VLOOKUP($D325,$C$5:$AA$507,4,))*$F325))</f>
        <v>0</v>
      </c>
      <c r="J325" s="32"/>
      <c r="K325" s="32">
        <f>IF(VLOOKUP($D325,$C$5:$AA$507,9,)=0,0,((VLOOKUP($D325,$C$5:$AA$507,9,)/VLOOKUP($D325,$C$5:$AA$507,4,))*$F325))</f>
        <v>0</v>
      </c>
      <c r="L325" s="32"/>
      <c r="M325" s="32">
        <f>IF(VLOOKUP($D325,$C$5:$AA$507,11,)=0,0,((VLOOKUP($D325,$C$5:$AA$507,11,)/VLOOKUP($D325,$C$5:$AA$507,4,))*$F325))</f>
        <v>304.79061748241872</v>
      </c>
      <c r="N325" s="32"/>
      <c r="O325" s="32">
        <f>IF(VLOOKUP($D325,$C$5:$AA$507,13,)=0,0,((VLOOKUP($D325,$C$5:$AA$507,13,)/VLOOKUP($D325,$C$5:$AA$507,4,))*$F325))</f>
        <v>443773.6542754632</v>
      </c>
      <c r="P325" s="32">
        <f>IF(VLOOKUP($D325,$C$5:$AA$507,14,)=0,0,((VLOOKUP($D325,$C$5:$AA$507,14,)/VLOOKUP($D325,$C$5:$AA$507,4,))*$F325))</f>
        <v>228697.23275262763</v>
      </c>
      <c r="Q325" s="32"/>
      <c r="R325" s="32">
        <f>IF(VLOOKUP($D325,$C$5:$AA$507,16,)=0,0,((VLOOKUP($D325,$C$5:$AA$507,16,)/VLOOKUP($D325,$C$5:$AA$507,4,))*$F325))</f>
        <v>0</v>
      </c>
      <c r="S325" s="32">
        <f>IF(VLOOKUP($D325,$C$5:$AA$507,17,)=0,0,((VLOOKUP($D325,$C$5:$AA$507,17,)/VLOOKUP($D325,$C$5:$AA$507,4,))*$F325))</f>
        <v>83040.780827215174</v>
      </c>
      <c r="T325" s="32"/>
      <c r="U325" s="32">
        <f>IF(VLOOKUP($D325,$C$5:$AA$507,19,)=0,0,((VLOOKUP($D325,$C$5:$AA$507,19,)/VLOOKUP($D325,$C$5:$AA$507,4,))*$F325))</f>
        <v>46801.241360065651</v>
      </c>
      <c r="V325" s="32"/>
      <c r="W325" s="32">
        <f>IF(VLOOKUP($D325,$C$5:$AA$507,21,)=0,0,((VLOOKUP($D325,$C$5:$AA$507,21,)/VLOOKUP($D325,$C$5:$AA$507,4,))*$F325))</f>
        <v>32333.062768706848</v>
      </c>
      <c r="X325" s="32"/>
      <c r="Y325" s="32">
        <f>IF(VLOOKUP($D325,$C$5:$AA$507,23,)=0,0,((VLOOKUP($D325,$C$5:$AA$507,23,)/VLOOKUP($D325,$C$5:$AA$507,4,))*$F325))</f>
        <v>0</v>
      </c>
      <c r="Z325" s="32"/>
      <c r="AA325" s="32">
        <f>IF(VLOOKUP($D325,$C$5:$AA$507,25,)=0,0,((VLOOKUP($D325,$C$5:$AA$507,25,)/VLOOKUP($D325,$C$5:$AA$507,4,))*$F325))</f>
        <v>0</v>
      </c>
      <c r="AB325" s="32">
        <f>SUM(H325:AA325)</f>
        <v>849646.99999999988</v>
      </c>
      <c r="AC325" s="14" t="str">
        <f>IF(ABS(AB325-F325)&lt;1,"ok","err")</f>
        <v>ok</v>
      </c>
    </row>
    <row r="326" spans="1:29" ht="12.75" x14ac:dyDescent="0.2">
      <c r="F326" s="2"/>
      <c r="AC326" s="14"/>
    </row>
    <row r="327" spans="1:29" ht="12.75" x14ac:dyDescent="0.2">
      <c r="A327" s="2" t="s">
        <v>310</v>
      </c>
      <c r="C327" s="2" t="s">
        <v>190</v>
      </c>
      <c r="D327" s="2" t="s">
        <v>84</v>
      </c>
      <c r="F327" s="45">
        <v>52771</v>
      </c>
      <c r="G327" s="45"/>
      <c r="H327" s="32">
        <f>IF(VLOOKUP($D327,$C$5:$AA$507,6,)=0,0,((VLOOKUP($D327,$C$5:$AA$507,6,)/VLOOKUP($D327,$C$5:$AA$507,4,))*$F327))</f>
        <v>912.77335617382948</v>
      </c>
      <c r="I327" s="32">
        <f>IF(VLOOKUP($D327,$C$5:$AA$507,7,)=0,0,((VLOOKUP($D327,$C$5:$AA$507,7,)/VLOOKUP($D327,$C$5:$AA$507,4,))*$F327))</f>
        <v>0</v>
      </c>
      <c r="J327" s="32"/>
      <c r="K327" s="32">
        <f>IF(VLOOKUP($D327,$C$5:$AA$507,9,)=0,0,((VLOOKUP($D327,$C$5:$AA$507,9,)/VLOOKUP($D327,$C$5:$AA$507,4,))*$F327))</f>
        <v>0</v>
      </c>
      <c r="L327" s="32"/>
      <c r="M327" s="32">
        <f>IF(VLOOKUP($D327,$C$5:$AA$507,11,)=0,0,((VLOOKUP($D327,$C$5:$AA$507,11,)/VLOOKUP($D327,$C$5:$AA$507,4,))*$F327))</f>
        <v>18.93033892329958</v>
      </c>
      <c r="N327" s="32"/>
      <c r="O327" s="32">
        <f>IF(VLOOKUP($D327,$C$5:$AA$507,13,)=0,0,((VLOOKUP($D327,$C$5:$AA$507,13,)/VLOOKUP($D327,$C$5:$AA$507,4,))*$F327))</f>
        <v>27562.481253709444</v>
      </c>
      <c r="P327" s="32">
        <f>IF(VLOOKUP($D327,$C$5:$AA$507,14,)=0,0,((VLOOKUP($D327,$C$5:$AA$507,14,)/VLOOKUP($D327,$C$5:$AA$507,4,))*$F327))</f>
        <v>14204.230309280103</v>
      </c>
      <c r="Q327" s="32"/>
      <c r="R327" s="32">
        <f>IF(VLOOKUP($D327,$C$5:$AA$507,16,)=0,0,((VLOOKUP($D327,$C$5:$AA$507,16,)/VLOOKUP($D327,$C$5:$AA$507,4,))*$F327))</f>
        <v>0</v>
      </c>
      <c r="S327" s="32">
        <f>IF(VLOOKUP($D327,$C$5:$AA$507,17,)=0,0,((VLOOKUP($D327,$C$5:$AA$507,17,)/VLOOKUP($D327,$C$5:$AA$507,4,))*$F327))</f>
        <v>5157.606682578732</v>
      </c>
      <c r="T327" s="32"/>
      <c r="U327" s="32">
        <f>IF(VLOOKUP($D327,$C$5:$AA$507,19,)=0,0,((VLOOKUP($D327,$C$5:$AA$507,19,)/VLOOKUP($D327,$C$5:$AA$507,4,))*$F327))</f>
        <v>2906.7934186927332</v>
      </c>
      <c r="V327" s="32"/>
      <c r="W327" s="32">
        <f>IF(VLOOKUP($D327,$C$5:$AA$507,21,)=0,0,((VLOOKUP($D327,$C$5:$AA$507,21,)/VLOOKUP($D327,$C$5:$AA$507,4,))*$F327))</f>
        <v>2008.1846406418538</v>
      </c>
      <c r="X327" s="32"/>
      <c r="Y327" s="32">
        <f>IF(VLOOKUP($D327,$C$5:$AA$507,23,)=0,0,((VLOOKUP($D327,$C$5:$AA$507,23,)/VLOOKUP($D327,$C$5:$AA$507,4,))*$F327))</f>
        <v>0</v>
      </c>
      <c r="Z327" s="32"/>
      <c r="AA327" s="32">
        <f>IF(VLOOKUP($D327,$C$5:$AA$507,25,)=0,0,((VLOOKUP($D327,$C$5:$AA$507,25,)/VLOOKUP($D327,$C$5:$AA$507,4,))*$F327))</f>
        <v>0</v>
      </c>
      <c r="AB327" s="32">
        <f>SUM(H327:AA327)</f>
        <v>52771</v>
      </c>
      <c r="AC327" s="14" t="str">
        <f>IF(ABS(AB327-F327)&lt;1,"ok","err")</f>
        <v>ok</v>
      </c>
    </row>
    <row r="328" spans="1:29" ht="12.75" x14ac:dyDescent="0.2">
      <c r="F328" s="2"/>
      <c r="Q328" s="2"/>
    </row>
    <row r="329" spans="1:29" ht="12.75" x14ac:dyDescent="0.2">
      <c r="A329" s="2" t="s">
        <v>191</v>
      </c>
      <c r="C329" s="2" t="s">
        <v>192</v>
      </c>
      <c r="D329" s="2" t="s">
        <v>84</v>
      </c>
      <c r="F329" s="45">
        <v>2413130</v>
      </c>
      <c r="G329" s="45"/>
      <c r="H329" s="32">
        <f>IF(VLOOKUP($D329,$C$5:$AA$507,6,)=0,0,((VLOOKUP($D329,$C$5:$AA$507,6,)/VLOOKUP($D329,$C$5:$AA$507,4,))*$F329))</f>
        <v>41739.606393355309</v>
      </c>
      <c r="I329" s="32">
        <f>IF(VLOOKUP($D329,$C$5:$AA$507,7,)=0,0,((VLOOKUP($D329,$C$5:$AA$507,7,)/VLOOKUP($D329,$C$5:$AA$507,4,))*$F329))</f>
        <v>0</v>
      </c>
      <c r="J329" s="32"/>
      <c r="K329" s="32">
        <f>IF(VLOOKUP($D329,$C$5:$AA$507,9,)=0,0,((VLOOKUP($D329,$C$5:$AA$507,9,)/VLOOKUP($D329,$C$5:$AA$507,4,))*$F329))</f>
        <v>0</v>
      </c>
      <c r="L329" s="32"/>
      <c r="M329" s="32">
        <f>IF(VLOOKUP($D329,$C$5:$AA$507,11,)=0,0,((VLOOKUP($D329,$C$5:$AA$507,11,)/VLOOKUP($D329,$C$5:$AA$507,4,))*$F329))</f>
        <v>865.65289204263547</v>
      </c>
      <c r="N329" s="32"/>
      <c r="O329" s="32">
        <f>IF(VLOOKUP($D329,$C$5:$AA$507,13,)=0,0,((VLOOKUP($D329,$C$5:$AA$507,13,)/VLOOKUP($D329,$C$5:$AA$507,4,))*$F329))</f>
        <v>1260386.3938103099</v>
      </c>
      <c r="P329" s="32">
        <f>IF(VLOOKUP($D329,$C$5:$AA$507,14,)=0,0,((VLOOKUP($D329,$C$5:$AA$507,14,)/VLOOKUP($D329,$C$5:$AA$507,4,))*$F329))</f>
        <v>649535.81107489148</v>
      </c>
      <c r="Q329" s="32"/>
      <c r="R329" s="32">
        <f>IF(VLOOKUP($D329,$C$5:$AA$507,16,)=0,0,((VLOOKUP($D329,$C$5:$AA$507,16,)/VLOOKUP($D329,$C$5:$AA$507,4,))*$F329))</f>
        <v>0</v>
      </c>
      <c r="S329" s="32">
        <f>IF(VLOOKUP($D329,$C$5:$AA$507,17,)=0,0,((VLOOKUP($D329,$C$5:$AA$507,17,)/VLOOKUP($D329,$C$5:$AA$507,4,))*$F329))</f>
        <v>235848.76947435553</v>
      </c>
      <c r="T329" s="32"/>
      <c r="U329" s="32">
        <f>IF(VLOOKUP($D329,$C$5:$AA$507,19,)=0,0,((VLOOKUP($D329,$C$5:$AA$507,19,)/VLOOKUP($D329,$C$5:$AA$507,4,))*$F329))</f>
        <v>132922.8250829053</v>
      </c>
      <c r="V329" s="32"/>
      <c r="W329" s="32">
        <f>IF(VLOOKUP($D329,$C$5:$AA$507,21,)=0,0,((VLOOKUP($D329,$C$5:$AA$507,21,)/VLOOKUP($D329,$C$5:$AA$507,4,))*$F329))</f>
        <v>91830.941272139549</v>
      </c>
      <c r="X329" s="32"/>
      <c r="Y329" s="32">
        <f>IF(VLOOKUP($D329,$C$5:$AA$507,23,)=0,0,((VLOOKUP($D329,$C$5:$AA$507,23,)/VLOOKUP($D329,$C$5:$AA$507,4,))*$F329))</f>
        <v>0</v>
      </c>
      <c r="Z329" s="32"/>
      <c r="AA329" s="32">
        <f>IF(VLOOKUP($D329,$C$5:$AA$507,25,)=0,0,((VLOOKUP($D329,$C$5:$AA$507,25,)/VLOOKUP($D329,$C$5:$AA$507,4,))*$F329))</f>
        <v>0</v>
      </c>
      <c r="AB329" s="32">
        <f>SUM(H329:AA329)</f>
        <v>2413129.9999999995</v>
      </c>
      <c r="AC329" s="14" t="str">
        <f>IF(ABS(AB329-F329)&lt;1,"ok","err")</f>
        <v>ok</v>
      </c>
    </row>
    <row r="330" spans="1:29" ht="12.75" x14ac:dyDescent="0.2">
      <c r="F330" s="2"/>
      <c r="AC330" s="14"/>
    </row>
    <row r="331" spans="1:29" ht="12.75" x14ac:dyDescent="0.2">
      <c r="A331" s="2" t="s">
        <v>193</v>
      </c>
      <c r="C331" s="2" t="s">
        <v>194</v>
      </c>
      <c r="D331" s="2" t="s">
        <v>84</v>
      </c>
      <c r="F331" s="45">
        <v>96409</v>
      </c>
      <c r="G331" s="45"/>
      <c r="H331" s="32">
        <f>IF(VLOOKUP($D331,$C$5:$AA$507,6,)=0,0,((VLOOKUP($D331,$C$5:$AA$507,6,)/VLOOKUP($D331,$C$5:$AA$507,4,))*$F331))</f>
        <v>1667.5743589350727</v>
      </c>
      <c r="I331" s="32">
        <f>IF(VLOOKUP($D331,$C$5:$AA$507,7,)=0,0,((VLOOKUP($D331,$C$5:$AA$507,7,)/VLOOKUP($D331,$C$5:$AA$507,4,))*$F331))</f>
        <v>0</v>
      </c>
      <c r="J331" s="32"/>
      <c r="K331" s="32">
        <f>IF(VLOOKUP($D331,$C$5:$AA$507,9,)=0,0,((VLOOKUP($D331,$C$5:$AA$507,9,)/VLOOKUP($D331,$C$5:$AA$507,4,))*$F331))</f>
        <v>0</v>
      </c>
      <c r="L331" s="32"/>
      <c r="M331" s="32">
        <f>IF(VLOOKUP($D331,$C$5:$AA$507,11,)=0,0,((VLOOKUP($D331,$C$5:$AA$507,11,)/VLOOKUP($D331,$C$5:$AA$507,4,))*$F331))</f>
        <v>34.584431700297309</v>
      </c>
      <c r="N331" s="32"/>
      <c r="O331" s="32">
        <f>IF(VLOOKUP($D331,$C$5:$AA$507,13,)=0,0,((VLOOKUP($D331,$C$5:$AA$507,13,)/VLOOKUP($D331,$C$5:$AA$507,4,))*$F331))</f>
        <v>50354.76407854454</v>
      </c>
      <c r="P331" s="32">
        <f>IF(VLOOKUP($D331,$C$5:$AA$507,14,)=0,0,((VLOOKUP($D331,$C$5:$AA$507,14,)/VLOOKUP($D331,$C$5:$AA$507,4,))*$F331))</f>
        <v>25950.155196744148</v>
      </c>
      <c r="Q331" s="32"/>
      <c r="R331" s="32">
        <f>IF(VLOOKUP($D331,$C$5:$AA$507,16,)=0,0,((VLOOKUP($D331,$C$5:$AA$507,16,)/VLOOKUP($D331,$C$5:$AA$507,4,))*$F331))</f>
        <v>0</v>
      </c>
      <c r="S331" s="32">
        <f>IF(VLOOKUP($D331,$C$5:$AA$507,17,)=0,0,((VLOOKUP($D331,$C$5:$AA$507,17,)/VLOOKUP($D331,$C$5:$AA$507,4,))*$F331))</f>
        <v>9422.5938993146428</v>
      </c>
      <c r="T331" s="32"/>
      <c r="U331" s="32">
        <f>IF(VLOOKUP($D331,$C$5:$AA$507,19,)=0,0,((VLOOKUP($D331,$C$5:$AA$507,19,)/VLOOKUP($D331,$C$5:$AA$507,4,))*$F331))</f>
        <v>5310.5123401631145</v>
      </c>
      <c r="V331" s="32"/>
      <c r="W331" s="32">
        <f>IF(VLOOKUP($D331,$C$5:$AA$507,21,)=0,0,((VLOOKUP($D331,$C$5:$AA$507,21,)/VLOOKUP($D331,$C$5:$AA$507,4,))*$F331))</f>
        <v>3668.8156945981782</v>
      </c>
      <c r="X331" s="32"/>
      <c r="Y331" s="32">
        <f>IF(VLOOKUP($D331,$C$5:$AA$507,23,)=0,0,((VLOOKUP($D331,$C$5:$AA$507,23,)/VLOOKUP($D331,$C$5:$AA$507,4,))*$F331))</f>
        <v>0</v>
      </c>
      <c r="Z331" s="32"/>
      <c r="AA331" s="32">
        <f>IF(VLOOKUP($D331,$C$5:$AA$507,25,)=0,0,((VLOOKUP($D331,$C$5:$AA$507,25,)/VLOOKUP($D331,$C$5:$AA$507,4,))*$F331))</f>
        <v>0</v>
      </c>
      <c r="AB331" s="32">
        <f>SUM(H331:AA331)</f>
        <v>96408.999999999985</v>
      </c>
      <c r="AC331" s="14" t="str">
        <f>IF(ABS(AB331-F331)&lt;1,"ok","err")</f>
        <v>ok</v>
      </c>
    </row>
    <row r="332" spans="1:29" x14ac:dyDescent="0.25"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14"/>
    </row>
    <row r="333" spans="1:29" ht="12.75" x14ac:dyDescent="0.2">
      <c r="A333" s="2" t="s">
        <v>1013</v>
      </c>
      <c r="C333" s="2" t="s">
        <v>1014</v>
      </c>
      <c r="D333" s="2" t="s">
        <v>84</v>
      </c>
      <c r="F333" s="45">
        <v>3543</v>
      </c>
      <c r="G333" s="45"/>
      <c r="H333" s="32">
        <f>IF(VLOOKUP($D333,$C$5:$AA$507,6,)=0,0,((VLOOKUP($D333,$C$5:$AA$507,6,)/VLOOKUP($D333,$C$5:$AA$507,4,))*$F333))</f>
        <v>61.282825811977744</v>
      </c>
      <c r="I333" s="32">
        <f>IF(VLOOKUP($D333,$C$5:$AA$507,7,)=0,0,((VLOOKUP($D333,$C$5:$AA$507,7,)/VLOOKUP($D333,$C$5:$AA$507,4,))*$F333))</f>
        <v>0</v>
      </c>
      <c r="J333" s="32"/>
      <c r="K333" s="32">
        <f>IF(VLOOKUP($D333,$C$5:$AA$507,9,)=0,0,((VLOOKUP($D333,$C$5:$AA$507,9,)/VLOOKUP($D333,$C$5:$AA$507,4,))*$F333))</f>
        <v>0</v>
      </c>
      <c r="L333" s="32"/>
      <c r="M333" s="32">
        <f>IF(VLOOKUP($D333,$C$5:$AA$507,11,)=0,0,((VLOOKUP($D333,$C$5:$AA$507,11,)/VLOOKUP($D333,$C$5:$AA$507,4,))*$F333))</f>
        <v>1.2709668341560785</v>
      </c>
      <c r="N333" s="32"/>
      <c r="O333" s="32">
        <f>IF(VLOOKUP($D333,$C$5:$AA$507,13,)=0,0,((VLOOKUP($D333,$C$5:$AA$507,13,)/VLOOKUP($D333,$C$5:$AA$507,4,))*$F333))</f>
        <v>1850.5215190519898</v>
      </c>
      <c r="P333" s="32">
        <f>IF(VLOOKUP($D333,$C$5:$AA$507,14,)=0,0,((VLOOKUP($D333,$C$5:$AA$507,14,)/VLOOKUP($D333,$C$5:$AA$507,4,))*$F333))</f>
        <v>953.65992658428695</v>
      </c>
      <c r="Q333" s="32"/>
      <c r="R333" s="32">
        <f>IF(VLOOKUP($D333,$C$5:$AA$507,16,)=0,0,((VLOOKUP($D333,$C$5:$AA$507,16,)/VLOOKUP($D333,$C$5:$AA$507,4,))*$F333))</f>
        <v>0</v>
      </c>
      <c r="S333" s="32">
        <f>IF(VLOOKUP($D333,$C$5:$AA$507,17,)=0,0,((VLOOKUP($D333,$C$5:$AA$507,17,)/VLOOKUP($D333,$C$5:$AA$507,4,))*$F333))</f>
        <v>346.27732042933519</v>
      </c>
      <c r="T333" s="32"/>
      <c r="U333" s="32">
        <f>IF(VLOOKUP($D333,$C$5:$AA$507,19,)=0,0,((VLOOKUP($D333,$C$5:$AA$507,19,)/VLOOKUP($D333,$C$5:$AA$507,4,))*$F333))</f>
        <v>195.15963469383473</v>
      </c>
      <c r="V333" s="32"/>
      <c r="W333" s="32">
        <f>IF(VLOOKUP($D333,$C$5:$AA$507,21,)=0,0,((VLOOKUP($D333,$C$5:$AA$507,21,)/VLOOKUP($D333,$C$5:$AA$507,4,))*$F333))</f>
        <v>134.82780659441906</v>
      </c>
      <c r="X333" s="32"/>
      <c r="Y333" s="32">
        <f>IF(VLOOKUP($D333,$C$5:$AA$507,23,)=0,0,((VLOOKUP($D333,$C$5:$AA$507,23,)/VLOOKUP($D333,$C$5:$AA$507,4,))*$F333))</f>
        <v>0</v>
      </c>
      <c r="Z333" s="32"/>
      <c r="AA333" s="32">
        <f>IF(VLOOKUP($D333,$C$5:$AA$507,25,)=0,0,((VLOOKUP($D333,$C$5:$AA$507,25,)/VLOOKUP($D333,$C$5:$AA$507,4,))*$F333))</f>
        <v>0</v>
      </c>
      <c r="AB333" s="32">
        <f>SUM(H333:AA333)</f>
        <v>3542.9999999999995</v>
      </c>
      <c r="AC333" s="14" t="str">
        <f>IF(ABS(AB333-F333)&lt;1,"ok","err")</f>
        <v>ok</v>
      </c>
    </row>
    <row r="334" spans="1:29" x14ac:dyDescent="0.25"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14"/>
    </row>
    <row r="335" spans="1:29" ht="12.75" hidden="1" x14ac:dyDescent="0.2">
      <c r="A335" s="2" t="s">
        <v>829</v>
      </c>
      <c r="C335" s="2" t="s">
        <v>830</v>
      </c>
      <c r="D335" s="2" t="s">
        <v>84</v>
      </c>
      <c r="F335" s="45">
        <v>0</v>
      </c>
      <c r="G335" s="45"/>
      <c r="H335" s="32">
        <f>IF(VLOOKUP($D335,$C$5:$AA$507,6,)=0,0,((VLOOKUP($D335,$C$5:$AA$507,6,)/VLOOKUP($D335,$C$5:$AA$507,4,))*$F335))</f>
        <v>0</v>
      </c>
      <c r="I335" s="32">
        <f>IF(VLOOKUP($D335,$C$5:$AA$507,7,)=0,0,((VLOOKUP($D335,$C$5:$AA$507,7,)/VLOOKUP($D335,$C$5:$AA$507,4,))*$F335))</f>
        <v>0</v>
      </c>
      <c r="J335" s="32"/>
      <c r="K335" s="32">
        <f>IF(VLOOKUP($D335,$C$5:$AA$507,9,)=0,0,((VLOOKUP($D335,$C$5:$AA$507,9,)/VLOOKUP($D335,$C$5:$AA$507,4,))*$F335))</f>
        <v>0</v>
      </c>
      <c r="L335" s="32"/>
      <c r="M335" s="32">
        <f>IF(VLOOKUP($D335,$C$5:$AA$507,11,)=0,0,((VLOOKUP($D335,$C$5:$AA$507,11,)/VLOOKUP($D335,$C$5:$AA$507,4,))*$F335))</f>
        <v>0</v>
      </c>
      <c r="N335" s="32"/>
      <c r="O335" s="32">
        <f>IF(VLOOKUP($D335,$C$5:$AA$507,13,)=0,0,((VLOOKUP($D335,$C$5:$AA$507,13,)/VLOOKUP($D335,$C$5:$AA$507,4,))*$F335))</f>
        <v>0</v>
      </c>
      <c r="P335" s="32">
        <f>IF(VLOOKUP($D335,$C$5:$AA$507,14,)=0,0,((VLOOKUP($D335,$C$5:$AA$507,14,)/VLOOKUP($D335,$C$5:$AA$507,4,))*$F335))</f>
        <v>0</v>
      </c>
      <c r="Q335" s="32"/>
      <c r="R335" s="32">
        <f>IF(VLOOKUP($D335,$C$5:$AA$507,16,)=0,0,((VLOOKUP($D335,$C$5:$AA$507,16,)/VLOOKUP($D335,$C$5:$AA$507,4,))*$F335))</f>
        <v>0</v>
      </c>
      <c r="S335" s="32">
        <f>IF(VLOOKUP($D335,$C$5:$AA$507,17,)=0,0,((VLOOKUP($D335,$C$5:$AA$507,17,)/VLOOKUP($D335,$C$5:$AA$507,4,))*$F335))</f>
        <v>0</v>
      </c>
      <c r="T335" s="32"/>
      <c r="U335" s="32">
        <f>IF(VLOOKUP($D335,$C$5:$AA$507,19,)=0,0,((VLOOKUP($D335,$C$5:$AA$507,19,)/VLOOKUP($D335,$C$5:$AA$507,4,))*$F335))</f>
        <v>0</v>
      </c>
      <c r="V335" s="32"/>
      <c r="W335" s="32">
        <f>IF(VLOOKUP($D335,$C$5:$AA$507,21,)=0,0,((VLOOKUP($D335,$C$5:$AA$507,21,)/VLOOKUP($D335,$C$5:$AA$507,4,))*$F335))</f>
        <v>0</v>
      </c>
      <c r="X335" s="32"/>
      <c r="Y335" s="32">
        <f>IF(VLOOKUP($D335,$C$5:$AA$507,23,)=0,0,((VLOOKUP($D335,$C$5:$AA$507,23,)/VLOOKUP($D335,$C$5:$AA$507,4,))*$F335))</f>
        <v>0</v>
      </c>
      <c r="Z335" s="32"/>
      <c r="AA335" s="32">
        <f>IF(VLOOKUP($D335,$C$5:$AA$507,25,)=0,0,((VLOOKUP($D335,$C$5:$AA$507,25,)/VLOOKUP($D335,$C$5:$AA$507,4,))*$F335))</f>
        <v>0</v>
      </c>
      <c r="AB335" s="32">
        <f>SUM(H335:AA335)</f>
        <v>0</v>
      </c>
      <c r="AC335" s="14" t="str">
        <f>IF(ABS(AB335-F335)&lt;1,"ok","err")</f>
        <v>ok</v>
      </c>
    </row>
    <row r="336" spans="1:29" hidden="1" x14ac:dyDescent="0.25">
      <c r="AC336" s="14"/>
    </row>
    <row r="337" spans="1:29" ht="12.75" hidden="1" x14ac:dyDescent="0.2">
      <c r="A337" s="2" t="s">
        <v>195</v>
      </c>
      <c r="C337" s="2" t="s">
        <v>196</v>
      </c>
      <c r="D337" s="2" t="s">
        <v>84</v>
      </c>
      <c r="F337" s="45">
        <v>0</v>
      </c>
      <c r="G337" s="45"/>
      <c r="H337" s="32">
        <f>IF(VLOOKUP($D337,$C$5:$AA$507,6,)=0,0,((VLOOKUP($D337,$C$5:$AA$507,6,)/VLOOKUP($D337,$C$5:$AA$507,4,))*$F337))</f>
        <v>0</v>
      </c>
      <c r="I337" s="32">
        <f>IF(VLOOKUP($D337,$C$5:$AA$507,7,)=0,0,((VLOOKUP($D337,$C$5:$AA$507,7,)/VLOOKUP($D337,$C$5:$AA$507,4,))*$F337))</f>
        <v>0</v>
      </c>
      <c r="J337" s="32"/>
      <c r="K337" s="32">
        <f>IF(VLOOKUP($D337,$C$5:$AA$507,9,)=0,0,((VLOOKUP($D337,$C$5:$AA$507,9,)/VLOOKUP($D337,$C$5:$AA$507,4,))*$F337))</f>
        <v>0</v>
      </c>
      <c r="L337" s="32"/>
      <c r="M337" s="32">
        <f>IF(VLOOKUP($D337,$C$5:$AA$507,11,)=0,0,((VLOOKUP($D337,$C$5:$AA$507,11,)/VLOOKUP($D337,$C$5:$AA$507,4,))*$F337))</f>
        <v>0</v>
      </c>
      <c r="N337" s="32"/>
      <c r="O337" s="32">
        <f>IF(VLOOKUP($D337,$C$5:$AA$507,13,)=0,0,((VLOOKUP($D337,$C$5:$AA$507,13,)/VLOOKUP($D337,$C$5:$AA$507,4,))*$F337))</f>
        <v>0</v>
      </c>
      <c r="P337" s="32">
        <f>IF(VLOOKUP($D337,$C$5:$AA$507,14,)=0,0,((VLOOKUP($D337,$C$5:$AA$507,14,)/VLOOKUP($D337,$C$5:$AA$507,4,))*$F337))</f>
        <v>0</v>
      </c>
      <c r="Q337" s="32"/>
      <c r="R337" s="32">
        <f>IF(VLOOKUP($D337,$C$5:$AA$507,16,)=0,0,((VLOOKUP($D337,$C$5:$AA$507,16,)/VLOOKUP($D337,$C$5:$AA$507,4,))*$F337))</f>
        <v>0</v>
      </c>
      <c r="S337" s="32">
        <f>IF(VLOOKUP($D337,$C$5:$AA$507,17,)=0,0,((VLOOKUP($D337,$C$5:$AA$507,17,)/VLOOKUP($D337,$C$5:$AA$507,4,))*$F337))</f>
        <v>0</v>
      </c>
      <c r="T337" s="32"/>
      <c r="U337" s="32">
        <f>IF(VLOOKUP($D337,$C$5:$AA$507,19,)=0,0,((VLOOKUP($D337,$C$5:$AA$507,19,)/VLOOKUP($D337,$C$5:$AA$507,4,))*$F337))</f>
        <v>0</v>
      </c>
      <c r="V337" s="32"/>
      <c r="W337" s="32">
        <f>IF(VLOOKUP($D337,$C$5:$AA$507,21,)=0,0,((VLOOKUP($D337,$C$5:$AA$507,21,)/VLOOKUP($D337,$C$5:$AA$507,4,))*$F337))</f>
        <v>0</v>
      </c>
      <c r="X337" s="32"/>
      <c r="Y337" s="32">
        <f>IF(VLOOKUP($D337,$C$5:$AA$507,23,)=0,0,((VLOOKUP($D337,$C$5:$AA$507,23,)/VLOOKUP($D337,$C$5:$AA$507,4,))*$F337))</f>
        <v>0</v>
      </c>
      <c r="Z337" s="32"/>
      <c r="AA337" s="32">
        <f>IF(VLOOKUP($D337,$C$5:$AA$507,25,)=0,0,((VLOOKUP($D337,$C$5:$AA$507,25,)/VLOOKUP($D337,$C$5:$AA$507,4,))*$F337))</f>
        <v>0</v>
      </c>
      <c r="AB337" s="32">
        <f>SUM(H337:AA337)</f>
        <v>0</v>
      </c>
      <c r="AC337" s="14" t="str">
        <f>IF(ABS(AB337-F337)&lt;1,"ok","err")</f>
        <v>ok</v>
      </c>
    </row>
    <row r="338" spans="1:29" hidden="1" x14ac:dyDescent="0.25">
      <c r="AB338" s="32"/>
      <c r="AC338" s="14"/>
    </row>
    <row r="339" spans="1:29" ht="12.75" x14ac:dyDescent="0.2">
      <c r="A339" s="1" t="s">
        <v>197</v>
      </c>
      <c r="C339" s="2" t="s">
        <v>198</v>
      </c>
      <c r="F339" s="69">
        <f>SUM(F323:F337)</f>
        <v>7496203.1699999999</v>
      </c>
      <c r="G339" s="69"/>
      <c r="H339" s="69">
        <f>SUM(H323:H337)</f>
        <v>59077.474332715217</v>
      </c>
      <c r="I339" s="69">
        <f>SUM(I323:I337)</f>
        <v>0</v>
      </c>
      <c r="J339" s="69"/>
      <c r="K339" s="69">
        <f>SUM(K323:K337)</f>
        <v>0</v>
      </c>
      <c r="L339" s="69"/>
      <c r="M339" s="69">
        <f>SUM(M323:M337)</f>
        <v>2714.8500661451549</v>
      </c>
      <c r="N339" s="69"/>
      <c r="O339" s="69">
        <f>SUM(O323:O337)</f>
        <v>3952808.4709914452</v>
      </c>
      <c r="P339" s="69">
        <f>SUM(P323:P337)</f>
        <v>2037066.3066801885</v>
      </c>
      <c r="Q339" s="69">
        <f>SUM(Q323:Q337)</f>
        <v>0</v>
      </c>
      <c r="R339" s="69">
        <f>SUM(R323:R337)</f>
        <v>0</v>
      </c>
      <c r="S339" s="69">
        <f>SUM(S323:S337)</f>
        <v>739666.04085020639</v>
      </c>
      <c r="T339" s="69">
        <f>T323+T325+T327+T329+T333+T337</f>
        <v>0</v>
      </c>
      <c r="U339" s="69">
        <f>SUM(U323:U337)</f>
        <v>416870.94652570365</v>
      </c>
      <c r="V339" s="69">
        <f>V323+V325+V327+V329+V333+V337</f>
        <v>0</v>
      </c>
      <c r="W339" s="69">
        <f>SUM(W323:W337)</f>
        <v>287999.08055359544</v>
      </c>
      <c r="X339" s="69">
        <f>X323+X325+X327+X329+X333+X337</f>
        <v>0</v>
      </c>
      <c r="Y339" s="69">
        <f>SUM(Y323:Y337)</f>
        <v>0</v>
      </c>
      <c r="Z339" s="69">
        <f>Z323+Z325+Z327+Z329+Z333+Z337</f>
        <v>0</v>
      </c>
      <c r="AA339" s="69">
        <f>SUM(AA323:AA337)</f>
        <v>0</v>
      </c>
      <c r="AB339" s="32">
        <f>SUM(H339:AA339)</f>
        <v>7496203.1699999981</v>
      </c>
      <c r="AC339" s="14" t="str">
        <f>IF(ABS(AB339-F339)&lt;1,"ok","err")</f>
        <v>ok</v>
      </c>
    </row>
    <row r="340" spans="1:29" x14ac:dyDescent="0.25">
      <c r="AC340" s="14"/>
    </row>
    <row r="341" spans="1:29" ht="12.75" x14ac:dyDescent="0.2">
      <c r="A341" s="1" t="s">
        <v>389</v>
      </c>
      <c r="F341" s="69">
        <f>F296+F339</f>
        <v>60066715.589999996</v>
      </c>
      <c r="G341" s="69"/>
      <c r="H341" s="69">
        <f>H296+H339</f>
        <v>12178958.786905892</v>
      </c>
      <c r="I341" s="69">
        <f>I296+I339</f>
        <v>30449263.092405669</v>
      </c>
      <c r="J341" s="69"/>
      <c r="K341" s="69">
        <f>K296+K339</f>
        <v>0</v>
      </c>
      <c r="L341" s="69"/>
      <c r="M341" s="69">
        <f>M296+M339</f>
        <v>3289.5885675532904</v>
      </c>
      <c r="N341" s="69"/>
      <c r="O341" s="69">
        <f t="shared" ref="O341:AA341" si="204">O296+O339</f>
        <v>9270266.5639039744</v>
      </c>
      <c r="P341" s="69">
        <f t="shared" si="204"/>
        <v>3792222.4081521337</v>
      </c>
      <c r="Q341" s="69">
        <f t="shared" si="204"/>
        <v>0</v>
      </c>
      <c r="R341" s="69">
        <f t="shared" si="204"/>
        <v>0</v>
      </c>
      <c r="S341" s="69">
        <f t="shared" si="204"/>
        <v>974932.3021235218</v>
      </c>
      <c r="T341" s="69">
        <f t="shared" si="204"/>
        <v>0</v>
      </c>
      <c r="U341" s="69">
        <f t="shared" si="204"/>
        <v>820188.11888254888</v>
      </c>
      <c r="V341" s="69">
        <f t="shared" si="204"/>
        <v>0</v>
      </c>
      <c r="W341" s="69">
        <f t="shared" si="204"/>
        <v>348968.98899473599</v>
      </c>
      <c r="X341" s="69">
        <f t="shared" si="204"/>
        <v>0</v>
      </c>
      <c r="Y341" s="69">
        <f t="shared" si="204"/>
        <v>2228625.7400639681</v>
      </c>
      <c r="Z341" s="69">
        <f t="shared" si="204"/>
        <v>0</v>
      </c>
      <c r="AA341" s="69">
        <f t="shared" si="204"/>
        <v>0</v>
      </c>
      <c r="AB341" s="32">
        <f>SUM(H341:AA341)</f>
        <v>60066715.589999996</v>
      </c>
      <c r="AC341" s="14" t="str">
        <f>IF(ABS(AB341-F341)&lt;1,"ok","err")</f>
        <v>ok</v>
      </c>
    </row>
    <row r="342" spans="1:29" ht="12.75" x14ac:dyDescent="0.2">
      <c r="F342" s="69"/>
      <c r="G342" s="69"/>
      <c r="AC342" s="14"/>
    </row>
    <row r="343" spans="1:29" ht="12.75" x14ac:dyDescent="0.2">
      <c r="F343" s="69"/>
      <c r="AC343" s="14"/>
    </row>
    <row r="344" spans="1:29" ht="12.75" x14ac:dyDescent="0.2">
      <c r="F344" s="69"/>
      <c r="AC344" s="14"/>
    </row>
    <row r="345" spans="1:29" ht="12.75" x14ac:dyDescent="0.2">
      <c r="A345" s="12" t="s">
        <v>993</v>
      </c>
      <c r="F345" s="69"/>
      <c r="Q345" s="2"/>
      <c r="AC345" s="14"/>
    </row>
    <row r="346" spans="1:29" x14ac:dyDescent="0.25">
      <c r="A346" s="12"/>
      <c r="Q346" s="2"/>
      <c r="AC346" s="14"/>
    </row>
    <row r="347" spans="1:29" x14ac:dyDescent="0.25">
      <c r="A347" s="1" t="s">
        <v>760</v>
      </c>
      <c r="Q347" s="2"/>
      <c r="AC347" s="14"/>
    </row>
    <row r="348" spans="1:29" ht="12.75" x14ac:dyDescent="0.2">
      <c r="A348" s="2">
        <v>500</v>
      </c>
      <c r="B348" s="2" t="s">
        <v>765</v>
      </c>
      <c r="C348" s="2" t="s">
        <v>812</v>
      </c>
      <c r="D348" s="2" t="s">
        <v>754</v>
      </c>
      <c r="F348" s="45">
        <v>0</v>
      </c>
      <c r="G348" s="45"/>
      <c r="H348" s="32">
        <f t="shared" ref="H348:H356" si="205">IF(VLOOKUP($D348,$C$5:$AA$507,6,)=0,0,((VLOOKUP($D348,$C$5:$AA$507,6,)/VLOOKUP($D348,$C$5:$AA$507,4,))*$F348))</f>
        <v>0</v>
      </c>
      <c r="I348" s="32">
        <f t="shared" ref="I348:I356" si="206">IF(VLOOKUP($D348,$C$5:$AA$507,7,)=0,0,((VLOOKUP($D348,$C$5:$AA$507,7,)/VLOOKUP($D348,$C$5:$AA$507,4,))*$F348))</f>
        <v>0</v>
      </c>
      <c r="J348" s="32"/>
      <c r="K348" s="32">
        <f t="shared" ref="K348:K356" si="207">IF(VLOOKUP($D348,$C$5:$AA$507,9,)=0,0,((VLOOKUP($D348,$C$5:$AA$507,9,)/VLOOKUP($D348,$C$5:$AA$507,4,))*$F348))</f>
        <v>0</v>
      </c>
      <c r="L348" s="32"/>
      <c r="M348" s="32">
        <f t="shared" ref="M348:M356" si="208">IF(VLOOKUP($D348,$C$5:$AA$507,11,)=0,0,((VLOOKUP($D348,$C$5:$AA$507,11,)/VLOOKUP($D348,$C$5:$AA$507,4,))*$F348))</f>
        <v>0</v>
      </c>
      <c r="N348" s="32"/>
      <c r="O348" s="32">
        <f t="shared" ref="O348:O356" si="209">IF(VLOOKUP($D348,$C$5:$AA$507,13,)=0,0,((VLOOKUP($D348,$C$5:$AA$507,13,)/VLOOKUP($D348,$C$5:$AA$507,4,))*$F348))</f>
        <v>0</v>
      </c>
      <c r="P348" s="32">
        <f t="shared" ref="P348:P356" si="210">IF(VLOOKUP($D348,$C$5:$AA$507,14,)=0,0,((VLOOKUP($D348,$C$5:$AA$507,14,)/VLOOKUP($D348,$C$5:$AA$507,4,))*$F348))</f>
        <v>0</v>
      </c>
      <c r="Q348" s="32"/>
      <c r="R348" s="32">
        <f t="shared" ref="R348:R356" si="211">IF(VLOOKUP($D348,$C$5:$AA$507,16,)=0,0,((VLOOKUP($D348,$C$5:$AA$507,16,)/VLOOKUP($D348,$C$5:$AA$507,4,))*$F348))</f>
        <v>0</v>
      </c>
      <c r="S348" s="32">
        <f t="shared" ref="S348:S356" si="212">IF(VLOOKUP($D348,$C$5:$AA$507,17,)=0,0,((VLOOKUP($D348,$C$5:$AA$507,17,)/VLOOKUP($D348,$C$5:$AA$507,4,))*$F348))</f>
        <v>0</v>
      </c>
      <c r="T348" s="32"/>
      <c r="U348" s="32">
        <f t="shared" ref="U348:U356" si="213">IF(VLOOKUP($D348,$C$5:$AA$507,19,)=0,0,((VLOOKUP($D348,$C$5:$AA$507,19,)/VLOOKUP($D348,$C$5:$AA$507,4,))*$F348))</f>
        <v>0</v>
      </c>
      <c r="V348" s="32"/>
      <c r="W348" s="32">
        <f t="shared" ref="W348:W356" si="214">IF(VLOOKUP($D348,$C$5:$AA$507,21,)=0,0,((VLOOKUP($D348,$C$5:$AA$507,21,)/VLOOKUP($D348,$C$5:$AA$507,4,))*$F348))</f>
        <v>0</v>
      </c>
      <c r="X348" s="32"/>
      <c r="Y348" s="32">
        <f t="shared" ref="Y348:Y356" si="215">IF(VLOOKUP($D348,$C$5:$AA$507,23,)=0,0,((VLOOKUP($D348,$C$5:$AA$507,23,)/VLOOKUP($D348,$C$5:$AA$507,4,))*$F348))</f>
        <v>0</v>
      </c>
      <c r="Z348" s="32"/>
      <c r="AA348" s="32">
        <f t="shared" ref="AA348:AA356" si="216">IF(VLOOKUP($D348,$C$5:$AA$507,25,)=0,0,((VLOOKUP($D348,$C$5:$AA$507,25,)/VLOOKUP($D348,$C$5:$AA$507,4,))*$F348))</f>
        <v>0</v>
      </c>
      <c r="AB348" s="32">
        <f t="shared" ref="AB348" si="217">SUM(H348:AA348)</f>
        <v>0</v>
      </c>
      <c r="AC348" s="14" t="str">
        <f t="shared" ref="AC348" si="218">IF(ABS(AB348-F348)&lt;1,"ok","err")</f>
        <v>ok</v>
      </c>
    </row>
    <row r="349" spans="1:29" ht="12.75" x14ac:dyDescent="0.2">
      <c r="A349" s="2">
        <v>501</v>
      </c>
      <c r="B349" s="2" t="s">
        <v>766</v>
      </c>
      <c r="C349" s="2" t="s">
        <v>813</v>
      </c>
      <c r="D349" s="2" t="s">
        <v>758</v>
      </c>
      <c r="F349" s="32">
        <v>0</v>
      </c>
      <c r="G349" s="32"/>
      <c r="H349" s="32">
        <f t="shared" si="205"/>
        <v>0</v>
      </c>
      <c r="I349" s="32">
        <f t="shared" si="206"/>
        <v>0</v>
      </c>
      <c r="J349" s="32"/>
      <c r="K349" s="32">
        <f t="shared" si="207"/>
        <v>0</v>
      </c>
      <c r="L349" s="32"/>
      <c r="M349" s="32">
        <f t="shared" si="208"/>
        <v>0</v>
      </c>
      <c r="N349" s="32"/>
      <c r="O349" s="32">
        <f t="shared" si="209"/>
        <v>0</v>
      </c>
      <c r="P349" s="32">
        <f t="shared" si="210"/>
        <v>0</v>
      </c>
      <c r="Q349" s="32"/>
      <c r="R349" s="32">
        <f t="shared" si="211"/>
        <v>0</v>
      </c>
      <c r="S349" s="32">
        <f t="shared" si="212"/>
        <v>0</v>
      </c>
      <c r="T349" s="32"/>
      <c r="U349" s="32">
        <f t="shared" si="213"/>
        <v>0</v>
      </c>
      <c r="V349" s="32"/>
      <c r="W349" s="32">
        <f t="shared" si="214"/>
        <v>0</v>
      </c>
      <c r="X349" s="32"/>
      <c r="Y349" s="32">
        <f t="shared" si="215"/>
        <v>0</v>
      </c>
      <c r="Z349" s="32"/>
      <c r="AA349" s="32">
        <f t="shared" si="216"/>
        <v>0</v>
      </c>
      <c r="AB349" s="32">
        <f t="shared" ref="AB349:AB357" si="219">SUM(H349:AA349)</f>
        <v>0</v>
      </c>
      <c r="AC349" s="14" t="str">
        <f t="shared" ref="AC349:AC357" si="220">IF(ABS(AB349-F349)&lt;1,"ok","err")</f>
        <v>ok</v>
      </c>
    </row>
    <row r="350" spans="1:29" ht="12.75" x14ac:dyDescent="0.2">
      <c r="A350" s="2">
        <v>502</v>
      </c>
      <c r="B350" s="2" t="s">
        <v>767</v>
      </c>
      <c r="C350" s="2" t="s">
        <v>814</v>
      </c>
      <c r="D350" s="2" t="s">
        <v>552</v>
      </c>
      <c r="F350" s="32">
        <v>0</v>
      </c>
      <c r="G350" s="32"/>
      <c r="H350" s="32">
        <f t="shared" si="205"/>
        <v>0</v>
      </c>
      <c r="I350" s="32">
        <f t="shared" si="206"/>
        <v>0</v>
      </c>
      <c r="J350" s="32"/>
      <c r="K350" s="32">
        <f t="shared" si="207"/>
        <v>0</v>
      </c>
      <c r="L350" s="32"/>
      <c r="M350" s="32">
        <f t="shared" si="208"/>
        <v>0</v>
      </c>
      <c r="N350" s="32"/>
      <c r="O350" s="32">
        <f t="shared" si="209"/>
        <v>0</v>
      </c>
      <c r="P350" s="32">
        <f t="shared" si="210"/>
        <v>0</v>
      </c>
      <c r="Q350" s="32"/>
      <c r="R350" s="32">
        <f t="shared" si="211"/>
        <v>0</v>
      </c>
      <c r="S350" s="32">
        <f t="shared" si="212"/>
        <v>0</v>
      </c>
      <c r="T350" s="32"/>
      <c r="U350" s="32">
        <f t="shared" si="213"/>
        <v>0</v>
      </c>
      <c r="V350" s="32"/>
      <c r="W350" s="32">
        <f t="shared" si="214"/>
        <v>0</v>
      </c>
      <c r="X350" s="32"/>
      <c r="Y350" s="32">
        <f t="shared" si="215"/>
        <v>0</v>
      </c>
      <c r="Z350" s="32"/>
      <c r="AA350" s="32">
        <f t="shared" si="216"/>
        <v>0</v>
      </c>
      <c r="AB350" s="32">
        <f t="shared" si="219"/>
        <v>0</v>
      </c>
      <c r="AC350" s="14" t="str">
        <f t="shared" si="220"/>
        <v>ok</v>
      </c>
    </row>
    <row r="351" spans="1:29" ht="12.75" x14ac:dyDescent="0.2">
      <c r="A351" s="2">
        <v>503</v>
      </c>
      <c r="B351" s="2" t="s">
        <v>768</v>
      </c>
      <c r="C351" s="2" t="s">
        <v>815</v>
      </c>
      <c r="D351" s="2" t="s">
        <v>552</v>
      </c>
      <c r="F351" s="32">
        <v>0</v>
      </c>
      <c r="G351" s="32"/>
      <c r="H351" s="32">
        <f t="shared" si="205"/>
        <v>0</v>
      </c>
      <c r="I351" s="32">
        <f t="shared" si="206"/>
        <v>0</v>
      </c>
      <c r="J351" s="32"/>
      <c r="K351" s="32">
        <f t="shared" si="207"/>
        <v>0</v>
      </c>
      <c r="L351" s="32"/>
      <c r="M351" s="32">
        <f t="shared" si="208"/>
        <v>0</v>
      </c>
      <c r="N351" s="32"/>
      <c r="O351" s="32">
        <f t="shared" si="209"/>
        <v>0</v>
      </c>
      <c r="P351" s="32">
        <f t="shared" si="210"/>
        <v>0</v>
      </c>
      <c r="Q351" s="32"/>
      <c r="R351" s="32">
        <f t="shared" si="211"/>
        <v>0</v>
      </c>
      <c r="S351" s="32">
        <f t="shared" si="212"/>
        <v>0</v>
      </c>
      <c r="T351" s="32"/>
      <c r="U351" s="32">
        <f t="shared" si="213"/>
        <v>0</v>
      </c>
      <c r="V351" s="32"/>
      <c r="W351" s="32">
        <f t="shared" si="214"/>
        <v>0</v>
      </c>
      <c r="X351" s="32"/>
      <c r="Y351" s="32">
        <f t="shared" si="215"/>
        <v>0</v>
      </c>
      <c r="Z351" s="32"/>
      <c r="AA351" s="32">
        <f t="shared" si="216"/>
        <v>0</v>
      </c>
      <c r="AB351" s="32">
        <f t="shared" si="219"/>
        <v>0</v>
      </c>
      <c r="AC351" s="14" t="str">
        <f t="shared" si="220"/>
        <v>ok</v>
      </c>
    </row>
    <row r="352" spans="1:29" ht="12.75" x14ac:dyDescent="0.2">
      <c r="A352" s="2">
        <v>504</v>
      </c>
      <c r="B352" s="2" t="s">
        <v>769</v>
      </c>
      <c r="C352" s="2" t="s">
        <v>816</v>
      </c>
      <c r="D352" s="2" t="s">
        <v>552</v>
      </c>
      <c r="F352" s="32">
        <v>0</v>
      </c>
      <c r="G352" s="32"/>
      <c r="H352" s="32">
        <f t="shared" si="205"/>
        <v>0</v>
      </c>
      <c r="I352" s="32">
        <f t="shared" si="206"/>
        <v>0</v>
      </c>
      <c r="J352" s="32"/>
      <c r="K352" s="32">
        <f t="shared" si="207"/>
        <v>0</v>
      </c>
      <c r="L352" s="32"/>
      <c r="M352" s="32">
        <f t="shared" si="208"/>
        <v>0</v>
      </c>
      <c r="N352" s="32"/>
      <c r="O352" s="32">
        <f t="shared" si="209"/>
        <v>0</v>
      </c>
      <c r="P352" s="32">
        <f t="shared" si="210"/>
        <v>0</v>
      </c>
      <c r="Q352" s="32"/>
      <c r="R352" s="32">
        <f t="shared" si="211"/>
        <v>0</v>
      </c>
      <c r="S352" s="32">
        <f t="shared" si="212"/>
        <v>0</v>
      </c>
      <c r="T352" s="32"/>
      <c r="U352" s="32">
        <f t="shared" si="213"/>
        <v>0</v>
      </c>
      <c r="V352" s="32"/>
      <c r="W352" s="32">
        <f t="shared" si="214"/>
        <v>0</v>
      </c>
      <c r="X352" s="32"/>
      <c r="Y352" s="32">
        <f t="shared" si="215"/>
        <v>0</v>
      </c>
      <c r="Z352" s="32"/>
      <c r="AA352" s="32">
        <f t="shared" si="216"/>
        <v>0</v>
      </c>
      <c r="AB352" s="32">
        <f t="shared" si="219"/>
        <v>0</v>
      </c>
      <c r="AC352" s="14" t="str">
        <f t="shared" si="220"/>
        <v>ok</v>
      </c>
    </row>
    <row r="353" spans="1:29" ht="12.75" x14ac:dyDescent="0.2">
      <c r="A353" s="2">
        <v>505</v>
      </c>
      <c r="B353" s="2" t="s">
        <v>770</v>
      </c>
      <c r="C353" s="2" t="s">
        <v>817</v>
      </c>
      <c r="D353" s="2" t="s">
        <v>552</v>
      </c>
      <c r="F353" s="32">
        <v>0</v>
      </c>
      <c r="G353" s="32"/>
      <c r="H353" s="32">
        <f t="shared" si="205"/>
        <v>0</v>
      </c>
      <c r="I353" s="32">
        <f t="shared" si="206"/>
        <v>0</v>
      </c>
      <c r="J353" s="32"/>
      <c r="K353" s="32">
        <f t="shared" si="207"/>
        <v>0</v>
      </c>
      <c r="L353" s="32"/>
      <c r="M353" s="32">
        <f t="shared" si="208"/>
        <v>0</v>
      </c>
      <c r="N353" s="32"/>
      <c r="O353" s="32">
        <f t="shared" si="209"/>
        <v>0</v>
      </c>
      <c r="P353" s="32">
        <f t="shared" si="210"/>
        <v>0</v>
      </c>
      <c r="Q353" s="32"/>
      <c r="R353" s="32">
        <f t="shared" si="211"/>
        <v>0</v>
      </c>
      <c r="S353" s="32">
        <f t="shared" si="212"/>
        <v>0</v>
      </c>
      <c r="T353" s="32"/>
      <c r="U353" s="32">
        <f t="shared" si="213"/>
        <v>0</v>
      </c>
      <c r="V353" s="32"/>
      <c r="W353" s="32">
        <f t="shared" si="214"/>
        <v>0</v>
      </c>
      <c r="X353" s="32"/>
      <c r="Y353" s="32">
        <f t="shared" si="215"/>
        <v>0</v>
      </c>
      <c r="Z353" s="32"/>
      <c r="AA353" s="32">
        <f t="shared" si="216"/>
        <v>0</v>
      </c>
      <c r="AB353" s="32">
        <f t="shared" si="219"/>
        <v>0</v>
      </c>
      <c r="AC353" s="14" t="str">
        <f t="shared" si="220"/>
        <v>ok</v>
      </c>
    </row>
    <row r="354" spans="1:29" ht="12.75" x14ac:dyDescent="0.2">
      <c r="A354" s="2">
        <v>506</v>
      </c>
      <c r="B354" s="2" t="s">
        <v>771</v>
      </c>
      <c r="C354" s="2" t="s">
        <v>818</v>
      </c>
      <c r="D354" s="2" t="s">
        <v>552</v>
      </c>
      <c r="F354" s="32">
        <v>0</v>
      </c>
      <c r="G354" s="32"/>
      <c r="H354" s="32">
        <f t="shared" si="205"/>
        <v>0</v>
      </c>
      <c r="I354" s="32">
        <f t="shared" si="206"/>
        <v>0</v>
      </c>
      <c r="J354" s="32"/>
      <c r="K354" s="32">
        <f t="shared" si="207"/>
        <v>0</v>
      </c>
      <c r="L354" s="32"/>
      <c r="M354" s="32">
        <f t="shared" si="208"/>
        <v>0</v>
      </c>
      <c r="N354" s="32"/>
      <c r="O354" s="32">
        <f t="shared" si="209"/>
        <v>0</v>
      </c>
      <c r="P354" s="32">
        <f t="shared" si="210"/>
        <v>0</v>
      </c>
      <c r="Q354" s="32"/>
      <c r="R354" s="32">
        <f t="shared" si="211"/>
        <v>0</v>
      </c>
      <c r="S354" s="32">
        <f t="shared" si="212"/>
        <v>0</v>
      </c>
      <c r="T354" s="32"/>
      <c r="U354" s="32">
        <f t="shared" si="213"/>
        <v>0</v>
      </c>
      <c r="V354" s="32"/>
      <c r="W354" s="32">
        <f t="shared" si="214"/>
        <v>0</v>
      </c>
      <c r="X354" s="32"/>
      <c r="Y354" s="32">
        <f t="shared" si="215"/>
        <v>0</v>
      </c>
      <c r="Z354" s="32"/>
      <c r="AA354" s="32">
        <f t="shared" si="216"/>
        <v>0</v>
      </c>
      <c r="AB354" s="32">
        <f t="shared" si="219"/>
        <v>0</v>
      </c>
      <c r="AC354" s="14" t="str">
        <f t="shared" si="220"/>
        <v>ok</v>
      </c>
    </row>
    <row r="355" spans="1:29" ht="12.75" x14ac:dyDescent="0.2">
      <c r="A355" s="2">
        <v>507</v>
      </c>
      <c r="B355" s="2" t="s">
        <v>115</v>
      </c>
      <c r="C355" s="2" t="s">
        <v>819</v>
      </c>
      <c r="D355" s="2" t="s">
        <v>552</v>
      </c>
      <c r="E355" s="276"/>
      <c r="F355" s="32">
        <v>0</v>
      </c>
      <c r="G355" s="147">
        <f>552.211760000002*AJ355</f>
        <v>0</v>
      </c>
      <c r="H355" s="32">
        <f t="shared" si="205"/>
        <v>0</v>
      </c>
      <c r="I355" s="32">
        <f t="shared" si="206"/>
        <v>0</v>
      </c>
      <c r="J355" s="147">
        <f>62004.2320799999*AJ355</f>
        <v>0</v>
      </c>
      <c r="K355" s="32">
        <f t="shared" si="207"/>
        <v>0</v>
      </c>
      <c r="L355" s="32"/>
      <c r="M355" s="32">
        <f t="shared" si="208"/>
        <v>0</v>
      </c>
      <c r="N355" s="32"/>
      <c r="O355" s="32">
        <f t="shared" si="209"/>
        <v>0</v>
      </c>
      <c r="P355" s="32">
        <f t="shared" si="210"/>
        <v>0</v>
      </c>
      <c r="Q355" s="32"/>
      <c r="R355" s="32">
        <f t="shared" si="211"/>
        <v>0</v>
      </c>
      <c r="S355" s="32">
        <f t="shared" si="212"/>
        <v>0</v>
      </c>
      <c r="T355" s="32"/>
      <c r="U355" s="32">
        <f t="shared" si="213"/>
        <v>0</v>
      </c>
      <c r="V355" s="32"/>
      <c r="W355" s="32">
        <f t="shared" si="214"/>
        <v>0</v>
      </c>
      <c r="X355" s="32"/>
      <c r="Y355" s="32">
        <f t="shared" si="215"/>
        <v>0</v>
      </c>
      <c r="Z355" s="32"/>
      <c r="AA355" s="32">
        <f t="shared" si="216"/>
        <v>0</v>
      </c>
      <c r="AB355" s="32">
        <f t="shared" si="219"/>
        <v>0</v>
      </c>
      <c r="AC355" s="14" t="str">
        <f t="shared" si="220"/>
        <v>ok</v>
      </c>
    </row>
    <row r="356" spans="1:29" ht="12.75" x14ac:dyDescent="0.2">
      <c r="A356" s="2">
        <v>509</v>
      </c>
      <c r="B356" s="2" t="s">
        <v>772</v>
      </c>
      <c r="C356" s="2" t="s">
        <v>820</v>
      </c>
      <c r="D356" s="2" t="s">
        <v>758</v>
      </c>
      <c r="F356" s="32">
        <v>0</v>
      </c>
      <c r="G356" s="32"/>
      <c r="H356" s="32">
        <f t="shared" si="205"/>
        <v>0</v>
      </c>
      <c r="I356" s="32">
        <f t="shared" si="206"/>
        <v>0</v>
      </c>
      <c r="J356" s="32"/>
      <c r="K356" s="32">
        <f t="shared" si="207"/>
        <v>0</v>
      </c>
      <c r="L356" s="32"/>
      <c r="M356" s="32">
        <f t="shared" si="208"/>
        <v>0</v>
      </c>
      <c r="N356" s="32"/>
      <c r="O356" s="32">
        <f t="shared" si="209"/>
        <v>0</v>
      </c>
      <c r="P356" s="32">
        <f t="shared" si="210"/>
        <v>0</v>
      </c>
      <c r="Q356" s="32"/>
      <c r="R356" s="32">
        <f t="shared" si="211"/>
        <v>0</v>
      </c>
      <c r="S356" s="32">
        <f t="shared" si="212"/>
        <v>0</v>
      </c>
      <c r="T356" s="32"/>
      <c r="U356" s="32">
        <f t="shared" si="213"/>
        <v>0</v>
      </c>
      <c r="V356" s="32"/>
      <c r="W356" s="32">
        <f t="shared" si="214"/>
        <v>0</v>
      </c>
      <c r="X356" s="32"/>
      <c r="Y356" s="32">
        <f t="shared" si="215"/>
        <v>0</v>
      </c>
      <c r="Z356" s="32"/>
      <c r="AA356" s="32">
        <f t="shared" si="216"/>
        <v>0</v>
      </c>
      <c r="AB356" s="32">
        <f t="shared" si="219"/>
        <v>0</v>
      </c>
      <c r="AC356" s="14" t="str">
        <f t="shared" si="220"/>
        <v>ok</v>
      </c>
    </row>
    <row r="357" spans="1:29" x14ac:dyDescent="0.25"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>
        <f t="shared" si="219"/>
        <v>0</v>
      </c>
      <c r="AC357" s="14" t="str">
        <f t="shared" si="220"/>
        <v>ok</v>
      </c>
    </row>
    <row r="358" spans="1:29" ht="12.75" x14ac:dyDescent="0.2">
      <c r="A358" s="2" t="s">
        <v>764</v>
      </c>
      <c r="C358" s="2" t="s">
        <v>821</v>
      </c>
      <c r="F358" s="45">
        <f>SUM(F348:F357)</f>
        <v>0</v>
      </c>
      <c r="G358" s="45"/>
      <c r="H358" s="45">
        <f>SUM(H348:H357)</f>
        <v>0</v>
      </c>
      <c r="I358" s="45">
        <f>SUM(I348:I357)</f>
        <v>0</v>
      </c>
      <c r="J358" s="45"/>
      <c r="K358" s="45">
        <f>SUM(K348:K357)</f>
        <v>0</v>
      </c>
      <c r="L358" s="45"/>
      <c r="M358" s="45">
        <f>SUM(M348:M357)</f>
        <v>0</v>
      </c>
      <c r="N358" s="45"/>
      <c r="O358" s="45">
        <f>SUM(O348:O357)</f>
        <v>0</v>
      </c>
      <c r="P358" s="45">
        <f>SUM(P348:P357)</f>
        <v>0</v>
      </c>
      <c r="Q358" s="45"/>
      <c r="R358" s="45">
        <f>SUM(R348:R357)</f>
        <v>0</v>
      </c>
      <c r="S358" s="45">
        <f>SUM(S348:S357)</f>
        <v>0</v>
      </c>
      <c r="T358" s="45"/>
      <c r="U358" s="45">
        <f>SUM(U348:U357)</f>
        <v>0</v>
      </c>
      <c r="V358" s="45"/>
      <c r="W358" s="45">
        <f>SUM(W348:W357)</f>
        <v>0</v>
      </c>
      <c r="X358" s="45"/>
      <c r="Y358" s="45">
        <f>SUM(Y348:Y357)</f>
        <v>0</v>
      </c>
      <c r="Z358" s="45"/>
      <c r="AA358" s="45">
        <f>SUM(AA348:AA357)</f>
        <v>0</v>
      </c>
      <c r="AB358" s="32">
        <f>SUM(H358:AA358)</f>
        <v>0</v>
      </c>
      <c r="AC358" s="14" t="str">
        <f>IF(ABS(AB358-F358)&lt;1,"ok","err")</f>
        <v>ok</v>
      </c>
    </row>
    <row r="359" spans="1:29" x14ac:dyDescent="0.25">
      <c r="A359" s="1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C359" s="14"/>
    </row>
    <row r="360" spans="1:29" x14ac:dyDescent="0.25">
      <c r="A360" s="1" t="s">
        <v>761</v>
      </c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C360" s="14"/>
    </row>
    <row r="361" spans="1:29" ht="12.75" x14ac:dyDescent="0.2">
      <c r="A361" s="2">
        <v>510</v>
      </c>
      <c r="B361" s="2" t="s">
        <v>773</v>
      </c>
      <c r="C361" s="2" t="s">
        <v>822</v>
      </c>
      <c r="D361" s="2" t="s">
        <v>758</v>
      </c>
      <c r="F361" s="45">
        <v>0</v>
      </c>
      <c r="G361" s="45"/>
      <c r="H361" s="32">
        <f>IF(VLOOKUP($D361,$C$5:$AA$507,6,)=0,0,((VLOOKUP($D361,$C$5:$AA$507,6,)/VLOOKUP($D361,$C$5:$AA$507,4,))*$F361))</f>
        <v>0</v>
      </c>
      <c r="I361" s="32">
        <f>IF(VLOOKUP($D361,$C$5:$AA$507,7,)=0,0,((VLOOKUP($D361,$C$5:$AA$507,7,)/VLOOKUP($D361,$C$5:$AA$507,4,))*$F361))</f>
        <v>0</v>
      </c>
      <c r="J361" s="32"/>
      <c r="K361" s="32">
        <f>IF(VLOOKUP($D361,$C$5:$AA$507,9,)=0,0,((VLOOKUP($D361,$C$5:$AA$507,9,)/VLOOKUP($D361,$C$5:$AA$507,4,))*$F361))</f>
        <v>0</v>
      </c>
      <c r="L361" s="32"/>
      <c r="M361" s="32">
        <f>IF(VLOOKUP($D361,$C$5:$AA$507,11,)=0,0,((VLOOKUP($D361,$C$5:$AA$507,11,)/VLOOKUP($D361,$C$5:$AA$507,4,))*$F361))</f>
        <v>0</v>
      </c>
      <c r="N361" s="32"/>
      <c r="O361" s="32">
        <f>IF(VLOOKUP($D361,$C$5:$AA$507,13,)=0,0,((VLOOKUP($D361,$C$5:$AA$507,13,)/VLOOKUP($D361,$C$5:$AA$507,4,))*$F361))</f>
        <v>0</v>
      </c>
      <c r="P361" s="32">
        <f>IF(VLOOKUP($D361,$C$5:$AA$507,14,)=0,0,((VLOOKUP($D361,$C$5:$AA$507,14,)/VLOOKUP($D361,$C$5:$AA$507,4,))*$F361))</f>
        <v>0</v>
      </c>
      <c r="Q361" s="32"/>
      <c r="R361" s="32">
        <f>IF(VLOOKUP($D361,$C$5:$AA$507,16,)=0,0,((VLOOKUP($D361,$C$5:$AA$507,16,)/VLOOKUP($D361,$C$5:$AA$507,4,))*$F361))</f>
        <v>0</v>
      </c>
      <c r="S361" s="32">
        <f>IF(VLOOKUP($D361,$C$5:$AA$507,17,)=0,0,((VLOOKUP($D361,$C$5:$AA$507,17,)/VLOOKUP($D361,$C$5:$AA$507,4,))*$F361))</f>
        <v>0</v>
      </c>
      <c r="T361" s="32"/>
      <c r="U361" s="32">
        <f>IF(VLOOKUP($D361,$C$5:$AA$507,19,)=0,0,((VLOOKUP($D361,$C$5:$AA$507,19,)/VLOOKUP($D361,$C$5:$AA$507,4,))*$F361))</f>
        <v>0</v>
      </c>
      <c r="V361" s="32"/>
      <c r="W361" s="32">
        <f>IF(VLOOKUP($D361,$C$5:$AA$507,21,)=0,0,((VLOOKUP($D361,$C$5:$AA$507,21,)/VLOOKUP($D361,$C$5:$AA$507,4,))*$F361))</f>
        <v>0</v>
      </c>
      <c r="X361" s="32"/>
      <c r="Y361" s="32">
        <f>IF(VLOOKUP($D361,$C$5:$AA$507,23,)=0,0,((VLOOKUP($D361,$C$5:$AA$507,23,)/VLOOKUP($D361,$C$5:$AA$507,4,))*$F361))</f>
        <v>0</v>
      </c>
      <c r="Z361" s="32"/>
      <c r="AA361" s="32">
        <f>IF(VLOOKUP($D361,$C$5:$AA$507,25,)=0,0,((VLOOKUP($D361,$C$5:$AA$507,25,)/VLOOKUP($D361,$C$5:$AA$507,4,))*$F361))</f>
        <v>0</v>
      </c>
      <c r="AB361" s="32">
        <f>SUM(H361:AA361)</f>
        <v>0</v>
      </c>
      <c r="AC361" s="14" t="str">
        <f>IF(ABS(AB361-F361)&lt;1,"ok","err")</f>
        <v>ok</v>
      </c>
    </row>
    <row r="362" spans="1:29" ht="12.75" x14ac:dyDescent="0.2">
      <c r="A362" s="2">
        <v>511</v>
      </c>
      <c r="B362" s="2" t="s">
        <v>774</v>
      </c>
      <c r="C362" s="2" t="s">
        <v>823</v>
      </c>
      <c r="D362" s="2" t="s">
        <v>552</v>
      </c>
      <c r="F362" s="32">
        <v>0</v>
      </c>
      <c r="G362" s="32"/>
      <c r="H362" s="32">
        <f>IF(VLOOKUP($D362,$C$5:$AA$507,6,)=0,0,((VLOOKUP($D362,$C$5:$AA$507,6,)/VLOOKUP($D362,$C$5:$AA$507,4,))*$F362))</f>
        <v>0</v>
      </c>
      <c r="I362" s="32">
        <f>IF(VLOOKUP($D362,$C$5:$AA$507,7,)=0,0,((VLOOKUP($D362,$C$5:$AA$507,7,)/VLOOKUP($D362,$C$5:$AA$507,4,))*$F362))</f>
        <v>0</v>
      </c>
      <c r="J362" s="32"/>
      <c r="K362" s="32">
        <f>IF(VLOOKUP($D362,$C$5:$AA$507,9,)=0,0,((VLOOKUP($D362,$C$5:$AA$507,9,)/VLOOKUP($D362,$C$5:$AA$507,4,))*$F362))</f>
        <v>0</v>
      </c>
      <c r="L362" s="32"/>
      <c r="M362" s="32">
        <f>IF(VLOOKUP($D362,$C$5:$AA$507,11,)=0,0,((VLOOKUP($D362,$C$5:$AA$507,11,)/VLOOKUP($D362,$C$5:$AA$507,4,))*$F362))</f>
        <v>0</v>
      </c>
      <c r="N362" s="32"/>
      <c r="O362" s="32">
        <f>IF(VLOOKUP($D362,$C$5:$AA$507,13,)=0,0,((VLOOKUP($D362,$C$5:$AA$507,13,)/VLOOKUP($D362,$C$5:$AA$507,4,))*$F362))</f>
        <v>0</v>
      </c>
      <c r="P362" s="32">
        <f>IF(VLOOKUP($D362,$C$5:$AA$507,14,)=0,0,((VLOOKUP($D362,$C$5:$AA$507,14,)/VLOOKUP($D362,$C$5:$AA$507,4,))*$F362))</f>
        <v>0</v>
      </c>
      <c r="Q362" s="32"/>
      <c r="R362" s="32">
        <f>IF(VLOOKUP($D362,$C$5:$AA$507,16,)=0,0,((VLOOKUP($D362,$C$5:$AA$507,16,)/VLOOKUP($D362,$C$5:$AA$507,4,))*$F362))</f>
        <v>0</v>
      </c>
      <c r="S362" s="32">
        <f>IF(VLOOKUP($D362,$C$5:$AA$507,17,)=0,0,((VLOOKUP($D362,$C$5:$AA$507,17,)/VLOOKUP($D362,$C$5:$AA$507,4,))*$F362))</f>
        <v>0</v>
      </c>
      <c r="T362" s="32"/>
      <c r="U362" s="32">
        <f>IF(VLOOKUP($D362,$C$5:$AA$507,19,)=0,0,((VLOOKUP($D362,$C$5:$AA$507,19,)/VLOOKUP($D362,$C$5:$AA$507,4,))*$F362))</f>
        <v>0</v>
      </c>
      <c r="V362" s="32"/>
      <c r="W362" s="32">
        <f>IF(VLOOKUP($D362,$C$5:$AA$507,21,)=0,0,((VLOOKUP($D362,$C$5:$AA$507,21,)/VLOOKUP($D362,$C$5:$AA$507,4,))*$F362))</f>
        <v>0</v>
      </c>
      <c r="X362" s="32"/>
      <c r="Y362" s="32">
        <f>IF(VLOOKUP($D362,$C$5:$AA$507,23,)=0,0,((VLOOKUP($D362,$C$5:$AA$507,23,)/VLOOKUP($D362,$C$5:$AA$507,4,))*$F362))</f>
        <v>0</v>
      </c>
      <c r="Z362" s="32"/>
      <c r="AA362" s="32">
        <f>IF(VLOOKUP($D362,$C$5:$AA$507,25,)=0,0,((VLOOKUP($D362,$C$5:$AA$507,25,)/VLOOKUP($D362,$C$5:$AA$507,4,))*$F362))</f>
        <v>0</v>
      </c>
      <c r="AB362" s="32">
        <f>SUM(H362:AA362)</f>
        <v>0</v>
      </c>
      <c r="AC362" s="14" t="str">
        <f>IF(ABS(AB362-F362)&lt;1,"ok","err")</f>
        <v>ok</v>
      </c>
    </row>
    <row r="363" spans="1:29" ht="12.75" x14ac:dyDescent="0.2">
      <c r="A363" s="2">
        <v>512</v>
      </c>
      <c r="B363" s="2" t="s">
        <v>775</v>
      </c>
      <c r="C363" s="2" t="s">
        <v>824</v>
      </c>
      <c r="D363" s="2" t="s">
        <v>758</v>
      </c>
      <c r="F363" s="32">
        <v>0</v>
      </c>
      <c r="G363" s="32"/>
      <c r="H363" s="32">
        <f>IF(VLOOKUP($D363,$C$5:$AA$507,6,)=0,0,((VLOOKUP($D363,$C$5:$AA$507,6,)/VLOOKUP($D363,$C$5:$AA$507,4,))*$F363))</f>
        <v>0</v>
      </c>
      <c r="I363" s="32">
        <f>IF(VLOOKUP($D363,$C$5:$AA$507,7,)=0,0,((VLOOKUP($D363,$C$5:$AA$507,7,)/VLOOKUP($D363,$C$5:$AA$507,4,))*$F363))</f>
        <v>0</v>
      </c>
      <c r="J363" s="32"/>
      <c r="K363" s="32">
        <f>IF(VLOOKUP($D363,$C$5:$AA$507,9,)=0,0,((VLOOKUP($D363,$C$5:$AA$507,9,)/VLOOKUP($D363,$C$5:$AA$507,4,))*$F363))</f>
        <v>0</v>
      </c>
      <c r="L363" s="32"/>
      <c r="M363" s="32">
        <f>IF(VLOOKUP($D363,$C$5:$AA$507,11,)=0,0,((VLOOKUP($D363,$C$5:$AA$507,11,)/VLOOKUP($D363,$C$5:$AA$507,4,))*$F363))</f>
        <v>0</v>
      </c>
      <c r="N363" s="32"/>
      <c r="O363" s="32">
        <f>IF(VLOOKUP($D363,$C$5:$AA$507,13,)=0,0,((VLOOKUP($D363,$C$5:$AA$507,13,)/VLOOKUP($D363,$C$5:$AA$507,4,))*$F363))</f>
        <v>0</v>
      </c>
      <c r="P363" s="32">
        <f>IF(VLOOKUP($D363,$C$5:$AA$507,14,)=0,0,((VLOOKUP($D363,$C$5:$AA$507,14,)/VLOOKUP($D363,$C$5:$AA$507,4,))*$F363))</f>
        <v>0</v>
      </c>
      <c r="Q363" s="32"/>
      <c r="R363" s="32">
        <f>IF(VLOOKUP($D363,$C$5:$AA$507,16,)=0,0,((VLOOKUP($D363,$C$5:$AA$507,16,)/VLOOKUP($D363,$C$5:$AA$507,4,))*$F363))</f>
        <v>0</v>
      </c>
      <c r="S363" s="32">
        <f>IF(VLOOKUP($D363,$C$5:$AA$507,17,)=0,0,((VLOOKUP($D363,$C$5:$AA$507,17,)/VLOOKUP($D363,$C$5:$AA$507,4,))*$F363))</f>
        <v>0</v>
      </c>
      <c r="T363" s="32"/>
      <c r="U363" s="32">
        <f>IF(VLOOKUP($D363,$C$5:$AA$507,19,)=0,0,((VLOOKUP($D363,$C$5:$AA$507,19,)/VLOOKUP($D363,$C$5:$AA$507,4,))*$F363))</f>
        <v>0</v>
      </c>
      <c r="V363" s="32"/>
      <c r="W363" s="32">
        <f>IF(VLOOKUP($D363,$C$5:$AA$507,21,)=0,0,((VLOOKUP($D363,$C$5:$AA$507,21,)/VLOOKUP($D363,$C$5:$AA$507,4,))*$F363))</f>
        <v>0</v>
      </c>
      <c r="X363" s="32"/>
      <c r="Y363" s="32">
        <f>IF(VLOOKUP($D363,$C$5:$AA$507,23,)=0,0,((VLOOKUP($D363,$C$5:$AA$507,23,)/VLOOKUP($D363,$C$5:$AA$507,4,))*$F363))</f>
        <v>0</v>
      </c>
      <c r="Z363" s="32"/>
      <c r="AA363" s="32">
        <f>IF(VLOOKUP($D363,$C$5:$AA$507,25,)=0,0,((VLOOKUP($D363,$C$5:$AA$507,25,)/VLOOKUP($D363,$C$5:$AA$507,4,))*$F363))</f>
        <v>0</v>
      </c>
      <c r="AB363" s="32">
        <f>SUM(H363:AA363)</f>
        <v>0</v>
      </c>
      <c r="AC363" s="14" t="str">
        <f>IF(ABS(AB363-F363)&lt;1,"ok","err")</f>
        <v>ok</v>
      </c>
    </row>
    <row r="364" spans="1:29" ht="12.75" x14ac:dyDescent="0.2">
      <c r="A364" s="2">
        <v>513</v>
      </c>
      <c r="B364" s="2" t="s">
        <v>776</v>
      </c>
      <c r="C364" s="2" t="s">
        <v>825</v>
      </c>
      <c r="D364" s="2" t="s">
        <v>758</v>
      </c>
      <c r="F364" s="32">
        <v>0</v>
      </c>
      <c r="G364" s="32"/>
      <c r="H364" s="32">
        <f>IF(VLOOKUP($D364,$C$5:$AA$507,6,)=0,0,((VLOOKUP($D364,$C$5:$AA$507,6,)/VLOOKUP($D364,$C$5:$AA$507,4,))*$F364))</f>
        <v>0</v>
      </c>
      <c r="I364" s="32">
        <f>IF(VLOOKUP($D364,$C$5:$AA$507,7,)=0,0,((VLOOKUP($D364,$C$5:$AA$507,7,)/VLOOKUP($D364,$C$5:$AA$507,4,))*$F364))</f>
        <v>0</v>
      </c>
      <c r="J364" s="32"/>
      <c r="K364" s="32">
        <f>IF(VLOOKUP($D364,$C$5:$AA$507,9,)=0,0,((VLOOKUP($D364,$C$5:$AA$507,9,)/VLOOKUP($D364,$C$5:$AA$507,4,))*$F364))</f>
        <v>0</v>
      </c>
      <c r="L364" s="32"/>
      <c r="M364" s="32">
        <f>IF(VLOOKUP($D364,$C$5:$AA$507,11,)=0,0,((VLOOKUP($D364,$C$5:$AA$507,11,)/VLOOKUP($D364,$C$5:$AA$507,4,))*$F364))</f>
        <v>0</v>
      </c>
      <c r="N364" s="32"/>
      <c r="O364" s="32">
        <f>IF(VLOOKUP($D364,$C$5:$AA$507,13,)=0,0,((VLOOKUP($D364,$C$5:$AA$507,13,)/VLOOKUP($D364,$C$5:$AA$507,4,))*$F364))</f>
        <v>0</v>
      </c>
      <c r="P364" s="32">
        <f>IF(VLOOKUP($D364,$C$5:$AA$507,14,)=0,0,((VLOOKUP($D364,$C$5:$AA$507,14,)/VLOOKUP($D364,$C$5:$AA$507,4,))*$F364))</f>
        <v>0</v>
      </c>
      <c r="Q364" s="32"/>
      <c r="R364" s="32">
        <f>IF(VLOOKUP($D364,$C$5:$AA$507,16,)=0,0,((VLOOKUP($D364,$C$5:$AA$507,16,)/VLOOKUP($D364,$C$5:$AA$507,4,))*$F364))</f>
        <v>0</v>
      </c>
      <c r="S364" s="32">
        <f>IF(VLOOKUP($D364,$C$5:$AA$507,17,)=0,0,((VLOOKUP($D364,$C$5:$AA$507,17,)/VLOOKUP($D364,$C$5:$AA$507,4,))*$F364))</f>
        <v>0</v>
      </c>
      <c r="T364" s="32"/>
      <c r="U364" s="32">
        <f>IF(VLOOKUP($D364,$C$5:$AA$507,19,)=0,0,((VLOOKUP($D364,$C$5:$AA$507,19,)/VLOOKUP($D364,$C$5:$AA$507,4,))*$F364))</f>
        <v>0</v>
      </c>
      <c r="V364" s="32"/>
      <c r="W364" s="32">
        <f>IF(VLOOKUP($D364,$C$5:$AA$507,21,)=0,0,((VLOOKUP($D364,$C$5:$AA$507,21,)/VLOOKUP($D364,$C$5:$AA$507,4,))*$F364))</f>
        <v>0</v>
      </c>
      <c r="X364" s="32"/>
      <c r="Y364" s="32">
        <f>IF(VLOOKUP($D364,$C$5:$AA$507,23,)=0,0,((VLOOKUP($D364,$C$5:$AA$507,23,)/VLOOKUP($D364,$C$5:$AA$507,4,))*$F364))</f>
        <v>0</v>
      </c>
      <c r="Z364" s="32"/>
      <c r="AA364" s="32">
        <f>IF(VLOOKUP($D364,$C$5:$AA$507,25,)=0,0,((VLOOKUP($D364,$C$5:$AA$507,25,)/VLOOKUP($D364,$C$5:$AA$507,4,))*$F364))</f>
        <v>0</v>
      </c>
      <c r="AB364" s="32">
        <f>SUM(H364:AA364)</f>
        <v>0</v>
      </c>
      <c r="AC364" s="14" t="str">
        <f>IF(ABS(AB364-F364)&lt;1,"ok","err")</f>
        <v>ok</v>
      </c>
    </row>
    <row r="365" spans="1:29" ht="12.75" x14ac:dyDescent="0.2">
      <c r="A365" s="2">
        <v>514</v>
      </c>
      <c r="B365" s="2" t="s">
        <v>777</v>
      </c>
      <c r="C365" s="2" t="s">
        <v>826</v>
      </c>
      <c r="D365" s="2" t="s">
        <v>552</v>
      </c>
      <c r="F365" s="32">
        <v>0</v>
      </c>
      <c r="G365" s="32"/>
      <c r="H365" s="32">
        <f>IF(VLOOKUP($D365,$C$5:$AA$507,6,)=0,0,((VLOOKUP($D365,$C$5:$AA$507,6,)/VLOOKUP($D365,$C$5:$AA$507,4,))*$F365))</f>
        <v>0</v>
      </c>
      <c r="I365" s="32">
        <f>IF(VLOOKUP($D365,$C$5:$AA$507,7,)=0,0,((VLOOKUP($D365,$C$5:$AA$507,7,)/VLOOKUP($D365,$C$5:$AA$507,4,))*$F365))</f>
        <v>0</v>
      </c>
      <c r="J365" s="32"/>
      <c r="K365" s="32">
        <f>IF(VLOOKUP($D365,$C$5:$AA$507,9,)=0,0,((VLOOKUP($D365,$C$5:$AA$507,9,)/VLOOKUP($D365,$C$5:$AA$507,4,))*$F365))</f>
        <v>0</v>
      </c>
      <c r="L365" s="32"/>
      <c r="M365" s="32">
        <f>IF(VLOOKUP($D365,$C$5:$AA$507,11,)=0,0,((VLOOKUP($D365,$C$5:$AA$507,11,)/VLOOKUP($D365,$C$5:$AA$507,4,))*$F365))</f>
        <v>0</v>
      </c>
      <c r="N365" s="32"/>
      <c r="O365" s="32">
        <f>IF(VLOOKUP($D365,$C$5:$AA$507,13,)=0,0,((VLOOKUP($D365,$C$5:$AA$507,13,)/VLOOKUP($D365,$C$5:$AA$507,4,))*$F365))</f>
        <v>0</v>
      </c>
      <c r="P365" s="32">
        <f>IF(VLOOKUP($D365,$C$5:$AA$507,14,)=0,0,((VLOOKUP($D365,$C$5:$AA$507,14,)/VLOOKUP($D365,$C$5:$AA$507,4,))*$F365))</f>
        <v>0</v>
      </c>
      <c r="Q365" s="32"/>
      <c r="R365" s="32">
        <f>IF(VLOOKUP($D365,$C$5:$AA$507,16,)=0,0,((VLOOKUP($D365,$C$5:$AA$507,16,)/VLOOKUP($D365,$C$5:$AA$507,4,))*$F365))</f>
        <v>0</v>
      </c>
      <c r="S365" s="32">
        <f>IF(VLOOKUP($D365,$C$5:$AA$507,17,)=0,0,((VLOOKUP($D365,$C$5:$AA$507,17,)/VLOOKUP($D365,$C$5:$AA$507,4,))*$F365))</f>
        <v>0</v>
      </c>
      <c r="T365" s="32"/>
      <c r="U365" s="32">
        <f>IF(VLOOKUP($D365,$C$5:$AA$507,19,)=0,0,((VLOOKUP($D365,$C$5:$AA$507,19,)/VLOOKUP($D365,$C$5:$AA$507,4,))*$F365))</f>
        <v>0</v>
      </c>
      <c r="V365" s="32"/>
      <c r="W365" s="32">
        <f>IF(VLOOKUP($D365,$C$5:$AA$507,21,)=0,0,((VLOOKUP($D365,$C$5:$AA$507,21,)/VLOOKUP($D365,$C$5:$AA$507,4,))*$F365))</f>
        <v>0</v>
      </c>
      <c r="X365" s="32"/>
      <c r="Y365" s="32">
        <f>IF(VLOOKUP($D365,$C$5:$AA$507,23,)=0,0,((VLOOKUP($D365,$C$5:$AA$507,23,)/VLOOKUP($D365,$C$5:$AA$507,4,))*$F365))</f>
        <v>0</v>
      </c>
      <c r="Z365" s="32"/>
      <c r="AA365" s="32">
        <f>IF(VLOOKUP($D365,$C$5:$AA$507,25,)=0,0,((VLOOKUP($D365,$C$5:$AA$507,25,)/VLOOKUP($D365,$C$5:$AA$507,4,))*$F365))</f>
        <v>0</v>
      </c>
      <c r="AB365" s="32">
        <f>SUM(H365:AA365)</f>
        <v>0</v>
      </c>
      <c r="AC365" s="14" t="str">
        <f>IF(ABS(AB365-F365)&lt;1,"ok","err")</f>
        <v>ok</v>
      </c>
    </row>
    <row r="366" spans="1:29" x14ac:dyDescent="0.25"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14"/>
    </row>
    <row r="367" spans="1:29" ht="12.75" x14ac:dyDescent="0.2">
      <c r="A367" s="2" t="s">
        <v>762</v>
      </c>
      <c r="C367" s="2" t="s">
        <v>827</v>
      </c>
      <c r="F367" s="45">
        <f>SUM(F361:F366)</f>
        <v>0</v>
      </c>
      <c r="G367" s="45"/>
      <c r="H367" s="45">
        <f>SUM(H361:H366)</f>
        <v>0</v>
      </c>
      <c r="I367" s="45">
        <f>SUM(I361:I366)</f>
        <v>0</v>
      </c>
      <c r="J367" s="45"/>
      <c r="K367" s="45">
        <f>SUM(K361:K366)</f>
        <v>0</v>
      </c>
      <c r="L367" s="45"/>
      <c r="M367" s="45">
        <f>SUM(M361:M366)</f>
        <v>0</v>
      </c>
      <c r="N367" s="45"/>
      <c r="O367" s="45">
        <f>SUM(O361:O366)</f>
        <v>0</v>
      </c>
      <c r="P367" s="45">
        <f>SUM(P361:P366)</f>
        <v>0</v>
      </c>
      <c r="Q367" s="45"/>
      <c r="R367" s="45">
        <f>SUM(R361:R366)</f>
        <v>0</v>
      </c>
      <c r="S367" s="45">
        <f>SUM(S361:S366)</f>
        <v>0</v>
      </c>
      <c r="T367" s="45"/>
      <c r="U367" s="45">
        <f>SUM(U361:U366)</f>
        <v>0</v>
      </c>
      <c r="V367" s="45"/>
      <c r="W367" s="45">
        <f>SUM(W361:W366)</f>
        <v>0</v>
      </c>
      <c r="X367" s="45"/>
      <c r="Y367" s="45">
        <f>SUM(Y361:Y366)</f>
        <v>0</v>
      </c>
      <c r="Z367" s="45"/>
      <c r="AA367" s="45">
        <f>SUM(AA361:AA366)</f>
        <v>0</v>
      </c>
      <c r="AB367" s="32">
        <f>SUM(H367:AA367)</f>
        <v>0</v>
      </c>
      <c r="AC367" s="14" t="str">
        <f>IF(ABS(AB367-F367)&lt;1,"ok","err")</f>
        <v>ok</v>
      </c>
    </row>
    <row r="368" spans="1:29" ht="12.75" x14ac:dyDescent="0.2"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C368" s="14"/>
    </row>
    <row r="369" spans="1:29" ht="12.75" x14ac:dyDescent="0.2">
      <c r="A369" s="2" t="s">
        <v>763</v>
      </c>
      <c r="C369" s="2" t="s">
        <v>828</v>
      </c>
      <c r="F369" s="32">
        <f>F358+F367</f>
        <v>0</v>
      </c>
      <c r="G369" s="32"/>
      <c r="H369" s="32">
        <f>H358+H367</f>
        <v>0</v>
      </c>
      <c r="I369" s="32">
        <f>I358+I367</f>
        <v>0</v>
      </c>
      <c r="J369" s="32"/>
      <c r="K369" s="32">
        <f>K358+K367</f>
        <v>0</v>
      </c>
      <c r="L369" s="32"/>
      <c r="M369" s="32">
        <f>M358+M367</f>
        <v>0</v>
      </c>
      <c r="N369" s="32"/>
      <c r="O369" s="32">
        <f>O358+O367</f>
        <v>0</v>
      </c>
      <c r="P369" s="32">
        <f>P358+P367</f>
        <v>0</v>
      </c>
      <c r="Q369" s="32"/>
      <c r="R369" s="32">
        <f>R358+R367</f>
        <v>0</v>
      </c>
      <c r="S369" s="32">
        <f>S358+S367</f>
        <v>0</v>
      </c>
      <c r="T369" s="32"/>
      <c r="U369" s="32">
        <f>U358+U367</f>
        <v>0</v>
      </c>
      <c r="V369" s="32"/>
      <c r="W369" s="32">
        <f>W358+W367</f>
        <v>0</v>
      </c>
      <c r="X369" s="32"/>
      <c r="Y369" s="32">
        <f>Y358+Y367</f>
        <v>0</v>
      </c>
      <c r="Z369" s="32"/>
      <c r="AA369" s="32">
        <f>AA358+AA367</f>
        <v>0</v>
      </c>
      <c r="AB369" s="32">
        <f>SUM(H369:AA369)</f>
        <v>0</v>
      </c>
      <c r="AC369" s="14" t="str">
        <f>IF(ABS(AB369-F369)&lt;1,"ok","err")</f>
        <v>ok</v>
      </c>
    </row>
    <row r="370" spans="1:29" x14ac:dyDescent="0.25">
      <c r="A370" s="12"/>
      <c r="Q370" s="2"/>
      <c r="AC370" s="14"/>
    </row>
    <row r="371" spans="1:29" x14ac:dyDescent="0.25">
      <c r="A371" s="12"/>
      <c r="Q371" s="2"/>
      <c r="AC371" s="14"/>
    </row>
    <row r="372" spans="1:29" x14ac:dyDescent="0.25">
      <c r="A372" s="12" t="s">
        <v>473</v>
      </c>
      <c r="Q372" s="2"/>
      <c r="AC372" s="14"/>
    </row>
    <row r="373" spans="1:29" x14ac:dyDescent="0.25">
      <c r="A373" s="12"/>
      <c r="Q373" s="2"/>
      <c r="AC373" s="14"/>
    </row>
    <row r="374" spans="1:29" x14ac:dyDescent="0.25">
      <c r="A374" s="1" t="s">
        <v>96</v>
      </c>
      <c r="Q374" s="2"/>
      <c r="AC374" s="14"/>
    </row>
    <row r="375" spans="1:29" ht="12.75" x14ac:dyDescent="0.2">
      <c r="A375" s="2">
        <v>555</v>
      </c>
      <c r="B375" s="2" t="s">
        <v>379</v>
      </c>
      <c r="C375" s="2" t="s">
        <v>530</v>
      </c>
      <c r="D375" s="2" t="s">
        <v>97</v>
      </c>
      <c r="F375" s="45">
        <v>0</v>
      </c>
      <c r="G375" s="45"/>
      <c r="H375" s="32">
        <f>IF(VLOOKUP($D375,$C$5:$AA$507,6,)=0,0,((VLOOKUP($D375,$C$5:$AA$507,6,)/VLOOKUP($D375,$C$5:$AA$507,4,))*$F375))</f>
        <v>0</v>
      </c>
      <c r="I375" s="32">
        <f>IF(VLOOKUP($D375,$C$5:$AA$507,7,)=0,0,((VLOOKUP($D375,$C$5:$AA$507,7,)/VLOOKUP($D375,$C$5:$AA$507,4,))*$F375))</f>
        <v>0</v>
      </c>
      <c r="J375" s="32"/>
      <c r="K375" s="32">
        <f>IF(VLOOKUP($D375,$C$5:$AA$507,9,)=0,0,((VLOOKUP($D375,$C$5:$AA$507,9,)/VLOOKUP($D375,$C$5:$AA$507,4,))*$F375))</f>
        <v>0</v>
      </c>
      <c r="L375" s="32"/>
      <c r="M375" s="32">
        <f>IF(VLOOKUP($D375,$C$5:$AA$507,11,)=0,0,((VLOOKUP($D375,$C$5:$AA$507,11,)/VLOOKUP($D375,$C$5:$AA$507,4,))*$F375))</f>
        <v>0</v>
      </c>
      <c r="N375" s="32"/>
      <c r="O375" s="32">
        <f>IF(VLOOKUP($D375,$C$5:$AA$507,13,)=0,0,((VLOOKUP($D375,$C$5:$AA$507,13,)/VLOOKUP($D375,$C$5:$AA$507,4,))*$F375))</f>
        <v>0</v>
      </c>
      <c r="P375" s="32">
        <f>IF(VLOOKUP($D375,$C$5:$AA$507,14,)=0,0,((VLOOKUP($D375,$C$5:$AA$507,14,)/VLOOKUP($D375,$C$5:$AA$507,4,))*$F375))</f>
        <v>0</v>
      </c>
      <c r="Q375" s="32"/>
      <c r="R375" s="32">
        <f>IF(VLOOKUP($D375,$C$5:$AA$507,16,)=0,0,((VLOOKUP($D375,$C$5:$AA$507,16,)/VLOOKUP($D375,$C$5:$AA$507,4,))*$F375))</f>
        <v>0</v>
      </c>
      <c r="S375" s="32">
        <f>IF(VLOOKUP($D375,$C$5:$AA$507,17,)=0,0,((VLOOKUP($D375,$C$5:$AA$507,17,)/VLOOKUP($D375,$C$5:$AA$507,4,))*$F375))</f>
        <v>0</v>
      </c>
      <c r="T375" s="32"/>
      <c r="U375" s="32">
        <f>IF(VLOOKUP($D375,$C$5:$AA$507,19,)=0,0,((VLOOKUP($D375,$C$5:$AA$507,19,)/VLOOKUP($D375,$C$5:$AA$507,4,))*$F375))</f>
        <v>0</v>
      </c>
      <c r="V375" s="32"/>
      <c r="W375" s="32">
        <f>IF(VLOOKUP($D375,$C$5:$AA$507,21,)=0,0,((VLOOKUP($D375,$C$5:$AA$507,21,)/VLOOKUP($D375,$C$5:$AA$507,4,))*$F375))</f>
        <v>0</v>
      </c>
      <c r="X375" s="32"/>
      <c r="Y375" s="32">
        <f>IF(VLOOKUP($D375,$C$5:$AA$507,23,)=0,0,((VLOOKUP($D375,$C$5:$AA$507,23,)/VLOOKUP($D375,$C$5:$AA$507,4,))*$F375))</f>
        <v>0</v>
      </c>
      <c r="Z375" s="32"/>
      <c r="AA375" s="32">
        <f>IF(VLOOKUP($D375,$C$5:$AA$507,25,)=0,0,((VLOOKUP($D375,$C$5:$AA$507,25,)/VLOOKUP($D375,$C$5:$AA$507,4,))*$F375))</f>
        <v>0</v>
      </c>
      <c r="AB375" s="32">
        <f>SUM(H375:AA375)</f>
        <v>0</v>
      </c>
      <c r="AC375" s="14" t="str">
        <f>IF(ABS(AB375-F375)&lt;1,"ok","err")</f>
        <v>ok</v>
      </c>
    </row>
    <row r="376" spans="1:29" ht="12.75" x14ac:dyDescent="0.2">
      <c r="A376" s="2">
        <v>557</v>
      </c>
      <c r="B376" s="2" t="s">
        <v>398</v>
      </c>
      <c r="C376" s="2" t="s">
        <v>475</v>
      </c>
      <c r="D376" s="2" t="s">
        <v>97</v>
      </c>
      <c r="F376" s="32"/>
      <c r="G376" s="32"/>
      <c r="H376" s="32">
        <f>IF(VLOOKUP($D376,$C$5:$AA$507,6,)=0,0,((VLOOKUP($D376,$C$5:$AA$507,6,)/VLOOKUP($D376,$C$5:$AA$507,4,))*$F376))</f>
        <v>0</v>
      </c>
      <c r="I376" s="32">
        <f>IF(VLOOKUP($D376,$C$5:$AA$507,7,)=0,0,((VLOOKUP($D376,$C$5:$AA$507,7,)/VLOOKUP($D376,$C$5:$AA$507,4,))*$F376))</f>
        <v>0</v>
      </c>
      <c r="J376" s="32"/>
      <c r="K376" s="32">
        <f>IF(VLOOKUP($D376,$C$5:$AA$507,9,)=0,0,((VLOOKUP($D376,$C$5:$AA$507,9,)/VLOOKUP($D376,$C$5:$AA$507,4,))*$F376))</f>
        <v>0</v>
      </c>
      <c r="L376" s="32"/>
      <c r="M376" s="32">
        <f>IF(VLOOKUP($D376,$C$5:$AA$507,11,)=0,0,((VLOOKUP($D376,$C$5:$AA$507,11,)/VLOOKUP($D376,$C$5:$AA$507,4,))*$F376))</f>
        <v>0</v>
      </c>
      <c r="N376" s="32"/>
      <c r="O376" s="32">
        <f>IF(VLOOKUP($D376,$C$5:$AA$507,13,)=0,0,((VLOOKUP($D376,$C$5:$AA$507,13,)/VLOOKUP($D376,$C$5:$AA$507,4,))*$F376))</f>
        <v>0</v>
      </c>
      <c r="P376" s="32">
        <f>IF(VLOOKUP($D376,$C$5:$AA$507,14,)=0,0,((VLOOKUP($D376,$C$5:$AA$507,14,)/VLOOKUP($D376,$C$5:$AA$507,4,))*$F376))</f>
        <v>0</v>
      </c>
      <c r="Q376" s="32"/>
      <c r="R376" s="32">
        <f>IF(VLOOKUP($D376,$C$5:$AA$507,16,)=0,0,((VLOOKUP($D376,$C$5:$AA$507,16,)/VLOOKUP($D376,$C$5:$AA$507,4,))*$F376))</f>
        <v>0</v>
      </c>
      <c r="S376" s="32">
        <f>IF(VLOOKUP($D376,$C$5:$AA$507,17,)=0,0,((VLOOKUP($D376,$C$5:$AA$507,17,)/VLOOKUP($D376,$C$5:$AA$507,4,))*$F376))</f>
        <v>0</v>
      </c>
      <c r="T376" s="32"/>
      <c r="U376" s="32">
        <f>IF(VLOOKUP($D376,$C$5:$AA$507,19,)=0,0,((VLOOKUP($D376,$C$5:$AA$507,19,)/VLOOKUP($D376,$C$5:$AA$507,4,))*$F376))</f>
        <v>0</v>
      </c>
      <c r="V376" s="32"/>
      <c r="W376" s="32">
        <f>IF(VLOOKUP($D376,$C$5:$AA$507,21,)=0,0,((VLOOKUP($D376,$C$5:$AA$507,21,)/VLOOKUP($D376,$C$5:$AA$507,4,))*$F376))</f>
        <v>0</v>
      </c>
      <c r="X376" s="32"/>
      <c r="Y376" s="32">
        <f>IF(VLOOKUP($D376,$C$5:$AA$507,23,)=0,0,((VLOOKUP($D376,$C$5:$AA$507,23,)/VLOOKUP($D376,$C$5:$AA$507,4,))*$F376))</f>
        <v>0</v>
      </c>
      <c r="Z376" s="32"/>
      <c r="AA376" s="32">
        <f>IF(VLOOKUP($D376,$C$5:$AA$507,25,)=0,0,((VLOOKUP($D376,$C$5:$AA$507,25,)/VLOOKUP($D376,$C$5:$AA$507,4,))*$F376))</f>
        <v>0</v>
      </c>
      <c r="AB376" s="32">
        <f>SUM(H376:AA376)</f>
        <v>0</v>
      </c>
      <c r="AC376" s="14" t="str">
        <f>IF(ABS(AB376-F376)&lt;1,"ok","err")</f>
        <v>ok</v>
      </c>
    </row>
    <row r="377" spans="1:29" ht="12.75" x14ac:dyDescent="0.2">
      <c r="F377" s="32"/>
      <c r="G377" s="32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32"/>
      <c r="AC377" s="14"/>
    </row>
    <row r="378" spans="1:29" ht="12.75" x14ac:dyDescent="0.2">
      <c r="B378" s="2" t="s">
        <v>532</v>
      </c>
      <c r="C378" s="2" t="s">
        <v>474</v>
      </c>
      <c r="F378" s="45">
        <f>SUM(F375:F377)</f>
        <v>0</v>
      </c>
      <c r="G378" s="45"/>
      <c r="H378" s="45">
        <f>SUM(H375:H377)</f>
        <v>0</v>
      </c>
      <c r="I378" s="45">
        <f>SUM(I375:I377)</f>
        <v>0</v>
      </c>
      <c r="J378" s="45"/>
      <c r="K378" s="45">
        <f>SUM(K375:K377)</f>
        <v>0</v>
      </c>
      <c r="L378" s="45"/>
      <c r="M378" s="45">
        <f>SUM(M375:M377)</f>
        <v>0</v>
      </c>
      <c r="N378" s="45"/>
      <c r="O378" s="45">
        <f>SUM(O375:O377)</f>
        <v>0</v>
      </c>
      <c r="P378" s="45">
        <f>SUM(P375:P377)</f>
        <v>0</v>
      </c>
      <c r="Q378" s="45"/>
      <c r="R378" s="45">
        <f>SUM(R375:R377)</f>
        <v>0</v>
      </c>
      <c r="S378" s="45">
        <f>SUM(S375:S377)</f>
        <v>0</v>
      </c>
      <c r="T378" s="45"/>
      <c r="U378" s="45">
        <f>SUM(U375:U377)</f>
        <v>0</v>
      </c>
      <c r="V378" s="45"/>
      <c r="W378" s="45">
        <f>SUM(W375:W377)</f>
        <v>0</v>
      </c>
      <c r="X378" s="45"/>
      <c r="Y378" s="45">
        <f>SUM(Y375:Y377)</f>
        <v>0</v>
      </c>
      <c r="Z378" s="45"/>
      <c r="AA378" s="45">
        <f>SUM(AA375:AA377)</f>
        <v>0</v>
      </c>
      <c r="AB378" s="32">
        <f>SUM(H378:AA378)</f>
        <v>0</v>
      </c>
      <c r="AC378" s="14" t="str">
        <f>IF(ABS(AB378-F378)&lt;1,"ok","err")</f>
        <v>ok</v>
      </c>
    </row>
    <row r="379" spans="1:29" ht="12.75" x14ac:dyDescent="0.2">
      <c r="D379" s="2" t="s">
        <v>297</v>
      </c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32"/>
      <c r="AC379" s="14"/>
    </row>
    <row r="380" spans="1:29" ht="12.75" x14ac:dyDescent="0.2">
      <c r="A380" s="1" t="s">
        <v>534</v>
      </c>
      <c r="D380" s="2" t="s">
        <v>605</v>
      </c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32"/>
      <c r="AC380" s="14"/>
    </row>
    <row r="381" spans="1:29" ht="12.75" x14ac:dyDescent="0.2">
      <c r="A381" s="2">
        <v>560</v>
      </c>
      <c r="B381" s="2" t="s">
        <v>374</v>
      </c>
      <c r="C381" s="2" t="s">
        <v>531</v>
      </c>
      <c r="D381" s="2" t="s">
        <v>390</v>
      </c>
      <c r="F381" s="45">
        <v>0</v>
      </c>
      <c r="G381" s="45"/>
      <c r="H381" s="32">
        <f t="shared" ref="H381:H388" si="221">IF((VLOOKUP($D381,$C$5:$AA$507,6,)=0),0,((VLOOKUP($D381,$C$5:$AA$507,6,)/VLOOKUP($D381,$C$5:$AA$507,4,))*$F381))</f>
        <v>0</v>
      </c>
      <c r="I381" s="32">
        <f t="shared" ref="I381:I388" si="222">IF((VLOOKUP($D381,$C$5:$AA$507,7,)=0),0,((VLOOKUP($D381,$C$5:$AA$507,7,)/VLOOKUP($D381,$C$5:$AA$507,4,))*$F381))</f>
        <v>0</v>
      </c>
      <c r="J381" s="32"/>
      <c r="K381" s="32">
        <f t="shared" ref="K381:K388" si="223">IF((VLOOKUP($D381,$C$5:$AA$507,9,)=0),0,((VLOOKUP($D381,$C$5:$AA$507,9,)/VLOOKUP($D381,$C$5:$AA$507,4,))*$F381))</f>
        <v>0</v>
      </c>
      <c r="L381" s="32"/>
      <c r="M381" s="32">
        <f t="shared" ref="M381:M388" si="224">IF((VLOOKUP($D381,$C$5:$AA$507,11,)=0),0,((VLOOKUP($D381,$C$5:$AA$507,11,)/VLOOKUP($D381,$C$5:$AA$507,4,))*$F381))</f>
        <v>0</v>
      </c>
      <c r="N381" s="32"/>
      <c r="O381" s="32">
        <f t="shared" ref="O381:O388" si="225">IF((VLOOKUP($D381,$C$5:$AA$507,13,)=0),0,((VLOOKUP($D381,$C$5:$AA$507,13,)/VLOOKUP($D381,$C$5:$AA$507,4,))*$F381))</f>
        <v>0</v>
      </c>
      <c r="P381" s="32">
        <f t="shared" ref="P381:P388" si="226">IF((VLOOKUP($D381,$C$5:$AA$507,14,)=0),0,((VLOOKUP($D381,$C$5:$AA$507,14,)/VLOOKUP($D381,$C$5:$AA$507,4,))*$F381))</f>
        <v>0</v>
      </c>
      <c r="Q381" s="32"/>
      <c r="R381" s="32">
        <f t="shared" ref="R381:R388" si="227">IF((VLOOKUP($D381,$C$5:$AA$507,16,)=0),0,((VLOOKUP($D381,$C$5:$AA$507,16,)/VLOOKUP($D381,$C$5:$AA$507,4,))*$F381))</f>
        <v>0</v>
      </c>
      <c r="S381" s="32">
        <f t="shared" ref="S381:S388" si="228">IF((VLOOKUP($D381,$C$5:$AA$507,17,)=0),0,((VLOOKUP($D381,$C$5:$AA$507,17,)/VLOOKUP($D381,$C$5:$AA$507,4,))*$F381))</f>
        <v>0</v>
      </c>
      <c r="T381" s="32"/>
      <c r="U381" s="32">
        <f t="shared" ref="U381:U388" si="229">IF((VLOOKUP($D381,$C$5:$AA$507,19,)=0),0,((VLOOKUP($D381,$C$5:$AA$507,19,)/VLOOKUP($D381,$C$5:$AA$507,4,))*$F381))</f>
        <v>0</v>
      </c>
      <c r="V381" s="32"/>
      <c r="W381" s="32">
        <f t="shared" ref="W381:W388" si="230">IF((VLOOKUP($D381,$C$5:$AA$507,21,)=0),0,((VLOOKUP($D381,$C$5:$AA$507,21,)/VLOOKUP($D381,$C$5:$AA$507,4,))*$F381))</f>
        <v>0</v>
      </c>
      <c r="X381" s="32"/>
      <c r="Y381" s="32">
        <f t="shared" ref="Y381:Y388" si="231">IF((VLOOKUP($D381,$C$5:$AA$507,23,)=0),0,((VLOOKUP($D381,$C$5:$AA$507,23,)/VLOOKUP($D381,$C$5:$AA$507,4,))*$F381))</f>
        <v>0</v>
      </c>
      <c r="Z381" s="32"/>
      <c r="AA381" s="32">
        <f t="shared" ref="AA381:AA388" si="232">IF((VLOOKUP($D381,$C$5:$AA$507,25,)=0),0,((VLOOKUP($D381,$C$5:$AA$507,25,)/VLOOKUP($D381,$C$5:$AA$507,4,))*$F381))</f>
        <v>0</v>
      </c>
      <c r="AB381" s="32">
        <f t="shared" ref="AB381:AB388" si="233">SUM(H381:AA381)</f>
        <v>0</v>
      </c>
      <c r="AC381" s="14" t="str">
        <f t="shared" ref="AC381:AC388" si="234">IF(ABS(AB381-F381)&lt;1,"ok","err")</f>
        <v>ok</v>
      </c>
    </row>
    <row r="382" spans="1:29" ht="12.75" x14ac:dyDescent="0.2">
      <c r="A382" s="2">
        <v>561</v>
      </c>
      <c r="B382" s="2" t="s">
        <v>101</v>
      </c>
      <c r="C382" s="2" t="s">
        <v>476</v>
      </c>
      <c r="D382" s="2" t="s">
        <v>390</v>
      </c>
      <c r="F382" s="32">
        <v>0</v>
      </c>
      <c r="G382" s="32"/>
      <c r="H382" s="32">
        <f t="shared" si="221"/>
        <v>0</v>
      </c>
      <c r="I382" s="32">
        <f t="shared" si="222"/>
        <v>0</v>
      </c>
      <c r="J382" s="32"/>
      <c r="K382" s="32">
        <f t="shared" si="223"/>
        <v>0</v>
      </c>
      <c r="L382" s="32"/>
      <c r="M382" s="32">
        <f t="shared" si="224"/>
        <v>0</v>
      </c>
      <c r="N382" s="32"/>
      <c r="O382" s="32">
        <f t="shared" si="225"/>
        <v>0</v>
      </c>
      <c r="P382" s="32">
        <f t="shared" si="226"/>
        <v>0</v>
      </c>
      <c r="Q382" s="32"/>
      <c r="R382" s="32">
        <f t="shared" si="227"/>
        <v>0</v>
      </c>
      <c r="S382" s="32">
        <f t="shared" si="228"/>
        <v>0</v>
      </c>
      <c r="T382" s="32"/>
      <c r="U382" s="32">
        <f t="shared" si="229"/>
        <v>0</v>
      </c>
      <c r="V382" s="32"/>
      <c r="W382" s="32">
        <f t="shared" si="230"/>
        <v>0</v>
      </c>
      <c r="X382" s="32"/>
      <c r="Y382" s="32">
        <f t="shared" si="231"/>
        <v>0</v>
      </c>
      <c r="Z382" s="32"/>
      <c r="AA382" s="32">
        <f t="shared" si="232"/>
        <v>0</v>
      </c>
      <c r="AB382" s="32">
        <f t="shared" si="233"/>
        <v>0</v>
      </c>
      <c r="AC382" s="14" t="str">
        <f t="shared" si="234"/>
        <v>ok</v>
      </c>
    </row>
    <row r="383" spans="1:29" ht="12.75" x14ac:dyDescent="0.2">
      <c r="A383" s="2">
        <v>562</v>
      </c>
      <c r="B383" s="2" t="s">
        <v>372</v>
      </c>
      <c r="C383" s="2" t="s">
        <v>477</v>
      </c>
      <c r="D383" s="2" t="s">
        <v>390</v>
      </c>
      <c r="F383" s="32">
        <v>0</v>
      </c>
      <c r="G383" s="32"/>
      <c r="H383" s="32">
        <f t="shared" si="221"/>
        <v>0</v>
      </c>
      <c r="I383" s="32">
        <f t="shared" si="222"/>
        <v>0</v>
      </c>
      <c r="J383" s="32"/>
      <c r="K383" s="32">
        <f t="shared" si="223"/>
        <v>0</v>
      </c>
      <c r="L383" s="32"/>
      <c r="M383" s="32">
        <f t="shared" si="224"/>
        <v>0</v>
      </c>
      <c r="N383" s="32"/>
      <c r="O383" s="32">
        <f t="shared" si="225"/>
        <v>0</v>
      </c>
      <c r="P383" s="32">
        <f t="shared" si="226"/>
        <v>0</v>
      </c>
      <c r="Q383" s="32"/>
      <c r="R383" s="32">
        <f t="shared" si="227"/>
        <v>0</v>
      </c>
      <c r="S383" s="32">
        <f t="shared" si="228"/>
        <v>0</v>
      </c>
      <c r="T383" s="32"/>
      <c r="U383" s="32">
        <f t="shared" si="229"/>
        <v>0</v>
      </c>
      <c r="V383" s="32"/>
      <c r="W383" s="32">
        <f t="shared" si="230"/>
        <v>0</v>
      </c>
      <c r="X383" s="32"/>
      <c r="Y383" s="32">
        <f t="shared" si="231"/>
        <v>0</v>
      </c>
      <c r="Z383" s="32"/>
      <c r="AA383" s="32">
        <f t="shared" si="232"/>
        <v>0</v>
      </c>
      <c r="AB383" s="32">
        <f t="shared" si="233"/>
        <v>0</v>
      </c>
      <c r="AC383" s="14" t="str">
        <f t="shared" si="234"/>
        <v>ok</v>
      </c>
    </row>
    <row r="384" spans="1:29" ht="12.75" x14ac:dyDescent="0.2">
      <c r="A384" s="2">
        <v>563</v>
      </c>
      <c r="B384" s="2" t="s">
        <v>103</v>
      </c>
      <c r="C384" s="2" t="s">
        <v>478</v>
      </c>
      <c r="D384" s="2" t="s">
        <v>390</v>
      </c>
      <c r="F384" s="32">
        <v>0</v>
      </c>
      <c r="G384" s="32"/>
      <c r="H384" s="32">
        <f t="shared" si="221"/>
        <v>0</v>
      </c>
      <c r="I384" s="32">
        <f t="shared" si="222"/>
        <v>0</v>
      </c>
      <c r="J384" s="32"/>
      <c r="K384" s="32">
        <f t="shared" si="223"/>
        <v>0</v>
      </c>
      <c r="L384" s="32"/>
      <c r="M384" s="32">
        <f t="shared" si="224"/>
        <v>0</v>
      </c>
      <c r="N384" s="32"/>
      <c r="O384" s="32">
        <f t="shared" si="225"/>
        <v>0</v>
      </c>
      <c r="P384" s="32">
        <f t="shared" si="226"/>
        <v>0</v>
      </c>
      <c r="Q384" s="32"/>
      <c r="R384" s="32">
        <f t="shared" si="227"/>
        <v>0</v>
      </c>
      <c r="S384" s="32">
        <f t="shared" si="228"/>
        <v>0</v>
      </c>
      <c r="T384" s="32"/>
      <c r="U384" s="32">
        <f t="shared" si="229"/>
        <v>0</v>
      </c>
      <c r="V384" s="32"/>
      <c r="W384" s="32">
        <f t="shared" si="230"/>
        <v>0</v>
      </c>
      <c r="X384" s="32"/>
      <c r="Y384" s="32">
        <f t="shared" si="231"/>
        <v>0</v>
      </c>
      <c r="Z384" s="32"/>
      <c r="AA384" s="32">
        <f t="shared" si="232"/>
        <v>0</v>
      </c>
      <c r="AB384" s="32">
        <f t="shared" si="233"/>
        <v>0</v>
      </c>
      <c r="AC384" s="14" t="str">
        <f t="shared" si="234"/>
        <v>ok</v>
      </c>
    </row>
    <row r="385" spans="1:29" ht="12.75" x14ac:dyDescent="0.2">
      <c r="A385" s="2">
        <v>566</v>
      </c>
      <c r="B385" s="2" t="s">
        <v>585</v>
      </c>
      <c r="C385" s="2" t="s">
        <v>589</v>
      </c>
      <c r="D385" s="2" t="s">
        <v>390</v>
      </c>
      <c r="F385" s="32">
        <v>0</v>
      </c>
      <c r="G385" s="32"/>
      <c r="H385" s="32">
        <f t="shared" si="221"/>
        <v>0</v>
      </c>
      <c r="I385" s="32">
        <f t="shared" si="222"/>
        <v>0</v>
      </c>
      <c r="J385" s="32"/>
      <c r="K385" s="32">
        <f t="shared" si="223"/>
        <v>0</v>
      </c>
      <c r="L385" s="32"/>
      <c r="M385" s="32">
        <f t="shared" si="224"/>
        <v>0</v>
      </c>
      <c r="N385" s="32"/>
      <c r="O385" s="32">
        <f t="shared" si="225"/>
        <v>0</v>
      </c>
      <c r="P385" s="32">
        <f t="shared" si="226"/>
        <v>0</v>
      </c>
      <c r="Q385" s="32"/>
      <c r="R385" s="32">
        <f t="shared" si="227"/>
        <v>0</v>
      </c>
      <c r="S385" s="32">
        <f t="shared" si="228"/>
        <v>0</v>
      </c>
      <c r="T385" s="32"/>
      <c r="U385" s="32">
        <f t="shared" si="229"/>
        <v>0</v>
      </c>
      <c r="V385" s="32"/>
      <c r="W385" s="32">
        <f t="shared" si="230"/>
        <v>0</v>
      </c>
      <c r="X385" s="32"/>
      <c r="Y385" s="32">
        <f t="shared" si="231"/>
        <v>0</v>
      </c>
      <c r="Z385" s="32"/>
      <c r="AA385" s="32">
        <f t="shared" si="232"/>
        <v>0</v>
      </c>
      <c r="AB385" s="32">
        <f>SUM(H385:AA385)</f>
        <v>0</v>
      </c>
      <c r="AC385" s="14" t="str">
        <f>IF(ABS(AB385-F385)&lt;1,"ok","err")</f>
        <v>ok</v>
      </c>
    </row>
    <row r="386" spans="1:29" ht="12.75" x14ac:dyDescent="0.2">
      <c r="A386" s="2">
        <v>568</v>
      </c>
      <c r="B386" s="2" t="s">
        <v>373</v>
      </c>
      <c r="C386" s="2" t="s">
        <v>479</v>
      </c>
      <c r="D386" s="2" t="s">
        <v>390</v>
      </c>
      <c r="F386" s="32">
        <v>0</v>
      </c>
      <c r="G386" s="32"/>
      <c r="H386" s="32">
        <f t="shared" si="221"/>
        <v>0</v>
      </c>
      <c r="I386" s="32">
        <f t="shared" si="222"/>
        <v>0</v>
      </c>
      <c r="J386" s="32"/>
      <c r="K386" s="32">
        <f t="shared" si="223"/>
        <v>0</v>
      </c>
      <c r="L386" s="32"/>
      <c r="M386" s="32">
        <f t="shared" si="224"/>
        <v>0</v>
      </c>
      <c r="N386" s="32"/>
      <c r="O386" s="32">
        <f t="shared" si="225"/>
        <v>0</v>
      </c>
      <c r="P386" s="32">
        <f t="shared" si="226"/>
        <v>0</v>
      </c>
      <c r="Q386" s="32"/>
      <c r="R386" s="32">
        <f t="shared" si="227"/>
        <v>0</v>
      </c>
      <c r="S386" s="32">
        <f t="shared" si="228"/>
        <v>0</v>
      </c>
      <c r="T386" s="32"/>
      <c r="U386" s="32">
        <f t="shared" si="229"/>
        <v>0</v>
      </c>
      <c r="V386" s="32"/>
      <c r="W386" s="32">
        <f t="shared" si="230"/>
        <v>0</v>
      </c>
      <c r="X386" s="32"/>
      <c r="Y386" s="32">
        <f t="shared" si="231"/>
        <v>0</v>
      </c>
      <c r="Z386" s="32"/>
      <c r="AA386" s="32">
        <f t="shared" si="232"/>
        <v>0</v>
      </c>
      <c r="AB386" s="32">
        <f t="shared" si="233"/>
        <v>0</v>
      </c>
      <c r="AC386" s="14" t="str">
        <f t="shared" si="234"/>
        <v>ok</v>
      </c>
    </row>
    <row r="387" spans="1:29" ht="12.75" x14ac:dyDescent="0.2">
      <c r="A387" s="2">
        <v>570</v>
      </c>
      <c r="B387" s="2" t="s">
        <v>375</v>
      </c>
      <c r="C387" s="2" t="s">
        <v>480</v>
      </c>
      <c r="D387" s="2" t="s">
        <v>390</v>
      </c>
      <c r="F387" s="32">
        <v>0</v>
      </c>
      <c r="G387" s="32"/>
      <c r="H387" s="32">
        <f t="shared" si="221"/>
        <v>0</v>
      </c>
      <c r="I387" s="32">
        <f t="shared" si="222"/>
        <v>0</v>
      </c>
      <c r="J387" s="32"/>
      <c r="K387" s="32">
        <f t="shared" si="223"/>
        <v>0</v>
      </c>
      <c r="L387" s="32"/>
      <c r="M387" s="32">
        <f t="shared" si="224"/>
        <v>0</v>
      </c>
      <c r="N387" s="32"/>
      <c r="O387" s="32">
        <f t="shared" si="225"/>
        <v>0</v>
      </c>
      <c r="P387" s="32">
        <f t="shared" si="226"/>
        <v>0</v>
      </c>
      <c r="Q387" s="32"/>
      <c r="R387" s="32">
        <f t="shared" si="227"/>
        <v>0</v>
      </c>
      <c r="S387" s="32">
        <f t="shared" si="228"/>
        <v>0</v>
      </c>
      <c r="T387" s="32"/>
      <c r="U387" s="32">
        <f t="shared" si="229"/>
        <v>0</v>
      </c>
      <c r="V387" s="32"/>
      <c r="W387" s="32">
        <f t="shared" si="230"/>
        <v>0</v>
      </c>
      <c r="X387" s="32"/>
      <c r="Y387" s="32">
        <f t="shared" si="231"/>
        <v>0</v>
      </c>
      <c r="Z387" s="32"/>
      <c r="AA387" s="32">
        <f t="shared" si="232"/>
        <v>0</v>
      </c>
      <c r="AB387" s="32">
        <f t="shared" si="233"/>
        <v>0</v>
      </c>
      <c r="AC387" s="14" t="str">
        <f t="shared" si="234"/>
        <v>ok</v>
      </c>
    </row>
    <row r="388" spans="1:29" ht="12.75" x14ac:dyDescent="0.2">
      <c r="A388" s="2">
        <v>571</v>
      </c>
      <c r="B388" s="2" t="s">
        <v>376</v>
      </c>
      <c r="C388" s="2" t="s">
        <v>481</v>
      </c>
      <c r="D388" s="2" t="s">
        <v>390</v>
      </c>
      <c r="F388" s="32">
        <v>0</v>
      </c>
      <c r="G388" s="32"/>
      <c r="H388" s="32">
        <f t="shared" si="221"/>
        <v>0</v>
      </c>
      <c r="I388" s="32">
        <f t="shared" si="222"/>
        <v>0</v>
      </c>
      <c r="J388" s="32"/>
      <c r="K388" s="32">
        <f t="shared" si="223"/>
        <v>0</v>
      </c>
      <c r="L388" s="32"/>
      <c r="M388" s="32">
        <f t="shared" si="224"/>
        <v>0</v>
      </c>
      <c r="N388" s="32"/>
      <c r="O388" s="32">
        <f t="shared" si="225"/>
        <v>0</v>
      </c>
      <c r="P388" s="32">
        <f t="shared" si="226"/>
        <v>0</v>
      </c>
      <c r="Q388" s="32"/>
      <c r="R388" s="32">
        <f t="shared" si="227"/>
        <v>0</v>
      </c>
      <c r="S388" s="32">
        <f t="shared" si="228"/>
        <v>0</v>
      </c>
      <c r="T388" s="32"/>
      <c r="U388" s="32">
        <f t="shared" si="229"/>
        <v>0</v>
      </c>
      <c r="V388" s="32"/>
      <c r="W388" s="32">
        <f t="shared" si="230"/>
        <v>0</v>
      </c>
      <c r="X388" s="32"/>
      <c r="Y388" s="32">
        <f t="shared" si="231"/>
        <v>0</v>
      </c>
      <c r="Z388" s="32"/>
      <c r="AA388" s="32">
        <f t="shared" si="232"/>
        <v>0</v>
      </c>
      <c r="AB388" s="32">
        <f t="shared" si="233"/>
        <v>0</v>
      </c>
      <c r="AC388" s="14" t="str">
        <f t="shared" si="234"/>
        <v>ok</v>
      </c>
    </row>
    <row r="389" spans="1:29" ht="12.75" x14ac:dyDescent="0.2"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32"/>
      <c r="AC389" s="14"/>
    </row>
    <row r="390" spans="1:29" ht="12.75" x14ac:dyDescent="0.2">
      <c r="A390" s="2" t="s">
        <v>533</v>
      </c>
      <c r="F390" s="69">
        <f>SUM(F381:F388)</f>
        <v>0</v>
      </c>
      <c r="G390" s="69"/>
      <c r="H390" s="69">
        <f>SUM(H381:H388)</f>
        <v>0</v>
      </c>
      <c r="I390" s="69">
        <f>SUM(I381:I388)</f>
        <v>0</v>
      </c>
      <c r="J390" s="69"/>
      <c r="K390" s="69">
        <f>SUM(K381:K388)</f>
        <v>0</v>
      </c>
      <c r="L390" s="69"/>
      <c r="M390" s="69">
        <f>SUM(M381:M388)</f>
        <v>0</v>
      </c>
      <c r="N390" s="69"/>
      <c r="O390" s="69">
        <f>SUM(O381:O388)</f>
        <v>0</v>
      </c>
      <c r="P390" s="69">
        <f>SUM(P381:P388)</f>
        <v>0</v>
      </c>
      <c r="Q390" s="69"/>
      <c r="R390" s="69">
        <f>SUM(R381:R388)</f>
        <v>0</v>
      </c>
      <c r="S390" s="69">
        <f>SUM(S381:S388)</f>
        <v>0</v>
      </c>
      <c r="T390" s="69"/>
      <c r="U390" s="69">
        <f>SUM(U381:U388)</f>
        <v>0</v>
      </c>
      <c r="V390" s="69"/>
      <c r="W390" s="69">
        <f>SUM(W381:W388)</f>
        <v>0</v>
      </c>
      <c r="X390" s="69"/>
      <c r="Y390" s="69">
        <f>SUM(Y381:Y388)</f>
        <v>0</v>
      </c>
      <c r="Z390" s="69"/>
      <c r="AA390" s="69">
        <f>SUM(AA381:AA388)</f>
        <v>0</v>
      </c>
      <c r="AB390" s="45">
        <f>SUM(H390:AA390)</f>
        <v>0</v>
      </c>
      <c r="AC390" s="14" t="str">
        <f>IF(ABS(AB390-F390)&lt;1,"ok","err")</f>
        <v>ok</v>
      </c>
    </row>
    <row r="391" spans="1:29" x14ac:dyDescent="0.25">
      <c r="Q391" s="2"/>
      <c r="AC391" s="14"/>
    </row>
    <row r="392" spans="1:29" x14ac:dyDescent="0.25">
      <c r="A392" s="1" t="s">
        <v>535</v>
      </c>
      <c r="Q392" s="2"/>
      <c r="AC392" s="14"/>
    </row>
    <row r="393" spans="1:29" ht="12.75" x14ac:dyDescent="0.2">
      <c r="A393" s="2">
        <v>580</v>
      </c>
      <c r="B393" s="2" t="s">
        <v>99</v>
      </c>
      <c r="C393" s="2" t="s">
        <v>482</v>
      </c>
      <c r="D393" s="2" t="s">
        <v>16</v>
      </c>
      <c r="F393" s="45">
        <v>20793</v>
      </c>
      <c r="G393" s="45"/>
      <c r="H393" s="32">
        <f t="shared" ref="H393:H403" si="235">IF(VLOOKUP($D393,$C$5:$AA$507,6,)=0,0,((VLOOKUP($D393,$C$5:$AA$507,6,)/VLOOKUP($D393,$C$5:$AA$507,4,))*$F393))</f>
        <v>0</v>
      </c>
      <c r="I393" s="32">
        <f t="shared" ref="I393:I403" si="236">IF(VLOOKUP($D393,$C$5:$AA$507,7,)=0,0,((VLOOKUP($D393,$C$5:$AA$507,7,)/VLOOKUP($D393,$C$5:$AA$507,4,))*$F393))</f>
        <v>0</v>
      </c>
      <c r="J393" s="32"/>
      <c r="K393" s="32">
        <f t="shared" ref="K393:K403" si="237">IF(VLOOKUP($D393,$C$5:$AA$507,9,)=0,0,((VLOOKUP($D393,$C$5:$AA$507,9,)/VLOOKUP($D393,$C$5:$AA$507,4,))*$F393))</f>
        <v>0</v>
      </c>
      <c r="L393" s="32"/>
      <c r="M393" s="32">
        <f t="shared" ref="M393:M403" si="238">IF(VLOOKUP($D393,$C$5:$AA$507,11,)=0,0,((VLOOKUP($D393,$C$5:$AA$507,11,)/VLOOKUP($D393,$C$5:$AA$507,4,))*$F393))</f>
        <v>7.5902814790723152</v>
      </c>
      <c r="N393" s="32"/>
      <c r="O393" s="32">
        <f t="shared" ref="O393:O403" si="239">IF(VLOOKUP($D393,$C$5:$AA$507,13,)=0,0,((VLOOKUP($D393,$C$5:$AA$507,13,)/VLOOKUP($D393,$C$5:$AA$507,4,))*$F393))</f>
        <v>11051.412857686102</v>
      </c>
      <c r="P393" s="32">
        <f t="shared" ref="P393:P403" si="240">IF(VLOOKUP($D393,$C$5:$AA$507,14,)=0,0,((VLOOKUP($D393,$C$5:$AA$507,14,)/VLOOKUP($D393,$C$5:$AA$507,4,))*$F393))</f>
        <v>5695.307763788006</v>
      </c>
      <c r="Q393" s="32"/>
      <c r="R393" s="32">
        <f t="shared" ref="R393:R403" si="241">IF(VLOOKUP($D393,$C$5:$AA$507,16,)=0,0,((VLOOKUP($D393,$C$5:$AA$507,16,)/VLOOKUP($D393,$C$5:$AA$507,4,))*$F393))</f>
        <v>0</v>
      </c>
      <c r="S393" s="32">
        <f t="shared" ref="S393:S403" si="242">IF(VLOOKUP($D393,$C$5:$AA$507,17,)=0,0,((VLOOKUP($D393,$C$5:$AA$507,17,)/VLOOKUP($D393,$C$5:$AA$507,4,))*$F393))</f>
        <v>2067.9865605012346</v>
      </c>
      <c r="T393" s="32"/>
      <c r="U393" s="32">
        <f t="shared" ref="U393:U403" si="243">IF(VLOOKUP($D393,$C$5:$AA$507,19,)=0,0,((VLOOKUP($D393,$C$5:$AA$507,19,)/VLOOKUP($D393,$C$5:$AA$507,4,))*$F393))</f>
        <v>1165.5037101441962</v>
      </c>
      <c r="V393" s="32"/>
      <c r="W393" s="32">
        <f t="shared" ref="W393:W403" si="244">IF(VLOOKUP($D393,$C$5:$AA$507,21,)=0,0,((VLOOKUP($D393,$C$5:$AA$507,21,)/VLOOKUP($D393,$C$5:$AA$507,4,))*$F393))</f>
        <v>805.19882640138871</v>
      </c>
      <c r="X393" s="32"/>
      <c r="Y393" s="32">
        <f t="shared" ref="Y393:Y403" si="245">IF(VLOOKUP($D393,$C$5:$AA$507,23,)=0,0,((VLOOKUP($D393,$C$5:$AA$507,23,)/VLOOKUP($D393,$C$5:$AA$507,4,))*$F393))</f>
        <v>0</v>
      </c>
      <c r="Z393" s="32"/>
      <c r="AA393" s="32">
        <f t="shared" ref="AA393:AA403" si="246">IF(VLOOKUP($D393,$C$5:$AA$507,25,)=0,0,((VLOOKUP($D393,$C$5:$AA$507,25,)/VLOOKUP($D393,$C$5:$AA$507,4,))*$F393))</f>
        <v>0</v>
      </c>
      <c r="AB393" s="32">
        <f t="shared" ref="AB393:AB403" si="247">SUM(H393:AA393)</f>
        <v>20793</v>
      </c>
      <c r="AC393" s="14" t="str">
        <f t="shared" ref="AC393:AC403" si="248">IF(ABS(AB393-F393)&lt;1,"ok","err")</f>
        <v>ok</v>
      </c>
    </row>
    <row r="394" spans="1:29" ht="12.75" x14ac:dyDescent="0.2">
      <c r="A394" s="2">
        <v>581</v>
      </c>
      <c r="B394" s="2" t="s">
        <v>101</v>
      </c>
      <c r="C394" s="2" t="s">
        <v>483</v>
      </c>
      <c r="D394" s="2" t="s">
        <v>23</v>
      </c>
      <c r="F394" s="32">
        <v>0</v>
      </c>
      <c r="G394" s="32"/>
      <c r="H394" s="32">
        <f t="shared" si="235"/>
        <v>0</v>
      </c>
      <c r="I394" s="32">
        <f t="shared" si="236"/>
        <v>0</v>
      </c>
      <c r="J394" s="32"/>
      <c r="K394" s="32">
        <f t="shared" si="237"/>
        <v>0</v>
      </c>
      <c r="L394" s="32"/>
      <c r="M394" s="32">
        <f t="shared" si="238"/>
        <v>0</v>
      </c>
      <c r="N394" s="32"/>
      <c r="O394" s="32">
        <f t="shared" si="239"/>
        <v>0</v>
      </c>
      <c r="P394" s="32">
        <f t="shared" si="240"/>
        <v>0</v>
      </c>
      <c r="Q394" s="32"/>
      <c r="R394" s="32">
        <f t="shared" si="241"/>
        <v>0</v>
      </c>
      <c r="S394" s="32">
        <f t="shared" si="242"/>
        <v>0</v>
      </c>
      <c r="T394" s="32"/>
      <c r="U394" s="32">
        <f t="shared" si="243"/>
        <v>0</v>
      </c>
      <c r="V394" s="32"/>
      <c r="W394" s="32">
        <f t="shared" si="244"/>
        <v>0</v>
      </c>
      <c r="X394" s="32"/>
      <c r="Y394" s="32">
        <f t="shared" si="245"/>
        <v>0</v>
      </c>
      <c r="Z394" s="32"/>
      <c r="AA394" s="32">
        <f t="shared" si="246"/>
        <v>0</v>
      </c>
      <c r="AB394" s="32">
        <f t="shared" si="247"/>
        <v>0</v>
      </c>
      <c r="AC394" s="14" t="str">
        <f t="shared" si="248"/>
        <v>ok</v>
      </c>
    </row>
    <row r="395" spans="1:29" ht="12.75" x14ac:dyDescent="0.2">
      <c r="A395" s="2">
        <v>582</v>
      </c>
      <c r="B395" s="2" t="s">
        <v>372</v>
      </c>
      <c r="C395" s="2" t="s">
        <v>484</v>
      </c>
      <c r="D395" s="2" t="s">
        <v>23</v>
      </c>
      <c r="F395" s="32">
        <v>0</v>
      </c>
      <c r="G395" s="32"/>
      <c r="H395" s="32">
        <f t="shared" si="235"/>
        <v>0</v>
      </c>
      <c r="I395" s="32">
        <f t="shared" si="236"/>
        <v>0</v>
      </c>
      <c r="J395" s="32"/>
      <c r="K395" s="32">
        <f t="shared" si="237"/>
        <v>0</v>
      </c>
      <c r="L395" s="32"/>
      <c r="M395" s="32">
        <f t="shared" si="238"/>
        <v>0</v>
      </c>
      <c r="N395" s="32"/>
      <c r="O395" s="32">
        <f t="shared" si="239"/>
        <v>0</v>
      </c>
      <c r="P395" s="32">
        <f t="shared" si="240"/>
        <v>0</v>
      </c>
      <c r="Q395" s="32"/>
      <c r="R395" s="32">
        <f t="shared" si="241"/>
        <v>0</v>
      </c>
      <c r="S395" s="32">
        <f t="shared" si="242"/>
        <v>0</v>
      </c>
      <c r="T395" s="32"/>
      <c r="U395" s="32">
        <f t="shared" si="243"/>
        <v>0</v>
      </c>
      <c r="V395" s="32"/>
      <c r="W395" s="32">
        <f t="shared" si="244"/>
        <v>0</v>
      </c>
      <c r="X395" s="32"/>
      <c r="Y395" s="32">
        <f t="shared" si="245"/>
        <v>0</v>
      </c>
      <c r="Z395" s="32"/>
      <c r="AA395" s="32">
        <f t="shared" si="246"/>
        <v>0</v>
      </c>
      <c r="AB395" s="32">
        <f t="shared" si="247"/>
        <v>0</v>
      </c>
      <c r="AC395" s="14" t="str">
        <f t="shared" si="248"/>
        <v>ok</v>
      </c>
    </row>
    <row r="396" spans="1:29" ht="12.75" x14ac:dyDescent="0.2">
      <c r="A396" s="2">
        <v>583</v>
      </c>
      <c r="B396" s="2" t="s">
        <v>103</v>
      </c>
      <c r="C396" s="2" t="s">
        <v>485</v>
      </c>
      <c r="D396" s="2" t="s">
        <v>29</v>
      </c>
      <c r="F396" s="32">
        <v>8993</v>
      </c>
      <c r="G396" s="32"/>
      <c r="H396" s="32">
        <f t="shared" si="235"/>
        <v>0</v>
      </c>
      <c r="I396" s="32">
        <f t="shared" si="236"/>
        <v>0</v>
      </c>
      <c r="J396" s="32"/>
      <c r="K396" s="32">
        <f t="shared" si="237"/>
        <v>0</v>
      </c>
      <c r="L396" s="32"/>
      <c r="M396" s="32">
        <f t="shared" si="238"/>
        <v>0</v>
      </c>
      <c r="N396" s="32"/>
      <c r="O396" s="32">
        <f t="shared" si="239"/>
        <v>6977.9908333540825</v>
      </c>
      <c r="P396" s="32">
        <f t="shared" si="240"/>
        <v>2015.0091666459175</v>
      </c>
      <c r="Q396" s="32"/>
      <c r="R396" s="32">
        <f t="shared" si="241"/>
        <v>0</v>
      </c>
      <c r="S396" s="32">
        <f t="shared" si="242"/>
        <v>0</v>
      </c>
      <c r="T396" s="32"/>
      <c r="U396" s="32">
        <f t="shared" si="243"/>
        <v>0</v>
      </c>
      <c r="V396" s="32"/>
      <c r="W396" s="32">
        <f t="shared" si="244"/>
        <v>0</v>
      </c>
      <c r="X396" s="32"/>
      <c r="Y396" s="32">
        <f t="shared" si="245"/>
        <v>0</v>
      </c>
      <c r="Z396" s="32"/>
      <c r="AA396" s="32">
        <f t="shared" si="246"/>
        <v>0</v>
      </c>
      <c r="AB396" s="32">
        <f t="shared" si="247"/>
        <v>8993</v>
      </c>
      <c r="AC396" s="14" t="str">
        <f t="shared" si="248"/>
        <v>ok</v>
      </c>
    </row>
    <row r="397" spans="1:29" ht="12.75" x14ac:dyDescent="0.2">
      <c r="A397" s="2">
        <v>584</v>
      </c>
      <c r="B397" s="2" t="s">
        <v>105</v>
      </c>
      <c r="C397" s="2" t="s">
        <v>486</v>
      </c>
      <c r="D397" s="2" t="s">
        <v>35</v>
      </c>
      <c r="F397" s="32">
        <v>0</v>
      </c>
      <c r="G397" s="32"/>
      <c r="H397" s="32">
        <f t="shared" si="235"/>
        <v>0</v>
      </c>
      <c r="I397" s="32">
        <f t="shared" si="236"/>
        <v>0</v>
      </c>
      <c r="J397" s="32"/>
      <c r="K397" s="32">
        <f t="shared" si="237"/>
        <v>0</v>
      </c>
      <c r="L397" s="32"/>
      <c r="M397" s="32">
        <f t="shared" si="238"/>
        <v>0</v>
      </c>
      <c r="N397" s="32"/>
      <c r="O397" s="32">
        <f t="shared" si="239"/>
        <v>0</v>
      </c>
      <c r="P397" s="32">
        <f t="shared" si="240"/>
        <v>0</v>
      </c>
      <c r="Q397" s="32"/>
      <c r="R397" s="32">
        <f t="shared" si="241"/>
        <v>0</v>
      </c>
      <c r="S397" s="32">
        <f t="shared" si="242"/>
        <v>0</v>
      </c>
      <c r="T397" s="32"/>
      <c r="U397" s="32">
        <f t="shared" si="243"/>
        <v>0</v>
      </c>
      <c r="V397" s="32"/>
      <c r="W397" s="32">
        <f t="shared" si="244"/>
        <v>0</v>
      </c>
      <c r="X397" s="32"/>
      <c r="Y397" s="32">
        <f t="shared" si="245"/>
        <v>0</v>
      </c>
      <c r="Z397" s="32"/>
      <c r="AA397" s="32">
        <f t="shared" si="246"/>
        <v>0</v>
      </c>
      <c r="AB397" s="32">
        <f t="shared" si="247"/>
        <v>0</v>
      </c>
      <c r="AC397" s="14" t="str">
        <f t="shared" si="248"/>
        <v>ok</v>
      </c>
    </row>
    <row r="398" spans="1:29" ht="12.75" x14ac:dyDescent="0.2">
      <c r="A398" s="2">
        <v>585</v>
      </c>
      <c r="B398" s="2" t="s">
        <v>107</v>
      </c>
      <c r="C398" s="2" t="s">
        <v>487</v>
      </c>
      <c r="D398" s="2" t="s">
        <v>46</v>
      </c>
      <c r="F398" s="32">
        <v>0</v>
      </c>
      <c r="G398" s="32"/>
      <c r="H398" s="32">
        <f t="shared" si="235"/>
        <v>0</v>
      </c>
      <c r="I398" s="32">
        <f t="shared" si="236"/>
        <v>0</v>
      </c>
      <c r="J398" s="32"/>
      <c r="K398" s="32">
        <f t="shared" si="237"/>
        <v>0</v>
      </c>
      <c r="L398" s="32"/>
      <c r="M398" s="32">
        <f t="shared" si="238"/>
        <v>0</v>
      </c>
      <c r="N398" s="32"/>
      <c r="O398" s="32">
        <f t="shared" si="239"/>
        <v>0</v>
      </c>
      <c r="P398" s="32">
        <f t="shared" si="240"/>
        <v>0</v>
      </c>
      <c r="Q398" s="32"/>
      <c r="R398" s="32">
        <f t="shared" si="241"/>
        <v>0</v>
      </c>
      <c r="S398" s="32">
        <f t="shared" si="242"/>
        <v>0</v>
      </c>
      <c r="T398" s="32"/>
      <c r="U398" s="32">
        <f t="shared" si="243"/>
        <v>0</v>
      </c>
      <c r="V398" s="32"/>
      <c r="W398" s="32">
        <f t="shared" si="244"/>
        <v>0</v>
      </c>
      <c r="X398" s="32"/>
      <c r="Y398" s="32">
        <f t="shared" si="245"/>
        <v>0</v>
      </c>
      <c r="Z398" s="32"/>
      <c r="AA398" s="32">
        <f t="shared" si="246"/>
        <v>0</v>
      </c>
      <c r="AB398" s="32">
        <f t="shared" si="247"/>
        <v>0</v>
      </c>
      <c r="AC398" s="14" t="str">
        <f t="shared" si="248"/>
        <v>ok</v>
      </c>
    </row>
    <row r="399" spans="1:29" ht="12.75" x14ac:dyDescent="0.2">
      <c r="A399" s="2">
        <v>586</v>
      </c>
      <c r="B399" s="2" t="s">
        <v>109</v>
      </c>
      <c r="C399" s="2" t="s">
        <v>488</v>
      </c>
      <c r="D399" s="2" t="s">
        <v>43</v>
      </c>
      <c r="F399" s="32">
        <v>115089</v>
      </c>
      <c r="G399" s="32"/>
      <c r="H399" s="32">
        <f t="shared" si="235"/>
        <v>0</v>
      </c>
      <c r="I399" s="32">
        <f t="shared" si="236"/>
        <v>0</v>
      </c>
      <c r="J399" s="32"/>
      <c r="K399" s="32">
        <f t="shared" si="237"/>
        <v>0</v>
      </c>
      <c r="L399" s="32"/>
      <c r="M399" s="32">
        <f t="shared" si="238"/>
        <v>0</v>
      </c>
      <c r="N399" s="32"/>
      <c r="O399" s="32">
        <f t="shared" si="239"/>
        <v>0</v>
      </c>
      <c r="P399" s="32">
        <f t="shared" si="240"/>
        <v>0</v>
      </c>
      <c r="Q399" s="32"/>
      <c r="R399" s="32">
        <f t="shared" si="241"/>
        <v>0</v>
      </c>
      <c r="S399" s="32">
        <f t="shared" si="242"/>
        <v>0</v>
      </c>
      <c r="T399" s="32"/>
      <c r="U399" s="32">
        <f t="shared" si="243"/>
        <v>115089</v>
      </c>
      <c r="V399" s="32"/>
      <c r="W399" s="32">
        <f t="shared" si="244"/>
        <v>0</v>
      </c>
      <c r="X399" s="32"/>
      <c r="Y399" s="32">
        <f t="shared" si="245"/>
        <v>0</v>
      </c>
      <c r="Z399" s="32"/>
      <c r="AA399" s="32">
        <f t="shared" si="246"/>
        <v>0</v>
      </c>
      <c r="AB399" s="32">
        <f t="shared" si="247"/>
        <v>115089</v>
      </c>
      <c r="AC399" s="14" t="str">
        <f t="shared" si="248"/>
        <v>ok</v>
      </c>
    </row>
    <row r="400" spans="1:29" ht="12.75" x14ac:dyDescent="0.2">
      <c r="A400" s="2">
        <v>586</v>
      </c>
      <c r="B400" s="2" t="s">
        <v>450</v>
      </c>
      <c r="C400" s="2" t="s">
        <v>489</v>
      </c>
      <c r="D400" s="2" t="s">
        <v>471</v>
      </c>
      <c r="F400" s="32">
        <v>0</v>
      </c>
      <c r="G400" s="32"/>
      <c r="H400" s="32">
        <f t="shared" si="235"/>
        <v>0</v>
      </c>
      <c r="I400" s="32">
        <f t="shared" si="236"/>
        <v>0</v>
      </c>
      <c r="J400" s="32"/>
      <c r="K400" s="32">
        <f t="shared" si="237"/>
        <v>0</v>
      </c>
      <c r="L400" s="32"/>
      <c r="M400" s="32">
        <f t="shared" si="238"/>
        <v>0</v>
      </c>
      <c r="N400" s="32"/>
      <c r="O400" s="32">
        <f t="shared" si="239"/>
        <v>0</v>
      </c>
      <c r="P400" s="32">
        <f t="shared" si="240"/>
        <v>0</v>
      </c>
      <c r="Q400" s="32"/>
      <c r="R400" s="32">
        <f t="shared" si="241"/>
        <v>0</v>
      </c>
      <c r="S400" s="32">
        <f t="shared" si="242"/>
        <v>0</v>
      </c>
      <c r="T400" s="32"/>
      <c r="U400" s="32">
        <f t="shared" si="243"/>
        <v>0</v>
      </c>
      <c r="V400" s="32"/>
      <c r="W400" s="32">
        <f t="shared" si="244"/>
        <v>0</v>
      </c>
      <c r="X400" s="32"/>
      <c r="Y400" s="32">
        <f t="shared" si="245"/>
        <v>0</v>
      </c>
      <c r="Z400" s="32"/>
      <c r="AA400" s="32">
        <f t="shared" si="246"/>
        <v>0</v>
      </c>
      <c r="AB400" s="32">
        <f t="shared" si="247"/>
        <v>0</v>
      </c>
      <c r="AC400" s="14" t="str">
        <f t="shared" si="248"/>
        <v>ok</v>
      </c>
    </row>
    <row r="401" spans="1:29" ht="12.75" x14ac:dyDescent="0.2">
      <c r="A401" s="2">
        <v>587</v>
      </c>
      <c r="B401" s="2" t="s">
        <v>111</v>
      </c>
      <c r="C401" s="2" t="s">
        <v>490</v>
      </c>
      <c r="D401" s="2" t="s">
        <v>40</v>
      </c>
      <c r="F401" s="32">
        <v>29176</v>
      </c>
      <c r="G401" s="32"/>
      <c r="H401" s="32">
        <f t="shared" si="235"/>
        <v>0</v>
      </c>
      <c r="I401" s="32">
        <f t="shared" si="236"/>
        <v>0</v>
      </c>
      <c r="J401" s="32"/>
      <c r="K401" s="32">
        <f t="shared" si="237"/>
        <v>0</v>
      </c>
      <c r="L401" s="32"/>
      <c r="M401" s="32">
        <f t="shared" si="238"/>
        <v>0</v>
      </c>
      <c r="N401" s="32"/>
      <c r="O401" s="32">
        <f t="shared" si="239"/>
        <v>0</v>
      </c>
      <c r="P401" s="32">
        <f t="shared" si="240"/>
        <v>0</v>
      </c>
      <c r="Q401" s="32"/>
      <c r="R401" s="32">
        <f t="shared" si="241"/>
        <v>0</v>
      </c>
      <c r="S401" s="32">
        <f t="shared" si="242"/>
        <v>29176</v>
      </c>
      <c r="T401" s="32"/>
      <c r="U401" s="32">
        <f t="shared" si="243"/>
        <v>0</v>
      </c>
      <c r="V401" s="32"/>
      <c r="W401" s="32">
        <f t="shared" si="244"/>
        <v>0</v>
      </c>
      <c r="X401" s="32"/>
      <c r="Y401" s="32">
        <f t="shared" si="245"/>
        <v>0</v>
      </c>
      <c r="Z401" s="32"/>
      <c r="AA401" s="32">
        <f t="shared" si="246"/>
        <v>0</v>
      </c>
      <c r="AB401" s="32">
        <f t="shared" si="247"/>
        <v>29176</v>
      </c>
      <c r="AC401" s="14" t="str">
        <f t="shared" si="248"/>
        <v>ok</v>
      </c>
    </row>
    <row r="402" spans="1:29" ht="12.75" x14ac:dyDescent="0.2">
      <c r="A402" s="2">
        <v>588</v>
      </c>
      <c r="B402" s="2" t="s">
        <v>113</v>
      </c>
      <c r="C402" s="2" t="s">
        <v>491</v>
      </c>
      <c r="D402" s="2" t="s">
        <v>16</v>
      </c>
      <c r="F402" s="32">
        <v>450845</v>
      </c>
      <c r="G402" s="32"/>
      <c r="H402" s="32">
        <f t="shared" si="235"/>
        <v>0</v>
      </c>
      <c r="I402" s="32">
        <f t="shared" si="236"/>
        <v>0</v>
      </c>
      <c r="J402" s="32"/>
      <c r="K402" s="32">
        <f t="shared" si="237"/>
        <v>0</v>
      </c>
      <c r="L402" s="32"/>
      <c r="M402" s="32">
        <f t="shared" si="238"/>
        <v>164.57656198876342</v>
      </c>
      <c r="N402" s="32"/>
      <c r="O402" s="32">
        <f t="shared" si="239"/>
        <v>239622.672525537</v>
      </c>
      <c r="P402" s="32">
        <f t="shared" si="240"/>
        <v>123488.72354951203</v>
      </c>
      <c r="Q402" s="32"/>
      <c r="R402" s="32">
        <f t="shared" si="241"/>
        <v>0</v>
      </c>
      <c r="S402" s="32">
        <f t="shared" si="242"/>
        <v>44839.195925031461</v>
      </c>
      <c r="T402" s="32"/>
      <c r="U402" s="32">
        <f t="shared" si="243"/>
        <v>25271.077776172755</v>
      </c>
      <c r="V402" s="32"/>
      <c r="W402" s="32">
        <f t="shared" si="244"/>
        <v>17458.753661758001</v>
      </c>
      <c r="X402" s="32"/>
      <c r="Y402" s="32">
        <f t="shared" si="245"/>
        <v>0</v>
      </c>
      <c r="Z402" s="32"/>
      <c r="AA402" s="32">
        <f t="shared" si="246"/>
        <v>0</v>
      </c>
      <c r="AB402" s="32">
        <f t="shared" si="247"/>
        <v>450845</v>
      </c>
      <c r="AC402" s="14" t="str">
        <f t="shared" si="248"/>
        <v>ok</v>
      </c>
    </row>
    <row r="403" spans="1:29" ht="12.75" x14ac:dyDescent="0.2">
      <c r="A403" s="2">
        <v>589</v>
      </c>
      <c r="B403" s="2" t="s">
        <v>115</v>
      </c>
      <c r="C403" s="2" t="s">
        <v>492</v>
      </c>
      <c r="D403" s="2" t="s">
        <v>16</v>
      </c>
      <c r="F403" s="32">
        <v>0</v>
      </c>
      <c r="G403" s="32"/>
      <c r="H403" s="32">
        <f t="shared" si="235"/>
        <v>0</v>
      </c>
      <c r="I403" s="32">
        <f t="shared" si="236"/>
        <v>0</v>
      </c>
      <c r="J403" s="32"/>
      <c r="K403" s="32">
        <f t="shared" si="237"/>
        <v>0</v>
      </c>
      <c r="L403" s="32"/>
      <c r="M403" s="32">
        <f t="shared" si="238"/>
        <v>0</v>
      </c>
      <c r="N403" s="32"/>
      <c r="O403" s="32">
        <f t="shared" si="239"/>
        <v>0</v>
      </c>
      <c r="P403" s="32">
        <f t="shared" si="240"/>
        <v>0</v>
      </c>
      <c r="Q403" s="32"/>
      <c r="R403" s="32">
        <f t="shared" si="241"/>
        <v>0</v>
      </c>
      <c r="S403" s="32">
        <f t="shared" si="242"/>
        <v>0</v>
      </c>
      <c r="T403" s="32"/>
      <c r="U403" s="32">
        <f t="shared" si="243"/>
        <v>0</v>
      </c>
      <c r="V403" s="32"/>
      <c r="W403" s="32">
        <f t="shared" si="244"/>
        <v>0</v>
      </c>
      <c r="X403" s="32"/>
      <c r="Y403" s="32">
        <f t="shared" si="245"/>
        <v>0</v>
      </c>
      <c r="Z403" s="32"/>
      <c r="AA403" s="32">
        <f t="shared" si="246"/>
        <v>0</v>
      </c>
      <c r="AB403" s="32">
        <f t="shared" si="247"/>
        <v>0</v>
      </c>
      <c r="AC403" s="14" t="str">
        <f t="shared" si="248"/>
        <v>ok</v>
      </c>
    </row>
    <row r="404" spans="1:29" ht="12.75" x14ac:dyDescent="0.2"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C404" s="14"/>
    </row>
    <row r="405" spans="1:29" ht="12.75" x14ac:dyDescent="0.2">
      <c r="A405" s="2" t="s">
        <v>536</v>
      </c>
      <c r="C405" s="2" t="s">
        <v>493</v>
      </c>
      <c r="F405" s="45">
        <f>SUM(F393:F404)</f>
        <v>624896</v>
      </c>
      <c r="G405" s="45"/>
      <c r="H405" s="45">
        <f>SUM(H393:H404)</f>
        <v>0</v>
      </c>
      <c r="I405" s="45">
        <f>SUM(I393:I404)</f>
        <v>0</v>
      </c>
      <c r="J405" s="45"/>
      <c r="K405" s="45">
        <f>SUM(K393:K404)</f>
        <v>0</v>
      </c>
      <c r="L405" s="45"/>
      <c r="M405" s="45">
        <f>SUM(M393:M404)</f>
        <v>172.16684346783572</v>
      </c>
      <c r="N405" s="45"/>
      <c r="O405" s="45">
        <f>SUM(O393:O404)</f>
        <v>257652.07621657717</v>
      </c>
      <c r="P405" s="45">
        <f>SUM(P393:P404)</f>
        <v>131199.04047994595</v>
      </c>
      <c r="Q405" s="45"/>
      <c r="R405" s="45">
        <f>SUM(R393:R404)</f>
        <v>0</v>
      </c>
      <c r="S405" s="45">
        <f>SUM(S393:S404)</f>
        <v>76083.1824855327</v>
      </c>
      <c r="T405" s="45"/>
      <c r="U405" s="45">
        <f>SUM(U393:U404)</f>
        <v>141525.58148631695</v>
      </c>
      <c r="V405" s="45"/>
      <c r="W405" s="45">
        <f>SUM(W393:W404)</f>
        <v>18263.95248815939</v>
      </c>
      <c r="X405" s="45"/>
      <c r="Y405" s="45">
        <f>SUM(Y393:Y404)</f>
        <v>0</v>
      </c>
      <c r="Z405" s="45"/>
      <c r="AA405" s="45">
        <f>SUM(AA393:AA404)</f>
        <v>0</v>
      </c>
      <c r="AB405" s="32">
        <f>SUM(H405:AA405)</f>
        <v>624896</v>
      </c>
      <c r="AC405" s="14" t="str">
        <f>IF(ABS(AB405-F405)&lt;1,"ok","err")</f>
        <v>ok</v>
      </c>
    </row>
    <row r="406" spans="1:29" ht="12.75" x14ac:dyDescent="0.2"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32"/>
      <c r="AC406" s="14"/>
    </row>
    <row r="407" spans="1:29" ht="12.75" x14ac:dyDescent="0.2"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32"/>
      <c r="AC407" s="14"/>
    </row>
    <row r="408" spans="1:29" ht="12.75" x14ac:dyDescent="0.2">
      <c r="A408" s="1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C408" s="14"/>
    </row>
    <row r="409" spans="1:29" ht="12.75" x14ac:dyDescent="0.2">
      <c r="A409" s="12" t="s">
        <v>473</v>
      </c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C409" s="14"/>
    </row>
    <row r="410" spans="1:29" ht="12.75" x14ac:dyDescent="0.2"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C410" s="14"/>
    </row>
    <row r="411" spans="1:29" ht="12.75" x14ac:dyDescent="0.2">
      <c r="A411" s="1" t="s">
        <v>537</v>
      </c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C411" s="14"/>
    </row>
    <row r="412" spans="1:29" ht="12.75" x14ac:dyDescent="0.2">
      <c r="A412" s="2">
        <v>590</v>
      </c>
      <c r="B412" s="2" t="s">
        <v>120</v>
      </c>
      <c r="C412" s="2" t="s">
        <v>494</v>
      </c>
      <c r="D412" s="2" t="s">
        <v>16</v>
      </c>
      <c r="F412" s="45">
        <v>0</v>
      </c>
      <c r="G412" s="45"/>
      <c r="H412" s="32">
        <f t="shared" ref="H412:H419" si="249">IF(VLOOKUP($D412,$C$5:$AA$507,6,)=0,0,((VLOOKUP($D412,$C$5:$AA$507,6,)/VLOOKUP($D412,$C$5:$AA$507,4,))*$F412))</f>
        <v>0</v>
      </c>
      <c r="I412" s="32">
        <f t="shared" ref="I412:I419" si="250">IF(VLOOKUP($D412,$C$5:$AA$507,7,)=0,0,((VLOOKUP($D412,$C$5:$AA$507,7,)/VLOOKUP($D412,$C$5:$AA$507,4,))*$F412))</f>
        <v>0</v>
      </c>
      <c r="J412" s="32"/>
      <c r="K412" s="32">
        <f t="shared" ref="K412:K419" si="251">IF(VLOOKUP($D412,$C$5:$AA$507,9,)=0,0,((VLOOKUP($D412,$C$5:$AA$507,9,)/VLOOKUP($D412,$C$5:$AA$507,4,))*$F412))</f>
        <v>0</v>
      </c>
      <c r="L412" s="32"/>
      <c r="M412" s="32">
        <f t="shared" ref="M412:M419" si="252">IF(VLOOKUP($D412,$C$5:$AA$507,11,)=0,0,((VLOOKUP($D412,$C$5:$AA$507,11,)/VLOOKUP($D412,$C$5:$AA$507,4,))*$F412))</f>
        <v>0</v>
      </c>
      <c r="N412" s="32"/>
      <c r="O412" s="32">
        <f t="shared" ref="O412:O419" si="253">IF(VLOOKUP($D412,$C$5:$AA$507,13,)=0,0,((VLOOKUP($D412,$C$5:$AA$507,13,)/VLOOKUP($D412,$C$5:$AA$507,4,))*$F412))</f>
        <v>0</v>
      </c>
      <c r="P412" s="32">
        <f t="shared" ref="P412:P419" si="254">IF(VLOOKUP($D412,$C$5:$AA$507,14,)=0,0,((VLOOKUP($D412,$C$5:$AA$507,14,)/VLOOKUP($D412,$C$5:$AA$507,4,))*$F412))</f>
        <v>0</v>
      </c>
      <c r="Q412" s="32"/>
      <c r="R412" s="32">
        <f t="shared" ref="R412:R419" si="255">IF(VLOOKUP($D412,$C$5:$AA$507,16,)=0,0,((VLOOKUP($D412,$C$5:$AA$507,16,)/VLOOKUP($D412,$C$5:$AA$507,4,))*$F412))</f>
        <v>0</v>
      </c>
      <c r="S412" s="32">
        <f t="shared" ref="S412:S419" si="256">IF(VLOOKUP($D412,$C$5:$AA$507,17,)=0,0,((VLOOKUP($D412,$C$5:$AA$507,17,)/VLOOKUP($D412,$C$5:$AA$507,4,))*$F412))</f>
        <v>0</v>
      </c>
      <c r="T412" s="32"/>
      <c r="U412" s="32">
        <f t="shared" ref="U412:U419" si="257">IF(VLOOKUP($D412,$C$5:$AA$507,19,)=0,0,((VLOOKUP($D412,$C$5:$AA$507,19,)/VLOOKUP($D412,$C$5:$AA$507,4,))*$F412))</f>
        <v>0</v>
      </c>
      <c r="V412" s="32"/>
      <c r="W412" s="32">
        <f t="shared" ref="W412:W419" si="258">IF(VLOOKUP($D412,$C$5:$AA$507,21,)=0,0,((VLOOKUP($D412,$C$5:$AA$507,21,)/VLOOKUP($D412,$C$5:$AA$507,4,))*$F412))</f>
        <v>0</v>
      </c>
      <c r="X412" s="32"/>
      <c r="Y412" s="32">
        <f t="shared" ref="Y412:Y419" si="259">IF(VLOOKUP($D412,$C$5:$AA$507,23,)=0,0,((VLOOKUP($D412,$C$5:$AA$507,23,)/VLOOKUP($D412,$C$5:$AA$507,4,))*$F412))</f>
        <v>0</v>
      </c>
      <c r="Z412" s="32"/>
      <c r="AA412" s="32">
        <f t="shared" ref="AA412:AA419" si="260">IF(VLOOKUP($D412,$C$5:$AA$507,25,)=0,0,((VLOOKUP($D412,$C$5:$AA$507,25,)/VLOOKUP($D412,$C$5:$AA$507,4,))*$F412))</f>
        <v>0</v>
      </c>
      <c r="AB412" s="32">
        <f t="shared" ref="AB412:AB419" si="261">SUM(H412:AA412)</f>
        <v>0</v>
      </c>
      <c r="AC412" s="14" t="str">
        <f t="shared" ref="AC412:AC419" si="262">IF(ABS(AB412-F412)&lt;1,"ok","err")</f>
        <v>ok</v>
      </c>
    </row>
    <row r="413" spans="1:29" ht="12.75" x14ac:dyDescent="0.2">
      <c r="A413" s="2">
        <v>592</v>
      </c>
      <c r="B413" s="2" t="s">
        <v>122</v>
      </c>
      <c r="C413" s="2" t="s">
        <v>495</v>
      </c>
      <c r="D413" s="2" t="s">
        <v>23</v>
      </c>
      <c r="F413" s="32">
        <v>0</v>
      </c>
      <c r="G413" s="32"/>
      <c r="H413" s="32">
        <f t="shared" si="249"/>
        <v>0</v>
      </c>
      <c r="I413" s="32">
        <f t="shared" si="250"/>
        <v>0</v>
      </c>
      <c r="J413" s="32"/>
      <c r="K413" s="32">
        <f t="shared" si="251"/>
        <v>0</v>
      </c>
      <c r="L413" s="32"/>
      <c r="M413" s="32">
        <f t="shared" si="252"/>
        <v>0</v>
      </c>
      <c r="N413" s="32"/>
      <c r="O413" s="32">
        <f t="shared" si="253"/>
        <v>0</v>
      </c>
      <c r="P413" s="32">
        <f t="shared" si="254"/>
        <v>0</v>
      </c>
      <c r="Q413" s="32"/>
      <c r="R413" s="32">
        <f t="shared" si="255"/>
        <v>0</v>
      </c>
      <c r="S413" s="32">
        <f t="shared" si="256"/>
        <v>0</v>
      </c>
      <c r="T413" s="32"/>
      <c r="U413" s="32">
        <f t="shared" si="257"/>
        <v>0</v>
      </c>
      <c r="V413" s="32"/>
      <c r="W413" s="32">
        <f t="shared" si="258"/>
        <v>0</v>
      </c>
      <c r="X413" s="32"/>
      <c r="Y413" s="32">
        <f t="shared" si="259"/>
        <v>0</v>
      </c>
      <c r="Z413" s="32"/>
      <c r="AA413" s="32">
        <f t="shared" si="260"/>
        <v>0</v>
      </c>
      <c r="AB413" s="32">
        <f t="shared" si="261"/>
        <v>0</v>
      </c>
      <c r="AC413" s="14" t="str">
        <f t="shared" si="262"/>
        <v>ok</v>
      </c>
    </row>
    <row r="414" spans="1:29" ht="12.75" x14ac:dyDescent="0.2">
      <c r="A414" s="2">
        <v>593</v>
      </c>
      <c r="B414" s="2" t="s">
        <v>124</v>
      </c>
      <c r="C414" s="2" t="s">
        <v>496</v>
      </c>
      <c r="D414" s="2" t="s">
        <v>29</v>
      </c>
      <c r="F414" s="32">
        <v>1030262</v>
      </c>
      <c r="G414" s="32"/>
      <c r="H414" s="32">
        <f t="shared" si="249"/>
        <v>0</v>
      </c>
      <c r="I414" s="32">
        <f t="shared" si="250"/>
        <v>0</v>
      </c>
      <c r="J414" s="32"/>
      <c r="K414" s="32">
        <f t="shared" si="251"/>
        <v>0</v>
      </c>
      <c r="L414" s="32"/>
      <c r="M414" s="32">
        <f t="shared" si="252"/>
        <v>0</v>
      </c>
      <c r="N414" s="32"/>
      <c r="O414" s="32">
        <f t="shared" si="253"/>
        <v>799417.19025386893</v>
      </c>
      <c r="P414" s="32">
        <f t="shared" si="254"/>
        <v>230844.80974613101</v>
      </c>
      <c r="Q414" s="32"/>
      <c r="R414" s="32">
        <f t="shared" si="255"/>
        <v>0</v>
      </c>
      <c r="S414" s="32">
        <f t="shared" si="256"/>
        <v>0</v>
      </c>
      <c r="T414" s="32"/>
      <c r="U414" s="32">
        <f t="shared" si="257"/>
        <v>0</v>
      </c>
      <c r="V414" s="32"/>
      <c r="W414" s="32">
        <f t="shared" si="258"/>
        <v>0</v>
      </c>
      <c r="X414" s="32"/>
      <c r="Y414" s="32">
        <f t="shared" si="259"/>
        <v>0</v>
      </c>
      <c r="Z414" s="32"/>
      <c r="AA414" s="32">
        <f t="shared" si="260"/>
        <v>0</v>
      </c>
      <c r="AB414" s="32">
        <f t="shared" si="261"/>
        <v>1030262</v>
      </c>
      <c r="AC414" s="14" t="str">
        <f t="shared" si="262"/>
        <v>ok</v>
      </c>
    </row>
    <row r="415" spans="1:29" ht="12.75" x14ac:dyDescent="0.2">
      <c r="A415" s="2">
        <v>594</v>
      </c>
      <c r="B415" s="2" t="s">
        <v>126</v>
      </c>
      <c r="C415" s="2" t="s">
        <v>497</v>
      </c>
      <c r="D415" s="2" t="s">
        <v>35</v>
      </c>
      <c r="F415" s="32">
        <v>0</v>
      </c>
      <c r="G415" s="32"/>
      <c r="H415" s="32">
        <f t="shared" si="249"/>
        <v>0</v>
      </c>
      <c r="I415" s="32">
        <f t="shared" si="250"/>
        <v>0</v>
      </c>
      <c r="J415" s="32"/>
      <c r="K415" s="32">
        <f t="shared" si="251"/>
        <v>0</v>
      </c>
      <c r="L415" s="32"/>
      <c r="M415" s="32">
        <f t="shared" si="252"/>
        <v>0</v>
      </c>
      <c r="N415" s="32"/>
      <c r="O415" s="32">
        <f t="shared" si="253"/>
        <v>0</v>
      </c>
      <c r="P415" s="32">
        <f t="shared" si="254"/>
        <v>0</v>
      </c>
      <c r="Q415" s="32"/>
      <c r="R415" s="32">
        <f t="shared" si="255"/>
        <v>0</v>
      </c>
      <c r="S415" s="32">
        <f t="shared" si="256"/>
        <v>0</v>
      </c>
      <c r="T415" s="32"/>
      <c r="U415" s="32">
        <f t="shared" si="257"/>
        <v>0</v>
      </c>
      <c r="V415" s="32"/>
      <c r="W415" s="32">
        <f t="shared" si="258"/>
        <v>0</v>
      </c>
      <c r="X415" s="32"/>
      <c r="Y415" s="32">
        <f t="shared" si="259"/>
        <v>0</v>
      </c>
      <c r="Z415" s="32"/>
      <c r="AA415" s="32">
        <f t="shared" si="260"/>
        <v>0</v>
      </c>
      <c r="AB415" s="32">
        <f t="shared" si="261"/>
        <v>0</v>
      </c>
      <c r="AC415" s="14" t="str">
        <f t="shared" si="262"/>
        <v>ok</v>
      </c>
    </row>
    <row r="416" spans="1:29" ht="12.75" x14ac:dyDescent="0.2">
      <c r="A416" s="2">
        <v>595</v>
      </c>
      <c r="B416" s="2" t="s">
        <v>128</v>
      </c>
      <c r="C416" s="2" t="s">
        <v>498</v>
      </c>
      <c r="D416" s="2" t="s">
        <v>37</v>
      </c>
      <c r="F416" s="32">
        <v>424</v>
      </c>
      <c r="G416" s="32"/>
      <c r="H416" s="32">
        <f t="shared" si="249"/>
        <v>0</v>
      </c>
      <c r="I416" s="32">
        <f t="shared" si="250"/>
        <v>0</v>
      </c>
      <c r="J416" s="32"/>
      <c r="K416" s="32">
        <f t="shared" si="251"/>
        <v>0</v>
      </c>
      <c r="L416" s="32"/>
      <c r="M416" s="32">
        <f t="shared" si="252"/>
        <v>0</v>
      </c>
      <c r="N416" s="32"/>
      <c r="O416" s="32">
        <f t="shared" si="253"/>
        <v>144.35698785392339</v>
      </c>
      <c r="P416" s="32">
        <f t="shared" si="254"/>
        <v>279.64301214607661</v>
      </c>
      <c r="Q416" s="32"/>
      <c r="R416" s="32">
        <f t="shared" si="255"/>
        <v>0</v>
      </c>
      <c r="S416" s="32">
        <f t="shared" si="256"/>
        <v>0</v>
      </c>
      <c r="T416" s="32"/>
      <c r="U416" s="32">
        <f t="shared" si="257"/>
        <v>0</v>
      </c>
      <c r="V416" s="32"/>
      <c r="W416" s="32">
        <f t="shared" si="258"/>
        <v>0</v>
      </c>
      <c r="X416" s="32"/>
      <c r="Y416" s="32">
        <f t="shared" si="259"/>
        <v>0</v>
      </c>
      <c r="Z416" s="32"/>
      <c r="AA416" s="32">
        <f t="shared" si="260"/>
        <v>0</v>
      </c>
      <c r="AB416" s="32">
        <f t="shared" si="261"/>
        <v>424</v>
      </c>
      <c r="AC416" s="14" t="str">
        <f t="shared" si="262"/>
        <v>ok</v>
      </c>
    </row>
    <row r="417" spans="1:29" ht="12.75" x14ac:dyDescent="0.2">
      <c r="A417" s="2">
        <v>596</v>
      </c>
      <c r="B417" s="2" t="s">
        <v>380</v>
      </c>
      <c r="C417" s="2" t="s">
        <v>499</v>
      </c>
      <c r="D417" s="2" t="s">
        <v>48</v>
      </c>
      <c r="F417" s="32">
        <v>0</v>
      </c>
      <c r="G417" s="32"/>
      <c r="H417" s="32">
        <f t="shared" si="249"/>
        <v>0</v>
      </c>
      <c r="I417" s="32">
        <f t="shared" si="250"/>
        <v>0</v>
      </c>
      <c r="J417" s="32"/>
      <c r="K417" s="32">
        <f t="shared" si="251"/>
        <v>0</v>
      </c>
      <c r="L417" s="32"/>
      <c r="M417" s="32">
        <f t="shared" si="252"/>
        <v>0</v>
      </c>
      <c r="N417" s="32"/>
      <c r="O417" s="32">
        <f t="shared" si="253"/>
        <v>0</v>
      </c>
      <c r="P417" s="32">
        <f t="shared" si="254"/>
        <v>0</v>
      </c>
      <c r="Q417" s="32"/>
      <c r="R417" s="32">
        <f t="shared" si="255"/>
        <v>0</v>
      </c>
      <c r="S417" s="32">
        <f t="shared" si="256"/>
        <v>0</v>
      </c>
      <c r="T417" s="32"/>
      <c r="U417" s="32">
        <f t="shared" si="257"/>
        <v>0</v>
      </c>
      <c r="V417" s="32"/>
      <c r="W417" s="32">
        <f t="shared" si="258"/>
        <v>0</v>
      </c>
      <c r="X417" s="32"/>
      <c r="Y417" s="32">
        <f t="shared" si="259"/>
        <v>0</v>
      </c>
      <c r="Z417" s="32"/>
      <c r="AA417" s="32">
        <f t="shared" si="260"/>
        <v>0</v>
      </c>
      <c r="AB417" s="32">
        <f t="shared" si="261"/>
        <v>0</v>
      </c>
      <c r="AC417" s="14" t="str">
        <f t="shared" si="262"/>
        <v>ok</v>
      </c>
    </row>
    <row r="418" spans="1:29" ht="12.75" x14ac:dyDescent="0.2">
      <c r="A418" s="2">
        <v>597</v>
      </c>
      <c r="B418" s="2" t="s">
        <v>130</v>
      </c>
      <c r="C418" s="2" t="s">
        <v>500</v>
      </c>
      <c r="D418" s="2" t="s">
        <v>43</v>
      </c>
      <c r="F418" s="32">
        <v>0</v>
      </c>
      <c r="G418" s="32"/>
      <c r="H418" s="32">
        <f t="shared" si="249"/>
        <v>0</v>
      </c>
      <c r="I418" s="32">
        <f t="shared" si="250"/>
        <v>0</v>
      </c>
      <c r="J418" s="32"/>
      <c r="K418" s="32">
        <f t="shared" si="251"/>
        <v>0</v>
      </c>
      <c r="L418" s="32"/>
      <c r="M418" s="32">
        <f t="shared" si="252"/>
        <v>0</v>
      </c>
      <c r="N418" s="32"/>
      <c r="O418" s="32">
        <f t="shared" si="253"/>
        <v>0</v>
      </c>
      <c r="P418" s="32">
        <f t="shared" si="254"/>
        <v>0</v>
      </c>
      <c r="Q418" s="32"/>
      <c r="R418" s="32">
        <f t="shared" si="255"/>
        <v>0</v>
      </c>
      <c r="S418" s="32">
        <f t="shared" si="256"/>
        <v>0</v>
      </c>
      <c r="T418" s="32"/>
      <c r="U418" s="32">
        <f t="shared" si="257"/>
        <v>0</v>
      </c>
      <c r="V418" s="32"/>
      <c r="W418" s="32">
        <f t="shared" si="258"/>
        <v>0</v>
      </c>
      <c r="X418" s="32"/>
      <c r="Y418" s="32">
        <f t="shared" si="259"/>
        <v>0</v>
      </c>
      <c r="Z418" s="32"/>
      <c r="AA418" s="32">
        <f t="shared" si="260"/>
        <v>0</v>
      </c>
      <c r="AB418" s="32">
        <f t="shared" si="261"/>
        <v>0</v>
      </c>
      <c r="AC418" s="14" t="str">
        <f t="shared" si="262"/>
        <v>ok</v>
      </c>
    </row>
    <row r="419" spans="1:29" ht="12.75" x14ac:dyDescent="0.2">
      <c r="A419" s="2">
        <v>598</v>
      </c>
      <c r="B419" s="2" t="s">
        <v>384</v>
      </c>
      <c r="C419" s="2" t="s">
        <v>501</v>
      </c>
      <c r="D419" s="2" t="s">
        <v>16</v>
      </c>
      <c r="F419" s="32">
        <v>0</v>
      </c>
      <c r="G419" s="32"/>
      <c r="H419" s="32">
        <f t="shared" si="249"/>
        <v>0</v>
      </c>
      <c r="I419" s="32">
        <f t="shared" si="250"/>
        <v>0</v>
      </c>
      <c r="J419" s="32"/>
      <c r="K419" s="32">
        <f t="shared" si="251"/>
        <v>0</v>
      </c>
      <c r="L419" s="32"/>
      <c r="M419" s="32">
        <f t="shared" si="252"/>
        <v>0</v>
      </c>
      <c r="N419" s="32"/>
      <c r="O419" s="32">
        <f t="shared" si="253"/>
        <v>0</v>
      </c>
      <c r="P419" s="32">
        <f t="shared" si="254"/>
        <v>0</v>
      </c>
      <c r="Q419" s="32"/>
      <c r="R419" s="32">
        <f t="shared" si="255"/>
        <v>0</v>
      </c>
      <c r="S419" s="32">
        <f t="shared" si="256"/>
        <v>0</v>
      </c>
      <c r="T419" s="32"/>
      <c r="U419" s="32">
        <f t="shared" si="257"/>
        <v>0</v>
      </c>
      <c r="V419" s="32"/>
      <c r="W419" s="32">
        <f t="shared" si="258"/>
        <v>0</v>
      </c>
      <c r="X419" s="32"/>
      <c r="Y419" s="32">
        <f t="shared" si="259"/>
        <v>0</v>
      </c>
      <c r="Z419" s="32"/>
      <c r="AA419" s="32">
        <f t="shared" si="260"/>
        <v>0</v>
      </c>
      <c r="AB419" s="32">
        <f t="shared" si="261"/>
        <v>0</v>
      </c>
      <c r="AC419" s="14" t="str">
        <f t="shared" si="262"/>
        <v>ok</v>
      </c>
    </row>
    <row r="420" spans="1:29" ht="12.75" x14ac:dyDescent="0.2"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14"/>
    </row>
    <row r="421" spans="1:29" ht="12.75" x14ac:dyDescent="0.2">
      <c r="A421" s="2" t="s">
        <v>538</v>
      </c>
      <c r="C421" s="2" t="s">
        <v>502</v>
      </c>
      <c r="F421" s="45">
        <f>SUM(F412:F420)</f>
        <v>1030686</v>
      </c>
      <c r="G421" s="45"/>
      <c r="H421" s="45">
        <f>SUM(H412:H420)</f>
        <v>0</v>
      </c>
      <c r="I421" s="45">
        <f>SUM(I412:I420)</f>
        <v>0</v>
      </c>
      <c r="J421" s="45"/>
      <c r="K421" s="45">
        <f>SUM(K412:K420)</f>
        <v>0</v>
      </c>
      <c r="L421" s="45"/>
      <c r="M421" s="45">
        <f>SUM(M412:M420)</f>
        <v>0</v>
      </c>
      <c r="N421" s="45"/>
      <c r="O421" s="45">
        <f>SUM(O412:O420)</f>
        <v>799561.54724172282</v>
      </c>
      <c r="P421" s="45">
        <f>SUM(P412:P420)</f>
        <v>231124.4527582771</v>
      </c>
      <c r="Q421" s="45"/>
      <c r="R421" s="45">
        <f>SUM(R412:R420)</f>
        <v>0</v>
      </c>
      <c r="S421" s="45">
        <f>SUM(S412:S420)</f>
        <v>0</v>
      </c>
      <c r="T421" s="45"/>
      <c r="U421" s="45">
        <f>SUM(U412:U420)</f>
        <v>0</v>
      </c>
      <c r="V421" s="45"/>
      <c r="W421" s="45">
        <f>SUM(W412:W420)</f>
        <v>0</v>
      </c>
      <c r="X421" s="45"/>
      <c r="Y421" s="45">
        <f>SUM(Y412:Y420)</f>
        <v>0</v>
      </c>
      <c r="Z421" s="45"/>
      <c r="AA421" s="45">
        <f>SUM(AA412:AA420)</f>
        <v>0</v>
      </c>
      <c r="AB421" s="32">
        <f>SUM(H421:AA421)</f>
        <v>1030685.9999999999</v>
      </c>
      <c r="AC421" s="14" t="str">
        <f>IF(ABS(AB421-F421)&lt;1,"ok","err")</f>
        <v>ok</v>
      </c>
    </row>
    <row r="422" spans="1:29" ht="12.75" x14ac:dyDescent="0.2"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C422" s="14"/>
    </row>
    <row r="423" spans="1:29" ht="12.75" x14ac:dyDescent="0.2">
      <c r="A423" s="2" t="s">
        <v>539</v>
      </c>
      <c r="F423" s="32">
        <f>F405+F421</f>
        <v>1655582</v>
      </c>
      <c r="G423" s="32"/>
      <c r="H423" s="32">
        <f>H405+H421</f>
        <v>0</v>
      </c>
      <c r="I423" s="32">
        <f>I405+I421</f>
        <v>0</v>
      </c>
      <c r="J423" s="32"/>
      <c r="K423" s="32">
        <f>K405+K421</f>
        <v>0</v>
      </c>
      <c r="L423" s="32"/>
      <c r="M423" s="32">
        <f>M405+M421</f>
        <v>172.16684346783572</v>
      </c>
      <c r="N423" s="32"/>
      <c r="O423" s="32">
        <f>O405+O421</f>
        <v>1057213.6234583</v>
      </c>
      <c r="P423" s="32">
        <f>P405+P421</f>
        <v>362323.49323822302</v>
      </c>
      <c r="Q423" s="32"/>
      <c r="R423" s="32">
        <f>R405+R421</f>
        <v>0</v>
      </c>
      <c r="S423" s="32">
        <f>S405+S421</f>
        <v>76083.1824855327</v>
      </c>
      <c r="T423" s="32"/>
      <c r="U423" s="32">
        <f>U405+U421</f>
        <v>141525.58148631695</v>
      </c>
      <c r="V423" s="32"/>
      <c r="W423" s="32">
        <f>W405+W421</f>
        <v>18263.95248815939</v>
      </c>
      <c r="X423" s="32"/>
      <c r="Y423" s="32">
        <f>Y405+Y421</f>
        <v>0</v>
      </c>
      <c r="Z423" s="32"/>
      <c r="AA423" s="32">
        <f>AA405+AA421</f>
        <v>0</v>
      </c>
      <c r="AB423" s="32">
        <f>SUM(H423:AA423)</f>
        <v>1655581.9999999998</v>
      </c>
      <c r="AC423" s="14" t="str">
        <f>IF(ABS(AB423-F423)&lt;1,"ok","err")</f>
        <v>ok</v>
      </c>
    </row>
    <row r="424" spans="1:29" ht="12.75" x14ac:dyDescent="0.2"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C424" s="14"/>
    </row>
    <row r="425" spans="1:29" ht="12.75" x14ac:dyDescent="0.2">
      <c r="A425" s="2" t="s">
        <v>540</v>
      </c>
      <c r="F425" s="32">
        <f>F423+F390</f>
        <v>1655582</v>
      </c>
      <c r="G425" s="32"/>
      <c r="H425" s="32">
        <f>H423+H390</f>
        <v>0</v>
      </c>
      <c r="I425" s="32">
        <f>I423+I390</f>
        <v>0</v>
      </c>
      <c r="J425" s="32"/>
      <c r="K425" s="32">
        <f>K423+K390</f>
        <v>0</v>
      </c>
      <c r="L425" s="32"/>
      <c r="M425" s="32">
        <f>M423+M390</f>
        <v>172.16684346783572</v>
      </c>
      <c r="N425" s="32"/>
      <c r="O425" s="32">
        <f>O423+O390</f>
        <v>1057213.6234583</v>
      </c>
      <c r="P425" s="32">
        <f>P423+P390</f>
        <v>362323.49323822302</v>
      </c>
      <c r="Q425" s="32"/>
      <c r="R425" s="32">
        <f>R423+R390</f>
        <v>0</v>
      </c>
      <c r="S425" s="32">
        <f>S423+S390</f>
        <v>76083.1824855327</v>
      </c>
      <c r="T425" s="32"/>
      <c r="U425" s="32">
        <f>U423+U390</f>
        <v>141525.58148631695</v>
      </c>
      <c r="V425" s="32"/>
      <c r="W425" s="32">
        <f>W423+W390</f>
        <v>18263.95248815939</v>
      </c>
      <c r="X425" s="32"/>
      <c r="Y425" s="32">
        <f>Y423+Y390</f>
        <v>0</v>
      </c>
      <c r="Z425" s="32"/>
      <c r="AA425" s="32">
        <f>AA423+AA390</f>
        <v>0</v>
      </c>
      <c r="AB425" s="32">
        <f>SUM(H425:AA425)</f>
        <v>1655581.9999999998</v>
      </c>
      <c r="AC425" s="14" t="str">
        <f>IF(ABS(AB425-F425)&lt;1,"ok","err")</f>
        <v>ok</v>
      </c>
    </row>
    <row r="426" spans="1:29" ht="12.75" x14ac:dyDescent="0.2"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C426" s="14"/>
    </row>
    <row r="427" spans="1:29" ht="12.75" x14ac:dyDescent="0.2">
      <c r="A427" s="2" t="s">
        <v>541</v>
      </c>
      <c r="C427" s="2" t="s">
        <v>503</v>
      </c>
      <c r="F427" s="45">
        <f>F425+F378</f>
        <v>1655582</v>
      </c>
      <c r="G427" s="45"/>
      <c r="H427" s="45">
        <f>H425+H378</f>
        <v>0</v>
      </c>
      <c r="I427" s="45">
        <f>I425+I378</f>
        <v>0</v>
      </c>
      <c r="J427" s="45"/>
      <c r="K427" s="45">
        <f>K425+K378</f>
        <v>0</v>
      </c>
      <c r="L427" s="45"/>
      <c r="M427" s="45">
        <f>M425+M378</f>
        <v>172.16684346783572</v>
      </c>
      <c r="N427" s="45"/>
      <c r="O427" s="45">
        <f>O425+O378</f>
        <v>1057213.6234583</v>
      </c>
      <c r="P427" s="45">
        <f>P425+P378</f>
        <v>362323.49323822302</v>
      </c>
      <c r="Q427" s="45"/>
      <c r="R427" s="45">
        <f>R425+R378</f>
        <v>0</v>
      </c>
      <c r="S427" s="45">
        <f>S425+S378</f>
        <v>76083.1824855327</v>
      </c>
      <c r="T427" s="45"/>
      <c r="U427" s="45">
        <f>U425+U378</f>
        <v>141525.58148631695</v>
      </c>
      <c r="V427" s="45"/>
      <c r="W427" s="45">
        <f>W425+W378</f>
        <v>18263.95248815939</v>
      </c>
      <c r="X427" s="45"/>
      <c r="Y427" s="45">
        <f>Y425+Y378</f>
        <v>0</v>
      </c>
      <c r="Z427" s="45"/>
      <c r="AA427" s="45">
        <f>AA425+AA378</f>
        <v>0</v>
      </c>
      <c r="AB427" s="32">
        <f>SUM(H427:AA427)</f>
        <v>1655581.9999999998</v>
      </c>
      <c r="AC427" s="14" t="str">
        <f>IF(ABS(AB427-F427)&lt;1,"ok","err")</f>
        <v>ok</v>
      </c>
    </row>
    <row r="428" spans="1:29" ht="12.75" x14ac:dyDescent="0.2">
      <c r="A428" s="1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C428" s="14"/>
    </row>
    <row r="429" spans="1:29" ht="12.75" x14ac:dyDescent="0.2">
      <c r="A429" s="1" t="s">
        <v>137</v>
      </c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C429" s="14"/>
    </row>
    <row r="430" spans="1:29" ht="12.75" x14ac:dyDescent="0.2">
      <c r="A430" s="2">
        <v>901</v>
      </c>
      <c r="B430" s="2" t="s">
        <v>138</v>
      </c>
      <c r="C430" s="2" t="s">
        <v>504</v>
      </c>
      <c r="D430" s="2" t="s">
        <v>140</v>
      </c>
      <c r="F430" s="45">
        <v>0</v>
      </c>
      <c r="G430" s="45"/>
      <c r="H430" s="32">
        <f>IF(VLOOKUP($D430,$C$5:$AA$507,6,)=0,0,((VLOOKUP($D430,$C$5:$AA$507,6,)/VLOOKUP($D430,$C$5:$AA$507,4,))*$F430))</f>
        <v>0</v>
      </c>
      <c r="I430" s="32">
        <f>IF(VLOOKUP($D430,$C$5:$AA$507,7,)=0,0,((VLOOKUP($D430,$C$5:$AA$507,7,)/VLOOKUP($D430,$C$5:$AA$507,4,))*$F430))</f>
        <v>0</v>
      </c>
      <c r="J430" s="32"/>
      <c r="K430" s="32">
        <f>IF(VLOOKUP($D430,$C$5:$AA$507,9,)=0,0,((VLOOKUP($D430,$C$5:$AA$507,9,)/VLOOKUP($D430,$C$5:$AA$507,4,))*$F430))</f>
        <v>0</v>
      </c>
      <c r="L430" s="32"/>
      <c r="M430" s="32">
        <f>IF(VLOOKUP($D430,$C$5:$AA$507,11,)=0,0,((VLOOKUP($D430,$C$5:$AA$507,11,)/VLOOKUP($D430,$C$5:$AA$507,4,))*$F430))</f>
        <v>0</v>
      </c>
      <c r="N430" s="32"/>
      <c r="O430" s="32">
        <f>IF(VLOOKUP($D430,$C$5:$AA$507,13,)=0,0,((VLOOKUP($D430,$C$5:$AA$507,13,)/VLOOKUP($D430,$C$5:$AA$507,4,))*$F430))</f>
        <v>0</v>
      </c>
      <c r="P430" s="32">
        <f>IF(VLOOKUP($D430,$C$5:$AA$507,14,)=0,0,((VLOOKUP($D430,$C$5:$AA$507,14,)/VLOOKUP($D430,$C$5:$AA$507,4,))*$F430))</f>
        <v>0</v>
      </c>
      <c r="Q430" s="32"/>
      <c r="R430" s="32">
        <f>IF(VLOOKUP($D430,$C$5:$AA$507,16,)=0,0,((VLOOKUP($D430,$C$5:$AA$507,16,)/VLOOKUP($D430,$C$5:$AA$507,4,))*$F430))</f>
        <v>0</v>
      </c>
      <c r="S430" s="32">
        <f>IF(VLOOKUP($D430,$C$5:$AA$507,17,)=0,0,((VLOOKUP($D430,$C$5:$AA$507,17,)/VLOOKUP($D430,$C$5:$AA$507,4,))*$F430))</f>
        <v>0</v>
      </c>
      <c r="T430" s="32"/>
      <c r="U430" s="32">
        <f>IF(VLOOKUP($D430,$C$5:$AA$507,19,)=0,0,((VLOOKUP($D430,$C$5:$AA$507,19,)/VLOOKUP($D430,$C$5:$AA$507,4,))*$F430))</f>
        <v>0</v>
      </c>
      <c r="V430" s="32"/>
      <c r="W430" s="32">
        <f>IF(VLOOKUP($D430,$C$5:$AA$507,21,)=0,0,((VLOOKUP($D430,$C$5:$AA$507,21,)/VLOOKUP($D430,$C$5:$AA$507,4,))*$F430))</f>
        <v>0</v>
      </c>
      <c r="X430" s="32"/>
      <c r="Y430" s="32">
        <f>IF(VLOOKUP($D430,$C$5:$AA$507,23,)=0,0,((VLOOKUP($D430,$C$5:$AA$507,23,)/VLOOKUP($D430,$C$5:$AA$507,4,))*$F430))</f>
        <v>0</v>
      </c>
      <c r="Z430" s="32"/>
      <c r="AA430" s="32">
        <f>IF(VLOOKUP($D430,$C$5:$AA$507,25,)=0,0,((VLOOKUP($D430,$C$5:$AA$507,25,)/VLOOKUP($D430,$C$5:$AA$507,4,))*$F430))</f>
        <v>0</v>
      </c>
      <c r="AB430" s="32">
        <f>SUM(H430:AA430)</f>
        <v>0</v>
      </c>
      <c r="AC430" s="14" t="str">
        <f>IF(ABS(AB430-F430)&lt;1,"ok","err")</f>
        <v>ok</v>
      </c>
    </row>
    <row r="431" spans="1:29" ht="12.75" x14ac:dyDescent="0.2">
      <c r="A431" s="2">
        <v>902</v>
      </c>
      <c r="B431" s="2" t="s">
        <v>141</v>
      </c>
      <c r="C431" s="2" t="s">
        <v>505</v>
      </c>
      <c r="D431" s="2" t="s">
        <v>140</v>
      </c>
      <c r="F431" s="32">
        <v>8627</v>
      </c>
      <c r="G431" s="32"/>
      <c r="H431" s="32">
        <f>IF(VLOOKUP($D431,$C$5:$AA$507,6,)=0,0,((VLOOKUP($D431,$C$5:$AA$507,6,)/VLOOKUP($D431,$C$5:$AA$507,4,))*$F431))</f>
        <v>0</v>
      </c>
      <c r="I431" s="32">
        <f>IF(VLOOKUP($D431,$C$5:$AA$507,7,)=0,0,((VLOOKUP($D431,$C$5:$AA$507,7,)/VLOOKUP($D431,$C$5:$AA$507,4,))*$F431))</f>
        <v>0</v>
      </c>
      <c r="J431" s="32"/>
      <c r="K431" s="32">
        <f>IF(VLOOKUP($D431,$C$5:$AA$507,9,)=0,0,((VLOOKUP($D431,$C$5:$AA$507,9,)/VLOOKUP($D431,$C$5:$AA$507,4,))*$F431))</f>
        <v>0</v>
      </c>
      <c r="L431" s="32"/>
      <c r="M431" s="32">
        <f>IF(VLOOKUP($D431,$C$5:$AA$507,11,)=0,0,((VLOOKUP($D431,$C$5:$AA$507,11,)/VLOOKUP($D431,$C$5:$AA$507,4,))*$F431))</f>
        <v>0</v>
      </c>
      <c r="N431" s="32"/>
      <c r="O431" s="32">
        <f>IF(VLOOKUP($D431,$C$5:$AA$507,13,)=0,0,((VLOOKUP($D431,$C$5:$AA$507,13,)/VLOOKUP($D431,$C$5:$AA$507,4,))*$F431))</f>
        <v>0</v>
      </c>
      <c r="P431" s="32">
        <f>IF(VLOOKUP($D431,$C$5:$AA$507,14,)=0,0,((VLOOKUP($D431,$C$5:$AA$507,14,)/VLOOKUP($D431,$C$5:$AA$507,4,))*$F431))</f>
        <v>0</v>
      </c>
      <c r="Q431" s="32"/>
      <c r="R431" s="32">
        <f>IF(VLOOKUP($D431,$C$5:$AA$507,16,)=0,0,((VLOOKUP($D431,$C$5:$AA$507,16,)/VLOOKUP($D431,$C$5:$AA$507,4,))*$F431))</f>
        <v>0</v>
      </c>
      <c r="S431" s="32">
        <f>IF(VLOOKUP($D431,$C$5:$AA$507,17,)=0,0,((VLOOKUP($D431,$C$5:$AA$507,17,)/VLOOKUP($D431,$C$5:$AA$507,4,))*$F431))</f>
        <v>0</v>
      </c>
      <c r="T431" s="32"/>
      <c r="U431" s="32">
        <f>IF(VLOOKUP($D431,$C$5:$AA$507,19,)=0,0,((VLOOKUP($D431,$C$5:$AA$507,19,)/VLOOKUP($D431,$C$5:$AA$507,4,))*$F431))</f>
        <v>0</v>
      </c>
      <c r="V431" s="32"/>
      <c r="W431" s="32">
        <f>IF(VLOOKUP($D431,$C$5:$AA$507,21,)=0,0,((VLOOKUP($D431,$C$5:$AA$507,21,)/VLOOKUP($D431,$C$5:$AA$507,4,))*$F431))</f>
        <v>0</v>
      </c>
      <c r="X431" s="32"/>
      <c r="Y431" s="32">
        <f>IF(VLOOKUP($D431,$C$5:$AA$507,23,)=0,0,((VLOOKUP($D431,$C$5:$AA$507,23,)/VLOOKUP($D431,$C$5:$AA$507,4,))*$F431))</f>
        <v>8627</v>
      </c>
      <c r="Z431" s="32"/>
      <c r="AA431" s="32">
        <f>IF(VLOOKUP($D431,$C$5:$AA$507,25,)=0,0,((VLOOKUP($D431,$C$5:$AA$507,25,)/VLOOKUP($D431,$C$5:$AA$507,4,))*$F431))</f>
        <v>0</v>
      </c>
      <c r="AB431" s="32">
        <f>SUM(H431:AA431)</f>
        <v>8627</v>
      </c>
      <c r="AC431" s="14" t="str">
        <f>IF(ABS(AB431-F431)&lt;1,"ok","err")</f>
        <v>ok</v>
      </c>
    </row>
    <row r="432" spans="1:29" ht="12.75" x14ac:dyDescent="0.2">
      <c r="A432" s="2">
        <v>903</v>
      </c>
      <c r="B432" s="2" t="s">
        <v>452</v>
      </c>
      <c r="C432" s="2" t="s">
        <v>506</v>
      </c>
      <c r="D432" s="2" t="s">
        <v>140</v>
      </c>
      <c r="F432" s="32">
        <v>503115</v>
      </c>
      <c r="G432" s="32"/>
      <c r="H432" s="32">
        <f>IF(VLOOKUP($D432,$C$5:$AA$507,6,)=0,0,((VLOOKUP($D432,$C$5:$AA$507,6,)/VLOOKUP($D432,$C$5:$AA$507,4,))*$F432))</f>
        <v>0</v>
      </c>
      <c r="I432" s="32">
        <f>IF(VLOOKUP($D432,$C$5:$AA$507,7,)=0,0,((VLOOKUP($D432,$C$5:$AA$507,7,)/VLOOKUP($D432,$C$5:$AA$507,4,))*$F432))</f>
        <v>0</v>
      </c>
      <c r="J432" s="32"/>
      <c r="K432" s="32">
        <f>IF(VLOOKUP($D432,$C$5:$AA$507,9,)=0,0,((VLOOKUP($D432,$C$5:$AA$507,9,)/VLOOKUP($D432,$C$5:$AA$507,4,))*$F432))</f>
        <v>0</v>
      </c>
      <c r="L432" s="32"/>
      <c r="M432" s="32">
        <f>IF(VLOOKUP($D432,$C$5:$AA$507,11,)=0,0,((VLOOKUP($D432,$C$5:$AA$507,11,)/VLOOKUP($D432,$C$5:$AA$507,4,))*$F432))</f>
        <v>0</v>
      </c>
      <c r="N432" s="32"/>
      <c r="O432" s="32">
        <f>IF(VLOOKUP($D432,$C$5:$AA$507,13,)=0,0,((VLOOKUP($D432,$C$5:$AA$507,13,)/VLOOKUP($D432,$C$5:$AA$507,4,))*$F432))</f>
        <v>0</v>
      </c>
      <c r="P432" s="32">
        <f>IF(VLOOKUP($D432,$C$5:$AA$507,14,)=0,0,((VLOOKUP($D432,$C$5:$AA$507,14,)/VLOOKUP($D432,$C$5:$AA$507,4,))*$F432))</f>
        <v>0</v>
      </c>
      <c r="Q432" s="32"/>
      <c r="R432" s="32">
        <f>IF(VLOOKUP($D432,$C$5:$AA$507,16,)=0,0,((VLOOKUP($D432,$C$5:$AA$507,16,)/VLOOKUP($D432,$C$5:$AA$507,4,))*$F432))</f>
        <v>0</v>
      </c>
      <c r="S432" s="32">
        <f>IF(VLOOKUP($D432,$C$5:$AA$507,17,)=0,0,((VLOOKUP($D432,$C$5:$AA$507,17,)/VLOOKUP($D432,$C$5:$AA$507,4,))*$F432))</f>
        <v>0</v>
      </c>
      <c r="T432" s="32"/>
      <c r="U432" s="32">
        <f>IF(VLOOKUP($D432,$C$5:$AA$507,19,)=0,0,((VLOOKUP($D432,$C$5:$AA$507,19,)/VLOOKUP($D432,$C$5:$AA$507,4,))*$F432))</f>
        <v>0</v>
      </c>
      <c r="V432" s="32"/>
      <c r="W432" s="32">
        <f>IF(VLOOKUP($D432,$C$5:$AA$507,21,)=0,0,((VLOOKUP($D432,$C$5:$AA$507,21,)/VLOOKUP($D432,$C$5:$AA$507,4,))*$F432))</f>
        <v>0</v>
      </c>
      <c r="X432" s="32"/>
      <c r="Y432" s="32">
        <f>IF(VLOOKUP($D432,$C$5:$AA$507,23,)=0,0,((VLOOKUP($D432,$C$5:$AA$507,23,)/VLOOKUP($D432,$C$5:$AA$507,4,))*$F432))</f>
        <v>503115</v>
      </c>
      <c r="Z432" s="32"/>
      <c r="AA432" s="32">
        <f>IF(VLOOKUP($D432,$C$5:$AA$507,25,)=0,0,((VLOOKUP($D432,$C$5:$AA$507,25,)/VLOOKUP($D432,$C$5:$AA$507,4,))*$F432))</f>
        <v>0</v>
      </c>
      <c r="AB432" s="32">
        <f>SUM(H432:AA432)</f>
        <v>503115</v>
      </c>
      <c r="AC432" s="14" t="str">
        <f>IF(ABS(AB432-F432)&lt;1,"ok","err")</f>
        <v>ok</v>
      </c>
    </row>
    <row r="433" spans="1:29" ht="12.75" x14ac:dyDescent="0.2">
      <c r="A433" s="2">
        <v>904</v>
      </c>
      <c r="B433" s="2" t="s">
        <v>144</v>
      </c>
      <c r="C433" s="2" t="s">
        <v>507</v>
      </c>
      <c r="D433" s="2" t="s">
        <v>140</v>
      </c>
      <c r="F433" s="32">
        <v>0</v>
      </c>
      <c r="G433" s="32"/>
      <c r="H433" s="32">
        <f>IF(VLOOKUP($D433,$C$5:$AA$507,6,)=0,0,((VLOOKUP($D433,$C$5:$AA$507,6,)/VLOOKUP($D433,$C$5:$AA$507,4,))*$F433))</f>
        <v>0</v>
      </c>
      <c r="I433" s="32">
        <f>IF(VLOOKUP($D433,$C$5:$AA$507,7,)=0,0,((VLOOKUP($D433,$C$5:$AA$507,7,)/VLOOKUP($D433,$C$5:$AA$507,4,))*$F433))</f>
        <v>0</v>
      </c>
      <c r="J433" s="32"/>
      <c r="K433" s="32">
        <f>IF(VLOOKUP($D433,$C$5:$AA$507,9,)=0,0,((VLOOKUP($D433,$C$5:$AA$507,9,)/VLOOKUP($D433,$C$5:$AA$507,4,))*$F433))</f>
        <v>0</v>
      </c>
      <c r="L433" s="32"/>
      <c r="M433" s="32">
        <f>IF(VLOOKUP($D433,$C$5:$AA$507,11,)=0,0,((VLOOKUP($D433,$C$5:$AA$507,11,)/VLOOKUP($D433,$C$5:$AA$507,4,))*$F433))</f>
        <v>0</v>
      </c>
      <c r="N433" s="32"/>
      <c r="O433" s="32">
        <f>IF(VLOOKUP($D433,$C$5:$AA$507,13,)=0,0,((VLOOKUP($D433,$C$5:$AA$507,13,)/VLOOKUP($D433,$C$5:$AA$507,4,))*$F433))</f>
        <v>0</v>
      </c>
      <c r="P433" s="32">
        <f>IF(VLOOKUP($D433,$C$5:$AA$507,14,)=0,0,((VLOOKUP($D433,$C$5:$AA$507,14,)/VLOOKUP($D433,$C$5:$AA$507,4,))*$F433))</f>
        <v>0</v>
      </c>
      <c r="Q433" s="32"/>
      <c r="R433" s="32">
        <f>IF(VLOOKUP($D433,$C$5:$AA$507,16,)=0,0,((VLOOKUP($D433,$C$5:$AA$507,16,)/VLOOKUP($D433,$C$5:$AA$507,4,))*$F433))</f>
        <v>0</v>
      </c>
      <c r="S433" s="32">
        <f>IF(VLOOKUP($D433,$C$5:$AA$507,17,)=0,0,((VLOOKUP($D433,$C$5:$AA$507,17,)/VLOOKUP($D433,$C$5:$AA$507,4,))*$F433))</f>
        <v>0</v>
      </c>
      <c r="T433" s="32"/>
      <c r="U433" s="32">
        <f>IF(VLOOKUP($D433,$C$5:$AA$507,19,)=0,0,((VLOOKUP($D433,$C$5:$AA$507,19,)/VLOOKUP($D433,$C$5:$AA$507,4,))*$F433))</f>
        <v>0</v>
      </c>
      <c r="V433" s="32"/>
      <c r="W433" s="32">
        <f>IF(VLOOKUP($D433,$C$5:$AA$507,21,)=0,0,((VLOOKUP($D433,$C$5:$AA$507,21,)/VLOOKUP($D433,$C$5:$AA$507,4,))*$F433))</f>
        <v>0</v>
      </c>
      <c r="X433" s="32"/>
      <c r="Y433" s="32">
        <f>IF(VLOOKUP($D433,$C$5:$AA$507,23,)=0,0,((VLOOKUP($D433,$C$5:$AA$507,23,)/VLOOKUP($D433,$C$5:$AA$507,4,))*$F433))</f>
        <v>0</v>
      </c>
      <c r="Z433" s="32"/>
      <c r="AA433" s="32">
        <f>IF(VLOOKUP($D433,$C$5:$AA$507,25,)=0,0,((VLOOKUP($D433,$C$5:$AA$507,25,)/VLOOKUP($D433,$C$5:$AA$507,4,))*$F433))</f>
        <v>0</v>
      </c>
      <c r="AB433" s="32">
        <f>SUM(H433:AA433)</f>
        <v>0</v>
      </c>
      <c r="AC433" s="14" t="str">
        <f>IF(ABS(AB433-F433)&lt;1,"ok","err")</f>
        <v>ok</v>
      </c>
    </row>
    <row r="434" spans="1:29" ht="12.75" x14ac:dyDescent="0.2">
      <c r="A434" s="2">
        <v>905</v>
      </c>
      <c r="B434" s="2" t="s">
        <v>453</v>
      </c>
      <c r="C434" s="2" t="s">
        <v>506</v>
      </c>
      <c r="D434" s="2" t="s">
        <v>140</v>
      </c>
      <c r="F434" s="32">
        <v>0</v>
      </c>
      <c r="G434" s="32"/>
      <c r="H434" s="32">
        <f>IF(VLOOKUP($D434,$C$5:$AA$507,6,)=0,0,((VLOOKUP($D434,$C$5:$AA$507,6,)/VLOOKUP($D434,$C$5:$AA$507,4,))*$F434))</f>
        <v>0</v>
      </c>
      <c r="I434" s="32">
        <f>IF(VLOOKUP($D434,$C$5:$AA$507,7,)=0,0,((VLOOKUP($D434,$C$5:$AA$507,7,)/VLOOKUP($D434,$C$5:$AA$507,4,))*$F434))</f>
        <v>0</v>
      </c>
      <c r="J434" s="32"/>
      <c r="K434" s="32">
        <f>IF(VLOOKUP($D434,$C$5:$AA$507,9,)=0,0,((VLOOKUP($D434,$C$5:$AA$507,9,)/VLOOKUP($D434,$C$5:$AA$507,4,))*$F434))</f>
        <v>0</v>
      </c>
      <c r="L434" s="32"/>
      <c r="M434" s="32">
        <f>IF(VLOOKUP($D434,$C$5:$AA$507,11,)=0,0,((VLOOKUP($D434,$C$5:$AA$507,11,)/VLOOKUP($D434,$C$5:$AA$507,4,))*$F434))</f>
        <v>0</v>
      </c>
      <c r="N434" s="32"/>
      <c r="O434" s="32">
        <f>IF(VLOOKUP($D434,$C$5:$AA$507,13,)=0,0,((VLOOKUP($D434,$C$5:$AA$507,13,)/VLOOKUP($D434,$C$5:$AA$507,4,))*$F434))</f>
        <v>0</v>
      </c>
      <c r="P434" s="32">
        <f>IF(VLOOKUP($D434,$C$5:$AA$507,14,)=0,0,((VLOOKUP($D434,$C$5:$AA$507,14,)/VLOOKUP($D434,$C$5:$AA$507,4,))*$F434))</f>
        <v>0</v>
      </c>
      <c r="Q434" s="32"/>
      <c r="R434" s="32">
        <f>IF(VLOOKUP($D434,$C$5:$AA$507,16,)=0,0,((VLOOKUP($D434,$C$5:$AA$507,16,)/VLOOKUP($D434,$C$5:$AA$507,4,))*$F434))</f>
        <v>0</v>
      </c>
      <c r="S434" s="32">
        <f>IF(VLOOKUP($D434,$C$5:$AA$507,17,)=0,0,((VLOOKUP($D434,$C$5:$AA$507,17,)/VLOOKUP($D434,$C$5:$AA$507,4,))*$F434))</f>
        <v>0</v>
      </c>
      <c r="T434" s="32"/>
      <c r="U434" s="32">
        <f>IF(VLOOKUP($D434,$C$5:$AA$507,19,)=0,0,((VLOOKUP($D434,$C$5:$AA$507,19,)/VLOOKUP($D434,$C$5:$AA$507,4,))*$F434))</f>
        <v>0</v>
      </c>
      <c r="V434" s="32"/>
      <c r="W434" s="32">
        <f>IF(VLOOKUP($D434,$C$5:$AA$507,21,)=0,0,((VLOOKUP($D434,$C$5:$AA$507,21,)/VLOOKUP($D434,$C$5:$AA$507,4,))*$F434))</f>
        <v>0</v>
      </c>
      <c r="X434" s="32"/>
      <c r="Y434" s="32">
        <f>IF(VLOOKUP($D434,$C$5:$AA$507,23,)=0,0,((VLOOKUP($D434,$C$5:$AA$507,23,)/VLOOKUP($D434,$C$5:$AA$507,4,))*$F434))</f>
        <v>0</v>
      </c>
      <c r="Z434" s="32"/>
      <c r="AA434" s="32">
        <f>IF(VLOOKUP($D434,$C$5:$AA$507,25,)=0,0,((VLOOKUP($D434,$C$5:$AA$507,25,)/VLOOKUP($D434,$C$5:$AA$507,4,))*$F434))</f>
        <v>0</v>
      </c>
      <c r="AB434" s="32">
        <f>SUM(H434:AA434)</f>
        <v>0</v>
      </c>
      <c r="AC434" s="14" t="str">
        <f>IF(ABS(AB434-F434)&lt;1,"ok","err")</f>
        <v>ok</v>
      </c>
    </row>
    <row r="435" spans="1:29" ht="12.75" x14ac:dyDescent="0.2">
      <c r="A435" s="1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14"/>
    </row>
    <row r="436" spans="1:29" ht="12.75" x14ac:dyDescent="0.2">
      <c r="A436" s="2" t="s">
        <v>542</v>
      </c>
      <c r="C436" s="2" t="s">
        <v>508</v>
      </c>
      <c r="F436" s="45">
        <f>SUM(F430:F435)</f>
        <v>511742</v>
      </c>
      <c r="G436" s="45"/>
      <c r="H436" s="45">
        <f>SUM(H430:H435)</f>
        <v>0</v>
      </c>
      <c r="I436" s="45">
        <f>SUM(I430:I435)</f>
        <v>0</v>
      </c>
      <c r="J436" s="45"/>
      <c r="K436" s="45">
        <f>SUM(K430:K435)</f>
        <v>0</v>
      </c>
      <c r="L436" s="45"/>
      <c r="M436" s="45">
        <f>SUM(M430:M435)</f>
        <v>0</v>
      </c>
      <c r="N436" s="45"/>
      <c r="O436" s="45">
        <f>SUM(O430:O435)</f>
        <v>0</v>
      </c>
      <c r="P436" s="45">
        <f>SUM(P430:P435)</f>
        <v>0</v>
      </c>
      <c r="Q436" s="45"/>
      <c r="R436" s="45">
        <f>SUM(R430:R435)</f>
        <v>0</v>
      </c>
      <c r="S436" s="45">
        <f>SUM(S430:S435)</f>
        <v>0</v>
      </c>
      <c r="T436" s="45"/>
      <c r="U436" s="45">
        <f>SUM(U430:U435)</f>
        <v>0</v>
      </c>
      <c r="V436" s="45"/>
      <c r="W436" s="45">
        <f>SUM(W430:W435)</f>
        <v>0</v>
      </c>
      <c r="X436" s="45"/>
      <c r="Y436" s="45">
        <f>SUM(Y430:Y435)</f>
        <v>511742</v>
      </c>
      <c r="Z436" s="45"/>
      <c r="AA436" s="45">
        <f>SUM(AA430:AA435)</f>
        <v>0</v>
      </c>
      <c r="AB436" s="32">
        <f>SUM(H436:AA436)</f>
        <v>511742</v>
      </c>
      <c r="AC436" s="14" t="str">
        <f>IF(ABS(AB436-F436)&lt;1,"ok","err")</f>
        <v>ok</v>
      </c>
    </row>
    <row r="437" spans="1:29" ht="12.75" x14ac:dyDescent="0.2"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C437" s="14"/>
    </row>
    <row r="438" spans="1:29" ht="12.75" x14ac:dyDescent="0.2">
      <c r="A438" s="1" t="s">
        <v>148</v>
      </c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C438" s="14"/>
    </row>
    <row r="439" spans="1:29" ht="12.75" x14ac:dyDescent="0.2">
      <c r="A439" s="2">
        <v>907</v>
      </c>
      <c r="B439" s="2" t="s">
        <v>385</v>
      </c>
      <c r="C439" s="2" t="s">
        <v>509</v>
      </c>
      <c r="D439" s="2" t="s">
        <v>150</v>
      </c>
      <c r="F439" s="45">
        <v>0</v>
      </c>
      <c r="G439" s="45"/>
      <c r="H439" s="32">
        <f t="shared" ref="H439:H449" si="263">IF(VLOOKUP($D439,$C$5:$AA$507,6,)=0,0,((VLOOKUP($D439,$C$5:$AA$507,6,)/VLOOKUP($D439,$C$5:$AA$507,4,))*$F439))</f>
        <v>0</v>
      </c>
      <c r="I439" s="32">
        <f t="shared" ref="I439:I449" si="264">IF(VLOOKUP($D439,$C$5:$AA$507,7,)=0,0,((VLOOKUP($D439,$C$5:$AA$507,7,)/VLOOKUP($D439,$C$5:$AA$507,4,))*$F439))</f>
        <v>0</v>
      </c>
      <c r="J439" s="32"/>
      <c r="K439" s="32">
        <f t="shared" ref="K439:K449" si="265">IF(VLOOKUP($D439,$C$5:$AA$507,9,)=0,0,((VLOOKUP($D439,$C$5:$AA$507,9,)/VLOOKUP($D439,$C$5:$AA$507,4,))*$F439))</f>
        <v>0</v>
      </c>
      <c r="L439" s="32"/>
      <c r="M439" s="32">
        <f t="shared" ref="M439:M449" si="266">IF(VLOOKUP($D439,$C$5:$AA$507,11,)=0,0,((VLOOKUP($D439,$C$5:$AA$507,11,)/VLOOKUP($D439,$C$5:$AA$507,4,))*$F439))</f>
        <v>0</v>
      </c>
      <c r="N439" s="32"/>
      <c r="O439" s="32">
        <f t="shared" ref="O439:O449" si="267">IF(VLOOKUP($D439,$C$5:$AA$507,13,)=0,0,((VLOOKUP($D439,$C$5:$AA$507,13,)/VLOOKUP($D439,$C$5:$AA$507,4,))*$F439))</f>
        <v>0</v>
      </c>
      <c r="P439" s="32">
        <f t="shared" ref="P439:P449" si="268">IF(VLOOKUP($D439,$C$5:$AA$507,14,)=0,0,((VLOOKUP($D439,$C$5:$AA$507,14,)/VLOOKUP($D439,$C$5:$AA$507,4,))*$F439))</f>
        <v>0</v>
      </c>
      <c r="Q439" s="32"/>
      <c r="R439" s="32">
        <f t="shared" ref="R439:R449" si="269">IF(VLOOKUP($D439,$C$5:$AA$507,16,)=0,0,((VLOOKUP($D439,$C$5:$AA$507,16,)/VLOOKUP($D439,$C$5:$AA$507,4,))*$F439))</f>
        <v>0</v>
      </c>
      <c r="S439" s="32">
        <f t="shared" ref="S439:S449" si="270">IF(VLOOKUP($D439,$C$5:$AA$507,17,)=0,0,((VLOOKUP($D439,$C$5:$AA$507,17,)/VLOOKUP($D439,$C$5:$AA$507,4,))*$F439))</f>
        <v>0</v>
      </c>
      <c r="T439" s="32"/>
      <c r="U439" s="32">
        <f t="shared" ref="U439:U449" si="271">IF(VLOOKUP($D439,$C$5:$AA$507,19,)=0,0,((VLOOKUP($D439,$C$5:$AA$507,19,)/VLOOKUP($D439,$C$5:$AA$507,4,))*$F439))</f>
        <v>0</v>
      </c>
      <c r="V439" s="32"/>
      <c r="W439" s="32">
        <f t="shared" ref="W439:W449" si="272">IF(VLOOKUP($D439,$C$5:$AA$507,21,)=0,0,((VLOOKUP($D439,$C$5:$AA$507,21,)/VLOOKUP($D439,$C$5:$AA$507,4,))*$F439))</f>
        <v>0</v>
      </c>
      <c r="X439" s="32"/>
      <c r="Y439" s="32">
        <f t="shared" ref="Y439:Y449" si="273">IF(VLOOKUP($D439,$C$5:$AA$507,23,)=0,0,((VLOOKUP($D439,$C$5:$AA$507,23,)/VLOOKUP($D439,$C$5:$AA$507,4,))*$F439))</f>
        <v>0</v>
      </c>
      <c r="Z439" s="32"/>
      <c r="AA439" s="32">
        <f t="shared" ref="AA439:AA449" si="274">IF(VLOOKUP($D439,$C$5:$AA$507,25,)=0,0,((VLOOKUP($D439,$C$5:$AA$507,25,)/VLOOKUP($D439,$C$5:$AA$507,4,))*$F439))</f>
        <v>0</v>
      </c>
      <c r="AB439" s="32">
        <f t="shared" ref="AB439:AB449" si="275">SUM(H439:AA439)</f>
        <v>0</v>
      </c>
      <c r="AC439" s="14" t="str">
        <f t="shared" ref="AC439:AC449" si="276">IF(ABS(AB439-F439)&lt;1,"ok","err")</f>
        <v>ok</v>
      </c>
    </row>
    <row r="440" spans="1:29" ht="12.75" x14ac:dyDescent="0.2">
      <c r="A440" s="2">
        <v>908</v>
      </c>
      <c r="B440" s="2" t="s">
        <v>151</v>
      </c>
      <c r="C440" s="2" t="s">
        <v>510</v>
      </c>
      <c r="D440" s="2" t="s">
        <v>150</v>
      </c>
      <c r="F440" s="32">
        <v>101694</v>
      </c>
      <c r="G440" s="32"/>
      <c r="H440" s="32">
        <f t="shared" si="263"/>
        <v>0</v>
      </c>
      <c r="I440" s="32">
        <f t="shared" si="264"/>
        <v>0</v>
      </c>
      <c r="J440" s="32"/>
      <c r="K440" s="32">
        <f t="shared" si="265"/>
        <v>0</v>
      </c>
      <c r="L440" s="32"/>
      <c r="M440" s="32">
        <f t="shared" si="266"/>
        <v>0</v>
      </c>
      <c r="N440" s="32"/>
      <c r="O440" s="32">
        <f t="shared" si="267"/>
        <v>0</v>
      </c>
      <c r="P440" s="32">
        <f t="shared" si="268"/>
        <v>0</v>
      </c>
      <c r="Q440" s="32"/>
      <c r="R440" s="32">
        <f t="shared" si="269"/>
        <v>0</v>
      </c>
      <c r="S440" s="32">
        <f t="shared" si="270"/>
        <v>0</v>
      </c>
      <c r="T440" s="32"/>
      <c r="U440" s="32">
        <f t="shared" si="271"/>
        <v>0</v>
      </c>
      <c r="V440" s="32"/>
      <c r="W440" s="32">
        <f t="shared" si="272"/>
        <v>0</v>
      </c>
      <c r="X440" s="32"/>
      <c r="Y440" s="32">
        <f t="shared" si="273"/>
        <v>101694</v>
      </c>
      <c r="Z440" s="32"/>
      <c r="AA440" s="32">
        <f t="shared" si="274"/>
        <v>0</v>
      </c>
      <c r="AB440" s="32">
        <f t="shared" si="275"/>
        <v>101694</v>
      </c>
      <c r="AC440" s="14" t="str">
        <f t="shared" si="276"/>
        <v>ok</v>
      </c>
    </row>
    <row r="441" spans="1:29" ht="12.75" x14ac:dyDescent="0.2">
      <c r="A441" s="2">
        <v>908</v>
      </c>
      <c r="B441" s="2" t="s">
        <v>454</v>
      </c>
      <c r="C441" s="2" t="s">
        <v>511</v>
      </c>
      <c r="D441" s="2" t="s">
        <v>471</v>
      </c>
      <c r="F441" s="32">
        <v>0</v>
      </c>
      <c r="G441" s="32"/>
      <c r="H441" s="32">
        <f t="shared" si="263"/>
        <v>0</v>
      </c>
      <c r="I441" s="32">
        <f t="shared" si="264"/>
        <v>0</v>
      </c>
      <c r="J441" s="32"/>
      <c r="K441" s="32">
        <f t="shared" si="265"/>
        <v>0</v>
      </c>
      <c r="L441" s="32"/>
      <c r="M441" s="32">
        <f t="shared" si="266"/>
        <v>0</v>
      </c>
      <c r="N441" s="32"/>
      <c r="O441" s="32">
        <f t="shared" si="267"/>
        <v>0</v>
      </c>
      <c r="P441" s="32">
        <f t="shared" si="268"/>
        <v>0</v>
      </c>
      <c r="Q441" s="32"/>
      <c r="R441" s="32">
        <f t="shared" si="269"/>
        <v>0</v>
      </c>
      <c r="S441" s="32">
        <f t="shared" si="270"/>
        <v>0</v>
      </c>
      <c r="T441" s="32"/>
      <c r="U441" s="32">
        <f t="shared" si="271"/>
        <v>0</v>
      </c>
      <c r="V441" s="32"/>
      <c r="W441" s="32">
        <f t="shared" si="272"/>
        <v>0</v>
      </c>
      <c r="X441" s="32"/>
      <c r="Y441" s="32">
        <f t="shared" si="273"/>
        <v>0</v>
      </c>
      <c r="Z441" s="32"/>
      <c r="AA441" s="32">
        <f t="shared" si="274"/>
        <v>0</v>
      </c>
      <c r="AB441" s="32">
        <f t="shared" si="275"/>
        <v>0</v>
      </c>
      <c r="AC441" s="14" t="str">
        <f t="shared" si="276"/>
        <v>ok</v>
      </c>
    </row>
    <row r="442" spans="1:29" ht="12.75" x14ac:dyDescent="0.2">
      <c r="A442" s="2">
        <v>909</v>
      </c>
      <c r="B442" s="2" t="s">
        <v>153</v>
      </c>
      <c r="C442" s="2" t="s">
        <v>512</v>
      </c>
      <c r="D442" s="2" t="s">
        <v>150</v>
      </c>
      <c r="F442" s="32">
        <v>2060</v>
      </c>
      <c r="G442" s="32"/>
      <c r="H442" s="32">
        <f t="shared" si="263"/>
        <v>0</v>
      </c>
      <c r="I442" s="32">
        <f t="shared" si="264"/>
        <v>0</v>
      </c>
      <c r="J442" s="32"/>
      <c r="K442" s="32">
        <f t="shared" si="265"/>
        <v>0</v>
      </c>
      <c r="L442" s="32"/>
      <c r="M442" s="32">
        <f t="shared" si="266"/>
        <v>0</v>
      </c>
      <c r="N442" s="32"/>
      <c r="O442" s="32">
        <f t="shared" si="267"/>
        <v>0</v>
      </c>
      <c r="P442" s="32">
        <f t="shared" si="268"/>
        <v>0</v>
      </c>
      <c r="Q442" s="32"/>
      <c r="R442" s="32">
        <f t="shared" si="269"/>
        <v>0</v>
      </c>
      <c r="S442" s="32">
        <f t="shared" si="270"/>
        <v>0</v>
      </c>
      <c r="T442" s="32"/>
      <c r="U442" s="32">
        <f t="shared" si="271"/>
        <v>0</v>
      </c>
      <c r="V442" s="32"/>
      <c r="W442" s="32">
        <f t="shared" si="272"/>
        <v>0</v>
      </c>
      <c r="X442" s="32"/>
      <c r="Y442" s="32">
        <f t="shared" si="273"/>
        <v>2060</v>
      </c>
      <c r="Z442" s="32"/>
      <c r="AA442" s="32">
        <f t="shared" si="274"/>
        <v>0</v>
      </c>
      <c r="AB442" s="32">
        <f t="shared" si="275"/>
        <v>2060</v>
      </c>
      <c r="AC442" s="14" t="str">
        <f t="shared" si="276"/>
        <v>ok</v>
      </c>
    </row>
    <row r="443" spans="1:29" ht="12.75" x14ac:dyDescent="0.2">
      <c r="A443" s="2">
        <v>909</v>
      </c>
      <c r="B443" s="2" t="s">
        <v>456</v>
      </c>
      <c r="C443" s="2" t="s">
        <v>513</v>
      </c>
      <c r="D443" s="2" t="s">
        <v>471</v>
      </c>
      <c r="F443" s="32">
        <v>0</v>
      </c>
      <c r="G443" s="32"/>
      <c r="H443" s="32">
        <f t="shared" si="263"/>
        <v>0</v>
      </c>
      <c r="I443" s="32">
        <f t="shared" si="264"/>
        <v>0</v>
      </c>
      <c r="J443" s="32"/>
      <c r="K443" s="32">
        <f t="shared" si="265"/>
        <v>0</v>
      </c>
      <c r="L443" s="32"/>
      <c r="M443" s="32">
        <f t="shared" si="266"/>
        <v>0</v>
      </c>
      <c r="N443" s="32"/>
      <c r="O443" s="32">
        <f t="shared" si="267"/>
        <v>0</v>
      </c>
      <c r="P443" s="32">
        <f t="shared" si="268"/>
        <v>0</v>
      </c>
      <c r="Q443" s="32"/>
      <c r="R443" s="32">
        <f t="shared" si="269"/>
        <v>0</v>
      </c>
      <c r="S443" s="32">
        <f t="shared" si="270"/>
        <v>0</v>
      </c>
      <c r="T443" s="32"/>
      <c r="U443" s="32">
        <f t="shared" si="271"/>
        <v>0</v>
      </c>
      <c r="V443" s="32"/>
      <c r="W443" s="32">
        <f t="shared" si="272"/>
        <v>0</v>
      </c>
      <c r="X443" s="32"/>
      <c r="Y443" s="32">
        <f t="shared" si="273"/>
        <v>0</v>
      </c>
      <c r="Z443" s="32"/>
      <c r="AA443" s="32">
        <f t="shared" si="274"/>
        <v>0</v>
      </c>
      <c r="AB443" s="32">
        <f t="shared" si="275"/>
        <v>0</v>
      </c>
      <c r="AC443" s="14" t="str">
        <f t="shared" si="276"/>
        <v>ok</v>
      </c>
    </row>
    <row r="444" spans="1:29" ht="12.75" x14ac:dyDescent="0.2">
      <c r="A444" s="2">
        <v>910</v>
      </c>
      <c r="B444" s="2" t="s">
        <v>155</v>
      </c>
      <c r="C444" s="2" t="s">
        <v>514</v>
      </c>
      <c r="D444" s="2" t="s">
        <v>150</v>
      </c>
      <c r="F444" s="32">
        <v>0</v>
      </c>
      <c r="G444" s="32"/>
      <c r="H444" s="32">
        <f t="shared" si="263"/>
        <v>0</v>
      </c>
      <c r="I444" s="32">
        <f t="shared" si="264"/>
        <v>0</v>
      </c>
      <c r="J444" s="32"/>
      <c r="K444" s="32">
        <f t="shared" si="265"/>
        <v>0</v>
      </c>
      <c r="L444" s="32"/>
      <c r="M444" s="32">
        <f t="shared" si="266"/>
        <v>0</v>
      </c>
      <c r="N444" s="32"/>
      <c r="O444" s="32">
        <f t="shared" si="267"/>
        <v>0</v>
      </c>
      <c r="P444" s="32">
        <f t="shared" si="268"/>
        <v>0</v>
      </c>
      <c r="Q444" s="32"/>
      <c r="R444" s="32">
        <f t="shared" si="269"/>
        <v>0</v>
      </c>
      <c r="S444" s="32">
        <f t="shared" si="270"/>
        <v>0</v>
      </c>
      <c r="T444" s="32"/>
      <c r="U444" s="32">
        <f t="shared" si="271"/>
        <v>0</v>
      </c>
      <c r="V444" s="32"/>
      <c r="W444" s="32">
        <f t="shared" si="272"/>
        <v>0</v>
      </c>
      <c r="X444" s="32"/>
      <c r="Y444" s="32">
        <f t="shared" si="273"/>
        <v>0</v>
      </c>
      <c r="Z444" s="32"/>
      <c r="AA444" s="32">
        <f t="shared" si="274"/>
        <v>0</v>
      </c>
      <c r="AB444" s="32">
        <f t="shared" si="275"/>
        <v>0</v>
      </c>
      <c r="AC444" s="14" t="str">
        <f t="shared" si="276"/>
        <v>ok</v>
      </c>
    </row>
    <row r="445" spans="1:29" ht="12.75" x14ac:dyDescent="0.2">
      <c r="A445" s="2">
        <v>911</v>
      </c>
      <c r="B445" s="2" t="s">
        <v>385</v>
      </c>
      <c r="C445" s="2" t="s">
        <v>709</v>
      </c>
      <c r="D445" s="2" t="s">
        <v>150</v>
      </c>
      <c r="F445" s="32">
        <v>0</v>
      </c>
      <c r="G445" s="32"/>
      <c r="H445" s="32">
        <f t="shared" si="263"/>
        <v>0</v>
      </c>
      <c r="I445" s="32">
        <f t="shared" si="264"/>
        <v>0</v>
      </c>
      <c r="J445" s="32"/>
      <c r="K445" s="32">
        <f t="shared" si="265"/>
        <v>0</v>
      </c>
      <c r="L445" s="32"/>
      <c r="M445" s="32">
        <f t="shared" si="266"/>
        <v>0</v>
      </c>
      <c r="N445" s="32"/>
      <c r="O445" s="32">
        <f t="shared" si="267"/>
        <v>0</v>
      </c>
      <c r="P445" s="32">
        <f t="shared" si="268"/>
        <v>0</v>
      </c>
      <c r="Q445" s="32"/>
      <c r="R445" s="32">
        <f t="shared" si="269"/>
        <v>0</v>
      </c>
      <c r="S445" s="32">
        <f t="shared" si="270"/>
        <v>0</v>
      </c>
      <c r="T445" s="32"/>
      <c r="U445" s="32">
        <f t="shared" si="271"/>
        <v>0</v>
      </c>
      <c r="V445" s="32"/>
      <c r="W445" s="32">
        <f t="shared" si="272"/>
        <v>0</v>
      </c>
      <c r="X445" s="32"/>
      <c r="Y445" s="32">
        <f t="shared" si="273"/>
        <v>0</v>
      </c>
      <c r="Z445" s="32"/>
      <c r="AA445" s="32">
        <f t="shared" si="274"/>
        <v>0</v>
      </c>
      <c r="AB445" s="32">
        <f>SUM(H445:AA445)</f>
        <v>0</v>
      </c>
      <c r="AC445" s="14" t="str">
        <f>IF(ABS(AB445-F445)&lt;1,"ok","err")</f>
        <v>ok</v>
      </c>
    </row>
    <row r="446" spans="1:29" ht="12.75" x14ac:dyDescent="0.2">
      <c r="A446" s="2">
        <v>912</v>
      </c>
      <c r="B446" s="2" t="s">
        <v>587</v>
      </c>
      <c r="C446" s="2" t="s">
        <v>590</v>
      </c>
      <c r="D446" s="2" t="s">
        <v>471</v>
      </c>
      <c r="F446" s="32">
        <v>0</v>
      </c>
      <c r="G446" s="32"/>
      <c r="H446" s="32">
        <f t="shared" si="263"/>
        <v>0</v>
      </c>
      <c r="I446" s="32">
        <f t="shared" si="264"/>
        <v>0</v>
      </c>
      <c r="J446" s="32"/>
      <c r="K446" s="32">
        <f t="shared" si="265"/>
        <v>0</v>
      </c>
      <c r="L446" s="32"/>
      <c r="M446" s="32">
        <f t="shared" si="266"/>
        <v>0</v>
      </c>
      <c r="N446" s="32"/>
      <c r="O446" s="32">
        <f t="shared" si="267"/>
        <v>0</v>
      </c>
      <c r="P446" s="32">
        <f t="shared" si="268"/>
        <v>0</v>
      </c>
      <c r="Q446" s="32"/>
      <c r="R446" s="32">
        <f t="shared" si="269"/>
        <v>0</v>
      </c>
      <c r="S446" s="32">
        <f t="shared" si="270"/>
        <v>0</v>
      </c>
      <c r="T446" s="32"/>
      <c r="U446" s="32">
        <f t="shared" si="271"/>
        <v>0</v>
      </c>
      <c r="V446" s="32"/>
      <c r="W446" s="32">
        <f t="shared" si="272"/>
        <v>0</v>
      </c>
      <c r="X446" s="32"/>
      <c r="Y446" s="32">
        <f t="shared" si="273"/>
        <v>0</v>
      </c>
      <c r="Z446" s="32"/>
      <c r="AA446" s="32">
        <f t="shared" si="274"/>
        <v>0</v>
      </c>
      <c r="AB446" s="32">
        <f t="shared" si="275"/>
        <v>0</v>
      </c>
      <c r="AC446" s="14" t="str">
        <f t="shared" si="276"/>
        <v>ok</v>
      </c>
    </row>
    <row r="447" spans="1:29" ht="12.75" x14ac:dyDescent="0.2">
      <c r="A447" s="2">
        <v>913</v>
      </c>
      <c r="B447" s="2" t="s">
        <v>576</v>
      </c>
      <c r="C447" s="2" t="s">
        <v>591</v>
      </c>
      <c r="D447" s="2" t="s">
        <v>471</v>
      </c>
      <c r="F447" s="32">
        <v>0</v>
      </c>
      <c r="G447" s="32"/>
      <c r="H447" s="32">
        <f t="shared" si="263"/>
        <v>0</v>
      </c>
      <c r="I447" s="32">
        <f t="shared" si="264"/>
        <v>0</v>
      </c>
      <c r="J447" s="32"/>
      <c r="K447" s="32">
        <f t="shared" si="265"/>
        <v>0</v>
      </c>
      <c r="L447" s="32"/>
      <c r="M447" s="32">
        <f t="shared" si="266"/>
        <v>0</v>
      </c>
      <c r="N447" s="32"/>
      <c r="O447" s="32">
        <f t="shared" si="267"/>
        <v>0</v>
      </c>
      <c r="P447" s="32">
        <f t="shared" si="268"/>
        <v>0</v>
      </c>
      <c r="Q447" s="32"/>
      <c r="R447" s="32">
        <f t="shared" si="269"/>
        <v>0</v>
      </c>
      <c r="S447" s="32">
        <f t="shared" si="270"/>
        <v>0</v>
      </c>
      <c r="T447" s="32"/>
      <c r="U447" s="32">
        <f t="shared" si="271"/>
        <v>0</v>
      </c>
      <c r="V447" s="32"/>
      <c r="W447" s="32">
        <f t="shared" si="272"/>
        <v>0</v>
      </c>
      <c r="X447" s="32"/>
      <c r="Y447" s="32">
        <f t="shared" si="273"/>
        <v>0</v>
      </c>
      <c r="Z447" s="32"/>
      <c r="AA447" s="32">
        <f t="shared" si="274"/>
        <v>0</v>
      </c>
      <c r="AB447" s="32">
        <f t="shared" si="275"/>
        <v>0</v>
      </c>
      <c r="AC447" s="14" t="str">
        <f t="shared" si="276"/>
        <v>ok</v>
      </c>
    </row>
    <row r="448" spans="1:29" ht="12.75" x14ac:dyDescent="0.2">
      <c r="A448" s="2">
        <v>915</v>
      </c>
      <c r="B448" s="2" t="s">
        <v>637</v>
      </c>
      <c r="C448" s="2" t="s">
        <v>640</v>
      </c>
      <c r="D448" s="2" t="s">
        <v>471</v>
      </c>
      <c r="F448" s="32">
        <v>0</v>
      </c>
      <c r="G448" s="32"/>
      <c r="H448" s="32">
        <f t="shared" si="263"/>
        <v>0</v>
      </c>
      <c r="I448" s="32">
        <f t="shared" si="264"/>
        <v>0</v>
      </c>
      <c r="J448" s="32"/>
      <c r="K448" s="32">
        <f t="shared" si="265"/>
        <v>0</v>
      </c>
      <c r="L448" s="32"/>
      <c r="M448" s="32">
        <f t="shared" si="266"/>
        <v>0</v>
      </c>
      <c r="N448" s="32"/>
      <c r="O448" s="32">
        <f t="shared" si="267"/>
        <v>0</v>
      </c>
      <c r="P448" s="32">
        <f t="shared" si="268"/>
        <v>0</v>
      </c>
      <c r="Q448" s="32"/>
      <c r="R448" s="32">
        <f t="shared" si="269"/>
        <v>0</v>
      </c>
      <c r="S448" s="32">
        <f t="shared" si="270"/>
        <v>0</v>
      </c>
      <c r="T448" s="32"/>
      <c r="U448" s="32">
        <f t="shared" si="271"/>
        <v>0</v>
      </c>
      <c r="V448" s="32"/>
      <c r="W448" s="32">
        <f t="shared" si="272"/>
        <v>0</v>
      </c>
      <c r="X448" s="32"/>
      <c r="Y448" s="32">
        <f t="shared" si="273"/>
        <v>0</v>
      </c>
      <c r="Z448" s="32"/>
      <c r="AA448" s="32">
        <f t="shared" si="274"/>
        <v>0</v>
      </c>
      <c r="AB448" s="32">
        <f t="shared" si="275"/>
        <v>0</v>
      </c>
      <c r="AC448" s="14" t="str">
        <f t="shared" si="276"/>
        <v>ok</v>
      </c>
    </row>
    <row r="449" spans="1:29" ht="12.75" x14ac:dyDescent="0.2">
      <c r="A449" s="2">
        <v>916</v>
      </c>
      <c r="B449" s="2" t="s">
        <v>638</v>
      </c>
      <c r="C449" s="2" t="s">
        <v>641</v>
      </c>
      <c r="D449" s="2" t="s">
        <v>471</v>
      </c>
      <c r="F449" s="32">
        <v>0</v>
      </c>
      <c r="G449" s="32"/>
      <c r="H449" s="32">
        <f t="shared" si="263"/>
        <v>0</v>
      </c>
      <c r="I449" s="32">
        <f t="shared" si="264"/>
        <v>0</v>
      </c>
      <c r="J449" s="32"/>
      <c r="K449" s="32">
        <f t="shared" si="265"/>
        <v>0</v>
      </c>
      <c r="L449" s="32"/>
      <c r="M449" s="32">
        <f t="shared" si="266"/>
        <v>0</v>
      </c>
      <c r="N449" s="32"/>
      <c r="O449" s="32">
        <f t="shared" si="267"/>
        <v>0</v>
      </c>
      <c r="P449" s="32">
        <f t="shared" si="268"/>
        <v>0</v>
      </c>
      <c r="Q449" s="32"/>
      <c r="R449" s="32">
        <f t="shared" si="269"/>
        <v>0</v>
      </c>
      <c r="S449" s="32">
        <f t="shared" si="270"/>
        <v>0</v>
      </c>
      <c r="T449" s="32"/>
      <c r="U449" s="32">
        <f t="shared" si="271"/>
        <v>0</v>
      </c>
      <c r="V449" s="32"/>
      <c r="W449" s="32">
        <f t="shared" si="272"/>
        <v>0</v>
      </c>
      <c r="X449" s="32"/>
      <c r="Y449" s="32">
        <f t="shared" si="273"/>
        <v>0</v>
      </c>
      <c r="Z449" s="32"/>
      <c r="AA449" s="32">
        <f t="shared" si="274"/>
        <v>0</v>
      </c>
      <c r="AB449" s="32">
        <f t="shared" si="275"/>
        <v>0</v>
      </c>
      <c r="AC449" s="14" t="str">
        <f t="shared" si="276"/>
        <v>ok</v>
      </c>
    </row>
    <row r="450" spans="1:29" ht="12.75" x14ac:dyDescent="0.2"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14"/>
    </row>
    <row r="451" spans="1:29" ht="12.75" x14ac:dyDescent="0.2">
      <c r="A451" s="2" t="s">
        <v>543</v>
      </c>
      <c r="C451" s="2" t="s">
        <v>515</v>
      </c>
      <c r="F451" s="45">
        <f>SUM(F439:F450)</f>
        <v>103754</v>
      </c>
      <c r="G451" s="45"/>
      <c r="H451" s="45">
        <f>SUM(H439:H450)</f>
        <v>0</v>
      </c>
      <c r="I451" s="45">
        <f>SUM(I439:I450)</f>
        <v>0</v>
      </c>
      <c r="J451" s="45"/>
      <c r="K451" s="45">
        <f>SUM(K439:K450)</f>
        <v>0</v>
      </c>
      <c r="L451" s="45"/>
      <c r="M451" s="45">
        <f>SUM(M439:M450)</f>
        <v>0</v>
      </c>
      <c r="N451" s="45"/>
      <c r="O451" s="45">
        <f>SUM(O439:O450)</f>
        <v>0</v>
      </c>
      <c r="P451" s="45">
        <f>SUM(P439:P450)</f>
        <v>0</v>
      </c>
      <c r="Q451" s="45"/>
      <c r="R451" s="45">
        <f>SUM(R439:R450)</f>
        <v>0</v>
      </c>
      <c r="S451" s="45">
        <f>SUM(S439:S450)</f>
        <v>0</v>
      </c>
      <c r="T451" s="45"/>
      <c r="U451" s="45">
        <f>SUM(U439:U450)</f>
        <v>0</v>
      </c>
      <c r="V451" s="45"/>
      <c r="W451" s="45">
        <f>SUM(W439:W450)</f>
        <v>0</v>
      </c>
      <c r="X451" s="45"/>
      <c r="Y451" s="45">
        <f>SUM(Y439:Y450)</f>
        <v>103754</v>
      </c>
      <c r="Z451" s="45"/>
      <c r="AA451" s="45">
        <f>SUM(AA439:AA450)</f>
        <v>0</v>
      </c>
      <c r="AB451" s="32">
        <f>SUM(H451:AA451)</f>
        <v>103754</v>
      </c>
      <c r="AC451" s="14" t="str">
        <f>IF(ABS(AB451-F451)&lt;1,"ok","err")</f>
        <v>ok</v>
      </c>
    </row>
    <row r="452" spans="1:29" ht="12.75" x14ac:dyDescent="0.2"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C452" s="14"/>
    </row>
    <row r="453" spans="1:29" ht="12.75" x14ac:dyDescent="0.2">
      <c r="A453" s="2" t="s">
        <v>544</v>
      </c>
      <c r="C453" s="2" t="s">
        <v>516</v>
      </c>
      <c r="F453" s="32">
        <f>F425+F436+F451</f>
        <v>2271078</v>
      </c>
      <c r="G453" s="32"/>
      <c r="H453" s="32">
        <f>H425+H436+H451</f>
        <v>0</v>
      </c>
      <c r="I453" s="32">
        <f>I425+I436+I451</f>
        <v>0</v>
      </c>
      <c r="J453" s="32"/>
      <c r="K453" s="32">
        <f>K425+K436+K451</f>
        <v>0</v>
      </c>
      <c r="L453" s="32"/>
      <c r="M453" s="32">
        <f>M425+M436+M451</f>
        <v>172.16684346783572</v>
      </c>
      <c r="N453" s="32"/>
      <c r="O453" s="32">
        <f>O425+O436+O451</f>
        <v>1057213.6234583</v>
      </c>
      <c r="P453" s="32">
        <f>P425+P436+P451</f>
        <v>362323.49323822302</v>
      </c>
      <c r="Q453" s="32"/>
      <c r="R453" s="32">
        <f>R425+R436+R451</f>
        <v>0</v>
      </c>
      <c r="S453" s="32">
        <f>S425+S436+S451</f>
        <v>76083.1824855327</v>
      </c>
      <c r="T453" s="32"/>
      <c r="U453" s="32">
        <f>U425+U436+U451</f>
        <v>141525.58148631695</v>
      </c>
      <c r="V453" s="32"/>
      <c r="W453" s="32">
        <f>W425+W436+W451</f>
        <v>18263.95248815939</v>
      </c>
      <c r="X453" s="32"/>
      <c r="Y453" s="32">
        <f>Y425+Y436+Y451</f>
        <v>615496</v>
      </c>
      <c r="Z453" s="32"/>
      <c r="AA453" s="32">
        <f>AA425+AA436+AA451</f>
        <v>0</v>
      </c>
      <c r="AB453" s="32">
        <f>SUM(H453:AA453)</f>
        <v>2271078</v>
      </c>
      <c r="AC453" s="14" t="str">
        <f>IF(ABS(AB453-F453)&lt;1,"ok","err")</f>
        <v>ok</v>
      </c>
    </row>
    <row r="454" spans="1:29" ht="12.75" x14ac:dyDescent="0.2"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C454" s="14"/>
    </row>
    <row r="455" spans="1:29" ht="12.75" x14ac:dyDescent="0.2"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C455" s="14"/>
    </row>
    <row r="456" spans="1:29" ht="12.75" x14ac:dyDescent="0.2">
      <c r="A456" s="12" t="s">
        <v>473</v>
      </c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C456" s="14"/>
    </row>
    <row r="457" spans="1:29" ht="12.75" x14ac:dyDescent="0.2"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C457" s="14"/>
    </row>
    <row r="458" spans="1:29" ht="12.75" x14ac:dyDescent="0.2">
      <c r="A458" s="1" t="s">
        <v>159</v>
      </c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C458" s="14"/>
    </row>
    <row r="459" spans="1:29" ht="12.75" x14ac:dyDescent="0.2">
      <c r="A459" s="2">
        <v>920</v>
      </c>
      <c r="B459" s="2" t="s">
        <v>160</v>
      </c>
      <c r="C459" s="2" t="s">
        <v>517</v>
      </c>
      <c r="D459" s="2" t="s">
        <v>411</v>
      </c>
      <c r="F459" s="45">
        <v>597937</v>
      </c>
      <c r="G459" s="45"/>
      <c r="H459" s="32">
        <f t="shared" ref="H459:H470" si="277">IF(VLOOKUP($D459,$C$5:$AA$507,6,)=0,0,((VLOOKUP($D459,$C$5:$AA$507,6,)/VLOOKUP($D459,$C$5:$AA$507,4,))*$F459))</f>
        <v>0</v>
      </c>
      <c r="I459" s="32">
        <f t="shared" ref="I459:I470" si="278">IF(VLOOKUP($D459,$C$5:$AA$507,7,)=0,0,((VLOOKUP($D459,$C$5:$AA$507,7,)/VLOOKUP($D459,$C$5:$AA$507,4,))*$F459))</f>
        <v>0</v>
      </c>
      <c r="J459" s="32"/>
      <c r="K459" s="32">
        <f t="shared" ref="K459:K470" si="279">IF(VLOOKUP($D459,$C$5:$AA$507,9,)=0,0,((VLOOKUP($D459,$C$5:$AA$507,9,)/VLOOKUP($D459,$C$5:$AA$507,4,))*$F459))</f>
        <v>0</v>
      </c>
      <c r="L459" s="32"/>
      <c r="M459" s="32">
        <f t="shared" ref="M459:M470" si="280">IF(VLOOKUP($D459,$C$5:$AA$507,11,)=0,0,((VLOOKUP($D459,$C$5:$AA$507,11,)/VLOOKUP($D459,$C$5:$AA$507,4,))*$F459))</f>
        <v>31.25426887207394</v>
      </c>
      <c r="N459" s="32"/>
      <c r="O459" s="32">
        <f t="shared" ref="O459:O470" si="281">IF(VLOOKUP($D459,$C$5:$AA$507,13,)=0,0,((VLOOKUP($D459,$C$5:$AA$507,13,)/VLOOKUP($D459,$C$5:$AA$507,4,))*$F459))</f>
        <v>320317.59604966978</v>
      </c>
      <c r="P459" s="32">
        <f t="shared" ref="P459:P470" si="282">IF(VLOOKUP($D459,$C$5:$AA$507,14,)=0,0,((VLOOKUP($D459,$C$5:$AA$507,14,)/VLOOKUP($D459,$C$5:$AA$507,4,))*$F459))</f>
        <v>104733.50174210673</v>
      </c>
      <c r="Q459" s="32"/>
      <c r="R459" s="32">
        <f t="shared" ref="R459:R470" si="283">IF(VLOOKUP($D459,$C$5:$AA$507,16,)=0,0,((VLOOKUP($D459,$C$5:$AA$507,16,)/VLOOKUP($D459,$C$5:$AA$507,4,))*$F459))</f>
        <v>0</v>
      </c>
      <c r="S459" s="32">
        <f t="shared" ref="S459:S470" si="284">IF(VLOOKUP($D459,$C$5:$AA$507,17,)=0,0,((VLOOKUP($D459,$C$5:$AA$507,17,)/VLOOKUP($D459,$C$5:$AA$507,4,))*$F459))</f>
        <v>13100.103372559322</v>
      </c>
      <c r="T459" s="32"/>
      <c r="U459" s="32">
        <f t="shared" ref="U459:U470" si="285">IF(VLOOKUP($D459,$C$5:$AA$507,19,)=0,0,((VLOOKUP($D459,$C$5:$AA$507,19,)/VLOOKUP($D459,$C$5:$AA$507,4,))*$F459))</f>
        <v>23187.073847818374</v>
      </c>
      <c r="V459" s="32"/>
      <c r="W459" s="32">
        <f t="shared" ref="W459:W470" si="286">IF(VLOOKUP($D459,$C$5:$AA$507,21,)=0,0,((VLOOKUP($D459,$C$5:$AA$507,21,)/VLOOKUP($D459,$C$5:$AA$507,4,))*$F459))</f>
        <v>3315.54247167434</v>
      </c>
      <c r="X459" s="32"/>
      <c r="Y459" s="32">
        <f t="shared" ref="Y459:Y470" si="287">IF(VLOOKUP($D459,$C$5:$AA$507,23,)=0,0,((VLOOKUP($D459,$C$5:$AA$507,23,)/VLOOKUP($D459,$C$5:$AA$507,4,))*$F459))</f>
        <v>133251.92824729942</v>
      </c>
      <c r="Z459" s="32"/>
      <c r="AA459" s="32">
        <f t="shared" ref="AA459:AA470" si="288">IF(VLOOKUP($D459,$C$5:$AA$507,25,)=0,0,((VLOOKUP($D459,$C$5:$AA$507,25,)/VLOOKUP($D459,$C$5:$AA$507,4,))*$F459))</f>
        <v>0</v>
      </c>
      <c r="AB459" s="32">
        <f t="shared" ref="AB459:AB470" si="289">SUM(H459:AA459)</f>
        <v>597937</v>
      </c>
      <c r="AC459" s="14" t="str">
        <f t="shared" ref="AC459:AC470" si="290">IF(ABS(AB459-F459)&lt;1,"ok","err")</f>
        <v>ok</v>
      </c>
    </row>
    <row r="460" spans="1:29" ht="12.75" x14ac:dyDescent="0.2">
      <c r="A460" s="2">
        <v>921</v>
      </c>
      <c r="B460" s="2" t="s">
        <v>162</v>
      </c>
      <c r="C460" s="2" t="s">
        <v>518</v>
      </c>
      <c r="D460" s="2" t="s">
        <v>516</v>
      </c>
      <c r="F460" s="32">
        <v>0</v>
      </c>
      <c r="G460" s="32"/>
      <c r="H460" s="32">
        <f t="shared" si="277"/>
        <v>0</v>
      </c>
      <c r="I460" s="32">
        <f t="shared" si="278"/>
        <v>0</v>
      </c>
      <c r="J460" s="32"/>
      <c r="K460" s="32">
        <f t="shared" si="279"/>
        <v>0</v>
      </c>
      <c r="L460" s="32"/>
      <c r="M460" s="32">
        <f t="shared" si="280"/>
        <v>0</v>
      </c>
      <c r="N460" s="32"/>
      <c r="O460" s="32">
        <f t="shared" si="281"/>
        <v>0</v>
      </c>
      <c r="P460" s="32">
        <f t="shared" si="282"/>
        <v>0</v>
      </c>
      <c r="Q460" s="32"/>
      <c r="R460" s="32">
        <f t="shared" si="283"/>
        <v>0</v>
      </c>
      <c r="S460" s="32">
        <f t="shared" si="284"/>
        <v>0</v>
      </c>
      <c r="T460" s="32"/>
      <c r="U460" s="32">
        <f t="shared" si="285"/>
        <v>0</v>
      </c>
      <c r="V460" s="32"/>
      <c r="W460" s="32">
        <f t="shared" si="286"/>
        <v>0</v>
      </c>
      <c r="X460" s="32"/>
      <c r="Y460" s="32">
        <f t="shared" si="287"/>
        <v>0</v>
      </c>
      <c r="Z460" s="32"/>
      <c r="AA460" s="32">
        <f t="shared" si="288"/>
        <v>0</v>
      </c>
      <c r="AB460" s="32">
        <f t="shared" si="289"/>
        <v>0</v>
      </c>
      <c r="AC460" s="14" t="str">
        <f t="shared" si="290"/>
        <v>ok</v>
      </c>
    </row>
    <row r="461" spans="1:29" ht="12.75" x14ac:dyDescent="0.2">
      <c r="A461" s="2">
        <v>923</v>
      </c>
      <c r="B461" s="2" t="s">
        <v>164</v>
      </c>
      <c r="C461" s="2" t="s">
        <v>519</v>
      </c>
      <c r="D461" s="2" t="s">
        <v>411</v>
      </c>
      <c r="F461" s="32">
        <v>0</v>
      </c>
      <c r="G461" s="32"/>
      <c r="H461" s="32">
        <f t="shared" si="277"/>
        <v>0</v>
      </c>
      <c r="I461" s="32">
        <f t="shared" si="278"/>
        <v>0</v>
      </c>
      <c r="J461" s="32"/>
      <c r="K461" s="32">
        <f t="shared" si="279"/>
        <v>0</v>
      </c>
      <c r="L461" s="32"/>
      <c r="M461" s="32">
        <f t="shared" si="280"/>
        <v>0</v>
      </c>
      <c r="N461" s="32"/>
      <c r="O461" s="32">
        <f t="shared" si="281"/>
        <v>0</v>
      </c>
      <c r="P461" s="32">
        <f t="shared" si="282"/>
        <v>0</v>
      </c>
      <c r="Q461" s="32"/>
      <c r="R461" s="32">
        <f t="shared" si="283"/>
        <v>0</v>
      </c>
      <c r="S461" s="32">
        <f t="shared" si="284"/>
        <v>0</v>
      </c>
      <c r="T461" s="32"/>
      <c r="U461" s="32">
        <f t="shared" si="285"/>
        <v>0</v>
      </c>
      <c r="V461" s="32"/>
      <c r="W461" s="32">
        <f t="shared" si="286"/>
        <v>0</v>
      </c>
      <c r="X461" s="32"/>
      <c r="Y461" s="32">
        <f t="shared" si="287"/>
        <v>0</v>
      </c>
      <c r="Z461" s="32"/>
      <c r="AA461" s="32">
        <f t="shared" si="288"/>
        <v>0</v>
      </c>
      <c r="AB461" s="32">
        <f t="shared" si="289"/>
        <v>0</v>
      </c>
      <c r="AC461" s="14" t="str">
        <f t="shared" si="290"/>
        <v>ok</v>
      </c>
    </row>
    <row r="462" spans="1:29" ht="12.75" x14ac:dyDescent="0.2">
      <c r="A462" s="2">
        <v>924</v>
      </c>
      <c r="B462" s="2" t="s">
        <v>166</v>
      </c>
      <c r="C462" s="2" t="s">
        <v>520</v>
      </c>
      <c r="D462" s="2" t="s">
        <v>84</v>
      </c>
      <c r="F462" s="32">
        <v>0</v>
      </c>
      <c r="G462" s="32"/>
      <c r="H462" s="32">
        <f t="shared" si="277"/>
        <v>0</v>
      </c>
      <c r="I462" s="32">
        <f t="shared" si="278"/>
        <v>0</v>
      </c>
      <c r="J462" s="32"/>
      <c r="K462" s="32">
        <f t="shared" si="279"/>
        <v>0</v>
      </c>
      <c r="L462" s="32"/>
      <c r="M462" s="32">
        <f t="shared" si="280"/>
        <v>0</v>
      </c>
      <c r="N462" s="32"/>
      <c r="O462" s="32">
        <f t="shared" si="281"/>
        <v>0</v>
      </c>
      <c r="P462" s="32">
        <f t="shared" si="282"/>
        <v>0</v>
      </c>
      <c r="Q462" s="32"/>
      <c r="R462" s="32">
        <f t="shared" si="283"/>
        <v>0</v>
      </c>
      <c r="S462" s="32">
        <f t="shared" si="284"/>
        <v>0</v>
      </c>
      <c r="T462" s="32"/>
      <c r="U462" s="32">
        <f t="shared" si="285"/>
        <v>0</v>
      </c>
      <c r="V462" s="32"/>
      <c r="W462" s="32">
        <f t="shared" si="286"/>
        <v>0</v>
      </c>
      <c r="X462" s="32"/>
      <c r="Y462" s="32">
        <f t="shared" si="287"/>
        <v>0</v>
      </c>
      <c r="Z462" s="32"/>
      <c r="AA462" s="32">
        <f t="shared" si="288"/>
        <v>0</v>
      </c>
      <c r="AB462" s="32">
        <f t="shared" si="289"/>
        <v>0</v>
      </c>
      <c r="AC462" s="14" t="str">
        <f t="shared" si="290"/>
        <v>ok</v>
      </c>
    </row>
    <row r="463" spans="1:29" ht="12.75" x14ac:dyDescent="0.2">
      <c r="A463" s="2">
        <v>925</v>
      </c>
      <c r="B463" s="2" t="s">
        <v>168</v>
      </c>
      <c r="C463" s="2" t="s">
        <v>521</v>
      </c>
      <c r="D463" s="2" t="s">
        <v>516</v>
      </c>
      <c r="F463" s="32">
        <v>0</v>
      </c>
      <c r="G463" s="32"/>
      <c r="H463" s="32">
        <f t="shared" si="277"/>
        <v>0</v>
      </c>
      <c r="I463" s="32">
        <f t="shared" si="278"/>
        <v>0</v>
      </c>
      <c r="J463" s="32"/>
      <c r="K463" s="32">
        <f t="shared" si="279"/>
        <v>0</v>
      </c>
      <c r="L463" s="32"/>
      <c r="M463" s="32">
        <f t="shared" si="280"/>
        <v>0</v>
      </c>
      <c r="N463" s="32"/>
      <c r="O463" s="32">
        <f t="shared" si="281"/>
        <v>0</v>
      </c>
      <c r="P463" s="32">
        <f t="shared" si="282"/>
        <v>0</v>
      </c>
      <c r="Q463" s="32"/>
      <c r="R463" s="32">
        <f t="shared" si="283"/>
        <v>0</v>
      </c>
      <c r="S463" s="32">
        <f t="shared" si="284"/>
        <v>0</v>
      </c>
      <c r="T463" s="32"/>
      <c r="U463" s="32">
        <f t="shared" si="285"/>
        <v>0</v>
      </c>
      <c r="V463" s="32"/>
      <c r="W463" s="32">
        <f t="shared" si="286"/>
        <v>0</v>
      </c>
      <c r="X463" s="32"/>
      <c r="Y463" s="32">
        <f t="shared" si="287"/>
        <v>0</v>
      </c>
      <c r="Z463" s="32"/>
      <c r="AA463" s="32">
        <f t="shared" si="288"/>
        <v>0</v>
      </c>
      <c r="AB463" s="32">
        <f t="shared" si="289"/>
        <v>0</v>
      </c>
      <c r="AC463" s="14" t="str">
        <f t="shared" si="290"/>
        <v>ok</v>
      </c>
    </row>
    <row r="464" spans="1:29" ht="12.75" x14ac:dyDescent="0.2">
      <c r="A464" s="2">
        <v>926</v>
      </c>
      <c r="B464" s="2" t="s">
        <v>170</v>
      </c>
      <c r="C464" s="2" t="s">
        <v>522</v>
      </c>
      <c r="D464" s="2" t="s">
        <v>516</v>
      </c>
      <c r="F464" s="32">
        <v>19133</v>
      </c>
      <c r="G464" s="32"/>
      <c r="H464" s="32">
        <f t="shared" si="277"/>
        <v>0</v>
      </c>
      <c r="I464" s="32">
        <f t="shared" si="278"/>
        <v>0</v>
      </c>
      <c r="J464" s="32"/>
      <c r="K464" s="32">
        <f t="shared" si="279"/>
        <v>0</v>
      </c>
      <c r="L464" s="32"/>
      <c r="M464" s="32">
        <f t="shared" si="280"/>
        <v>1.4504425722366652</v>
      </c>
      <c r="N464" s="32"/>
      <c r="O464" s="32">
        <f t="shared" si="281"/>
        <v>8906.6374019860414</v>
      </c>
      <c r="P464" s="32">
        <f t="shared" si="282"/>
        <v>3052.4426708932592</v>
      </c>
      <c r="Q464" s="32"/>
      <c r="R464" s="32">
        <f t="shared" si="283"/>
        <v>0</v>
      </c>
      <c r="S464" s="32">
        <f t="shared" si="284"/>
        <v>640.97293465732889</v>
      </c>
      <c r="T464" s="32"/>
      <c r="U464" s="32">
        <f t="shared" si="285"/>
        <v>1192.3011673653227</v>
      </c>
      <c r="V464" s="32"/>
      <c r="W464" s="32">
        <f t="shared" si="286"/>
        <v>153.8671075832506</v>
      </c>
      <c r="X464" s="32"/>
      <c r="Y464" s="32">
        <f t="shared" si="287"/>
        <v>5185.3282749425598</v>
      </c>
      <c r="Z464" s="32"/>
      <c r="AA464" s="32">
        <f t="shared" si="288"/>
        <v>0</v>
      </c>
      <c r="AB464" s="32">
        <f t="shared" si="289"/>
        <v>19133</v>
      </c>
      <c r="AC464" s="14" t="str">
        <f t="shared" si="290"/>
        <v>ok</v>
      </c>
    </row>
    <row r="465" spans="1:29" ht="12.75" x14ac:dyDescent="0.2">
      <c r="A465" s="2">
        <v>928</v>
      </c>
      <c r="B465" s="2" t="s">
        <v>172</v>
      </c>
      <c r="C465" s="2" t="s">
        <v>523</v>
      </c>
      <c r="D465" s="2" t="s">
        <v>411</v>
      </c>
      <c r="F465" s="32">
        <v>0</v>
      </c>
      <c r="G465" s="32"/>
      <c r="H465" s="32">
        <f t="shared" si="277"/>
        <v>0</v>
      </c>
      <c r="I465" s="32">
        <f t="shared" si="278"/>
        <v>0</v>
      </c>
      <c r="J465" s="32"/>
      <c r="K465" s="32">
        <f t="shared" si="279"/>
        <v>0</v>
      </c>
      <c r="L465" s="32"/>
      <c r="M465" s="32">
        <f t="shared" si="280"/>
        <v>0</v>
      </c>
      <c r="N465" s="32"/>
      <c r="O465" s="32">
        <f t="shared" si="281"/>
        <v>0</v>
      </c>
      <c r="P465" s="32">
        <f t="shared" si="282"/>
        <v>0</v>
      </c>
      <c r="Q465" s="32"/>
      <c r="R465" s="32">
        <f t="shared" si="283"/>
        <v>0</v>
      </c>
      <c r="S465" s="32">
        <f t="shared" si="284"/>
        <v>0</v>
      </c>
      <c r="T465" s="32"/>
      <c r="U465" s="32">
        <f t="shared" si="285"/>
        <v>0</v>
      </c>
      <c r="V465" s="32"/>
      <c r="W465" s="32">
        <f t="shared" si="286"/>
        <v>0</v>
      </c>
      <c r="X465" s="32"/>
      <c r="Y465" s="32">
        <f t="shared" si="287"/>
        <v>0</v>
      </c>
      <c r="Z465" s="32"/>
      <c r="AA465" s="32">
        <f t="shared" si="288"/>
        <v>0</v>
      </c>
      <c r="AB465" s="32">
        <f t="shared" si="289"/>
        <v>0</v>
      </c>
      <c r="AC465" s="14" t="str">
        <f t="shared" si="290"/>
        <v>ok</v>
      </c>
    </row>
    <row r="466" spans="1:29" ht="12.75" x14ac:dyDescent="0.2">
      <c r="A466" s="2">
        <v>929</v>
      </c>
      <c r="B466" s="2" t="s">
        <v>386</v>
      </c>
      <c r="C466" s="2" t="s">
        <v>524</v>
      </c>
      <c r="D466" s="2" t="s">
        <v>411</v>
      </c>
      <c r="F466" s="32">
        <v>0</v>
      </c>
      <c r="G466" s="32"/>
      <c r="H466" s="32">
        <f t="shared" si="277"/>
        <v>0</v>
      </c>
      <c r="I466" s="32">
        <f t="shared" si="278"/>
        <v>0</v>
      </c>
      <c r="J466" s="32"/>
      <c r="K466" s="32">
        <f t="shared" si="279"/>
        <v>0</v>
      </c>
      <c r="L466" s="32"/>
      <c r="M466" s="32">
        <f t="shared" si="280"/>
        <v>0</v>
      </c>
      <c r="N466" s="32"/>
      <c r="O466" s="32">
        <f t="shared" si="281"/>
        <v>0</v>
      </c>
      <c r="P466" s="32">
        <f t="shared" si="282"/>
        <v>0</v>
      </c>
      <c r="Q466" s="32"/>
      <c r="R466" s="32">
        <f t="shared" si="283"/>
        <v>0</v>
      </c>
      <c r="S466" s="32">
        <f t="shared" si="284"/>
        <v>0</v>
      </c>
      <c r="T466" s="32"/>
      <c r="U466" s="32">
        <f t="shared" si="285"/>
        <v>0</v>
      </c>
      <c r="V466" s="32"/>
      <c r="W466" s="32">
        <f t="shared" si="286"/>
        <v>0</v>
      </c>
      <c r="X466" s="32"/>
      <c r="Y466" s="32">
        <f t="shared" si="287"/>
        <v>0</v>
      </c>
      <c r="Z466" s="32"/>
      <c r="AA466" s="32">
        <f t="shared" si="288"/>
        <v>0</v>
      </c>
      <c r="AB466" s="32">
        <f t="shared" si="289"/>
        <v>0</v>
      </c>
      <c r="AC466" s="14" t="str">
        <f t="shared" si="290"/>
        <v>ok</v>
      </c>
    </row>
    <row r="467" spans="1:29" ht="12.75" x14ac:dyDescent="0.2">
      <c r="A467" s="2">
        <v>930</v>
      </c>
      <c r="B467" s="2" t="s">
        <v>174</v>
      </c>
      <c r="C467" s="2" t="s">
        <v>525</v>
      </c>
      <c r="D467" s="2" t="s">
        <v>411</v>
      </c>
      <c r="F467" s="32">
        <v>0</v>
      </c>
      <c r="G467" s="32"/>
      <c r="H467" s="32">
        <f t="shared" si="277"/>
        <v>0</v>
      </c>
      <c r="I467" s="32">
        <f t="shared" si="278"/>
        <v>0</v>
      </c>
      <c r="J467" s="32"/>
      <c r="K467" s="32">
        <f t="shared" si="279"/>
        <v>0</v>
      </c>
      <c r="L467" s="32"/>
      <c r="M467" s="32">
        <f t="shared" si="280"/>
        <v>0</v>
      </c>
      <c r="N467" s="32"/>
      <c r="O467" s="32">
        <f t="shared" si="281"/>
        <v>0</v>
      </c>
      <c r="P467" s="32">
        <f t="shared" si="282"/>
        <v>0</v>
      </c>
      <c r="Q467" s="32"/>
      <c r="R467" s="32">
        <f t="shared" si="283"/>
        <v>0</v>
      </c>
      <c r="S467" s="32">
        <f t="shared" si="284"/>
        <v>0</v>
      </c>
      <c r="T467" s="32"/>
      <c r="U467" s="32">
        <f t="shared" si="285"/>
        <v>0</v>
      </c>
      <c r="V467" s="32"/>
      <c r="W467" s="32">
        <f t="shared" si="286"/>
        <v>0</v>
      </c>
      <c r="X467" s="32"/>
      <c r="Y467" s="32">
        <f t="shared" si="287"/>
        <v>0</v>
      </c>
      <c r="Z467" s="32"/>
      <c r="AA467" s="32">
        <f t="shared" si="288"/>
        <v>0</v>
      </c>
      <c r="AB467" s="32">
        <f t="shared" si="289"/>
        <v>0</v>
      </c>
      <c r="AC467" s="14" t="str">
        <f t="shared" si="290"/>
        <v>ok</v>
      </c>
    </row>
    <row r="468" spans="1:29" ht="12.75" x14ac:dyDescent="0.2">
      <c r="A468" s="2">
        <v>931</v>
      </c>
      <c r="B468" s="2" t="s">
        <v>176</v>
      </c>
      <c r="C468" s="2" t="s">
        <v>526</v>
      </c>
      <c r="D468" s="2" t="s">
        <v>84</v>
      </c>
      <c r="F468" s="32">
        <v>0</v>
      </c>
      <c r="G468" s="32"/>
      <c r="H468" s="32">
        <f t="shared" si="277"/>
        <v>0</v>
      </c>
      <c r="I468" s="32">
        <f t="shared" si="278"/>
        <v>0</v>
      </c>
      <c r="J468" s="32"/>
      <c r="K468" s="32">
        <f t="shared" si="279"/>
        <v>0</v>
      </c>
      <c r="L468" s="32"/>
      <c r="M468" s="32">
        <f t="shared" si="280"/>
        <v>0</v>
      </c>
      <c r="N468" s="32"/>
      <c r="O468" s="32">
        <f t="shared" si="281"/>
        <v>0</v>
      </c>
      <c r="P468" s="32">
        <f t="shared" si="282"/>
        <v>0</v>
      </c>
      <c r="Q468" s="32"/>
      <c r="R468" s="32">
        <f t="shared" si="283"/>
        <v>0</v>
      </c>
      <c r="S468" s="32">
        <f t="shared" si="284"/>
        <v>0</v>
      </c>
      <c r="T468" s="32"/>
      <c r="U468" s="32">
        <f t="shared" si="285"/>
        <v>0</v>
      </c>
      <c r="V468" s="32"/>
      <c r="W468" s="32">
        <f t="shared" si="286"/>
        <v>0</v>
      </c>
      <c r="X468" s="32"/>
      <c r="Y468" s="32">
        <f t="shared" si="287"/>
        <v>0</v>
      </c>
      <c r="Z468" s="32"/>
      <c r="AA468" s="32">
        <f t="shared" si="288"/>
        <v>0</v>
      </c>
      <c r="AB468" s="32">
        <f t="shared" si="289"/>
        <v>0</v>
      </c>
      <c r="AC468" s="14" t="str">
        <f t="shared" si="290"/>
        <v>ok</v>
      </c>
    </row>
    <row r="469" spans="1:29" ht="12.75" x14ac:dyDescent="0.2">
      <c r="A469" s="2">
        <v>932</v>
      </c>
      <c r="B469" s="2" t="s">
        <v>996</v>
      </c>
      <c r="C469" s="2" t="s">
        <v>995</v>
      </c>
      <c r="D469" s="2" t="s">
        <v>70</v>
      </c>
      <c r="F469" s="32">
        <v>0</v>
      </c>
      <c r="G469" s="32"/>
      <c r="H469" s="32">
        <f t="shared" si="277"/>
        <v>0</v>
      </c>
      <c r="I469" s="32">
        <f t="shared" si="278"/>
        <v>0</v>
      </c>
      <c r="J469" s="32"/>
      <c r="K469" s="32">
        <f t="shared" si="279"/>
        <v>0</v>
      </c>
      <c r="L469" s="32"/>
      <c r="M469" s="32">
        <f t="shared" si="280"/>
        <v>0</v>
      </c>
      <c r="N469" s="32"/>
      <c r="O469" s="32">
        <f t="shared" si="281"/>
        <v>0</v>
      </c>
      <c r="P469" s="32">
        <f t="shared" si="282"/>
        <v>0</v>
      </c>
      <c r="Q469" s="32"/>
      <c r="R469" s="32">
        <f t="shared" si="283"/>
        <v>0</v>
      </c>
      <c r="S469" s="32">
        <f t="shared" si="284"/>
        <v>0</v>
      </c>
      <c r="T469" s="32"/>
      <c r="U469" s="32">
        <f t="shared" si="285"/>
        <v>0</v>
      </c>
      <c r="V469" s="32"/>
      <c r="W469" s="32">
        <f t="shared" si="286"/>
        <v>0</v>
      </c>
      <c r="X469" s="32"/>
      <c r="Y469" s="32">
        <f t="shared" si="287"/>
        <v>0</v>
      </c>
      <c r="Z469" s="32"/>
      <c r="AA469" s="32">
        <f t="shared" si="288"/>
        <v>0</v>
      </c>
      <c r="AB469" s="32">
        <f t="shared" si="289"/>
        <v>0</v>
      </c>
      <c r="AC469" s="14" t="str">
        <f t="shared" si="290"/>
        <v>ok</v>
      </c>
    </row>
    <row r="470" spans="1:29" ht="12.75" x14ac:dyDescent="0.2">
      <c r="A470" s="2">
        <v>935</v>
      </c>
      <c r="B470" s="2" t="s">
        <v>892</v>
      </c>
      <c r="C470" s="2" t="s">
        <v>1008</v>
      </c>
      <c r="D470" s="2" t="s">
        <v>70</v>
      </c>
      <c r="F470" s="32">
        <v>0</v>
      </c>
      <c r="G470" s="32"/>
      <c r="H470" s="32">
        <f t="shared" si="277"/>
        <v>0</v>
      </c>
      <c r="I470" s="32">
        <f t="shared" si="278"/>
        <v>0</v>
      </c>
      <c r="J470" s="32"/>
      <c r="K470" s="32">
        <f t="shared" si="279"/>
        <v>0</v>
      </c>
      <c r="L470" s="32"/>
      <c r="M470" s="32">
        <f t="shared" si="280"/>
        <v>0</v>
      </c>
      <c r="N470" s="32"/>
      <c r="O470" s="32">
        <f t="shared" si="281"/>
        <v>0</v>
      </c>
      <c r="P470" s="32">
        <f t="shared" si="282"/>
        <v>0</v>
      </c>
      <c r="Q470" s="32"/>
      <c r="R470" s="32">
        <f t="shared" si="283"/>
        <v>0</v>
      </c>
      <c r="S470" s="32">
        <f t="shared" si="284"/>
        <v>0</v>
      </c>
      <c r="T470" s="32"/>
      <c r="U470" s="32">
        <f t="shared" si="285"/>
        <v>0</v>
      </c>
      <c r="V470" s="32"/>
      <c r="W470" s="32">
        <f t="shared" si="286"/>
        <v>0</v>
      </c>
      <c r="X470" s="32"/>
      <c r="Y470" s="32">
        <f t="shared" si="287"/>
        <v>0</v>
      </c>
      <c r="Z470" s="32"/>
      <c r="AA470" s="32">
        <f t="shared" si="288"/>
        <v>0</v>
      </c>
      <c r="AB470" s="32">
        <f t="shared" si="289"/>
        <v>0</v>
      </c>
      <c r="AC470" s="14" t="str">
        <f t="shared" si="290"/>
        <v>ok</v>
      </c>
    </row>
    <row r="471" spans="1:29" ht="12.75" x14ac:dyDescent="0.2"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14"/>
    </row>
    <row r="472" spans="1:29" ht="12.75" x14ac:dyDescent="0.2">
      <c r="A472" s="2" t="s">
        <v>179</v>
      </c>
      <c r="C472" s="2" t="s">
        <v>527</v>
      </c>
      <c r="F472" s="45">
        <f>SUM(F459:F471)</f>
        <v>617070</v>
      </c>
      <c r="G472" s="45"/>
      <c r="H472" s="45">
        <f>SUM(H459:H471)</f>
        <v>0</v>
      </c>
      <c r="I472" s="45">
        <f>SUM(I459:I471)</f>
        <v>0</v>
      </c>
      <c r="J472" s="45"/>
      <c r="K472" s="45">
        <f>SUM(K459:K471)</f>
        <v>0</v>
      </c>
      <c r="L472" s="45"/>
      <c r="M472" s="45">
        <f>SUM(M459:M471)</f>
        <v>32.704711444310604</v>
      </c>
      <c r="N472" s="45"/>
      <c r="O472" s="45">
        <f>SUM(O459:O471)</f>
        <v>329224.23345165583</v>
      </c>
      <c r="P472" s="45">
        <f>SUM(P459:P471)</f>
        <v>107785.94441299999</v>
      </c>
      <c r="Q472" s="45"/>
      <c r="R472" s="45">
        <f>SUM(R459:R471)</f>
        <v>0</v>
      </c>
      <c r="S472" s="45">
        <f>SUM(S459:S471)</f>
        <v>13741.076307216652</v>
      </c>
      <c r="T472" s="45"/>
      <c r="U472" s="45">
        <f>SUM(U459:U471)</f>
        <v>24379.375015183698</v>
      </c>
      <c r="V472" s="45"/>
      <c r="W472" s="45">
        <f>SUM(W459:W471)</f>
        <v>3469.4095792575908</v>
      </c>
      <c r="X472" s="45"/>
      <c r="Y472" s="45">
        <f>SUM(Y459:Y471)</f>
        <v>138437.25652224198</v>
      </c>
      <c r="Z472" s="45"/>
      <c r="AA472" s="45">
        <f>SUM(AA459:AA471)</f>
        <v>0</v>
      </c>
      <c r="AB472" s="32">
        <f>SUM(H472:AA472)</f>
        <v>617070.00000000012</v>
      </c>
      <c r="AC472" s="14" t="str">
        <f>IF(ABS(AB472-F472)&lt;1,"ok","err")</f>
        <v>ok</v>
      </c>
    </row>
    <row r="473" spans="1:29" ht="12.75" x14ac:dyDescent="0.2">
      <c r="D473" s="69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14"/>
    </row>
    <row r="474" spans="1:29" ht="12.75" x14ac:dyDescent="0.2">
      <c r="A474" s="2" t="s">
        <v>181</v>
      </c>
      <c r="C474" s="2" t="s">
        <v>528</v>
      </c>
      <c r="F474" s="45">
        <f>F369+F427+F436+F451+F472</f>
        <v>2888148</v>
      </c>
      <c r="G474" s="45"/>
      <c r="H474" s="45">
        <f>H369+H427+H436+H451+H472</f>
        <v>0</v>
      </c>
      <c r="I474" s="45">
        <f>I369+I427+I436+I451+I472</f>
        <v>0</v>
      </c>
      <c r="J474" s="45"/>
      <c r="K474" s="45">
        <f>K369+K427+K436+K451+K472</f>
        <v>0</v>
      </c>
      <c r="L474" s="45"/>
      <c r="M474" s="45">
        <f>M369+M427+M436+M451+M472</f>
        <v>204.87155491214634</v>
      </c>
      <c r="N474" s="45"/>
      <c r="O474" s="45">
        <f>O369+O427+O436+O451+O472</f>
        <v>1386437.8569099559</v>
      </c>
      <c r="P474" s="45">
        <f>P369+P427+P436+P451+P472</f>
        <v>470109.43765122304</v>
      </c>
      <c r="Q474" s="45"/>
      <c r="R474" s="45">
        <f>R369+R427+R436+R451+R472</f>
        <v>0</v>
      </c>
      <c r="S474" s="45">
        <f>S369+S427+S436+S451+S472</f>
        <v>89824.258792749344</v>
      </c>
      <c r="T474" s="45"/>
      <c r="U474" s="45">
        <f>U369+U427+U436+U451+U472</f>
        <v>165904.95650150065</v>
      </c>
      <c r="V474" s="45"/>
      <c r="W474" s="45">
        <f>W369+W427+W436+W451+W472</f>
        <v>21733.36206741698</v>
      </c>
      <c r="X474" s="45"/>
      <c r="Y474" s="45">
        <f>Y369+Y427+Y436+Y451+Y472</f>
        <v>753933.25652224198</v>
      </c>
      <c r="Z474" s="45"/>
      <c r="AA474" s="45">
        <f>AA369+AA427+AA436+AA451+AA472</f>
        <v>0</v>
      </c>
      <c r="AB474" s="32">
        <f>SUM(H474:AA474)</f>
        <v>2888147.9999999995</v>
      </c>
      <c r="AC474" s="14" t="str">
        <f>IF(ABS(AB474-F474)&lt;1,"ok","err")</f>
        <v>ok</v>
      </c>
    </row>
    <row r="475" spans="1:29" ht="12.75" x14ac:dyDescent="0.2">
      <c r="C475" s="69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14"/>
    </row>
    <row r="476" spans="1:29" ht="12.75" x14ac:dyDescent="0.2">
      <c r="A476" s="2" t="s">
        <v>412</v>
      </c>
      <c r="C476" s="2" t="s">
        <v>529</v>
      </c>
      <c r="F476" s="69">
        <f>F474-F375</f>
        <v>2888148</v>
      </c>
      <c r="G476" s="69"/>
      <c r="H476" s="69">
        <f>H474-H375</f>
        <v>0</v>
      </c>
      <c r="I476" s="69">
        <f>I474-I375</f>
        <v>0</v>
      </c>
      <c r="J476" s="69"/>
      <c r="K476" s="69">
        <f>K474-K375</f>
        <v>0</v>
      </c>
      <c r="L476" s="69"/>
      <c r="M476" s="69">
        <f>M474-M375</f>
        <v>204.87155491214634</v>
      </c>
      <c r="N476" s="69"/>
      <c r="O476" s="69">
        <f>O474-O375</f>
        <v>1386437.8569099559</v>
      </c>
      <c r="P476" s="69">
        <f>P474-P375</f>
        <v>470109.43765122304</v>
      </c>
      <c r="Q476" s="69"/>
      <c r="R476" s="69">
        <f>R474-R375</f>
        <v>0</v>
      </c>
      <c r="S476" s="69">
        <f>S474-S375</f>
        <v>89824.258792749344</v>
      </c>
      <c r="T476" s="69"/>
      <c r="U476" s="69">
        <f>U474-U375</f>
        <v>165904.95650150065</v>
      </c>
      <c r="V476" s="69"/>
      <c r="W476" s="69">
        <f>W474-W375</f>
        <v>21733.36206741698</v>
      </c>
      <c r="X476" s="69"/>
      <c r="Y476" s="69">
        <f>Y474-Y375</f>
        <v>753933.25652224198</v>
      </c>
      <c r="Z476" s="69"/>
      <c r="AA476" s="69">
        <f>AA474-AA375</f>
        <v>0</v>
      </c>
      <c r="AB476" s="32">
        <f>SUM(H476:AA476)</f>
        <v>2888147.9999999995</v>
      </c>
      <c r="AC476" s="14" t="str">
        <f>IF(ABS(AB476-F476)&lt;1,"ok","err")</f>
        <v>ok</v>
      </c>
    </row>
    <row r="477" spans="1:29" ht="12.75" x14ac:dyDescent="0.2"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32"/>
      <c r="AC477" s="14"/>
    </row>
    <row r="478" spans="1:29" x14ac:dyDescent="0.25">
      <c r="A478" s="12" t="s">
        <v>199</v>
      </c>
      <c r="AC478" s="14"/>
    </row>
    <row r="479" spans="1:29" x14ac:dyDescent="0.25">
      <c r="AC479" s="14"/>
    </row>
    <row r="480" spans="1:29" ht="12.75" x14ac:dyDescent="0.2">
      <c r="A480" s="2" t="s">
        <v>1</v>
      </c>
      <c r="C480" s="2" t="s">
        <v>24</v>
      </c>
      <c r="F480" s="73">
        <v>1</v>
      </c>
      <c r="G480" s="73"/>
      <c r="H480" s="74">
        <v>0</v>
      </c>
      <c r="I480" s="74">
        <v>0</v>
      </c>
      <c r="J480" s="74"/>
      <c r="K480" s="74">
        <v>0</v>
      </c>
      <c r="L480" s="73"/>
      <c r="M480" s="74">
        <v>1</v>
      </c>
      <c r="N480" s="73"/>
      <c r="O480" s="74">
        <v>0</v>
      </c>
      <c r="P480" s="74">
        <v>0</v>
      </c>
      <c r="Q480" s="75"/>
      <c r="R480" s="73">
        <v>0</v>
      </c>
      <c r="S480" s="73">
        <v>0</v>
      </c>
      <c r="T480" s="73"/>
      <c r="U480" s="73">
        <v>0</v>
      </c>
      <c r="V480" s="73"/>
      <c r="W480" s="73">
        <v>0</v>
      </c>
      <c r="X480" s="73"/>
      <c r="Y480" s="73">
        <v>0</v>
      </c>
      <c r="Z480" s="73"/>
      <c r="AA480" s="73">
        <v>0</v>
      </c>
      <c r="AB480" s="74">
        <f>SUM(H480:AA480)</f>
        <v>1</v>
      </c>
      <c r="AC480" s="14" t="str">
        <f t="shared" ref="AC480:AC490" si="291">IF(ABS(AB480-F480)&lt;0.0000001,"ok","err")</f>
        <v>ok</v>
      </c>
    </row>
    <row r="481" spans="1:29" ht="12.75" x14ac:dyDescent="0.2">
      <c r="A481" s="2" t="s">
        <v>200</v>
      </c>
      <c r="C481" s="2" t="s">
        <v>27</v>
      </c>
      <c r="F481" s="73">
        <v>1</v>
      </c>
      <c r="G481" s="73"/>
      <c r="H481" s="74">
        <v>0</v>
      </c>
      <c r="I481" s="74">
        <v>0</v>
      </c>
      <c r="J481" s="74"/>
      <c r="K481" s="74">
        <v>0</v>
      </c>
      <c r="L481" s="73"/>
      <c r="M481" s="74">
        <v>0</v>
      </c>
      <c r="N481" s="73"/>
      <c r="O481" s="74">
        <f>O482</f>
        <v>0.77593582045525211</v>
      </c>
      <c r="P481" s="74">
        <f>P482</f>
        <v>0.22406417954474786</v>
      </c>
      <c r="Q481" s="75"/>
      <c r="R481" s="73">
        <v>0</v>
      </c>
      <c r="S481" s="73">
        <v>0</v>
      </c>
      <c r="T481" s="73"/>
      <c r="U481" s="73">
        <v>0</v>
      </c>
      <c r="V481" s="73"/>
      <c r="W481" s="73">
        <v>0</v>
      </c>
      <c r="X481" s="73"/>
      <c r="Y481" s="73">
        <v>0</v>
      </c>
      <c r="Z481" s="73"/>
      <c r="AA481" s="73">
        <v>0</v>
      </c>
      <c r="AB481" s="74">
        <f t="shared" ref="AB481:AB489" si="292">SUM(H481:AA481)</f>
        <v>1</v>
      </c>
      <c r="AC481" s="14" t="str">
        <f t="shared" si="291"/>
        <v>ok</v>
      </c>
    </row>
    <row r="482" spans="1:29" ht="12.75" x14ac:dyDescent="0.2">
      <c r="A482" s="2" t="s">
        <v>201</v>
      </c>
      <c r="C482" s="2" t="s">
        <v>30</v>
      </c>
      <c r="F482" s="73">
        <v>1</v>
      </c>
      <c r="G482" s="73"/>
      <c r="H482" s="74">
        <v>0</v>
      </c>
      <c r="I482" s="74">
        <v>0</v>
      </c>
      <c r="J482" s="74"/>
      <c r="K482" s="74">
        <v>0</v>
      </c>
      <c r="L482" s="73"/>
      <c r="M482" s="74">
        <v>0</v>
      </c>
      <c r="N482" s="73"/>
      <c r="O482" s="74">
        <f>ZeroInt!D130</f>
        <v>0.77593582045525211</v>
      </c>
      <c r="P482" s="74">
        <f>ZeroInt!E130</f>
        <v>0.22406417954474786</v>
      </c>
      <c r="Q482" s="75"/>
      <c r="R482" s="73">
        <v>0</v>
      </c>
      <c r="S482" s="73">
        <v>0</v>
      </c>
      <c r="T482" s="73"/>
      <c r="U482" s="73">
        <v>0</v>
      </c>
      <c r="V482" s="73"/>
      <c r="W482" s="73">
        <v>0</v>
      </c>
      <c r="X482" s="73"/>
      <c r="Y482" s="73">
        <v>0</v>
      </c>
      <c r="Z482" s="73"/>
      <c r="AA482" s="73">
        <v>0</v>
      </c>
      <c r="AB482" s="74">
        <f t="shared" si="292"/>
        <v>1</v>
      </c>
      <c r="AC482" s="14" t="str">
        <f t="shared" si="291"/>
        <v>ok</v>
      </c>
    </row>
    <row r="483" spans="1:29" ht="12.75" x14ac:dyDescent="0.2">
      <c r="A483" s="2" t="s">
        <v>202</v>
      </c>
      <c r="C483" s="2" t="s">
        <v>33</v>
      </c>
      <c r="F483" s="73">
        <v>1</v>
      </c>
      <c r="G483" s="73"/>
      <c r="H483" s="74">
        <v>0</v>
      </c>
      <c r="I483" s="74">
        <v>0</v>
      </c>
      <c r="J483" s="74"/>
      <c r="K483" s="74">
        <v>0</v>
      </c>
      <c r="L483" s="73"/>
      <c r="M483" s="74">
        <v>0</v>
      </c>
      <c r="N483" s="73"/>
      <c r="O483" s="74">
        <f>ZeroInt!D131</f>
        <v>0.64807031426482598</v>
      </c>
      <c r="P483" s="74">
        <f>ZeroInt!E131</f>
        <v>0.35192968573517402</v>
      </c>
      <c r="Q483" s="75"/>
      <c r="R483" s="73">
        <v>0</v>
      </c>
      <c r="S483" s="73">
        <v>0</v>
      </c>
      <c r="T483" s="73"/>
      <c r="U483" s="73">
        <v>0</v>
      </c>
      <c r="V483" s="73"/>
      <c r="W483" s="73">
        <v>0</v>
      </c>
      <c r="X483" s="73"/>
      <c r="Y483" s="73">
        <v>0</v>
      </c>
      <c r="Z483" s="73"/>
      <c r="AA483" s="73">
        <v>0</v>
      </c>
      <c r="AB483" s="74">
        <f t="shared" si="292"/>
        <v>1</v>
      </c>
      <c r="AC483" s="14" t="str">
        <f t="shared" si="291"/>
        <v>ok</v>
      </c>
    </row>
    <row r="484" spans="1:29" ht="12.75" x14ac:dyDescent="0.2">
      <c r="A484" s="2" t="s">
        <v>203</v>
      </c>
      <c r="C484" s="2" t="s">
        <v>38</v>
      </c>
      <c r="F484" s="73">
        <v>1</v>
      </c>
      <c r="G484" s="73"/>
      <c r="H484" s="74">
        <v>0</v>
      </c>
      <c r="I484" s="74">
        <v>0</v>
      </c>
      <c r="J484" s="74"/>
      <c r="K484" s="74">
        <v>0</v>
      </c>
      <c r="L484" s="73"/>
      <c r="M484" s="74">
        <v>0</v>
      </c>
      <c r="N484" s="73"/>
      <c r="O484" s="74">
        <f>ZeroInt!D132</f>
        <v>0.34046459399510232</v>
      </c>
      <c r="P484" s="74">
        <f>ZeroInt!E132</f>
        <v>0.65953540600489768</v>
      </c>
      <c r="Q484" s="75"/>
      <c r="R484" s="73">
        <v>0</v>
      </c>
      <c r="S484" s="73">
        <v>0</v>
      </c>
      <c r="T484" s="73"/>
      <c r="U484" s="73">
        <v>0</v>
      </c>
      <c r="V484" s="73"/>
      <c r="W484" s="73">
        <v>0</v>
      </c>
      <c r="X484" s="73"/>
      <c r="Y484" s="73">
        <v>0</v>
      </c>
      <c r="Z484" s="73"/>
      <c r="AA484" s="73">
        <v>0</v>
      </c>
      <c r="AB484" s="74">
        <f t="shared" si="292"/>
        <v>1</v>
      </c>
      <c r="AC484" s="14" t="str">
        <f t="shared" si="291"/>
        <v>ok</v>
      </c>
    </row>
    <row r="485" spans="1:29" ht="12.75" x14ac:dyDescent="0.2">
      <c r="A485" s="2" t="s">
        <v>204</v>
      </c>
      <c r="C485" s="2" t="s">
        <v>41</v>
      </c>
      <c r="F485" s="73">
        <v>1</v>
      </c>
      <c r="G485" s="73"/>
      <c r="H485" s="74">
        <v>0</v>
      </c>
      <c r="I485" s="74">
        <v>0</v>
      </c>
      <c r="J485" s="74"/>
      <c r="K485" s="74">
        <v>0</v>
      </c>
      <c r="L485" s="73"/>
      <c r="M485" s="74">
        <v>0</v>
      </c>
      <c r="N485" s="73"/>
      <c r="O485" s="74">
        <v>0</v>
      </c>
      <c r="P485" s="74">
        <v>0</v>
      </c>
      <c r="Q485" s="75"/>
      <c r="R485" s="73">
        <v>0</v>
      </c>
      <c r="S485" s="73">
        <v>1</v>
      </c>
      <c r="T485" s="73"/>
      <c r="U485" s="73">
        <v>0</v>
      </c>
      <c r="V485" s="73"/>
      <c r="W485" s="73">
        <v>0</v>
      </c>
      <c r="X485" s="73"/>
      <c r="Y485" s="73">
        <v>0</v>
      </c>
      <c r="Z485" s="73"/>
      <c r="AA485" s="73">
        <v>0</v>
      </c>
      <c r="AB485" s="74">
        <f t="shared" si="292"/>
        <v>1</v>
      </c>
      <c r="AC485" s="14" t="str">
        <f t="shared" si="291"/>
        <v>ok</v>
      </c>
    </row>
    <row r="486" spans="1:29" ht="12.75" x14ac:dyDescent="0.2">
      <c r="A486" s="2" t="s">
        <v>4</v>
      </c>
      <c r="C486" s="2" t="s">
        <v>44</v>
      </c>
      <c r="F486" s="73">
        <v>1</v>
      </c>
      <c r="G486" s="73"/>
      <c r="H486" s="74">
        <v>0</v>
      </c>
      <c r="I486" s="74">
        <v>0</v>
      </c>
      <c r="J486" s="74"/>
      <c r="K486" s="74">
        <v>0</v>
      </c>
      <c r="L486" s="73"/>
      <c r="M486" s="74">
        <v>0</v>
      </c>
      <c r="N486" s="73"/>
      <c r="O486" s="74">
        <v>0</v>
      </c>
      <c r="P486" s="74">
        <v>0</v>
      </c>
      <c r="Q486" s="75"/>
      <c r="R486" s="73">
        <v>0</v>
      </c>
      <c r="S486" s="73">
        <v>0</v>
      </c>
      <c r="T486" s="73"/>
      <c r="U486" s="73">
        <v>1</v>
      </c>
      <c r="V486" s="73"/>
      <c r="W486" s="73">
        <v>0</v>
      </c>
      <c r="X486" s="73"/>
      <c r="Y486" s="73">
        <v>0</v>
      </c>
      <c r="Z486" s="73"/>
      <c r="AA486" s="73">
        <v>0</v>
      </c>
      <c r="AB486" s="74">
        <f t="shared" si="292"/>
        <v>1</v>
      </c>
      <c r="AC486" s="14" t="str">
        <f t="shared" si="291"/>
        <v>ok</v>
      </c>
    </row>
    <row r="487" spans="1:29" ht="12.75" x14ac:dyDescent="0.2">
      <c r="A487" s="2" t="s">
        <v>205</v>
      </c>
      <c r="C487" s="2" t="s">
        <v>49</v>
      </c>
      <c r="F487" s="73">
        <v>1</v>
      </c>
      <c r="G487" s="73"/>
      <c r="H487" s="74">
        <v>0</v>
      </c>
      <c r="I487" s="74">
        <v>0</v>
      </c>
      <c r="J487" s="74"/>
      <c r="K487" s="74">
        <v>0</v>
      </c>
      <c r="L487" s="73"/>
      <c r="M487" s="74">
        <v>0</v>
      </c>
      <c r="N487" s="73"/>
      <c r="O487" s="74">
        <v>0</v>
      </c>
      <c r="P487" s="74">
        <v>0</v>
      </c>
      <c r="Q487" s="75"/>
      <c r="R487" s="73">
        <v>0</v>
      </c>
      <c r="S487" s="73">
        <v>0</v>
      </c>
      <c r="T487" s="73"/>
      <c r="U487" s="73">
        <v>0</v>
      </c>
      <c r="V487" s="73"/>
      <c r="W487" s="73">
        <v>1</v>
      </c>
      <c r="X487" s="73"/>
      <c r="Y487" s="73">
        <v>0</v>
      </c>
      <c r="Z487" s="73"/>
      <c r="AA487" s="73">
        <v>0</v>
      </c>
      <c r="AB487" s="74">
        <f t="shared" si="292"/>
        <v>1</v>
      </c>
      <c r="AC487" s="14" t="str">
        <f t="shared" si="291"/>
        <v>ok</v>
      </c>
    </row>
    <row r="488" spans="1:29" ht="12.75" x14ac:dyDescent="0.2">
      <c r="A488" s="2" t="s">
        <v>206</v>
      </c>
      <c r="C488" s="2" t="s">
        <v>140</v>
      </c>
      <c r="F488" s="73">
        <v>1</v>
      </c>
      <c r="G488" s="73"/>
      <c r="H488" s="74">
        <v>0</v>
      </c>
      <c r="I488" s="74">
        <v>0</v>
      </c>
      <c r="J488" s="74"/>
      <c r="K488" s="74">
        <v>0</v>
      </c>
      <c r="L488" s="73"/>
      <c r="M488" s="74">
        <v>0</v>
      </c>
      <c r="N488" s="73"/>
      <c r="O488" s="74">
        <v>0</v>
      </c>
      <c r="P488" s="74">
        <v>0</v>
      </c>
      <c r="Q488" s="75"/>
      <c r="R488" s="73">
        <v>0</v>
      </c>
      <c r="S488" s="73">
        <v>0</v>
      </c>
      <c r="T488" s="73"/>
      <c r="U488" s="73">
        <v>0</v>
      </c>
      <c r="V488" s="73"/>
      <c r="W488" s="73">
        <v>0</v>
      </c>
      <c r="X488" s="73"/>
      <c r="Y488" s="73">
        <v>1</v>
      </c>
      <c r="Z488" s="73"/>
      <c r="AA488" s="73">
        <v>0</v>
      </c>
      <c r="AB488" s="74">
        <f t="shared" si="292"/>
        <v>1</v>
      </c>
      <c r="AC488" s="14" t="str">
        <f t="shared" si="291"/>
        <v>ok</v>
      </c>
    </row>
    <row r="489" spans="1:29" ht="12.75" x14ac:dyDescent="0.2">
      <c r="A489" s="2" t="s">
        <v>207</v>
      </c>
      <c r="C489" s="2" t="s">
        <v>150</v>
      </c>
      <c r="F489" s="73">
        <v>1</v>
      </c>
      <c r="G489" s="73"/>
      <c r="H489" s="74">
        <v>0</v>
      </c>
      <c r="I489" s="74">
        <v>0</v>
      </c>
      <c r="J489" s="74"/>
      <c r="K489" s="74">
        <v>0</v>
      </c>
      <c r="L489" s="73"/>
      <c r="M489" s="74">
        <v>0</v>
      </c>
      <c r="N489" s="73"/>
      <c r="O489" s="74">
        <v>0</v>
      </c>
      <c r="P489" s="74">
        <v>0</v>
      </c>
      <c r="Q489" s="75"/>
      <c r="R489" s="73">
        <v>0</v>
      </c>
      <c r="S489" s="73">
        <v>0</v>
      </c>
      <c r="T489" s="73"/>
      <c r="U489" s="73">
        <v>0</v>
      </c>
      <c r="V489" s="73"/>
      <c r="W489" s="73">
        <v>0</v>
      </c>
      <c r="X489" s="73"/>
      <c r="Y489" s="73">
        <v>1</v>
      </c>
      <c r="Z489" s="73"/>
      <c r="AA489" s="73">
        <v>0</v>
      </c>
      <c r="AB489" s="74">
        <f t="shared" si="292"/>
        <v>1</v>
      </c>
      <c r="AC489" s="14" t="str">
        <f t="shared" si="291"/>
        <v>ok</v>
      </c>
    </row>
    <row r="490" spans="1:29" ht="12.75" x14ac:dyDescent="0.2">
      <c r="A490" s="2" t="s">
        <v>350</v>
      </c>
      <c r="C490" s="2" t="s">
        <v>391</v>
      </c>
      <c r="F490" s="73">
        <v>1</v>
      </c>
      <c r="G490" s="73"/>
      <c r="H490" s="74">
        <v>0</v>
      </c>
      <c r="I490" s="74">
        <v>0</v>
      </c>
      <c r="J490" s="74"/>
      <c r="K490" s="74">
        <v>1</v>
      </c>
      <c r="L490" s="73"/>
      <c r="M490" s="74">
        <v>0</v>
      </c>
      <c r="N490" s="73"/>
      <c r="O490" s="74">
        <v>0</v>
      </c>
      <c r="P490" s="74">
        <v>0</v>
      </c>
      <c r="Q490" s="75"/>
      <c r="R490" s="73">
        <v>0</v>
      </c>
      <c r="S490" s="73">
        <v>0</v>
      </c>
      <c r="T490" s="73"/>
      <c r="U490" s="73">
        <v>0</v>
      </c>
      <c r="V490" s="73"/>
      <c r="W490" s="73">
        <v>0</v>
      </c>
      <c r="X490" s="73"/>
      <c r="Y490" s="73">
        <v>0</v>
      </c>
      <c r="Z490" s="73"/>
      <c r="AA490" s="73">
        <v>0</v>
      </c>
      <c r="AB490" s="74">
        <f>SUM(H490:AA490)</f>
        <v>1</v>
      </c>
      <c r="AC490" s="14" t="str">
        <f t="shared" si="291"/>
        <v>ok</v>
      </c>
    </row>
    <row r="491" spans="1:29" ht="12.75" x14ac:dyDescent="0.2">
      <c r="A491" s="2" t="s">
        <v>470</v>
      </c>
      <c r="C491" s="2" t="s">
        <v>471</v>
      </c>
      <c r="F491" s="73">
        <v>1</v>
      </c>
      <c r="G491" s="73"/>
      <c r="H491" s="74">
        <v>0</v>
      </c>
      <c r="I491" s="74">
        <v>0</v>
      </c>
      <c r="J491" s="74"/>
      <c r="K491" s="74">
        <v>0</v>
      </c>
      <c r="L491" s="73"/>
      <c r="M491" s="74">
        <v>0</v>
      </c>
      <c r="N491" s="73"/>
      <c r="O491" s="74">
        <v>0</v>
      </c>
      <c r="P491" s="74">
        <v>0</v>
      </c>
      <c r="Q491" s="75"/>
      <c r="R491" s="73">
        <v>0</v>
      </c>
      <c r="S491" s="73">
        <v>0</v>
      </c>
      <c r="T491" s="73"/>
      <c r="U491" s="73">
        <v>0</v>
      </c>
      <c r="V491" s="73"/>
      <c r="W491" s="73">
        <v>0</v>
      </c>
      <c r="X491" s="73"/>
      <c r="Y491" s="73">
        <v>0</v>
      </c>
      <c r="Z491" s="73"/>
      <c r="AA491" s="73">
        <v>1</v>
      </c>
      <c r="AB491" s="74">
        <f>SUM(H491:AA491)</f>
        <v>1</v>
      </c>
      <c r="AC491" s="14" t="str">
        <f>IF(ABS(AB491-F491)&lt;0.0000001,"ok","err")</f>
        <v>ok</v>
      </c>
    </row>
    <row r="492" spans="1:29" ht="12.75" x14ac:dyDescent="0.2">
      <c r="F492" s="73"/>
      <c r="G492" s="73"/>
      <c r="H492" s="74"/>
      <c r="I492" s="74"/>
      <c r="J492" s="74"/>
      <c r="K492" s="74"/>
      <c r="L492" s="74"/>
      <c r="M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  <c r="AC492" s="14"/>
    </row>
    <row r="493" spans="1:29" x14ac:dyDescent="0.25">
      <c r="AC493" s="14"/>
    </row>
    <row r="494" spans="1:29" ht="12.75" x14ac:dyDescent="0.2">
      <c r="A494" s="1" t="s">
        <v>402</v>
      </c>
      <c r="C494" s="2" t="s">
        <v>97</v>
      </c>
      <c r="F494" s="73">
        <v>1</v>
      </c>
      <c r="G494" s="73"/>
      <c r="H494" s="74">
        <f>'Purchased Power'!O73</f>
        <v>0.28470147484815927</v>
      </c>
      <c r="I494" s="74">
        <f>'Purchased Power'!O74</f>
        <v>0.71529852515184078</v>
      </c>
      <c r="J494" s="32"/>
      <c r="K494" s="32">
        <v>0</v>
      </c>
      <c r="L494" s="32"/>
      <c r="M494" s="32">
        <v>0</v>
      </c>
      <c r="N494" s="32"/>
      <c r="O494" s="32">
        <v>0</v>
      </c>
      <c r="P494" s="32">
        <v>0</v>
      </c>
      <c r="Q494" s="76"/>
      <c r="R494" s="32">
        <v>0</v>
      </c>
      <c r="S494" s="32">
        <v>0</v>
      </c>
      <c r="T494" s="32"/>
      <c r="U494" s="32">
        <v>0</v>
      </c>
      <c r="V494" s="32"/>
      <c r="W494" s="32">
        <v>0</v>
      </c>
      <c r="X494" s="32"/>
      <c r="Y494" s="32">
        <v>0</v>
      </c>
      <c r="Z494" s="32"/>
      <c r="AA494" s="32">
        <v>0</v>
      </c>
      <c r="AB494" s="74">
        <f>SUM(H494:AA494)</f>
        <v>1</v>
      </c>
      <c r="AC494" s="14" t="str">
        <f>IF(ABS(AB494-F494)&lt;1,"ok","err")</f>
        <v>ok</v>
      </c>
    </row>
    <row r="495" spans="1:29" ht="12.75" x14ac:dyDescent="0.2">
      <c r="F495" s="73"/>
      <c r="AC495" s="14"/>
    </row>
    <row r="496" spans="1:29" ht="12.75" x14ac:dyDescent="0.2">
      <c r="A496" s="2" t="s">
        <v>548</v>
      </c>
      <c r="C496" s="2" t="s">
        <v>546</v>
      </c>
      <c r="F496" s="73">
        <v>1</v>
      </c>
      <c r="G496" s="77"/>
      <c r="H496" s="32">
        <v>0</v>
      </c>
      <c r="I496" s="32">
        <v>0</v>
      </c>
      <c r="K496" s="32">
        <v>0</v>
      </c>
      <c r="M496" s="32">
        <v>0</v>
      </c>
      <c r="O496" s="32">
        <v>0</v>
      </c>
      <c r="P496" s="32">
        <v>0</v>
      </c>
      <c r="R496" s="32">
        <v>0</v>
      </c>
      <c r="S496" s="32">
        <v>0</v>
      </c>
      <c r="U496" s="32">
        <v>0</v>
      </c>
      <c r="W496" s="77">
        <v>1</v>
      </c>
      <c r="Y496" s="32">
        <v>0</v>
      </c>
      <c r="AA496" s="32">
        <v>0</v>
      </c>
      <c r="AB496" s="74">
        <f>SUM(H496:AA496)</f>
        <v>1</v>
      </c>
      <c r="AC496" s="14" t="str">
        <f>IF(ABS(AB496-F496)&lt;1,"ok","err")</f>
        <v>ok</v>
      </c>
    </row>
    <row r="497" spans="1:29" ht="12.75" x14ac:dyDescent="0.2">
      <c r="A497" s="2" t="s">
        <v>549</v>
      </c>
      <c r="C497" s="2" t="s">
        <v>547</v>
      </c>
      <c r="F497" s="73">
        <v>1</v>
      </c>
      <c r="G497" s="77"/>
      <c r="H497" s="32">
        <v>0</v>
      </c>
      <c r="I497" s="32">
        <v>0</v>
      </c>
      <c r="K497" s="32">
        <v>0</v>
      </c>
      <c r="M497" s="32">
        <v>0</v>
      </c>
      <c r="O497" s="32">
        <v>0</v>
      </c>
      <c r="P497" s="32">
        <v>0</v>
      </c>
      <c r="R497" s="32">
        <v>0</v>
      </c>
      <c r="S497" s="32">
        <v>0</v>
      </c>
      <c r="U497" s="32">
        <v>0</v>
      </c>
      <c r="W497" s="77">
        <v>1</v>
      </c>
      <c r="Y497" s="32">
        <v>0</v>
      </c>
      <c r="AA497" s="32">
        <v>0</v>
      </c>
      <c r="AB497" s="74">
        <f>SUM(H497:AA497)</f>
        <v>1</v>
      </c>
      <c r="AC497" s="14" t="str">
        <f>IF(ABS(AB497-F497)&lt;1,"ok","err")</f>
        <v>ok</v>
      </c>
    </row>
    <row r="498" spans="1:29" ht="12.75" x14ac:dyDescent="0.2">
      <c r="A498" s="2" t="s">
        <v>705</v>
      </c>
      <c r="C498" s="2" t="s">
        <v>551</v>
      </c>
      <c r="F498" s="73">
        <v>1</v>
      </c>
      <c r="G498" s="73"/>
      <c r="H498" s="74">
        <v>0</v>
      </c>
      <c r="I498" s="74">
        <v>0</v>
      </c>
      <c r="J498" s="74"/>
      <c r="K498" s="74">
        <v>0</v>
      </c>
      <c r="L498" s="73"/>
      <c r="M498" s="74">
        <v>0</v>
      </c>
      <c r="N498" s="73"/>
      <c r="O498" s="74">
        <v>0</v>
      </c>
      <c r="P498" s="74">
        <v>1</v>
      </c>
      <c r="Q498" s="75"/>
      <c r="R498" s="73">
        <v>0</v>
      </c>
      <c r="S498" s="73">
        <v>0</v>
      </c>
      <c r="T498" s="73"/>
      <c r="U498" s="73">
        <v>0</v>
      </c>
      <c r="V498" s="73"/>
      <c r="W498" s="73">
        <v>0</v>
      </c>
      <c r="X498" s="73"/>
      <c r="Y498" s="73">
        <v>0</v>
      </c>
      <c r="Z498" s="73"/>
      <c r="AA498" s="73">
        <v>0</v>
      </c>
      <c r="AB498" s="74">
        <f>SUM(H498:AA498)</f>
        <v>1</v>
      </c>
      <c r="AC498" s="14" t="str">
        <f>IF(ABS(AB498-F498)&lt;0.0000001,"ok","err")</f>
        <v>ok</v>
      </c>
    </row>
    <row r="499" spans="1:29" ht="12.75" x14ac:dyDescent="0.2">
      <c r="A499" s="2" t="s">
        <v>794</v>
      </c>
      <c r="C499" s="2" t="s">
        <v>552</v>
      </c>
      <c r="F499" s="73">
        <v>1</v>
      </c>
      <c r="G499" s="73"/>
      <c r="H499" s="74">
        <v>1</v>
      </c>
      <c r="I499" s="74">
        <v>0</v>
      </c>
      <c r="J499" s="74"/>
      <c r="K499" s="74">
        <v>0</v>
      </c>
      <c r="L499" s="73"/>
      <c r="M499" s="74">
        <v>0</v>
      </c>
      <c r="N499" s="73"/>
      <c r="O499" s="74">
        <v>0</v>
      </c>
      <c r="P499" s="74">
        <v>0</v>
      </c>
      <c r="Q499" s="75"/>
      <c r="R499" s="73">
        <v>0</v>
      </c>
      <c r="S499" s="73">
        <v>0</v>
      </c>
      <c r="T499" s="73"/>
      <c r="U499" s="73">
        <v>0</v>
      </c>
      <c r="V499" s="73"/>
      <c r="W499" s="73">
        <v>0</v>
      </c>
      <c r="X499" s="73"/>
      <c r="Y499" s="73">
        <v>0</v>
      </c>
      <c r="Z499" s="73"/>
      <c r="AA499" s="73">
        <v>0</v>
      </c>
      <c r="AB499" s="74">
        <f>SUM(H499:AA499)</f>
        <v>1</v>
      </c>
      <c r="AC499" s="14" t="str">
        <f>IF(ABS(AB499-F499)&lt;0.0000001,"ok","err")</f>
        <v>ok</v>
      </c>
    </row>
    <row r="500" spans="1:29" ht="12.75" x14ac:dyDescent="0.2">
      <c r="A500" s="2" t="s">
        <v>795</v>
      </c>
      <c r="C500" s="2" t="s">
        <v>758</v>
      </c>
      <c r="F500" s="73">
        <v>1</v>
      </c>
      <c r="G500" s="73"/>
      <c r="H500" s="74">
        <v>0</v>
      </c>
      <c r="I500" s="74">
        <v>1</v>
      </c>
      <c r="J500" s="74"/>
      <c r="K500" s="74">
        <v>0</v>
      </c>
      <c r="L500" s="73"/>
      <c r="M500" s="74">
        <v>0</v>
      </c>
      <c r="N500" s="73"/>
      <c r="O500" s="74">
        <v>0</v>
      </c>
      <c r="P500" s="74">
        <v>0</v>
      </c>
      <c r="Q500" s="75"/>
      <c r="R500" s="73">
        <v>0</v>
      </c>
      <c r="S500" s="73">
        <v>0</v>
      </c>
      <c r="T500" s="73"/>
      <c r="U500" s="73">
        <v>0</v>
      </c>
      <c r="V500" s="73"/>
      <c r="W500" s="73">
        <v>0</v>
      </c>
      <c r="X500" s="73"/>
      <c r="Y500" s="73">
        <v>0</v>
      </c>
      <c r="Z500" s="73"/>
      <c r="AA500" s="73">
        <v>0</v>
      </c>
      <c r="AB500" s="74">
        <f>SUM(H500:AA500)</f>
        <v>1</v>
      </c>
      <c r="AC500" s="14" t="str">
        <f>IF(ABS(AB500-F500)&lt;0.0000001,"ok","err")</f>
        <v>ok</v>
      </c>
    </row>
    <row r="501" spans="1:29" ht="12.75" x14ac:dyDescent="0.2">
      <c r="F501" s="73"/>
      <c r="G501" s="73"/>
      <c r="AC501" s="14"/>
    </row>
    <row r="502" spans="1:29" x14ac:dyDescent="0.25">
      <c r="AC502" s="14"/>
    </row>
    <row r="503" spans="1:29" ht="12.75" x14ac:dyDescent="0.2"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32"/>
      <c r="AC503" s="14"/>
    </row>
    <row r="504" spans="1:29" ht="12.75" x14ac:dyDescent="0.2">
      <c r="F504" s="69"/>
      <c r="G504" s="69"/>
      <c r="H504" s="69"/>
      <c r="I504" s="69"/>
      <c r="J504" s="69"/>
      <c r="K504" s="69"/>
      <c r="L504" s="69"/>
      <c r="M504" s="69"/>
      <c r="N504" s="69"/>
      <c r="O504" s="30"/>
      <c r="P504" s="30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32"/>
      <c r="AC504" s="14"/>
    </row>
    <row r="505" spans="1:29" x14ac:dyDescent="0.25">
      <c r="O505" s="30"/>
      <c r="P505" s="30"/>
      <c r="AC505" s="14"/>
    </row>
    <row r="506" spans="1:29" ht="12.75" x14ac:dyDescent="0.2">
      <c r="F506" s="32"/>
      <c r="G506" s="32"/>
      <c r="O506" s="30"/>
      <c r="P506" s="30"/>
      <c r="AC506" s="14"/>
    </row>
    <row r="507" spans="1:29" ht="12.75" x14ac:dyDescent="0.2">
      <c r="F507" s="32"/>
      <c r="G507" s="32"/>
      <c r="O507" s="30"/>
      <c r="P507" s="30"/>
      <c r="AC507" s="14"/>
    </row>
    <row r="508" spans="1:29" ht="12.75" x14ac:dyDescent="0.2">
      <c r="F508" s="32"/>
      <c r="G508" s="32"/>
      <c r="AC508" s="14"/>
    </row>
    <row r="509" spans="1:29" ht="12.75" x14ac:dyDescent="0.2">
      <c r="F509" s="32"/>
      <c r="G509" s="32"/>
      <c r="AC509" s="14"/>
    </row>
    <row r="510" spans="1:29" ht="12.75" x14ac:dyDescent="0.2">
      <c r="F510" s="32"/>
      <c r="G510" s="32"/>
      <c r="AC510" s="14"/>
    </row>
    <row r="511" spans="1:29" ht="12.75" x14ac:dyDescent="0.2">
      <c r="F511" s="32"/>
      <c r="G511" s="32"/>
      <c r="AC511" s="14"/>
    </row>
    <row r="512" spans="1:29" ht="12.75" x14ac:dyDescent="0.2">
      <c r="F512" s="32"/>
      <c r="G512" s="32"/>
      <c r="AC512" s="14"/>
    </row>
    <row r="513" spans="6:29" ht="12.75" x14ac:dyDescent="0.2">
      <c r="F513" s="32"/>
      <c r="G513" s="32"/>
      <c r="AC513" s="14"/>
    </row>
    <row r="514" spans="6:29" ht="12.75" x14ac:dyDescent="0.2">
      <c r="F514" s="19"/>
      <c r="G514" s="19"/>
      <c r="AC514" s="14"/>
    </row>
    <row r="515" spans="6:29" x14ac:dyDescent="0.25">
      <c r="AC515" s="14"/>
    </row>
    <row r="516" spans="6:29" ht="12.75" x14ac:dyDescent="0.2">
      <c r="F516" s="45"/>
      <c r="G516" s="45"/>
      <c r="AC516" s="14"/>
    </row>
    <row r="517" spans="6:29" x14ac:dyDescent="0.25">
      <c r="AC517" s="14"/>
    </row>
    <row r="518" spans="6:29" x14ac:dyDescent="0.25">
      <c r="AC518" s="14"/>
    </row>
    <row r="519" spans="6:29" x14ac:dyDescent="0.25">
      <c r="AC519" s="14"/>
    </row>
  </sheetData>
  <phoneticPr fontId="0" type="noConversion"/>
  <conditionalFormatting sqref="AC200 AC203:AC204 AC208:AC268 AC374:AC65547 AC270:AC289 AC50:AC197 AC292:AC371 AC1:AC47">
    <cfRule type="cellIs" dxfId="83" priority="29" operator="equal">
      <formula>"err"</formula>
    </cfRule>
  </conditionalFormatting>
  <conditionalFormatting sqref="AC200 AC203:AC204 AC208:AC268 AC374:AC504 AC270:AC289 AC50:AC197 AC292:AC371 AC8:AC47">
    <cfRule type="containsText" dxfId="82" priority="27" operator="containsText" text="err">
      <formula>NOT(ISERROR(SEARCH("err",AC8)))</formula>
    </cfRule>
  </conditionalFormatting>
  <conditionalFormatting sqref="AC372:AC373">
    <cfRule type="cellIs" dxfId="81" priority="24" operator="equal">
      <formula>"err"</formula>
    </cfRule>
  </conditionalFormatting>
  <conditionalFormatting sqref="AC372:AC373">
    <cfRule type="containsText" dxfId="80" priority="23" operator="containsText" text="err">
      <formula>NOT(ISERROR(SEARCH("err",AC372)))</formula>
    </cfRule>
  </conditionalFormatting>
  <conditionalFormatting sqref="AC48:AC49">
    <cfRule type="cellIs" dxfId="79" priority="22" operator="equal">
      <formula>"err"</formula>
    </cfRule>
  </conditionalFormatting>
  <conditionalFormatting sqref="AC48:AC49">
    <cfRule type="containsText" dxfId="78" priority="21" operator="containsText" text="err">
      <formula>NOT(ISERROR(SEARCH("err",AC48)))</formula>
    </cfRule>
  </conditionalFormatting>
  <conditionalFormatting sqref="AC199">
    <cfRule type="cellIs" dxfId="77" priority="20" operator="equal">
      <formula>"err"</formula>
    </cfRule>
  </conditionalFormatting>
  <conditionalFormatting sqref="AC199">
    <cfRule type="containsText" dxfId="76" priority="19" operator="containsText" text="err">
      <formula>NOT(ISERROR(SEARCH("err",AC199)))</formula>
    </cfRule>
  </conditionalFormatting>
  <conditionalFormatting sqref="AC198">
    <cfRule type="cellIs" dxfId="75" priority="18" operator="equal">
      <formula>"err"</formula>
    </cfRule>
  </conditionalFormatting>
  <conditionalFormatting sqref="AC198">
    <cfRule type="containsText" dxfId="74" priority="17" operator="containsText" text="err">
      <formula>NOT(ISERROR(SEARCH("err",AC198)))</formula>
    </cfRule>
  </conditionalFormatting>
  <conditionalFormatting sqref="AC201">
    <cfRule type="cellIs" dxfId="73" priority="16" operator="equal">
      <formula>"err"</formula>
    </cfRule>
  </conditionalFormatting>
  <conditionalFormatting sqref="AC201">
    <cfRule type="containsText" dxfId="72" priority="15" operator="containsText" text="err">
      <formula>NOT(ISERROR(SEARCH("err",AC201)))</formula>
    </cfRule>
  </conditionalFormatting>
  <conditionalFormatting sqref="AC202">
    <cfRule type="cellIs" dxfId="71" priority="14" operator="equal">
      <formula>"err"</formula>
    </cfRule>
  </conditionalFormatting>
  <conditionalFormatting sqref="AC202">
    <cfRule type="containsText" dxfId="70" priority="13" operator="containsText" text="err">
      <formula>NOT(ISERROR(SEARCH("err",AC202)))</formula>
    </cfRule>
  </conditionalFormatting>
  <conditionalFormatting sqref="AC207">
    <cfRule type="cellIs" dxfId="69" priority="12" operator="equal">
      <formula>"err"</formula>
    </cfRule>
  </conditionalFormatting>
  <conditionalFormatting sqref="AC207">
    <cfRule type="containsText" dxfId="68" priority="11" operator="containsText" text="err">
      <formula>NOT(ISERROR(SEARCH("err",AC207)))</formula>
    </cfRule>
  </conditionalFormatting>
  <conditionalFormatting sqref="AC206">
    <cfRule type="cellIs" dxfId="67" priority="10" operator="equal">
      <formula>"err"</formula>
    </cfRule>
  </conditionalFormatting>
  <conditionalFormatting sqref="AC206">
    <cfRule type="containsText" dxfId="66" priority="9" operator="containsText" text="err">
      <formula>NOT(ISERROR(SEARCH("err",AC206)))</formula>
    </cfRule>
  </conditionalFormatting>
  <conditionalFormatting sqref="AC205">
    <cfRule type="cellIs" dxfId="65" priority="8" operator="equal">
      <formula>"err"</formula>
    </cfRule>
  </conditionalFormatting>
  <conditionalFormatting sqref="AC205">
    <cfRule type="containsText" dxfId="64" priority="7" operator="containsText" text="err">
      <formula>NOT(ISERROR(SEARCH("err",AC205)))</formula>
    </cfRule>
  </conditionalFormatting>
  <conditionalFormatting sqref="AC290">
    <cfRule type="cellIs" dxfId="63" priority="6" operator="equal">
      <formula>"err"</formula>
    </cfRule>
  </conditionalFormatting>
  <conditionalFormatting sqref="AC290">
    <cfRule type="containsText" dxfId="62" priority="5" operator="containsText" text="err">
      <formula>NOT(ISERROR(SEARCH("err",AC290)))</formula>
    </cfRule>
  </conditionalFormatting>
  <conditionalFormatting sqref="AC291">
    <cfRule type="cellIs" dxfId="61" priority="4" operator="equal">
      <formula>"err"</formula>
    </cfRule>
  </conditionalFormatting>
  <conditionalFormatting sqref="AC291">
    <cfRule type="containsText" dxfId="60" priority="3" operator="containsText" text="err">
      <formula>NOT(ISERROR(SEARCH("err",AC291)))</formula>
    </cfRule>
  </conditionalFormatting>
  <conditionalFormatting sqref="AC269">
    <cfRule type="cellIs" dxfId="59" priority="2" operator="equal">
      <formula>"err"</formula>
    </cfRule>
  </conditionalFormatting>
  <conditionalFormatting sqref="AC269">
    <cfRule type="containsText" dxfId="58" priority="1" operator="containsText" text="err">
      <formula>NOT(ISERROR(SEARCH("err",AC269)))</formula>
    </cfRule>
  </conditionalFormatting>
  <printOptions horizontalCentered="1"/>
  <pageMargins left="0.25" right="0.25" top="1.25" bottom="0.5" header="0.5" footer="0.2"/>
  <pageSetup scale="60" fitToWidth="3" pageOrder="overThenDown" orientation="landscape" r:id="rId1"/>
  <headerFooter alignWithMargins="0">
    <oddHeader xml:space="preserve">&amp;C&amp;"Times New Roman,Bold"FARMERS R.E.C.C.
Cost of Service Study
Functionalization and Classification
12 Months Ended December 31, 2024
</oddHeader>
    <oddFooter>&amp;RExhibit JW-4
Page &amp;P of &amp;N</oddFooter>
  </headerFooter>
  <rowBreaks count="13" manualBreakCount="13">
    <brk id="46" max="26" man="1"/>
    <brk id="69" max="26" man="1"/>
    <brk id="104" max="26" man="1"/>
    <brk id="155" max="26" man="1"/>
    <brk id="181" max="26" man="1"/>
    <brk id="226" max="26" man="1"/>
    <brk id="275" max="26" man="1"/>
    <brk id="299" max="26" man="1"/>
    <brk id="343" max="26" man="1"/>
    <brk id="370" max="26" man="1"/>
    <brk id="407" max="26" man="1"/>
    <brk id="454" max="26" man="1"/>
    <brk id="476" max="26" man="1"/>
  </rowBreaks>
  <colBreaks count="1" manualBreakCount="1">
    <brk id="14" max="49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Z661"/>
  <sheetViews>
    <sheetView view="pageBreakPreview" zoomScale="75" zoomScaleNormal="100" zoomScaleSheetLayoutView="75" workbookViewId="0">
      <pane xSplit="2" ySplit="3" topLeftCell="C280" activePane="bottomRight" state="frozen"/>
      <selection activeCell="E545" sqref="E545"/>
      <selection pane="topRight" activeCell="E545" sqref="E545"/>
      <selection pane="bottomLeft" activeCell="E545" sqref="E545"/>
      <selection pane="bottomRight" activeCell="L1" sqref="L1:L1048576"/>
    </sheetView>
  </sheetViews>
  <sheetFormatPr defaultColWidth="9.140625" defaultRowHeight="12.75" x14ac:dyDescent="0.2"/>
  <cols>
    <col min="1" max="1" width="7.7109375" style="2" customWidth="1"/>
    <col min="2" max="2" width="50.7109375" style="2" bestFit="1" customWidth="1"/>
    <col min="3" max="3" width="11.5703125" style="2" bestFit="1" customWidth="1"/>
    <col min="4" max="4" width="11.85546875" style="2" customWidth="1"/>
    <col min="5" max="5" width="17.28515625" style="2" bestFit="1" customWidth="1"/>
    <col min="6" max="6" width="19.28515625" style="2" bestFit="1" customWidth="1"/>
    <col min="7" max="7" width="16.5703125" style="2" hidden="1" customWidth="1"/>
    <col min="8" max="8" width="17" style="2" bestFit="1" customWidth="1"/>
    <col min="9" max="10" width="18" style="2" bestFit="1" customWidth="1"/>
    <col min="11" max="11" width="13.85546875" style="2" customWidth="1"/>
    <col min="12" max="12" width="14.5703125" style="2" hidden="1" customWidth="1"/>
    <col min="13" max="13" width="13.28515625" style="2" customWidth="1"/>
    <col min="14" max="14" width="12.28515625" style="2" bestFit="1" customWidth="1"/>
    <col min="15" max="16" width="17" style="2" bestFit="1" customWidth="1"/>
    <col min="17" max="17" width="12.42578125" style="2" customWidth="1"/>
    <col min="18" max="18" width="16.28515625" style="2" customWidth="1"/>
    <col min="19" max="19" width="14.5703125" style="2" hidden="1" customWidth="1"/>
    <col min="20" max="21" width="14.5703125" style="2" customWidth="1"/>
    <col min="22" max="22" width="14.5703125" style="2" hidden="1" customWidth="1"/>
    <col min="23" max="23" width="13.5703125" style="2" hidden="1" customWidth="1"/>
    <col min="24" max="24" width="12" style="2" hidden="1" customWidth="1"/>
    <col min="25" max="30" width="17.7109375" style="2" hidden="1" customWidth="1"/>
    <col min="31" max="31" width="17.42578125" style="2" hidden="1" customWidth="1"/>
    <col min="32" max="32" width="21.85546875" style="2" hidden="1" customWidth="1"/>
    <col min="33" max="33" width="17.7109375" style="2" customWidth="1"/>
    <col min="34" max="34" width="10.7109375" style="2" customWidth="1"/>
    <col min="35" max="35" width="13.85546875" style="2" bestFit="1" customWidth="1"/>
    <col min="36" max="36" width="17.28515625" style="32" bestFit="1" customWidth="1"/>
    <col min="37" max="37" width="15" style="2" bestFit="1" customWidth="1"/>
    <col min="38" max="38" width="16.28515625" style="2" bestFit="1" customWidth="1"/>
    <col min="39" max="39" width="15.28515625" style="2" bestFit="1" customWidth="1"/>
    <col min="40" max="40" width="12.42578125" style="2" bestFit="1" customWidth="1"/>
    <col min="41" max="41" width="13.5703125" style="2" bestFit="1" customWidth="1"/>
    <col min="42" max="42" width="10.140625" style="2" bestFit="1" customWidth="1"/>
    <col min="43" max="47" width="9.28515625" style="2" bestFit="1" customWidth="1"/>
    <col min="48" max="48" width="11.28515625" style="2" bestFit="1" customWidth="1"/>
    <col min="49" max="51" width="9.28515625" style="2" bestFit="1" customWidth="1"/>
    <col min="52" max="52" width="12.28515625" style="2" bestFit="1" customWidth="1"/>
    <col min="53" max="16384" width="9.140625" style="2"/>
  </cols>
  <sheetData>
    <row r="1" spans="1:36" x14ac:dyDescent="0.2">
      <c r="A1" s="58"/>
      <c r="B1" s="58"/>
      <c r="C1" s="58"/>
      <c r="D1" s="58"/>
      <c r="AH1" s="14" t="str">
        <f>IF(COUNTIF(AH4:AH544,"err"),"err","ok")</f>
        <v>ok</v>
      </c>
    </row>
    <row r="2" spans="1:36" s="161" customFormat="1" ht="77.25" customHeight="1" x14ac:dyDescent="0.2">
      <c r="A2" s="159"/>
      <c r="B2" s="159"/>
      <c r="C2" s="61"/>
      <c r="D2" s="160" t="s">
        <v>208</v>
      </c>
      <c r="E2" s="61" t="s">
        <v>0</v>
      </c>
      <c r="F2" s="61" t="str">
        <f>'Summary of Returns'!B10</f>
        <v xml:space="preserve">Schedule R - Residential Rate </v>
      </c>
      <c r="G2" s="61" t="str">
        <f>'Summary of Returns'!B11</f>
        <v>Schedule R - Pay As You Go ("Prepay")</v>
      </c>
      <c r="H2" s="61" t="str">
        <f>'Summary of Returns'!B12</f>
        <v>Schedule R - Residential Time of Day Rate</v>
      </c>
      <c r="I2" s="61" t="str">
        <f>'Summary of Returns'!B13</f>
        <v>Schedule C - Comm. &amp; Indust. Service Rate &lt; 50 kW</v>
      </c>
      <c r="J2" s="61" t="str">
        <f>'Summary of Returns'!B14</f>
        <v>Schedule C - Comm. &amp; Indust. Service Rate &gt; 50 kW</v>
      </c>
      <c r="K2" s="61" t="str">
        <f>'Summary of Returns'!B15</f>
        <v>Residential Off Peak Electric Thermal Storage Tariff</v>
      </c>
      <c r="L2" s="61" t="str">
        <f>'Summary of Returns'!B16</f>
        <v>Small Comm. Off-Peak Electric Thermal Storage Tariff</v>
      </c>
      <c r="M2" s="61" t="str">
        <f>'Summary of Returns'!B17</f>
        <v>Schedule C - Large Commercial 10% Discount</v>
      </c>
      <c r="N2" s="61" t="str">
        <f>'Summary of Returns'!B18</f>
        <v>Schedule E - Large Industrial Rate</v>
      </c>
      <c r="O2" s="61" t="str">
        <f>'Summary of Returns'!B19</f>
        <v>Schedule LPC-2   Large Power Rate Tariff</v>
      </c>
      <c r="P2" s="61" t="str">
        <f>'Summary of Returns'!B20</f>
        <v xml:space="preserve">Schedule D - Large Comm/Ind Opt Time of Day Rate </v>
      </c>
      <c r="Q2" s="61" t="str">
        <f>'Summary of Returns'!B21</f>
        <v>Net Metering Tariff</v>
      </c>
      <c r="R2" s="61" t="str">
        <f>'Summary of Returns'!B22</f>
        <v>Schedule LPE4 Interruptible 1500 Firm 200</v>
      </c>
      <c r="S2" s="61" t="str">
        <f>'Summary of Returns'!B23</f>
        <v>Schedule LPE-4  Large Power Time of DayRate Tariff</v>
      </c>
      <c r="T2" s="61" t="str">
        <f>'Summary of Returns'!B24</f>
        <v>Schedule C - TOD Comm - Three Phase</v>
      </c>
      <c r="U2" s="61" t="str">
        <f>'Summary of Returns'!B25</f>
        <v>Lighting</v>
      </c>
      <c r="V2" s="61">
        <f>'Summary of Returns'!B26</f>
        <v>0</v>
      </c>
      <c r="W2" s="61" t="s">
        <v>700</v>
      </c>
      <c r="X2" s="61" t="s">
        <v>700</v>
      </c>
      <c r="Y2" s="61" t="s">
        <v>700</v>
      </c>
      <c r="Z2" s="61" t="s">
        <v>700</v>
      </c>
      <c r="AA2" s="61" t="s">
        <v>700</v>
      </c>
      <c r="AB2" s="61" t="s">
        <v>700</v>
      </c>
      <c r="AC2" s="61" t="s">
        <v>700</v>
      </c>
      <c r="AD2" s="61" t="s">
        <v>700</v>
      </c>
      <c r="AE2" s="61" t="s">
        <v>700</v>
      </c>
      <c r="AF2" s="61" t="s">
        <v>700</v>
      </c>
      <c r="AG2" s="159"/>
      <c r="AH2" s="159"/>
      <c r="AJ2" s="123"/>
    </row>
    <row r="3" spans="1:36" ht="13.5" thickBot="1" x14ac:dyDescent="0.25">
      <c r="A3" s="63" t="s">
        <v>6</v>
      </c>
      <c r="B3" s="63"/>
      <c r="C3" s="64" t="s">
        <v>7</v>
      </c>
      <c r="D3" s="64" t="s">
        <v>8</v>
      </c>
      <c r="E3" s="62" t="s">
        <v>9</v>
      </c>
      <c r="F3" s="62">
        <f>'Summary of Returns'!C10</f>
        <v>1</v>
      </c>
      <c r="G3" s="62">
        <f>'Summary of Returns'!C11</f>
        <v>2</v>
      </c>
      <c r="H3" s="62">
        <f>'Summary of Returns'!C12</f>
        <v>3</v>
      </c>
      <c r="I3" s="62">
        <f>'Summary of Returns'!C13</f>
        <v>4</v>
      </c>
      <c r="J3" s="62">
        <f>'Summary of Returns'!C14</f>
        <v>5</v>
      </c>
      <c r="K3" s="62">
        <f>'Summary of Returns'!C15</f>
        <v>7</v>
      </c>
      <c r="L3" s="62">
        <f>'Summary of Returns'!C16</f>
        <v>8</v>
      </c>
      <c r="M3" s="62">
        <f>'Summary of Returns'!C17</f>
        <v>9</v>
      </c>
      <c r="N3" s="62">
        <f>'Summary of Returns'!C18</f>
        <v>10</v>
      </c>
      <c r="O3" s="62">
        <f>'Summary of Returns'!C19</f>
        <v>14</v>
      </c>
      <c r="P3" s="62">
        <f>'Summary of Returns'!C20</f>
        <v>15</v>
      </c>
      <c r="Q3" s="62">
        <f>'Summary of Returns'!C21</f>
        <v>20</v>
      </c>
      <c r="R3" s="62">
        <f>'Summary of Returns'!C22</f>
        <v>24</v>
      </c>
      <c r="S3" s="62">
        <f>'Summary of Returns'!C23</f>
        <v>36</v>
      </c>
      <c r="T3" s="62">
        <f>'Summary of Returns'!C24</f>
        <v>50</v>
      </c>
      <c r="U3" s="62" t="str">
        <f>'Summary of Returns'!C25</f>
        <v>OL</v>
      </c>
      <c r="V3" s="62">
        <f>'Summary of Returns'!C26</f>
        <v>0</v>
      </c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 t="s">
        <v>13</v>
      </c>
      <c r="AH3" s="62" t="s">
        <v>14</v>
      </c>
    </row>
    <row r="5" spans="1:36" x14ac:dyDescent="0.2">
      <c r="A5" s="12" t="s">
        <v>15</v>
      </c>
    </row>
    <row r="7" spans="1:36" x14ac:dyDescent="0.2">
      <c r="A7" s="1" t="s">
        <v>859</v>
      </c>
    </row>
    <row r="8" spans="1:36" x14ac:dyDescent="0.2">
      <c r="A8" s="72" t="s">
        <v>209</v>
      </c>
      <c r="C8" s="2" t="s">
        <v>210</v>
      </c>
      <c r="D8" s="2" t="s">
        <v>655</v>
      </c>
      <c r="E8" s="45">
        <f>'Func &amp; Classif'!H93</f>
        <v>1502071.3599999999</v>
      </c>
      <c r="F8" s="45">
        <f>IF(VLOOKUP($D8,$C$5:$AT$510,3,)=0,0,(VLOOKUP($D8,$C$5:$AT$510,4,)/VLOOKUP($D8,$C$5:$AT$510,3,))*$E8)</f>
        <v>1055651.3968827121</v>
      </c>
      <c r="G8" s="45">
        <f>IF(VLOOKUP($D8,$C$5:$AT$510,3,)=0,0,(VLOOKUP($D8,$C$5:$AT$510,5,)/VLOOKUP($D8,$C$5:$AT$510,3,))*$E8)</f>
        <v>0</v>
      </c>
      <c r="H8" s="45">
        <f>IF(VLOOKUP($D8,$C$5:$AT$510,3,)=0,0,(VLOOKUP($D8,$C$5:$AT$510,6,)/VLOOKUP($D8,$C$5:$AT$510,3,))*$E8)</f>
        <v>19.841886427817446</v>
      </c>
      <c r="I8" s="45">
        <f>IF(VLOOKUP($D8,$C$5:$AT$510,3,)=0,0,(VLOOKUP($D8,$C$5:$AT$510,7,)/VLOOKUP($D8,$C$5:$AT$510,3,))*$E8)</f>
        <v>94793.661459922907</v>
      </c>
      <c r="J8" s="45">
        <f>IF(VLOOKUP($D8,$C$5:$AT$510,3,)=0,0,(VLOOKUP($D8,$C$5:$AT$510,8,)/VLOOKUP($D8,$C$5:$AT$510,3,))*$E8)</f>
        <v>151140.55410914178</v>
      </c>
      <c r="K8" s="45">
        <f>IF(VLOOKUP($D8,$C$5:$AT$510,3,)=0,0,(VLOOKUP($D8,$C$5:$AT$510,9,)/VLOOKUP($D8,$C$5:$AT$510,3,))*$E8)</f>
        <v>0</v>
      </c>
      <c r="L8" s="45">
        <f>IF(VLOOKUP($D8,$C$5:$AT$510,3,)=0,0,(VLOOKUP($D8,$C$5:$AT$510,10,)/VLOOKUP($D8,$C$5:$AT$510,3,))*$E8)</f>
        <v>0</v>
      </c>
      <c r="M8" s="45">
        <f>IF(VLOOKUP($D8,$C$5:$AT$510,3,)=0,0,(VLOOKUP($D8,$C$5:$AT$510,11,)/VLOOKUP($D8,$C$5:$AT$510,3,))*$E8)</f>
        <v>44919.346225951813</v>
      </c>
      <c r="N8" s="45">
        <f>IF(VLOOKUP($D8,$C$5:$AT$510,3,)=0,0,(VLOOKUP($D8,$C$5:$AT$510,12,)/VLOOKUP($D8,$C$5:$AT$510,3,))*$E8)</f>
        <v>105322.50758234748</v>
      </c>
      <c r="O8" s="45">
        <f>IF(VLOOKUP($D8,$C$5:$AT$510,3,)=0,0,(VLOOKUP($D8,$C$5:$AT$510,13,)/VLOOKUP($D8,$C$5:$AT$510,3,))*$E8)</f>
        <v>13274.562661158407</v>
      </c>
      <c r="P8" s="45">
        <f>IF(VLOOKUP($D8,$C$5:$AT$510,3,)=0,0,(VLOOKUP($D8,$C$5:$AT$510,14,)/VLOOKUP($D8,$C$5:$AT$510,3,))*$E8)</f>
        <v>1370.138804129095</v>
      </c>
      <c r="Q8" s="45">
        <f>IF(VLOOKUP($D8,$C$5:$AT$510,3,)=0,0,(VLOOKUP($D8,$C$5:$AT$510,15,)/VLOOKUP($D8,$C$5:$AT$510,3,))*$E8)</f>
        <v>4376.6727389417301</v>
      </c>
      <c r="R8" s="45">
        <f>IF(VLOOKUP($D8,$C$5:$AT$510,3,)=0,0,(VLOOKUP($D8,$C$5:$AT$510,16,)/VLOOKUP($D8,$C$5:$AT$510,3,))*$E8)</f>
        <v>29471.361707202341</v>
      </c>
      <c r="S8" s="45">
        <f>IF(VLOOKUP($D8,$C$5:$AT$510,3,)=0,0,(VLOOKUP($D8,$C$5:$AT$510,17,)/VLOOKUP($D8,$C$5:$AT$510,3,))*$E8)</f>
        <v>0</v>
      </c>
      <c r="T8" s="45">
        <f>IF(VLOOKUP($D8,$C$5:$AT$510,3,)=0,0,(VLOOKUP($D8,$C$5:$AT$510,18,)/VLOOKUP($D8,$C$5:$AT$510,3,))*$E8)</f>
        <v>989.47268265412265</v>
      </c>
      <c r="U8" s="45">
        <f>IF(VLOOKUP($D8,$C$5:$AT$510,3,)=0,0,(VLOOKUP($D8,$C$5:$AT$510,19,)/VLOOKUP($D8,$C$5:$AT$510,3,))*$E8)</f>
        <v>741.84325941024133</v>
      </c>
      <c r="V8" s="45">
        <f>IF(VLOOKUP($D8,$C$5:$AT$510,3,)=0,0,(VLOOKUP($D8,$C$5:$AT$510,20,)/VLOOKUP($D8,$C$5:$AT$510,3,))*$E8)</f>
        <v>0</v>
      </c>
      <c r="W8" s="45">
        <f>IF(VLOOKUP($D8,$C$5:$AT$510,3,)=0,0,(VLOOKUP($D8,$C$5:$AT$510,21,)/VLOOKUP($D8,$C$5:$AT$510,3,))*$E8)</f>
        <v>0</v>
      </c>
      <c r="X8" s="45">
        <f>IF(VLOOKUP($D8,$C$5:$AT$510,3,)=0,0,(VLOOKUP($D8,$C$5:$AT$510,22,)/VLOOKUP($D8,$C$5:$AT$510,3,))*$E8)</f>
        <v>0</v>
      </c>
      <c r="Y8" s="45">
        <f>IF(VLOOKUP($D8,$C$5:$AT$510,3,)=0,0,(VLOOKUP($D8,$C$5:$AT$510,23,)/VLOOKUP($D8,$C$5:$AT$510,3,))*$E8)</f>
        <v>0</v>
      </c>
      <c r="Z8" s="45">
        <f>IF(VLOOKUP($D8,$C$5:$AT$510,3,)=0,0,(VLOOKUP($D8,$C$5:$AT$510,24,)/VLOOKUP($D8,$C$5:$AT$510,3,))*$E8)</f>
        <v>0</v>
      </c>
      <c r="AA8" s="45">
        <f>IF(VLOOKUP($D8,$C$5:$AT$510,3,)=0,0,(VLOOKUP($D8,$C$5:$AT$510,25,)/VLOOKUP($D8,$C$5:$AT$510,3,))*$E8)</f>
        <v>0</v>
      </c>
      <c r="AB8" s="45">
        <f>IF(VLOOKUP($D8,$C$5:$AT$510,3,)=0,0,(VLOOKUP($D8,$C$5:$AT$510,26,)/VLOOKUP($D8,$C$5:$AT$510,3,))*$E8)</f>
        <v>0</v>
      </c>
      <c r="AC8" s="45">
        <f>IF(VLOOKUP($D8,$C$5:$AT$510,3,)=0,0,(VLOOKUP($D8,$C$5:$AT$510,27,)/VLOOKUP($D8,$C$5:$AT$510,3,))*$E8)</f>
        <v>0</v>
      </c>
      <c r="AD8" s="45">
        <f>IF(VLOOKUP($D8,$C$5:$AT$510,3,)=0,0,(VLOOKUP($D8,$C$5:$AT$510,28,)/VLOOKUP($D8,$C$5:$AT$510,3,))*$E8)</f>
        <v>0</v>
      </c>
      <c r="AE8" s="45">
        <f>IF(VLOOKUP($D8,$C$5:$AT$510,3,)=0,0,(VLOOKUP($D8,$C$5:$AT$510,29,)/VLOOKUP($D8,$C$5:$AT$510,3,))*$E8)</f>
        <v>0</v>
      </c>
      <c r="AF8" s="45">
        <f>IF(VLOOKUP($D8,$C$5:$AT$510,3,)=0,0,(VLOOKUP($D8,$C$5:$AT$510,30,)/VLOOKUP($D8,$C$5:$AT$510,3,))*$E8)</f>
        <v>0</v>
      </c>
      <c r="AG8" s="69">
        <f>SUM(F8:AF8)</f>
        <v>1502071.3599999996</v>
      </c>
      <c r="AH8" s="14" t="str">
        <f>IF(ABS(E8-AG8)&lt;0.01,"ok","err")</f>
        <v>ok</v>
      </c>
    </row>
    <row r="9" spans="1:36" x14ac:dyDescent="0.2">
      <c r="A9" s="72" t="s">
        <v>212</v>
      </c>
      <c r="C9" s="2" t="s">
        <v>213</v>
      </c>
      <c r="D9" s="2" t="s">
        <v>664</v>
      </c>
      <c r="E9" s="32">
        <f>'Func &amp; Classif'!I93</f>
        <v>0</v>
      </c>
      <c r="F9" s="45">
        <f>IF(VLOOKUP($D9,$C$5:$AT$510,3,)=0,0,(VLOOKUP($D9,$C$5:$AT$510,4,)/VLOOKUP($D9,$C$5:$AT$510,3,))*$E9)</f>
        <v>0</v>
      </c>
      <c r="G9" s="45">
        <f>IF(VLOOKUP($D9,$C$5:$AT$510,3,)=0,0,(VLOOKUP($D9,$C$5:$AT$510,5,)/VLOOKUP($D9,$C$5:$AT$510,3,))*$E9)</f>
        <v>0</v>
      </c>
      <c r="H9" s="45">
        <f>IF(VLOOKUP($D9,$C$5:$AT$510,3,)=0,0,(VLOOKUP($D9,$C$5:$AT$510,6,)/VLOOKUP($D9,$C$5:$AT$510,3,))*$E9)</f>
        <v>0</v>
      </c>
      <c r="I9" s="45">
        <f>IF(VLOOKUP($D9,$C$5:$AT$510,3,)=0,0,(VLOOKUP($D9,$C$5:$AT$510,7,)/VLOOKUP($D9,$C$5:$AT$510,3,))*$E9)</f>
        <v>0</v>
      </c>
      <c r="J9" s="45">
        <f>IF(VLOOKUP($D9,$C$5:$AT$510,3,)=0,0,(VLOOKUP($D9,$C$5:$AT$510,8,)/VLOOKUP($D9,$C$5:$AT$510,3,))*$E9)</f>
        <v>0</v>
      </c>
      <c r="K9" s="45">
        <f>IF(VLOOKUP($D9,$C$5:$AT$510,3,)=0,0,(VLOOKUP($D9,$C$5:$AT$510,9,)/VLOOKUP($D9,$C$5:$AT$510,3,))*$E9)</f>
        <v>0</v>
      </c>
      <c r="L9" s="45">
        <f>IF(VLOOKUP($D9,$C$5:$AT$510,3,)=0,0,(VLOOKUP($D9,$C$5:$AT$510,10,)/VLOOKUP($D9,$C$5:$AT$510,3,))*$E9)</f>
        <v>0</v>
      </c>
      <c r="M9" s="45">
        <f>IF(VLOOKUP($D9,$C$5:$AT$510,3,)=0,0,(VLOOKUP($D9,$C$5:$AT$510,11,)/VLOOKUP($D9,$C$5:$AT$510,3,))*$E9)</f>
        <v>0</v>
      </c>
      <c r="N9" s="45">
        <f>IF(VLOOKUP($D9,$C$5:$AT$510,3,)=0,0,(VLOOKUP($D9,$C$5:$AT$510,12,)/VLOOKUP($D9,$C$5:$AT$510,3,))*$E9)</f>
        <v>0</v>
      </c>
      <c r="O9" s="45">
        <f>IF(VLOOKUP($D9,$C$5:$AT$510,3,)=0,0,(VLOOKUP($D9,$C$5:$AT$510,13,)/VLOOKUP($D9,$C$5:$AT$510,3,))*$E9)</f>
        <v>0</v>
      </c>
      <c r="P9" s="45">
        <f>IF(VLOOKUP($D9,$C$5:$AT$510,3,)=0,0,(VLOOKUP($D9,$C$5:$AT$510,14,)/VLOOKUP($D9,$C$5:$AT$510,3,))*$E9)</f>
        <v>0</v>
      </c>
      <c r="Q9" s="45">
        <f>IF(VLOOKUP($D9,$C$5:$AT$510,3,)=0,0,(VLOOKUP($D9,$C$5:$AT$510,15,)/VLOOKUP($D9,$C$5:$AT$510,3,))*$E9)</f>
        <v>0</v>
      </c>
      <c r="R9" s="45">
        <f>IF(VLOOKUP($D9,$C$5:$AT$510,3,)=0,0,(VLOOKUP($D9,$C$5:$AT$510,16,)/VLOOKUP($D9,$C$5:$AT$510,3,))*$E9)</f>
        <v>0</v>
      </c>
      <c r="S9" s="45">
        <f>IF(VLOOKUP($D9,$C$5:$AT$510,3,)=0,0,(VLOOKUP($D9,$C$5:$AT$510,17,)/VLOOKUP($D9,$C$5:$AT$510,3,))*$E9)</f>
        <v>0</v>
      </c>
      <c r="T9" s="45">
        <f>IF(VLOOKUP($D9,$C$5:$AT$510,3,)=0,0,(VLOOKUP($D9,$C$5:$AT$510,18,)/VLOOKUP($D9,$C$5:$AT$510,3,))*$E9)</f>
        <v>0</v>
      </c>
      <c r="U9" s="45">
        <f>IF(VLOOKUP($D9,$C$5:$AT$510,3,)=0,0,(VLOOKUP($D9,$C$5:$AT$510,19,)/VLOOKUP($D9,$C$5:$AT$510,3,))*$E9)</f>
        <v>0</v>
      </c>
      <c r="V9" s="45">
        <f>IF(VLOOKUP($D9,$C$5:$AT$510,3,)=0,0,(VLOOKUP($D9,$C$5:$AT$510,20,)/VLOOKUP($D9,$C$5:$AT$510,3,))*$E9)</f>
        <v>0</v>
      </c>
      <c r="W9" s="45">
        <f>IF(VLOOKUP($D9,$C$5:$AT$510,3,)=0,0,(VLOOKUP($D9,$C$5:$AT$510,21,)/VLOOKUP($D9,$C$5:$AT$510,3,))*$E9)</f>
        <v>0</v>
      </c>
      <c r="X9" s="45">
        <f>IF(VLOOKUP($D9,$C$5:$AT$510,3,)=0,0,(VLOOKUP($D9,$C$5:$AT$510,22,)/VLOOKUP($D9,$C$5:$AT$510,3,))*$E9)</f>
        <v>0</v>
      </c>
      <c r="Y9" s="45">
        <f>IF(VLOOKUP($D9,$C$5:$AT$510,3,)=0,0,(VLOOKUP($D9,$C$5:$AT$510,23,)/VLOOKUP($D9,$C$5:$AT$510,3,))*$E9)</f>
        <v>0</v>
      </c>
      <c r="Z9" s="45">
        <f>IF(VLOOKUP($D9,$C$5:$AT$510,3,)=0,0,(VLOOKUP($D9,$C$5:$AT$510,24,)/VLOOKUP($D9,$C$5:$AT$510,3,))*$E9)</f>
        <v>0</v>
      </c>
      <c r="AA9" s="45">
        <f>IF(VLOOKUP($D9,$C$5:$AT$510,3,)=0,0,(VLOOKUP($D9,$C$5:$AT$510,25,)/VLOOKUP($D9,$C$5:$AT$510,3,))*$E9)</f>
        <v>0</v>
      </c>
      <c r="AB9" s="45">
        <f>IF(VLOOKUP($D9,$C$5:$AT$510,3,)=0,0,(VLOOKUP($D9,$C$5:$AT$510,26,)/VLOOKUP($D9,$C$5:$AT$510,3,))*$E9)</f>
        <v>0</v>
      </c>
      <c r="AC9" s="45">
        <f>IF(VLOOKUP($D9,$C$5:$AT$510,3,)=0,0,(VLOOKUP($D9,$C$5:$AT$510,27,)/VLOOKUP($D9,$C$5:$AT$510,3,))*$E9)</f>
        <v>0</v>
      </c>
      <c r="AD9" s="45">
        <f>IF(VLOOKUP($D9,$C$5:$AT$510,3,)=0,0,(VLOOKUP($D9,$C$5:$AT$510,28,)/VLOOKUP($D9,$C$5:$AT$510,3,))*$E9)</f>
        <v>0</v>
      </c>
      <c r="AE9" s="45">
        <f>IF(VLOOKUP($D9,$C$5:$AT$510,3,)=0,0,(VLOOKUP($D9,$C$5:$AT$510,29,)/VLOOKUP($D9,$C$5:$AT$510,3,))*$E9)</f>
        <v>0</v>
      </c>
      <c r="AF9" s="45">
        <f>IF(VLOOKUP($D9,$C$5:$AT$510,3,)=0,0,(VLOOKUP($D9,$C$5:$AT$510,30,)/VLOOKUP($D9,$C$5:$AT$510,3,))*$E9)</f>
        <v>0</v>
      </c>
      <c r="AG9" s="69">
        <f>SUM(F9:AF9)</f>
        <v>0</v>
      </c>
      <c r="AH9" s="14" t="str">
        <f>IF(ABS(E9-AG9)&lt;0.01,"ok","err")</f>
        <v>ok</v>
      </c>
    </row>
    <row r="10" spans="1:36" x14ac:dyDescent="0.2">
      <c r="A10" s="2" t="s">
        <v>215</v>
      </c>
      <c r="C10" s="2" t="s">
        <v>216</v>
      </c>
      <c r="E10" s="45">
        <f t="shared" ref="E10:U10" si="0">E8+E9</f>
        <v>1502071.3599999999</v>
      </c>
      <c r="F10" s="45">
        <f t="shared" si="0"/>
        <v>1055651.3968827121</v>
      </c>
      <c r="G10" s="45">
        <f t="shared" si="0"/>
        <v>0</v>
      </c>
      <c r="H10" s="45">
        <f t="shared" si="0"/>
        <v>19.841886427817446</v>
      </c>
      <c r="I10" s="45">
        <f t="shared" si="0"/>
        <v>94793.661459922907</v>
      </c>
      <c r="J10" s="45">
        <f t="shared" si="0"/>
        <v>151140.55410914178</v>
      </c>
      <c r="K10" s="45">
        <f t="shared" si="0"/>
        <v>0</v>
      </c>
      <c r="L10" s="45">
        <f t="shared" si="0"/>
        <v>0</v>
      </c>
      <c r="M10" s="45">
        <f t="shared" si="0"/>
        <v>44919.346225951813</v>
      </c>
      <c r="N10" s="45">
        <f t="shared" si="0"/>
        <v>105322.50758234748</v>
      </c>
      <c r="O10" s="45">
        <f t="shared" si="0"/>
        <v>13274.562661158407</v>
      </c>
      <c r="P10" s="45">
        <f t="shared" si="0"/>
        <v>1370.138804129095</v>
      </c>
      <c r="Q10" s="45">
        <f t="shared" si="0"/>
        <v>4376.6727389417301</v>
      </c>
      <c r="R10" s="45">
        <f t="shared" si="0"/>
        <v>29471.361707202341</v>
      </c>
      <c r="S10" s="45">
        <f t="shared" si="0"/>
        <v>0</v>
      </c>
      <c r="T10" s="45">
        <f t="shared" si="0"/>
        <v>989.47268265412265</v>
      </c>
      <c r="U10" s="45">
        <f t="shared" si="0"/>
        <v>741.84325941024133</v>
      </c>
      <c r="V10" s="45">
        <f t="shared" ref="V10:AF10" si="1">V8+V9</f>
        <v>0</v>
      </c>
      <c r="W10" s="45">
        <f t="shared" si="1"/>
        <v>0</v>
      </c>
      <c r="X10" s="45">
        <f t="shared" si="1"/>
        <v>0</v>
      </c>
      <c r="Y10" s="45">
        <f t="shared" si="1"/>
        <v>0</v>
      </c>
      <c r="Z10" s="45">
        <f t="shared" si="1"/>
        <v>0</v>
      </c>
      <c r="AA10" s="45">
        <f t="shared" si="1"/>
        <v>0</v>
      </c>
      <c r="AB10" s="45">
        <f t="shared" si="1"/>
        <v>0</v>
      </c>
      <c r="AC10" s="45">
        <f t="shared" si="1"/>
        <v>0</v>
      </c>
      <c r="AD10" s="45">
        <f t="shared" si="1"/>
        <v>0</v>
      </c>
      <c r="AE10" s="45">
        <f t="shared" si="1"/>
        <v>0</v>
      </c>
      <c r="AF10" s="45">
        <f t="shared" si="1"/>
        <v>0</v>
      </c>
      <c r="AG10" s="69">
        <f>SUM(F10:AF10)</f>
        <v>1502071.3599999996</v>
      </c>
      <c r="AH10" s="14" t="str">
        <f>IF(ABS(E10-AG10)&lt;0.01,"ok","err")</f>
        <v>ok</v>
      </c>
    </row>
    <row r="11" spans="1:36" x14ac:dyDescent="0.2">
      <c r="E11" s="32"/>
      <c r="F11" s="32"/>
      <c r="L11" s="32"/>
    </row>
    <row r="12" spans="1:36" x14ac:dyDescent="0.2">
      <c r="A12" s="1" t="s">
        <v>350</v>
      </c>
      <c r="E12" s="32"/>
      <c r="F12" s="32"/>
      <c r="L12" s="32"/>
    </row>
    <row r="13" spans="1:36" x14ac:dyDescent="0.2">
      <c r="A13" s="72" t="s">
        <v>209</v>
      </c>
      <c r="C13" s="2" t="s">
        <v>849</v>
      </c>
      <c r="D13" s="2" t="s">
        <v>597</v>
      </c>
      <c r="E13" s="45">
        <f>'Func &amp; Classif'!K93</f>
        <v>0</v>
      </c>
      <c r="F13" s="45">
        <f>IF(VLOOKUP($D13,$C$5:$AT$510,3,)=0,0,(VLOOKUP($D13,$C$5:$AT$510,4,)/VLOOKUP($D13,$C$5:$AT$510,3,))*$E13)</f>
        <v>0</v>
      </c>
      <c r="G13" s="45">
        <f>IF(VLOOKUP($D13,$C$5:$AT$510,3,)=0,0,(VLOOKUP($D13,$C$5:$AT$510,5,)/VLOOKUP($D13,$C$5:$AT$510,3,))*$E13)</f>
        <v>0</v>
      </c>
      <c r="H13" s="45">
        <f>IF(VLOOKUP($D13,$C$5:$AT$510,3,)=0,0,(VLOOKUP($D13,$C$5:$AT$510,6,)/VLOOKUP($D13,$C$5:$AT$510,3,))*$E13)</f>
        <v>0</v>
      </c>
      <c r="I13" s="45">
        <f>IF(VLOOKUP($D13,$C$5:$AT$510,3,)=0,0,(VLOOKUP($D13,$C$5:$AT$510,7,)/VLOOKUP($D13,$C$5:$AT$510,3,))*$E13)</f>
        <v>0</v>
      </c>
      <c r="J13" s="45">
        <f>IF(VLOOKUP($D13,$C$5:$AT$510,3,)=0,0,(VLOOKUP($D13,$C$5:$AT$510,8,)/VLOOKUP($D13,$C$5:$AT$510,3,))*$E13)</f>
        <v>0</v>
      </c>
      <c r="K13" s="45">
        <f>IF(VLOOKUP($D13,$C$5:$AT$510,3,)=0,0,(VLOOKUP($D13,$C$5:$AT$510,9,)/VLOOKUP($D13,$C$5:$AT$510,3,))*$E13)</f>
        <v>0</v>
      </c>
      <c r="L13" s="45">
        <v>0</v>
      </c>
      <c r="M13" s="45">
        <v>0</v>
      </c>
      <c r="N13" s="45">
        <v>0</v>
      </c>
      <c r="O13" s="45">
        <v>0</v>
      </c>
      <c r="P13" s="45">
        <f>IF(VLOOKUP($D13,$C$5:$AT$510,3,)=0,0,(VLOOKUP($D13,$C$5:$AT$510,14,)/VLOOKUP($D13,$C$5:$AT$510,3,))*$E13)</f>
        <v>0</v>
      </c>
      <c r="Q13" s="45">
        <f>IF(VLOOKUP($D13,$C$5:$AT$510,3,)=0,0,(VLOOKUP($D13,$C$5:$AT$510,15,)/VLOOKUP($D13,$C$5:$AT$510,3,))*$E13)</f>
        <v>0</v>
      </c>
      <c r="R13" s="45">
        <f>IF(VLOOKUP($D13,$C$5:$AT$510,3,)=0,0,(VLOOKUP($D13,$C$5:$AT$510,16,)/VLOOKUP($D13,$C$5:$AT$510,3,))*$E13)</f>
        <v>0</v>
      </c>
      <c r="S13" s="45">
        <f>IF(VLOOKUP($D13,$C$5:$AT$510,3,)=0,0,(VLOOKUP($D13,$C$5:$AT$510,17,)/VLOOKUP($D13,$C$5:$AT$510,3,))*$E13)</f>
        <v>0</v>
      </c>
      <c r="T13" s="45">
        <f>IF(VLOOKUP($D13,$C$5:$AT$510,3,)=0,0,(VLOOKUP($D13,$C$5:$AT$510,18,)/VLOOKUP($D13,$C$5:$AT$510,3,))*$E13)</f>
        <v>0</v>
      </c>
      <c r="U13" s="45">
        <f>IF(VLOOKUP($D13,$C$5:$AT$510,3,)=0,0,(VLOOKUP($D13,$C$5:$AT$510,19,)/VLOOKUP($D13,$C$5:$AT$510,3,))*$E13)</f>
        <v>0</v>
      </c>
      <c r="V13" s="45">
        <f>IF(VLOOKUP($D13,$C$5:$AT$510,3,)=0,0,(VLOOKUP($D13,$C$5:$AT$510,20,)/VLOOKUP($D13,$C$5:$AT$510,3,))*$E13)</f>
        <v>0</v>
      </c>
      <c r="W13" s="45">
        <f>IF(VLOOKUP($D13,$C$5:$AT$510,3,)=0,0,(VLOOKUP($D13,$C$5:$AT$510,21,)/VLOOKUP($D13,$C$5:$AT$510,3,))*$E13)</f>
        <v>0</v>
      </c>
      <c r="X13" s="45">
        <f>IF(VLOOKUP($D13,$C$5:$AT$510,3,)=0,0,(VLOOKUP($D13,$C$5:$AT$510,22,)/VLOOKUP($D13,$C$5:$AT$510,3,))*$E13)</f>
        <v>0</v>
      </c>
      <c r="Y13" s="45">
        <f>IF(VLOOKUP($D13,$C$5:$AT$510,3,)=0,0,(VLOOKUP($D13,$C$5:$AT$510,23,)/VLOOKUP($D13,$C$5:$AT$510,3,))*$E13)</f>
        <v>0</v>
      </c>
      <c r="Z13" s="45">
        <f>IF(VLOOKUP($D13,$C$5:$AT$510,3,)=0,0,(VLOOKUP($D13,$C$5:$AT$510,24,)/VLOOKUP($D13,$C$5:$AT$510,3,))*$E13)</f>
        <v>0</v>
      </c>
      <c r="AA13" s="45">
        <f>IF(VLOOKUP($D13,$C$5:$AT$510,3,)=0,0,(VLOOKUP($D13,$C$5:$AT$510,25,)/VLOOKUP($D13,$C$5:$AT$510,3,))*$E13)</f>
        <v>0</v>
      </c>
      <c r="AB13" s="45">
        <f>IF(VLOOKUP($D13,$C$5:$AT$510,3,)=0,0,(VLOOKUP($D13,$C$5:$AT$510,26,)/VLOOKUP($D13,$C$5:$AT$510,3,))*$E13)</f>
        <v>0</v>
      </c>
      <c r="AC13" s="45">
        <f>IF(VLOOKUP($D13,$C$5:$AT$510,3,)=0,0,(VLOOKUP($D13,$C$5:$AT$510,27,)/VLOOKUP($D13,$C$5:$AT$510,3,))*$E13)</f>
        <v>0</v>
      </c>
      <c r="AD13" s="45">
        <f>IF(VLOOKUP($D13,$C$5:$AT$510,3,)=0,0,(VLOOKUP($D13,$C$5:$AT$510,28,)/VLOOKUP($D13,$C$5:$AT$510,3,))*$E13)</f>
        <v>0</v>
      </c>
      <c r="AE13" s="45">
        <f>IF(VLOOKUP($D13,$C$5:$AT$510,3,)=0,0,(VLOOKUP($D13,$C$5:$AT$510,29,)/VLOOKUP($D13,$C$5:$AT$510,3,))*$E13)</f>
        <v>0</v>
      </c>
      <c r="AF13" s="45">
        <f>IF(VLOOKUP($D13,$C$5:$AT$510,3,)=0,0,(VLOOKUP($D13,$C$5:$AT$510,30,)/VLOOKUP($D13,$C$5:$AT$510,3,))*$E13)</f>
        <v>0</v>
      </c>
      <c r="AG13" s="69">
        <f>SUM(F13:AF13)</f>
        <v>0</v>
      </c>
      <c r="AH13" s="14" t="str">
        <f>IF(ABS(E13-AG13)&lt;0.01,"ok","err")</f>
        <v>ok</v>
      </c>
    </row>
    <row r="14" spans="1:36" x14ac:dyDescent="0.2">
      <c r="E14" s="32"/>
    </row>
    <row r="15" spans="1:36" x14ac:dyDescent="0.2">
      <c r="A15" s="1" t="s">
        <v>1</v>
      </c>
      <c r="E15" s="32"/>
      <c r="F15" s="32"/>
      <c r="L15" s="32"/>
    </row>
    <row r="16" spans="1:36" x14ac:dyDescent="0.2">
      <c r="A16" s="72" t="s">
        <v>209</v>
      </c>
      <c r="C16" s="2" t="s">
        <v>217</v>
      </c>
      <c r="D16" s="2" t="s">
        <v>613</v>
      </c>
      <c r="E16" s="45">
        <f>'Func &amp; Classif'!M93</f>
        <v>45288.775986532244</v>
      </c>
      <c r="F16" s="45">
        <f>IF(VLOOKUP($D16,$C$5:$AT$510,3,)=0,0,(VLOOKUP($D16,$C$5:$AT$510,4,)/VLOOKUP($D16,$C$5:$AT$510,3,))*$E16)</f>
        <v>32970.442276590744</v>
      </c>
      <c r="G16" s="45">
        <f>IF(VLOOKUP($D16,$C$5:$AT$510,3,)=0,0,(VLOOKUP($D16,$C$5:$AT$510,5,)/VLOOKUP($D16,$C$5:$AT$510,3,))*$E16)</f>
        <v>0</v>
      </c>
      <c r="H16" s="45">
        <f>IF(VLOOKUP($D16,$C$5:$AT$510,3,)=0,0,(VLOOKUP($D16,$C$5:$AT$510,6,)/VLOOKUP($D16,$C$5:$AT$510,3,))*$E16)</f>
        <v>0.61970814708229749</v>
      </c>
      <c r="I16" s="45">
        <f>IF(VLOOKUP($D16,$C$5:$AT$510,3,)=0,0,(VLOOKUP($D16,$C$5:$AT$510,7,)/VLOOKUP($D16,$C$5:$AT$510,3,))*$E16)</f>
        <v>2960.6259723429498</v>
      </c>
      <c r="J16" s="45">
        <f>IF(VLOOKUP($D16,$C$5:$AT$510,3,)=0,0,(VLOOKUP($D16,$C$5:$AT$510,8,)/VLOOKUP($D16,$C$5:$AT$510,3,))*$E16)</f>
        <v>4720.4701567415759</v>
      </c>
      <c r="K16" s="45">
        <f>IF(VLOOKUP($D16,$C$5:$AT$510,3,)=0,0,(VLOOKUP($D16,$C$5:$AT$510,9,)/VLOOKUP($D16,$C$5:$AT$510,3,))*$E16)</f>
        <v>0</v>
      </c>
      <c r="L16" s="45">
        <f>IF(VLOOKUP($D16,$C$5:$AT$510,3,)=0,0,(VLOOKUP($D16,$C$5:$AT$510,10,)/VLOOKUP($D16,$C$5:$AT$510,3,))*$E16)</f>
        <v>0</v>
      </c>
      <c r="M16" s="45">
        <f>IF(VLOOKUP($D16,$C$5:$AT$510,3,)=0,0,(VLOOKUP($D16,$C$5:$AT$510,11,)/VLOOKUP($D16,$C$5:$AT$510,3,))*$E16)</f>
        <v>1402.9353972516799</v>
      </c>
      <c r="N16" s="45">
        <f>IF(VLOOKUP($D16,$C$5:$AT$510,3,)=0,0,(VLOOKUP($D16,$C$5:$AT$510,12,)/VLOOKUP($D16,$C$5:$AT$510,3,))*$E16)</f>
        <v>1665.0688143367354</v>
      </c>
      <c r="O16" s="45">
        <f>IF(VLOOKUP($D16,$C$5:$AT$510,3,)=0,0,(VLOOKUP($D16,$C$5:$AT$510,13,)/VLOOKUP($D16,$C$5:$AT$510,3,))*$E16)</f>
        <v>414.5953894051799</v>
      </c>
      <c r="P16" s="45">
        <f>IF(VLOOKUP($D16,$C$5:$AT$510,3,)=0,0,(VLOOKUP($D16,$C$5:$AT$510,14,)/VLOOKUP($D16,$C$5:$AT$510,3,))*$E16)</f>
        <v>42.792613627805828</v>
      </c>
      <c r="Q16" s="45">
        <f>IF(VLOOKUP($D16,$C$5:$AT$510,3,)=0,0,(VLOOKUP($D16,$C$5:$AT$510,15,)/VLOOKUP($D16,$C$5:$AT$510,3,))*$E16)</f>
        <v>136.69364368665646</v>
      </c>
      <c r="R16" s="45">
        <f>IF(VLOOKUP($D16,$C$5:$AT$510,3,)=0,0,(VLOOKUP($D16,$C$5:$AT$510,16,)/VLOOKUP($D16,$C$5:$AT$510,3,))*$E16)</f>
        <v>920.45900081142054</v>
      </c>
      <c r="S16" s="45">
        <f>IF(VLOOKUP($D16,$C$5:$AT$510,3,)=0,0,(VLOOKUP($D16,$C$5:$AT$510,17,)/VLOOKUP($D16,$C$5:$AT$510,3,))*$E16)</f>
        <v>0</v>
      </c>
      <c r="T16" s="45">
        <f>IF(VLOOKUP($D16,$C$5:$AT$510,3,)=0,0,(VLOOKUP($D16,$C$5:$AT$510,18,)/VLOOKUP($D16,$C$5:$AT$510,3,))*$E16)</f>
        <v>30.903527494063226</v>
      </c>
      <c r="U16" s="45">
        <f>IF(VLOOKUP($D16,$C$5:$AT$510,3,)=0,0,(VLOOKUP($D16,$C$5:$AT$510,19,)/VLOOKUP($D16,$C$5:$AT$510,3,))*$E16)</f>
        <v>23.169486096347008</v>
      </c>
      <c r="V16" s="45">
        <f>IF(VLOOKUP($D16,$C$5:$AT$510,3,)=0,0,(VLOOKUP($D16,$C$5:$AT$510,20,)/VLOOKUP($D16,$C$5:$AT$510,3,))*$E16)</f>
        <v>0</v>
      </c>
      <c r="W16" s="45">
        <f>IF(VLOOKUP($D16,$C$5:$AT$510,3,)=0,0,(VLOOKUP($D16,$C$5:$AT$510,21,)/VLOOKUP($D16,$C$5:$AT$510,3,))*$E16)</f>
        <v>0</v>
      </c>
      <c r="X16" s="45">
        <f>IF(VLOOKUP($D16,$C$5:$AT$510,3,)=0,0,(VLOOKUP($D16,$C$5:$AT$510,22,)/VLOOKUP($D16,$C$5:$AT$510,3,))*$E16)</f>
        <v>0</v>
      </c>
      <c r="Y16" s="45">
        <f>IF(VLOOKUP($D16,$C$5:$AT$510,3,)=0,0,(VLOOKUP($D16,$C$5:$AT$510,23,)/VLOOKUP($D16,$C$5:$AT$510,3,))*$E16)</f>
        <v>0</v>
      </c>
      <c r="Z16" s="45">
        <f>IF(VLOOKUP($D16,$C$5:$AT$510,3,)=0,0,(VLOOKUP($D16,$C$5:$AT$510,24,)/VLOOKUP($D16,$C$5:$AT$510,3,))*$E16)</f>
        <v>0</v>
      </c>
      <c r="AA16" s="45">
        <f>IF(VLOOKUP($D16,$C$5:$AT$510,3,)=0,0,(VLOOKUP($D16,$C$5:$AT$510,25,)/VLOOKUP($D16,$C$5:$AT$510,3,))*$E16)</f>
        <v>0</v>
      </c>
      <c r="AB16" s="45">
        <f>IF(VLOOKUP($D16,$C$5:$AT$510,3,)=0,0,(VLOOKUP($D16,$C$5:$AT$510,26,)/VLOOKUP($D16,$C$5:$AT$510,3,))*$E16)</f>
        <v>0</v>
      </c>
      <c r="AC16" s="45">
        <f>IF(VLOOKUP($D16,$C$5:$AT$510,3,)=0,0,(VLOOKUP($D16,$C$5:$AT$510,27,)/VLOOKUP($D16,$C$5:$AT$510,3,))*$E16)</f>
        <v>0</v>
      </c>
      <c r="AD16" s="45">
        <f>IF(VLOOKUP($D16,$C$5:$AT$510,3,)=0,0,(VLOOKUP($D16,$C$5:$AT$510,28,)/VLOOKUP($D16,$C$5:$AT$510,3,))*$E16)</f>
        <v>0</v>
      </c>
      <c r="AE16" s="45">
        <f>IF(VLOOKUP($D16,$C$5:$AT$510,3,)=0,0,(VLOOKUP($D16,$C$5:$AT$510,29,)/VLOOKUP($D16,$C$5:$AT$510,3,))*$E16)</f>
        <v>0</v>
      </c>
      <c r="AF16" s="45">
        <f>IF(VLOOKUP($D16,$C$5:$AT$510,3,)=0,0,(VLOOKUP($D16,$C$5:$AT$510,30,)/VLOOKUP($D16,$C$5:$AT$510,3,))*$E16)</f>
        <v>0</v>
      </c>
      <c r="AG16" s="69">
        <f>SUM(F16:AF16)</f>
        <v>45288.77598653223</v>
      </c>
      <c r="AH16" s="14" t="str">
        <f>IF(ABS(E16-AG16)&lt;0.01,"ok","err")</f>
        <v>ok</v>
      </c>
    </row>
    <row r="17" spans="1:35" x14ac:dyDescent="0.2">
      <c r="E17" s="32"/>
    </row>
    <row r="18" spans="1:35" x14ac:dyDescent="0.2">
      <c r="A18" s="1" t="s">
        <v>357</v>
      </c>
      <c r="E18" s="32"/>
    </row>
    <row r="19" spans="1:35" x14ac:dyDescent="0.2">
      <c r="A19" s="72" t="s">
        <v>209</v>
      </c>
      <c r="C19" s="2" t="s">
        <v>219</v>
      </c>
      <c r="D19" s="2" t="s">
        <v>605</v>
      </c>
      <c r="E19" s="45">
        <f>'Func &amp; Classif'!O93</f>
        <v>65940237.213389851</v>
      </c>
      <c r="F19" s="45">
        <f>IF(VLOOKUP($D19,$C$5:$AT$510,3,)=0,0,(VLOOKUP($D19,$C$5:$AT$510,4,)/VLOOKUP($D19,$C$5:$AT$510,3,))*$E19)</f>
        <v>52924007.435576886</v>
      </c>
      <c r="G19" s="45">
        <f>IF(VLOOKUP($D19,$C$5:$AT$510,3,)=0,0,(VLOOKUP($D19,$C$5:$AT$510,5,)/VLOOKUP($D19,$C$5:$AT$510,3,))*$E19)</f>
        <v>0</v>
      </c>
      <c r="H19" s="45">
        <f>IF(VLOOKUP($D19,$C$5:$AT$510,3,)=0,0,(VLOOKUP($D19,$C$5:$AT$510,6,)/VLOOKUP($D19,$C$5:$AT$510,3,))*$E19)</f>
        <v>1906.7622148296507</v>
      </c>
      <c r="I19" s="45">
        <f>IF(VLOOKUP($D19,$C$5:$AT$510,3,)=0,0,(VLOOKUP($D19,$C$5:$AT$510,7,)/VLOOKUP($D19,$C$5:$AT$510,3,))*$E19)</f>
        <v>4587070.2267506057</v>
      </c>
      <c r="J19" s="45">
        <f>IF(VLOOKUP($D19,$C$5:$AT$510,3,)=0,0,(VLOOKUP($D19,$C$5:$AT$510,8,)/VLOOKUP($D19,$C$5:$AT$510,3,))*$E19)</f>
        <v>3950217.5422986965</v>
      </c>
      <c r="K19" s="45">
        <f>IF(VLOOKUP($D19,$C$5:$AT$510,3,)=0,0,(VLOOKUP($D19,$C$5:$AT$510,9,)/VLOOKUP($D19,$C$5:$AT$510,3,))*$E19)</f>
        <v>45367.459111743075</v>
      </c>
      <c r="L19" s="45">
        <f>IF(VLOOKUP($D19,$C$5:$AT$510,3,)=0,0,(VLOOKUP($D19,$C$5:$AT$510,10,)/VLOOKUP($D19,$C$5:$AT$510,3,))*$E19)</f>
        <v>0</v>
      </c>
      <c r="M19" s="45">
        <f>IF(VLOOKUP($D19,$C$5:$AT$510,3,)=0,0,(VLOOKUP($D19,$C$5:$AT$510,11,)/VLOOKUP($D19,$C$5:$AT$510,3,))*$E19)</f>
        <v>1338865.1243217839</v>
      </c>
      <c r="N19" s="45">
        <f>IF(VLOOKUP($D19,$C$5:$AT$510,3,)=0,0,(VLOOKUP($D19,$C$5:$AT$510,12,)/VLOOKUP($D19,$C$5:$AT$510,3,))*$E19)</f>
        <v>1455606.5037695882</v>
      </c>
      <c r="O19" s="45">
        <f>IF(VLOOKUP($D19,$C$5:$AT$510,3,)=0,0,(VLOOKUP($D19,$C$5:$AT$510,13,)/VLOOKUP($D19,$C$5:$AT$510,3,))*$E19)</f>
        <v>362721.6074044453</v>
      </c>
      <c r="P19" s="45">
        <f>IF(VLOOKUP($D19,$C$5:$AT$510,3,)=0,0,(VLOOKUP($D19,$C$5:$AT$510,14,)/VLOOKUP($D19,$C$5:$AT$510,3,))*$E19)</f>
        <v>106519.02188607932</v>
      </c>
      <c r="Q19" s="45">
        <f>IF(VLOOKUP($D19,$C$5:$AT$510,3,)=0,0,(VLOOKUP($D19,$C$5:$AT$510,15,)/VLOOKUP($D19,$C$5:$AT$510,3,))*$E19)</f>
        <v>251480.80001560424</v>
      </c>
      <c r="R19" s="45">
        <f>IF(VLOOKUP($D19,$C$5:$AT$510,3,)=0,0,(VLOOKUP($D19,$C$5:$AT$510,16,)/VLOOKUP($D19,$C$5:$AT$510,3,))*$E19)</f>
        <v>849640.16592829814</v>
      </c>
      <c r="S19" s="45">
        <f>IF(VLOOKUP($D19,$C$5:$AT$510,3,)=0,0,(VLOOKUP($D19,$C$5:$AT$510,17,)/VLOOKUP($D19,$C$5:$AT$510,3,))*$E19)</f>
        <v>0</v>
      </c>
      <c r="T19" s="45">
        <f>IF(VLOOKUP($D19,$C$5:$AT$510,3,)=0,0,(VLOOKUP($D19,$C$5:$AT$510,18,)/VLOOKUP($D19,$C$5:$AT$510,3,))*$E19)</f>
        <v>40835.269816754102</v>
      </c>
      <c r="U19" s="45">
        <f>IF(VLOOKUP($D19,$C$5:$AT$510,3,)=0,0,(VLOOKUP($D19,$C$5:$AT$510,19,)/VLOOKUP($D19,$C$5:$AT$510,3,))*$E19)</f>
        <v>25999.29429453153</v>
      </c>
      <c r="V19" s="45">
        <f>IF(VLOOKUP($D19,$C$5:$AT$510,3,)=0,0,(VLOOKUP($D19,$C$5:$AT$510,20,)/VLOOKUP($D19,$C$5:$AT$510,3,))*$E19)</f>
        <v>0</v>
      </c>
      <c r="W19" s="45">
        <f>IF(VLOOKUP($D19,$C$5:$AT$510,3,)=0,0,(VLOOKUP($D19,$C$5:$AT$510,21,)/VLOOKUP($D19,$C$5:$AT$510,3,))*$E19)</f>
        <v>0</v>
      </c>
      <c r="X19" s="45">
        <f>IF(VLOOKUP($D19,$C$5:$AT$510,3,)=0,0,(VLOOKUP($D19,$C$5:$AT$510,22,)/VLOOKUP($D19,$C$5:$AT$510,3,))*$E19)</f>
        <v>0</v>
      </c>
      <c r="Y19" s="45">
        <f>IF(VLOOKUP($D19,$C$5:$AT$510,3,)=0,0,(VLOOKUP($D19,$C$5:$AT$510,23,)/VLOOKUP($D19,$C$5:$AT$510,3,))*$E19)</f>
        <v>0</v>
      </c>
      <c r="Z19" s="45">
        <f>IF(VLOOKUP($D19,$C$5:$AT$510,3,)=0,0,(VLOOKUP($D19,$C$5:$AT$510,24,)/VLOOKUP($D19,$C$5:$AT$510,3,))*$E19)</f>
        <v>0</v>
      </c>
      <c r="AA19" s="45">
        <f>IF(VLOOKUP($D19,$C$5:$AT$510,3,)=0,0,(VLOOKUP($D19,$C$5:$AT$510,25,)/VLOOKUP($D19,$C$5:$AT$510,3,))*$E19)</f>
        <v>0</v>
      </c>
      <c r="AB19" s="45">
        <f>IF(VLOOKUP($D19,$C$5:$AT$510,3,)=0,0,(VLOOKUP($D19,$C$5:$AT$510,26,)/VLOOKUP($D19,$C$5:$AT$510,3,))*$E19)</f>
        <v>0</v>
      </c>
      <c r="AC19" s="45">
        <f>IF(VLOOKUP($D19,$C$5:$AT$510,3,)=0,0,(VLOOKUP($D19,$C$5:$AT$510,27,)/VLOOKUP($D19,$C$5:$AT$510,3,))*$E19)</f>
        <v>0</v>
      </c>
      <c r="AD19" s="45">
        <f>IF(VLOOKUP($D19,$C$5:$AT$510,3,)=0,0,(VLOOKUP($D19,$C$5:$AT$510,28,)/VLOOKUP($D19,$C$5:$AT$510,3,))*$E19)</f>
        <v>0</v>
      </c>
      <c r="AE19" s="45">
        <f>IF(VLOOKUP($D19,$C$5:$AT$510,3,)=0,0,(VLOOKUP($D19,$C$5:$AT$510,29,)/VLOOKUP($D19,$C$5:$AT$510,3,))*$E19)</f>
        <v>0</v>
      </c>
      <c r="AF19" s="45">
        <f>IF(VLOOKUP($D19,$C$5:$AT$510,3,)=0,0,(VLOOKUP($D19,$C$5:$AT$510,30,)/VLOOKUP($D19,$C$5:$AT$510,3,))*$E19)</f>
        <v>0</v>
      </c>
      <c r="AG19" s="69">
        <f>SUM(F19:AF19)</f>
        <v>65940237.213389851</v>
      </c>
      <c r="AH19" s="14" t="str">
        <f>IF(ABS(E19-AG19)&lt;0.01,"ok","err")</f>
        <v>ok</v>
      </c>
      <c r="AI19" s="69"/>
    </row>
    <row r="20" spans="1:35" x14ac:dyDescent="0.2">
      <c r="A20" s="72" t="s">
        <v>221</v>
      </c>
      <c r="C20" s="2" t="s">
        <v>222</v>
      </c>
      <c r="D20" s="2" t="s">
        <v>223</v>
      </c>
      <c r="E20" s="32">
        <f>'Func &amp; Classif'!P93</f>
        <v>33982075.394663438</v>
      </c>
      <c r="F20" s="45">
        <f>IF(VLOOKUP($D20,$C$5:$AT$510,3,)=0,0,(VLOOKUP($D20,$C$5:$AT$510,4,)/VLOOKUP($D20,$C$5:$AT$510,3,))*$E20)</f>
        <v>31321935.73618494</v>
      </c>
      <c r="G20" s="45">
        <f>IF(VLOOKUP($D20,$C$5:$AT$510,3,)=0,0,(VLOOKUP($D20,$C$5:$AT$510,5,)/VLOOKUP($D20,$C$5:$AT$510,3,))*$E20)</f>
        <v>0</v>
      </c>
      <c r="H20" s="45">
        <f>IF(VLOOKUP($D20,$C$5:$AT$510,3,)=0,0,(VLOOKUP($D20,$C$5:$AT$510,6,)/VLOOKUP($D20,$C$5:$AT$510,3,))*$E20)</f>
        <v>1274.5965547401702</v>
      </c>
      <c r="I20" s="45">
        <f>IF(VLOOKUP($D20,$C$5:$AT$510,3,)=0,0,(VLOOKUP($D20,$C$5:$AT$510,7,)/VLOOKUP($D20,$C$5:$AT$510,3,))*$E20)</f>
        <v>2253486.7087806212</v>
      </c>
      <c r="J20" s="45">
        <f>IF(VLOOKUP($D20,$C$5:$AT$510,3,)=0,0,(VLOOKUP($D20,$C$5:$AT$510,8,)/VLOOKUP($D20,$C$5:$AT$510,3,))*$E20)</f>
        <v>126185.05891927685</v>
      </c>
      <c r="K20" s="45">
        <f>IF(VLOOKUP($D20,$C$5:$AT$510,3,)=0,0,(VLOOKUP($D20,$C$5:$AT$510,9,)/VLOOKUP($D20,$C$5:$AT$510,3,))*$E20)</f>
        <v>2322.598166415421</v>
      </c>
      <c r="L20" s="45">
        <f>IF(VLOOKUP($D20,$C$5:$AT$510,3,)=0,0,(VLOOKUP($D20,$C$5:$AT$510,10,)/VLOOKUP($D20,$C$5:$AT$510,3,))*$E20)</f>
        <v>0</v>
      </c>
      <c r="M20" s="45">
        <f>IF(VLOOKUP($D20,$C$5:$AT$510,3,)=0,0,(VLOOKUP($D20,$C$5:$AT$510,11,)/VLOOKUP($D20,$C$5:$AT$510,3,))*$E20)</f>
        <v>113.29747153245958</v>
      </c>
      <c r="N20" s="45">
        <f>IF(VLOOKUP($D20,$C$5:$AT$510,3,)=0,0,(VLOOKUP($D20,$C$5:$AT$510,12,)/VLOOKUP($D20,$C$5:$AT$510,3,))*$E20)</f>
        <v>28.324367883114896</v>
      </c>
      <c r="O20" s="45">
        <f>IF(VLOOKUP($D20,$C$5:$AT$510,3,)=0,0,(VLOOKUP($D20,$C$5:$AT$510,13,)/VLOOKUP($D20,$C$5:$AT$510,3,))*$E20)</f>
        <v>28.324367883114896</v>
      </c>
      <c r="P20" s="45">
        <f>IF(VLOOKUP($D20,$C$5:$AT$510,3,)=0,0,(VLOOKUP($D20,$C$5:$AT$510,14,)/VLOOKUP($D20,$C$5:$AT$510,3,))*$E20)</f>
        <v>113.29747153245958</v>
      </c>
      <c r="Q20" s="45">
        <f>IF(VLOOKUP($D20,$C$5:$AT$510,3,)=0,0,(VLOOKUP($D20,$C$5:$AT$510,15,)/VLOOKUP($D20,$C$5:$AT$510,3,))*$E20)</f>
        <v>101967.72437921361</v>
      </c>
      <c r="R20" s="45">
        <f>IF(VLOOKUP($D20,$C$5:$AT$510,3,)=0,0,(VLOOKUP($D20,$C$5:$AT$510,16,)/VLOOKUP($D20,$C$5:$AT$510,3,))*$E20)</f>
        <v>1274.5965547401702</v>
      </c>
      <c r="S20" s="45">
        <f>IF(VLOOKUP($D20,$C$5:$AT$510,3,)=0,0,(VLOOKUP($D20,$C$5:$AT$510,17,)/VLOOKUP($D20,$C$5:$AT$510,3,))*$E20)</f>
        <v>0</v>
      </c>
      <c r="T20" s="45">
        <f>IF(VLOOKUP($D20,$C$5:$AT$510,3,)=0,0,(VLOOKUP($D20,$C$5:$AT$510,18,)/VLOOKUP($D20,$C$5:$AT$510,3,))*$E20)</f>
        <v>8922.1758831811912</v>
      </c>
      <c r="U20" s="45">
        <f>IF(VLOOKUP($D20,$C$5:$AT$510,3,)=0,0,(VLOOKUP($D20,$C$5:$AT$510,19,)/VLOOKUP($D20,$C$5:$AT$510,3,))*$E20)</f>
        <v>164422.95556148197</v>
      </c>
      <c r="V20" s="45">
        <f>IF(VLOOKUP($D20,$C$5:$AT$510,3,)=0,0,(VLOOKUP($D20,$C$5:$AT$510,20,)/VLOOKUP($D20,$C$5:$AT$510,3,))*$E20)</f>
        <v>0</v>
      </c>
      <c r="W20" s="45">
        <f>IF(VLOOKUP($D20,$C$5:$AT$510,3,)=0,0,(VLOOKUP($D20,$C$5:$AT$510,21,)/VLOOKUP($D20,$C$5:$AT$510,3,))*$E20)</f>
        <v>0</v>
      </c>
      <c r="X20" s="45">
        <f>IF(VLOOKUP($D20,$C$5:$AT$510,3,)=0,0,(VLOOKUP($D20,$C$5:$AT$510,22,)/VLOOKUP($D20,$C$5:$AT$510,3,))*$E20)</f>
        <v>0</v>
      </c>
      <c r="Y20" s="45">
        <f>IF(VLOOKUP($D20,$C$5:$AT$510,3,)=0,0,(VLOOKUP($D20,$C$5:$AT$510,23,)/VLOOKUP($D20,$C$5:$AT$510,3,))*$E20)</f>
        <v>0</v>
      </c>
      <c r="Z20" s="45">
        <f>IF(VLOOKUP($D20,$C$5:$AT$510,3,)=0,0,(VLOOKUP($D20,$C$5:$AT$510,24,)/VLOOKUP($D20,$C$5:$AT$510,3,))*$E20)</f>
        <v>0</v>
      </c>
      <c r="AA20" s="45">
        <f>IF(VLOOKUP($D20,$C$5:$AT$510,3,)=0,0,(VLOOKUP($D20,$C$5:$AT$510,25,)/VLOOKUP($D20,$C$5:$AT$510,3,))*$E20)</f>
        <v>0</v>
      </c>
      <c r="AB20" s="45">
        <f>IF(VLOOKUP($D20,$C$5:$AT$510,3,)=0,0,(VLOOKUP($D20,$C$5:$AT$510,26,)/VLOOKUP($D20,$C$5:$AT$510,3,))*$E20)</f>
        <v>0</v>
      </c>
      <c r="AC20" s="45">
        <f>IF(VLOOKUP($D20,$C$5:$AT$510,3,)=0,0,(VLOOKUP($D20,$C$5:$AT$510,27,)/VLOOKUP($D20,$C$5:$AT$510,3,))*$E20)</f>
        <v>0</v>
      </c>
      <c r="AD20" s="45">
        <f>IF(VLOOKUP($D20,$C$5:$AT$510,3,)=0,0,(VLOOKUP($D20,$C$5:$AT$510,28,)/VLOOKUP($D20,$C$5:$AT$510,3,))*$E20)</f>
        <v>0</v>
      </c>
      <c r="AE20" s="45">
        <f>IF(VLOOKUP($D20,$C$5:$AT$510,3,)=0,0,(VLOOKUP($D20,$C$5:$AT$510,29,)/VLOOKUP($D20,$C$5:$AT$510,3,))*$E20)</f>
        <v>0</v>
      </c>
      <c r="AF20" s="45">
        <f>IF(VLOOKUP($D20,$C$5:$AT$510,3,)=0,0,(VLOOKUP($D20,$C$5:$AT$510,30,)/VLOOKUP($D20,$C$5:$AT$510,3,))*$E20)</f>
        <v>0</v>
      </c>
      <c r="AG20" s="69">
        <f>SUM(F20:AF20)</f>
        <v>33982075.394663431</v>
      </c>
      <c r="AH20" s="14" t="str">
        <f>IF(ABS(E20-AG20)&lt;0.01,"ok","err")</f>
        <v>ok</v>
      </c>
    </row>
    <row r="21" spans="1:35" x14ac:dyDescent="0.2">
      <c r="A21" s="2" t="s">
        <v>224</v>
      </c>
      <c r="C21" s="2" t="s">
        <v>472</v>
      </c>
      <c r="E21" s="45">
        <f t="shared" ref="E21:T21" si="2">E19+E20</f>
        <v>99922312.608053297</v>
      </c>
      <c r="F21" s="45">
        <f t="shared" si="2"/>
        <v>84245943.171761826</v>
      </c>
      <c r="G21" s="45">
        <f t="shared" si="2"/>
        <v>0</v>
      </c>
      <c r="H21" s="45">
        <f t="shared" si="2"/>
        <v>3181.3587695698207</v>
      </c>
      <c r="I21" s="45">
        <f t="shared" si="2"/>
        <v>6840556.9355312269</v>
      </c>
      <c r="J21" s="45">
        <f t="shared" si="2"/>
        <v>4076402.6012179735</v>
      </c>
      <c r="K21" s="45">
        <f t="shared" si="2"/>
        <v>47690.0572781585</v>
      </c>
      <c r="L21" s="45">
        <f t="shared" si="2"/>
        <v>0</v>
      </c>
      <c r="M21" s="45">
        <f t="shared" si="2"/>
        <v>1338978.4217933163</v>
      </c>
      <c r="N21" s="45">
        <f t="shared" si="2"/>
        <v>1455634.8281374713</v>
      </c>
      <c r="O21" s="45">
        <f t="shared" si="2"/>
        <v>362749.93177232839</v>
      </c>
      <c r="P21" s="45">
        <f t="shared" si="2"/>
        <v>106632.31935761178</v>
      </c>
      <c r="Q21" s="45">
        <f t="shared" si="2"/>
        <v>353448.52439481788</v>
      </c>
      <c r="R21" s="45">
        <f t="shared" si="2"/>
        <v>850914.76248303836</v>
      </c>
      <c r="S21" s="45">
        <f t="shared" si="2"/>
        <v>0</v>
      </c>
      <c r="T21" s="45">
        <f t="shared" si="2"/>
        <v>49757.445699935291</v>
      </c>
      <c r="U21" s="45">
        <f t="shared" ref="U21:AF21" si="3">U19+U20</f>
        <v>190422.24985601351</v>
      </c>
      <c r="V21" s="45">
        <f t="shared" si="3"/>
        <v>0</v>
      </c>
      <c r="W21" s="45">
        <f t="shared" si="3"/>
        <v>0</v>
      </c>
      <c r="X21" s="45">
        <f t="shared" si="3"/>
        <v>0</v>
      </c>
      <c r="Y21" s="45">
        <f t="shared" si="3"/>
        <v>0</v>
      </c>
      <c r="Z21" s="45">
        <f t="shared" si="3"/>
        <v>0</v>
      </c>
      <c r="AA21" s="45">
        <f t="shared" si="3"/>
        <v>0</v>
      </c>
      <c r="AB21" s="45">
        <f t="shared" si="3"/>
        <v>0</v>
      </c>
      <c r="AC21" s="45">
        <f t="shared" si="3"/>
        <v>0</v>
      </c>
      <c r="AD21" s="45">
        <f t="shared" si="3"/>
        <v>0</v>
      </c>
      <c r="AE21" s="45">
        <f t="shared" si="3"/>
        <v>0</v>
      </c>
      <c r="AF21" s="45">
        <f t="shared" si="3"/>
        <v>0</v>
      </c>
      <c r="AG21" s="69">
        <f>SUM(F21:AF21)</f>
        <v>99922312.608053282</v>
      </c>
      <c r="AH21" s="14" t="str">
        <f>IF(ABS(E21-AG21)&lt;0.01,"ok","err")</f>
        <v>ok</v>
      </c>
    </row>
    <row r="22" spans="1:35" x14ac:dyDescent="0.2">
      <c r="E22" s="32"/>
    </row>
    <row r="23" spans="1:35" x14ac:dyDescent="0.2">
      <c r="A23" s="1" t="s">
        <v>3</v>
      </c>
      <c r="E23" s="32"/>
    </row>
    <row r="24" spans="1:35" x14ac:dyDescent="0.2">
      <c r="A24" s="72" t="s">
        <v>209</v>
      </c>
      <c r="C24" s="2" t="s">
        <v>225</v>
      </c>
      <c r="D24" s="2" t="s">
        <v>617</v>
      </c>
      <c r="E24" s="45">
        <f>'Func &amp; Classif'!R93</f>
        <v>0</v>
      </c>
      <c r="F24" s="45">
        <f>IF(VLOOKUP($D24,$C$5:$AT$510,3,)=0,0,(VLOOKUP($D24,$C$5:$AT$510,4,)/VLOOKUP($D24,$C$5:$AT$510,3,))*$E24)</f>
        <v>0</v>
      </c>
      <c r="G24" s="45">
        <f>IF(VLOOKUP($D24,$C$5:$AT$510,3,)=0,0,(VLOOKUP($D24,$C$5:$AT$510,5,)/VLOOKUP($D24,$C$5:$AT$510,3,))*$E24)</f>
        <v>0</v>
      </c>
      <c r="H24" s="45">
        <f>IF(VLOOKUP($D24,$C$5:$AT$510,3,)=0,0,(VLOOKUP($D24,$C$5:$AT$510,6,)/VLOOKUP($D24,$C$5:$AT$510,3,))*$E24)</f>
        <v>0</v>
      </c>
      <c r="I24" s="45">
        <f>IF(VLOOKUP($D24,$C$5:$AT$510,3,)=0,0,(VLOOKUP($D24,$C$5:$AT$510,7,)/VLOOKUP($D24,$C$5:$AT$510,3,))*$E24)</f>
        <v>0</v>
      </c>
      <c r="J24" s="45">
        <f>IF(VLOOKUP($D24,$C$5:$AT$510,3,)=0,0,(VLOOKUP($D24,$C$5:$AT$510,8,)/VLOOKUP($D24,$C$5:$AT$510,3,))*$E24)</f>
        <v>0</v>
      </c>
      <c r="K24" s="45">
        <f>IF(VLOOKUP($D24,$C$5:$AT$510,3,)=0,0,(VLOOKUP($D24,$C$5:$AT$510,9,)/VLOOKUP($D24,$C$5:$AT$510,3,))*$E24)</f>
        <v>0</v>
      </c>
      <c r="L24" s="45">
        <f>IF(VLOOKUP($D24,$C$5:$AT$510,3,)=0,0,(VLOOKUP($D24,$C$5:$AT$510,10,)/VLOOKUP($D24,$C$5:$AT$510,3,))*$E24)</f>
        <v>0</v>
      </c>
      <c r="M24" s="45">
        <f>IF(VLOOKUP($D24,$C$5:$AT$510,3,)=0,0,(VLOOKUP($D24,$C$5:$AT$510,11,)/VLOOKUP($D24,$C$5:$AT$510,3,))*$E24)</f>
        <v>0</v>
      </c>
      <c r="N24" s="45">
        <f>IF(VLOOKUP($D24,$C$5:$AT$510,3,)=0,0,(VLOOKUP($D24,$C$5:$AT$510,12,)/VLOOKUP($D24,$C$5:$AT$510,3,))*$E24)</f>
        <v>0</v>
      </c>
      <c r="O24" s="45">
        <f>IF(VLOOKUP($D24,$C$5:$AT$510,3,)=0,0,(VLOOKUP($D24,$C$5:$AT$510,13,)/VLOOKUP($D24,$C$5:$AT$510,3,))*$E24)</f>
        <v>0</v>
      </c>
      <c r="P24" s="45">
        <f>IF(VLOOKUP($D24,$C$5:$AT$510,3,)=0,0,(VLOOKUP($D24,$C$5:$AT$510,14,)/VLOOKUP($D24,$C$5:$AT$510,3,))*$E24)</f>
        <v>0</v>
      </c>
      <c r="Q24" s="45">
        <f>IF(VLOOKUP($D24,$C$5:$AT$510,3,)=0,0,(VLOOKUP($D24,$C$5:$AT$510,15,)/VLOOKUP($D24,$C$5:$AT$510,3,))*$E24)</f>
        <v>0</v>
      </c>
      <c r="R24" s="45">
        <f>IF(VLOOKUP($D24,$C$5:$AT$510,3,)=0,0,(VLOOKUP($D24,$C$5:$AT$510,16,)/VLOOKUP($D24,$C$5:$AT$510,3,))*$E24)</f>
        <v>0</v>
      </c>
      <c r="S24" s="45">
        <f>IF(VLOOKUP($D24,$C$5:$AT$510,3,)=0,0,(VLOOKUP($D24,$C$5:$AT$510,17,)/VLOOKUP($D24,$C$5:$AT$510,3,))*$E24)</f>
        <v>0</v>
      </c>
      <c r="T24" s="45">
        <f>IF(VLOOKUP($D24,$C$5:$AT$510,3,)=0,0,(VLOOKUP($D24,$C$5:$AT$510,18,)/VLOOKUP($D24,$C$5:$AT$510,3,))*$E24)</f>
        <v>0</v>
      </c>
      <c r="U24" s="45">
        <f>IF(VLOOKUP($D24,$C$5:$AT$510,3,)=0,0,(VLOOKUP($D24,$C$5:$AT$510,19,)/VLOOKUP($D24,$C$5:$AT$510,3,))*$E24)</f>
        <v>0</v>
      </c>
      <c r="V24" s="45">
        <f>IF(VLOOKUP($D24,$C$5:$AT$510,3,)=0,0,(VLOOKUP($D24,$C$5:$AT$510,20,)/VLOOKUP($D24,$C$5:$AT$510,3,))*$E24)</f>
        <v>0</v>
      </c>
      <c r="W24" s="45">
        <f>IF(VLOOKUP($D24,$C$5:$AT$510,3,)=0,0,(VLOOKUP($D24,$C$5:$AT$510,21,)/VLOOKUP($D24,$C$5:$AT$510,3,))*$E24)</f>
        <v>0</v>
      </c>
      <c r="X24" s="45">
        <f>IF(VLOOKUP($D24,$C$5:$AT$510,3,)=0,0,(VLOOKUP($D24,$C$5:$AT$510,22,)/VLOOKUP($D24,$C$5:$AT$510,3,))*$E24)</f>
        <v>0</v>
      </c>
      <c r="Y24" s="45">
        <f>IF(VLOOKUP($D24,$C$5:$AT$510,3,)=0,0,(VLOOKUP($D24,$C$5:$AT$510,23,)/VLOOKUP($D24,$C$5:$AT$510,3,))*$E24)</f>
        <v>0</v>
      </c>
      <c r="Z24" s="45">
        <f>IF(VLOOKUP($D24,$C$5:$AT$510,3,)=0,0,(VLOOKUP($D24,$C$5:$AT$510,24,)/VLOOKUP($D24,$C$5:$AT$510,3,))*$E24)</f>
        <v>0</v>
      </c>
      <c r="AA24" s="45">
        <f>IF(VLOOKUP($D24,$C$5:$AT$510,3,)=0,0,(VLOOKUP($D24,$C$5:$AT$510,25,)/VLOOKUP($D24,$C$5:$AT$510,3,))*$E24)</f>
        <v>0</v>
      </c>
      <c r="AB24" s="45">
        <f>IF(VLOOKUP($D24,$C$5:$AT$510,3,)=0,0,(VLOOKUP($D24,$C$5:$AT$510,26,)/VLOOKUP($D24,$C$5:$AT$510,3,))*$E24)</f>
        <v>0</v>
      </c>
      <c r="AC24" s="45">
        <f>IF(VLOOKUP($D24,$C$5:$AT$510,3,)=0,0,(VLOOKUP($D24,$C$5:$AT$510,27,)/VLOOKUP($D24,$C$5:$AT$510,3,))*$E24)</f>
        <v>0</v>
      </c>
      <c r="AD24" s="45">
        <f>IF(VLOOKUP($D24,$C$5:$AT$510,3,)=0,0,(VLOOKUP($D24,$C$5:$AT$510,28,)/VLOOKUP($D24,$C$5:$AT$510,3,))*$E24)</f>
        <v>0</v>
      </c>
      <c r="AE24" s="45">
        <f>IF(VLOOKUP($D24,$C$5:$AT$510,3,)=0,0,(VLOOKUP($D24,$C$5:$AT$510,29,)/VLOOKUP($D24,$C$5:$AT$510,3,))*$E24)</f>
        <v>0</v>
      </c>
      <c r="AF24" s="45">
        <f>IF(VLOOKUP($D24,$C$5:$AT$510,3,)=0,0,(VLOOKUP($D24,$C$5:$AT$510,30,)/VLOOKUP($D24,$C$5:$AT$510,3,))*$E24)</f>
        <v>0</v>
      </c>
      <c r="AG24" s="69">
        <f>SUM(F24:AF24)</f>
        <v>0</v>
      </c>
      <c r="AH24" s="14" t="str">
        <f>IF(ABS(E24-AG24)&lt;0.01,"ok","err")</f>
        <v>ok</v>
      </c>
    </row>
    <row r="25" spans="1:35" x14ac:dyDescent="0.2">
      <c r="A25" s="72" t="s">
        <v>221</v>
      </c>
      <c r="C25" s="2" t="s">
        <v>226</v>
      </c>
      <c r="D25" s="2" t="s">
        <v>699</v>
      </c>
      <c r="E25" s="32">
        <f>'Func &amp; Classif'!S93</f>
        <v>12339012.767830377</v>
      </c>
      <c r="F25" s="45">
        <f>IF(VLOOKUP($D25,$C$5:$AT$510,3,)=0,0,(VLOOKUP($D25,$C$5:$AT$510,4,)/VLOOKUP($D25,$C$5:$AT$510,3,))*$E25)</f>
        <v>10755303.03168322</v>
      </c>
      <c r="G25" s="45">
        <f>IF(VLOOKUP($D25,$C$5:$AT$510,3,)=0,0,(VLOOKUP($D25,$C$5:$AT$510,5,)/VLOOKUP($D25,$C$5:$AT$510,3,))*$E25)</f>
        <v>0</v>
      </c>
      <c r="H25" s="45">
        <f>IF(VLOOKUP($D25,$C$5:$AT$510,3,)=0,0,(VLOOKUP($D25,$C$5:$AT$510,6,)/VLOOKUP($D25,$C$5:$AT$510,3,))*$E25)</f>
        <v>437.67001838053307</v>
      </c>
      <c r="I25" s="45">
        <f>IF(VLOOKUP($D25,$C$5:$AT$510,3,)=0,0,(VLOOKUP($D25,$C$5:$AT$510,7,)/VLOOKUP($D25,$C$5:$AT$510,3,))*$E25)</f>
        <v>1082773.0060671789</v>
      </c>
      <c r="J25" s="45">
        <f>IF(VLOOKUP($D25,$C$5:$AT$510,3,)=0,0,(VLOOKUP($D25,$C$5:$AT$510,8,)/VLOOKUP($D25,$C$5:$AT$510,3,))*$E25)</f>
        <v>361021.52650317084</v>
      </c>
      <c r="K25" s="45">
        <f>IF(VLOOKUP($D25,$C$5:$AT$510,3,)=0,0,(VLOOKUP($D25,$C$5:$AT$510,9,)/VLOOKUP($D25,$C$5:$AT$510,3,))*$E25)</f>
        <v>2528.1059681180664</v>
      </c>
      <c r="L25" s="45">
        <f>IF(VLOOKUP($D25,$C$5:$AT$510,3,)=0,0,(VLOOKUP($D25,$C$5:$AT$510,10,)/VLOOKUP($D25,$C$5:$AT$510,3,))*$E25)</f>
        <v>0</v>
      </c>
      <c r="M25" s="45">
        <f>IF(VLOOKUP($D25,$C$5:$AT$510,3,)=0,0,(VLOOKUP($D25,$C$5:$AT$510,11,)/VLOOKUP($D25,$C$5:$AT$510,3,))*$E25)</f>
        <v>5366.9963811463449</v>
      </c>
      <c r="N25" s="45">
        <f>IF(VLOOKUP($D25,$C$5:$AT$510,3,)=0,0,(VLOOKUP($D25,$C$5:$AT$510,12,)/VLOOKUP($D25,$C$5:$AT$510,3,))*$E25)</f>
        <v>50738.271861794477</v>
      </c>
      <c r="O25" s="45">
        <f>IF(VLOOKUP($D25,$C$5:$AT$510,3,)=0,0,(VLOOKUP($D25,$C$5:$AT$510,13,)/VLOOKUP($D25,$C$5:$AT$510,3,))*$E25)</f>
        <v>9104.078628355559</v>
      </c>
      <c r="P25" s="45">
        <f>IF(VLOOKUP($D25,$C$5:$AT$510,3,)=0,0,(VLOOKUP($D25,$C$5:$AT$510,14,)/VLOOKUP($D25,$C$5:$AT$510,3,))*$E25)</f>
        <v>7228.9143566851926</v>
      </c>
      <c r="Q25" s="45">
        <f>IF(VLOOKUP($D25,$C$5:$AT$510,3,)=0,0,(VLOOKUP($D25,$C$5:$AT$510,15,)/VLOOKUP($D25,$C$5:$AT$510,3,))*$E25)</f>
        <v>37194.979827539246</v>
      </c>
      <c r="R25" s="45">
        <f>IF(VLOOKUP($D25,$C$5:$AT$510,3,)=0,0,(VLOOKUP($D25,$C$5:$AT$510,16,)/VLOOKUP($D25,$C$5:$AT$510,3,))*$E25)</f>
        <v>0</v>
      </c>
      <c r="S25" s="45">
        <f>IF(VLOOKUP($D25,$C$5:$AT$510,3,)=0,0,(VLOOKUP($D25,$C$5:$AT$510,17,)/VLOOKUP($D25,$C$5:$AT$510,3,))*$E25)</f>
        <v>0</v>
      </c>
      <c r="T25" s="45">
        <f>IF(VLOOKUP($D25,$C$5:$AT$510,3,)=0,0,(VLOOKUP($D25,$C$5:$AT$510,18,)/VLOOKUP($D25,$C$5:$AT$510,3,))*$E25)</f>
        <v>27316.186534790108</v>
      </c>
      <c r="U25" s="45">
        <f>IF(VLOOKUP($D25,$C$5:$AT$510,3,)=0,0,(VLOOKUP($D25,$C$5:$AT$510,19,)/VLOOKUP($D25,$C$5:$AT$510,3,))*$E25)</f>
        <v>0</v>
      </c>
      <c r="V25" s="45">
        <f>IF(VLOOKUP($D25,$C$5:$AT$510,3,)=0,0,(VLOOKUP($D25,$C$5:$AT$510,20,)/VLOOKUP($D25,$C$5:$AT$510,3,))*$E25)</f>
        <v>0</v>
      </c>
      <c r="W25" s="45">
        <f>IF(VLOOKUP($D25,$C$5:$AT$510,3,)=0,0,(VLOOKUP($D25,$C$5:$AT$510,21,)/VLOOKUP($D25,$C$5:$AT$510,3,))*$E25)</f>
        <v>0</v>
      </c>
      <c r="X25" s="45">
        <f>IF(VLOOKUP($D25,$C$5:$AT$510,3,)=0,0,(VLOOKUP($D25,$C$5:$AT$510,22,)/VLOOKUP($D25,$C$5:$AT$510,3,))*$E25)</f>
        <v>0</v>
      </c>
      <c r="Y25" s="45">
        <f>IF(VLOOKUP($D25,$C$5:$AT$510,3,)=0,0,(VLOOKUP($D25,$C$5:$AT$510,23,)/VLOOKUP($D25,$C$5:$AT$510,3,))*$E25)</f>
        <v>0</v>
      </c>
      <c r="Z25" s="45">
        <f>IF(VLOOKUP($D25,$C$5:$AT$510,3,)=0,0,(VLOOKUP($D25,$C$5:$AT$510,24,)/VLOOKUP($D25,$C$5:$AT$510,3,))*$E25)</f>
        <v>0</v>
      </c>
      <c r="AA25" s="45">
        <f>IF(VLOOKUP($D25,$C$5:$AT$510,3,)=0,0,(VLOOKUP($D25,$C$5:$AT$510,25,)/VLOOKUP($D25,$C$5:$AT$510,3,))*$E25)</f>
        <v>0</v>
      </c>
      <c r="AB25" s="45">
        <f>IF(VLOOKUP($D25,$C$5:$AT$510,3,)=0,0,(VLOOKUP($D25,$C$5:$AT$510,26,)/VLOOKUP($D25,$C$5:$AT$510,3,))*$E25)</f>
        <v>0</v>
      </c>
      <c r="AC25" s="45">
        <f>IF(VLOOKUP($D25,$C$5:$AT$510,3,)=0,0,(VLOOKUP($D25,$C$5:$AT$510,27,)/VLOOKUP($D25,$C$5:$AT$510,3,))*$E25)</f>
        <v>0</v>
      </c>
      <c r="AD25" s="45">
        <f>IF(VLOOKUP($D25,$C$5:$AT$510,3,)=0,0,(VLOOKUP($D25,$C$5:$AT$510,28,)/VLOOKUP($D25,$C$5:$AT$510,3,))*$E25)</f>
        <v>0</v>
      </c>
      <c r="AE25" s="45">
        <f>IF(VLOOKUP($D25,$C$5:$AT$510,3,)=0,0,(VLOOKUP($D25,$C$5:$AT$510,29,)/VLOOKUP($D25,$C$5:$AT$510,3,))*$E25)</f>
        <v>0</v>
      </c>
      <c r="AF25" s="45">
        <f>IF(VLOOKUP($D25,$C$5:$AT$510,3,)=0,0,(VLOOKUP($D25,$C$5:$AT$510,30,)/VLOOKUP($D25,$C$5:$AT$510,3,))*$E25)</f>
        <v>0</v>
      </c>
      <c r="AG25" s="69">
        <f>SUM(F25:AF25)</f>
        <v>12339012.767830381</v>
      </c>
      <c r="AH25" s="14" t="str">
        <f>IF(ABS(E25-AG25)&lt;0.01,"ok","err")</f>
        <v>ok</v>
      </c>
    </row>
    <row r="26" spans="1:35" x14ac:dyDescent="0.2">
      <c r="A26" s="2" t="s">
        <v>228</v>
      </c>
      <c r="E26" s="45">
        <f t="shared" ref="E26:T26" si="4">E24+E25</f>
        <v>12339012.767830377</v>
      </c>
      <c r="F26" s="45">
        <f t="shared" si="4"/>
        <v>10755303.03168322</v>
      </c>
      <c r="G26" s="45">
        <f t="shared" si="4"/>
        <v>0</v>
      </c>
      <c r="H26" s="45">
        <f t="shared" si="4"/>
        <v>437.67001838053307</v>
      </c>
      <c r="I26" s="45">
        <f t="shared" si="4"/>
        <v>1082773.0060671789</v>
      </c>
      <c r="J26" s="45">
        <f t="shared" si="4"/>
        <v>361021.52650317084</v>
      </c>
      <c r="K26" s="45">
        <f t="shared" si="4"/>
        <v>2528.1059681180664</v>
      </c>
      <c r="L26" s="45">
        <f t="shared" si="4"/>
        <v>0</v>
      </c>
      <c r="M26" s="45">
        <f t="shared" si="4"/>
        <v>5366.9963811463449</v>
      </c>
      <c r="N26" s="45">
        <f t="shared" si="4"/>
        <v>50738.271861794477</v>
      </c>
      <c r="O26" s="45">
        <f t="shared" si="4"/>
        <v>9104.078628355559</v>
      </c>
      <c r="P26" s="45">
        <f t="shared" si="4"/>
        <v>7228.9143566851926</v>
      </c>
      <c r="Q26" s="45">
        <f t="shared" si="4"/>
        <v>37194.979827539246</v>
      </c>
      <c r="R26" s="45">
        <f t="shared" si="4"/>
        <v>0</v>
      </c>
      <c r="S26" s="45">
        <f t="shared" si="4"/>
        <v>0</v>
      </c>
      <c r="T26" s="45">
        <f t="shared" si="4"/>
        <v>27316.186534790108</v>
      </c>
      <c r="U26" s="45">
        <f t="shared" ref="U26:AF26" si="5">U24+U25</f>
        <v>0</v>
      </c>
      <c r="V26" s="45">
        <f t="shared" si="5"/>
        <v>0</v>
      </c>
      <c r="W26" s="45">
        <f t="shared" si="5"/>
        <v>0</v>
      </c>
      <c r="X26" s="45">
        <f t="shared" si="5"/>
        <v>0</v>
      </c>
      <c r="Y26" s="45">
        <f t="shared" si="5"/>
        <v>0</v>
      </c>
      <c r="Z26" s="45">
        <f t="shared" si="5"/>
        <v>0</v>
      </c>
      <c r="AA26" s="45">
        <f t="shared" si="5"/>
        <v>0</v>
      </c>
      <c r="AB26" s="45">
        <f t="shared" si="5"/>
        <v>0</v>
      </c>
      <c r="AC26" s="45">
        <f t="shared" si="5"/>
        <v>0</v>
      </c>
      <c r="AD26" s="45">
        <f t="shared" si="5"/>
        <v>0</v>
      </c>
      <c r="AE26" s="45">
        <f t="shared" si="5"/>
        <v>0</v>
      </c>
      <c r="AF26" s="45">
        <f t="shared" si="5"/>
        <v>0</v>
      </c>
      <c r="AG26" s="69">
        <f>SUM(F26:AF26)</f>
        <v>12339012.767830381</v>
      </c>
      <c r="AH26" s="14" t="str">
        <f>IF(ABS(E26-AG26)&lt;0.01,"ok","err")</f>
        <v>ok</v>
      </c>
    </row>
    <row r="27" spans="1:35" x14ac:dyDescent="0.2">
      <c r="E27" s="32"/>
    </row>
    <row r="28" spans="1:35" x14ac:dyDescent="0.2">
      <c r="A28" s="1" t="s">
        <v>4</v>
      </c>
      <c r="E28" s="32"/>
    </row>
    <row r="29" spans="1:35" x14ac:dyDescent="0.2">
      <c r="A29" s="72" t="s">
        <v>221</v>
      </c>
      <c r="C29" s="2" t="s">
        <v>229</v>
      </c>
      <c r="D29" s="2" t="s">
        <v>230</v>
      </c>
      <c r="E29" s="45">
        <f>'Func &amp; Classif'!U93</f>
        <v>6954186.9541633921</v>
      </c>
      <c r="F29" s="45">
        <f>IF(VLOOKUP($D29,$C$5:$AT$510,3,)=0,0,(VLOOKUP($D29,$C$5:$AT$510,4,)/VLOOKUP($D29,$C$5:$AT$510,3,))*$E29)</f>
        <v>6135342.2936561517</v>
      </c>
      <c r="G29" s="45">
        <f>IF(VLOOKUP($D29,$C$5:$AT$510,3,)=0,0,(VLOOKUP($D29,$C$5:$AT$510,5,)/VLOOKUP($D29,$C$5:$AT$510,3,))*$E29)</f>
        <v>0</v>
      </c>
      <c r="H29" s="45">
        <f>IF(VLOOKUP($D29,$C$5:$AT$510,3,)=0,0,(VLOOKUP($D29,$C$5:$AT$510,6,)/VLOOKUP($D29,$C$5:$AT$510,3,))*$E29)</f>
        <v>249.66803506373208</v>
      </c>
      <c r="I29" s="45">
        <f>IF(VLOOKUP($D29,$C$5:$AT$510,3,)=0,0,(VLOOKUP($D29,$C$5:$AT$510,7,)/VLOOKUP($D29,$C$5:$AT$510,3,))*$E29)</f>
        <v>441413.0859926783</v>
      </c>
      <c r="J29" s="45">
        <f>IF(VLOOKUP($D29,$C$5:$AT$510,3,)=0,0,(VLOOKUP($D29,$C$5:$AT$510,8,)/VLOOKUP($D29,$C$5:$AT$510,3,))*$E29)</f>
        <v>255617.41105504974</v>
      </c>
      <c r="K29" s="45">
        <f>IF(VLOOKUP($D29,$C$5:$AT$510,3,)=0,0,(VLOOKUP($D29,$C$5:$AT$510,9,)/VLOOKUP($D29,$C$5:$AT$510,3,))*$E29)</f>
        <v>20472.778875226028</v>
      </c>
      <c r="L29" s="45">
        <f>IF(VLOOKUP($D29,$C$5:$AT$510,3,)=0,0,(VLOOKUP($D29,$C$5:$AT$510,10,)/VLOOKUP($D29,$C$5:$AT$510,3,))*$E29)</f>
        <v>0</v>
      </c>
      <c r="M29" s="45">
        <f>IF(VLOOKUP($D29,$C$5:$AT$510,3,)=0,0,(VLOOKUP($D29,$C$5:$AT$510,11,)/VLOOKUP($D29,$C$5:$AT$510,3,))*$E29)</f>
        <v>32278.689477988435</v>
      </c>
      <c r="N29" s="45">
        <f>IF(VLOOKUP($D29,$C$5:$AT$510,3,)=0,0,(VLOOKUP($D29,$C$5:$AT$510,12,)/VLOOKUP($D29,$C$5:$AT$510,3,))*$E29)</f>
        <v>8424.7279168490495</v>
      </c>
      <c r="O29" s="45">
        <f>IF(VLOOKUP($D29,$C$5:$AT$510,3,)=0,0,(VLOOKUP($D29,$C$5:$AT$510,13,)/VLOOKUP($D29,$C$5:$AT$510,3,))*$E29)</f>
        <v>8069.6723694971088</v>
      </c>
      <c r="P29" s="45">
        <f>IF(VLOOKUP($D29,$C$5:$AT$510,3,)=0,0,(VLOOKUP($D29,$C$5:$AT$510,14,)/VLOOKUP($D29,$C$5:$AT$510,3,))*$E29)</f>
        <v>5846.49770551252</v>
      </c>
      <c r="Q29" s="45">
        <f>IF(VLOOKUP($D29,$C$5:$AT$510,3,)=0,0,(VLOOKUP($D29,$C$5:$AT$510,15,)/VLOOKUP($D29,$C$5:$AT$510,3,))*$E29)</f>
        <v>19973.442805098566</v>
      </c>
      <c r="R29" s="45">
        <f>IF(VLOOKUP($D29,$C$5:$AT$510,3,)=0,0,(VLOOKUP($D29,$C$5:$AT$510,16,)/VLOOKUP($D29,$C$5:$AT$510,3,))*$E29)</f>
        <v>8424.7279168490495</v>
      </c>
      <c r="S29" s="45">
        <f>IF(VLOOKUP($D29,$C$5:$AT$510,3,)=0,0,(VLOOKUP($D29,$C$5:$AT$510,17,)/VLOOKUP($D29,$C$5:$AT$510,3,))*$E29)</f>
        <v>0</v>
      </c>
      <c r="T29" s="45">
        <f>IF(VLOOKUP($D29,$C$5:$AT$510,3,)=0,0,(VLOOKUP($D29,$C$5:$AT$510,18,)/VLOOKUP($D29,$C$5:$AT$510,3,))*$E29)</f>
        <v>18073.95835742776</v>
      </c>
      <c r="U29" s="45">
        <f>IF(VLOOKUP($D29,$C$5:$AT$510,3,)=0,0,(VLOOKUP($D29,$C$5:$AT$510,19,)/VLOOKUP($D29,$C$5:$AT$510,3,))*$E29)</f>
        <v>0</v>
      </c>
      <c r="V29" s="45">
        <f>IF(VLOOKUP($D29,$C$5:$AT$510,3,)=0,0,(VLOOKUP($D29,$C$5:$AT$510,20,)/VLOOKUP($D29,$C$5:$AT$510,3,))*$E29)</f>
        <v>0</v>
      </c>
      <c r="W29" s="45">
        <f>IF(VLOOKUP($D29,$C$5:$AT$510,3,)=0,0,(VLOOKUP($D29,$C$5:$AT$510,21,)/VLOOKUP($D29,$C$5:$AT$510,3,))*$E29)</f>
        <v>0</v>
      </c>
      <c r="X29" s="45">
        <f>IF(VLOOKUP($D29,$C$5:$AT$510,3,)=0,0,(VLOOKUP($D29,$C$5:$AT$510,22,)/VLOOKUP($D29,$C$5:$AT$510,3,))*$E29)</f>
        <v>0</v>
      </c>
      <c r="Y29" s="45">
        <f>IF(VLOOKUP($D29,$C$5:$AT$510,3,)=0,0,(VLOOKUP($D29,$C$5:$AT$510,23,)/VLOOKUP($D29,$C$5:$AT$510,3,))*$E29)</f>
        <v>0</v>
      </c>
      <c r="Z29" s="45">
        <f>IF(VLOOKUP($D29,$C$5:$AT$510,3,)=0,0,(VLOOKUP($D29,$C$5:$AT$510,24,)/VLOOKUP($D29,$C$5:$AT$510,3,))*$E29)</f>
        <v>0</v>
      </c>
      <c r="AA29" s="45">
        <f>IF(VLOOKUP($D29,$C$5:$AT$510,3,)=0,0,(VLOOKUP($D29,$C$5:$AT$510,25,)/VLOOKUP($D29,$C$5:$AT$510,3,))*$E29)</f>
        <v>0</v>
      </c>
      <c r="AB29" s="45">
        <f>IF(VLOOKUP($D29,$C$5:$AT$510,3,)=0,0,(VLOOKUP($D29,$C$5:$AT$510,26,)/VLOOKUP($D29,$C$5:$AT$510,3,))*$E29)</f>
        <v>0</v>
      </c>
      <c r="AC29" s="45">
        <f>IF(VLOOKUP($D29,$C$5:$AT$510,3,)=0,0,(VLOOKUP($D29,$C$5:$AT$510,27,)/VLOOKUP($D29,$C$5:$AT$510,3,))*$E29)</f>
        <v>0</v>
      </c>
      <c r="AD29" s="45">
        <f>IF(VLOOKUP($D29,$C$5:$AT$510,3,)=0,0,(VLOOKUP($D29,$C$5:$AT$510,28,)/VLOOKUP($D29,$C$5:$AT$510,3,))*$E29)</f>
        <v>0</v>
      </c>
      <c r="AE29" s="45">
        <f>IF(VLOOKUP($D29,$C$5:$AT$510,3,)=0,0,(VLOOKUP($D29,$C$5:$AT$510,29,)/VLOOKUP($D29,$C$5:$AT$510,3,))*$E29)</f>
        <v>0</v>
      </c>
      <c r="AF29" s="45">
        <f>IF(VLOOKUP($D29,$C$5:$AT$510,3,)=0,0,(VLOOKUP($D29,$C$5:$AT$510,30,)/VLOOKUP($D29,$C$5:$AT$510,3,))*$E29)</f>
        <v>0</v>
      </c>
      <c r="AG29" s="69">
        <f>SUM(F29:AF29)</f>
        <v>6954186.9541633921</v>
      </c>
      <c r="AH29" s="14" t="str">
        <f>IF(ABS(E29-AG29)&lt;0.01,"ok","err")</f>
        <v>ok</v>
      </c>
    </row>
    <row r="30" spans="1:35" x14ac:dyDescent="0.2">
      <c r="E30" s="32"/>
    </row>
    <row r="31" spans="1:35" x14ac:dyDescent="0.2">
      <c r="A31" s="1" t="s">
        <v>5</v>
      </c>
      <c r="E31" s="32"/>
    </row>
    <row r="32" spans="1:35" x14ac:dyDescent="0.2">
      <c r="A32" s="72" t="s">
        <v>221</v>
      </c>
      <c r="C32" s="2" t="s">
        <v>231</v>
      </c>
      <c r="D32" s="2" t="s">
        <v>232</v>
      </c>
      <c r="E32" s="45">
        <f>'Func &amp; Classif'!W93</f>
        <v>4804363.2339664036</v>
      </c>
      <c r="F32" s="45">
        <f>IF(VLOOKUP($D32,$C$5:$AT$510,3,)=0,0,(VLOOKUP($D32,$C$5:$AT$510,4,)/VLOOKUP($D32,$C$5:$AT$510,3,))*$E32)</f>
        <v>0</v>
      </c>
      <c r="G32" s="45">
        <f>IF(VLOOKUP($D32,$C$5:$AT$510,3,)=0,0,(VLOOKUP($D32,$C$5:$AT$510,5,)/VLOOKUP($D32,$C$5:$AT$510,3,))*$E32)</f>
        <v>0</v>
      </c>
      <c r="H32" s="45">
        <f>IF(VLOOKUP($D32,$C$5:$AT$510,3,)=0,0,(VLOOKUP($D32,$C$5:$AT$510,6,)/VLOOKUP($D32,$C$5:$AT$510,3,))*$E32)</f>
        <v>0</v>
      </c>
      <c r="I32" s="45">
        <f>IF(VLOOKUP($D32,$C$5:$AT$510,3,)=0,0,(VLOOKUP($D32,$C$5:$AT$510,7,)/VLOOKUP($D32,$C$5:$AT$510,3,))*$E32)</f>
        <v>0</v>
      </c>
      <c r="J32" s="45">
        <f>IF(VLOOKUP($D32,$C$5:$AT$510,3,)=0,0,(VLOOKUP($D32,$C$5:$AT$510,8,)/VLOOKUP($D32,$C$5:$AT$510,3,))*$E32)</f>
        <v>0</v>
      </c>
      <c r="K32" s="45">
        <f>IF(VLOOKUP($D32,$C$5:$AT$510,3,)=0,0,(VLOOKUP($D32,$C$5:$AT$510,9,)/VLOOKUP($D32,$C$5:$AT$510,3,))*$E32)</f>
        <v>0</v>
      </c>
      <c r="L32" s="45">
        <f>IF(VLOOKUP($D32,$C$5:$AT$510,3,)=0,0,(VLOOKUP($D32,$C$5:$AT$510,10,)/VLOOKUP($D32,$C$5:$AT$510,3,))*$E32)</f>
        <v>0</v>
      </c>
      <c r="M32" s="45">
        <f>IF(VLOOKUP($D32,$C$5:$AT$510,3,)=0,0,(VLOOKUP($D32,$C$5:$AT$510,11,)/VLOOKUP($D32,$C$5:$AT$510,3,))*$E32)</f>
        <v>0</v>
      </c>
      <c r="N32" s="45">
        <f>IF(VLOOKUP($D32,$C$5:$AT$510,3,)=0,0,(VLOOKUP($D32,$C$5:$AT$510,12,)/VLOOKUP($D32,$C$5:$AT$510,3,))*$E32)</f>
        <v>0</v>
      </c>
      <c r="O32" s="45">
        <f>IF(VLOOKUP($D32,$C$5:$AT$510,3,)=0,0,(VLOOKUP($D32,$C$5:$AT$510,13,)/VLOOKUP($D32,$C$5:$AT$510,3,))*$E32)</f>
        <v>0</v>
      </c>
      <c r="P32" s="45">
        <f>IF(VLOOKUP($D32,$C$5:$AT$510,3,)=0,0,(VLOOKUP($D32,$C$5:$AT$510,14,)/VLOOKUP($D32,$C$5:$AT$510,3,))*$E32)</f>
        <v>0</v>
      </c>
      <c r="Q32" s="45">
        <f>IF(VLOOKUP($D32,$C$5:$AT$510,3,)=0,0,(VLOOKUP($D32,$C$5:$AT$510,15,)/VLOOKUP($D32,$C$5:$AT$510,3,))*$E32)</f>
        <v>0</v>
      </c>
      <c r="R32" s="45">
        <f>IF(VLOOKUP($D32,$C$5:$AT$510,3,)=0,0,(VLOOKUP($D32,$C$5:$AT$510,16,)/VLOOKUP($D32,$C$5:$AT$510,3,))*$E32)</f>
        <v>0</v>
      </c>
      <c r="S32" s="45">
        <f>IF(VLOOKUP($D32,$C$5:$AT$510,3,)=0,0,(VLOOKUP($D32,$C$5:$AT$510,17,)/VLOOKUP($D32,$C$5:$AT$510,3,))*$E32)</f>
        <v>0</v>
      </c>
      <c r="T32" s="45">
        <f>IF(VLOOKUP($D32,$C$5:$AT$510,3,)=0,0,(VLOOKUP($D32,$C$5:$AT$510,18,)/VLOOKUP($D32,$C$5:$AT$510,3,))*$E32)</f>
        <v>0</v>
      </c>
      <c r="U32" s="45">
        <f>IF(VLOOKUP($D32,$C$5:$AT$510,3,)=0,0,(VLOOKUP($D32,$C$5:$AT$510,19,)/VLOOKUP($D32,$C$5:$AT$510,3,))*$E32)</f>
        <v>4804363.2339664036</v>
      </c>
      <c r="V32" s="45">
        <f>IF(VLOOKUP($D32,$C$5:$AT$510,3,)=0,0,(VLOOKUP($D32,$C$5:$AT$510,20,)/VLOOKUP($D32,$C$5:$AT$510,3,))*$E32)</f>
        <v>0</v>
      </c>
      <c r="W32" s="45">
        <f>IF(VLOOKUP($D32,$C$5:$AT$510,3,)=0,0,(VLOOKUP($D32,$C$5:$AT$510,21,)/VLOOKUP($D32,$C$5:$AT$510,3,))*$E32)</f>
        <v>0</v>
      </c>
      <c r="X32" s="45">
        <f>IF(VLOOKUP($D32,$C$5:$AT$510,3,)=0,0,(VLOOKUP($D32,$C$5:$AT$510,22,)/VLOOKUP($D32,$C$5:$AT$510,3,))*$E32)</f>
        <v>0</v>
      </c>
      <c r="Y32" s="45">
        <f>IF(VLOOKUP($D32,$C$5:$AT$510,3,)=0,0,(VLOOKUP($D32,$C$5:$AT$510,23,)/VLOOKUP($D32,$C$5:$AT$510,3,))*$E32)</f>
        <v>0</v>
      </c>
      <c r="Z32" s="45">
        <f>IF(VLOOKUP($D32,$C$5:$AT$510,3,)=0,0,(VLOOKUP($D32,$C$5:$AT$510,24,)/VLOOKUP($D32,$C$5:$AT$510,3,))*$E32)</f>
        <v>0</v>
      </c>
      <c r="AA32" s="45">
        <f>IF(VLOOKUP($D32,$C$5:$AT$510,3,)=0,0,(VLOOKUP($D32,$C$5:$AT$510,25,)/VLOOKUP($D32,$C$5:$AT$510,3,))*$E32)</f>
        <v>0</v>
      </c>
      <c r="AB32" s="45">
        <f>IF(VLOOKUP($D32,$C$5:$AT$510,3,)=0,0,(VLOOKUP($D32,$C$5:$AT$510,26,)/VLOOKUP($D32,$C$5:$AT$510,3,))*$E32)</f>
        <v>0</v>
      </c>
      <c r="AC32" s="45">
        <f>IF(VLOOKUP($D32,$C$5:$AT$510,3,)=0,0,(VLOOKUP($D32,$C$5:$AT$510,27,)/VLOOKUP($D32,$C$5:$AT$510,3,))*$E32)</f>
        <v>0</v>
      </c>
      <c r="AD32" s="45">
        <f>IF(VLOOKUP($D32,$C$5:$AT$510,3,)=0,0,(VLOOKUP($D32,$C$5:$AT$510,28,)/VLOOKUP($D32,$C$5:$AT$510,3,))*$E32)</f>
        <v>0</v>
      </c>
      <c r="AE32" s="45">
        <f>IF(VLOOKUP($D32,$C$5:$AT$510,3,)=0,0,(VLOOKUP($D32,$C$5:$AT$510,29,)/VLOOKUP($D32,$C$5:$AT$510,3,))*$E32)</f>
        <v>0</v>
      </c>
      <c r="AF32" s="45">
        <f>IF(VLOOKUP($D32,$C$5:$AT$510,3,)=0,0,(VLOOKUP($D32,$C$5:$AT$510,30,)/VLOOKUP($D32,$C$5:$AT$510,3,))*$E32)</f>
        <v>0</v>
      </c>
      <c r="AG32" s="69">
        <f>SUM(F32:AF32)</f>
        <v>4804363.2339664036</v>
      </c>
      <c r="AH32" s="14" t="str">
        <f>IF(ABS(E32-AG32)&lt;0.01,"ok","err")</f>
        <v>ok</v>
      </c>
    </row>
    <row r="33" spans="1:35" x14ac:dyDescent="0.2">
      <c r="E33" s="32"/>
    </row>
    <row r="34" spans="1:35" x14ac:dyDescent="0.2">
      <c r="A34" s="1" t="s">
        <v>545</v>
      </c>
      <c r="E34" s="32"/>
    </row>
    <row r="35" spans="1:35" x14ac:dyDescent="0.2">
      <c r="A35" s="72" t="s">
        <v>221</v>
      </c>
      <c r="C35" s="2" t="s">
        <v>233</v>
      </c>
      <c r="D35" s="2" t="s">
        <v>234</v>
      </c>
      <c r="E35" s="45">
        <f>'Func &amp; Classif'!Y93</f>
        <v>0</v>
      </c>
      <c r="F35" s="45">
        <f>IF(VLOOKUP($D35,$C$5:$AT$510,3,)=0,0,(VLOOKUP($D35,$C$5:$AT$510,4,)/VLOOKUP($D35,$C$5:$AT$510,3,))*$E35)</f>
        <v>0</v>
      </c>
      <c r="G35" s="45">
        <f>IF(VLOOKUP($D35,$C$5:$AT$510,3,)=0,0,(VLOOKUP($D35,$C$5:$AT$510,5,)/VLOOKUP($D35,$C$5:$AT$510,3,))*$E35)</f>
        <v>0</v>
      </c>
      <c r="H35" s="45">
        <f>IF(VLOOKUP($D35,$C$5:$AT$510,3,)=0,0,(VLOOKUP($D35,$C$5:$AT$510,6,)/VLOOKUP($D35,$C$5:$AT$510,3,))*$E35)</f>
        <v>0</v>
      </c>
      <c r="I35" s="45">
        <f>IF(VLOOKUP($D35,$C$5:$AT$510,3,)=0,0,(VLOOKUP($D35,$C$5:$AT$510,7,)/VLOOKUP($D35,$C$5:$AT$510,3,))*$E35)</f>
        <v>0</v>
      </c>
      <c r="J35" s="45">
        <f>IF(VLOOKUP($D35,$C$5:$AT$510,3,)=0,0,(VLOOKUP($D35,$C$5:$AT$510,8,)/VLOOKUP($D35,$C$5:$AT$510,3,))*$E35)</f>
        <v>0</v>
      </c>
      <c r="K35" s="45">
        <f>IF(VLOOKUP($D35,$C$5:$AT$510,3,)=0,0,(VLOOKUP($D35,$C$5:$AT$510,9,)/VLOOKUP($D35,$C$5:$AT$510,3,))*$E35)</f>
        <v>0</v>
      </c>
      <c r="L35" s="45">
        <f>IF(VLOOKUP($D35,$C$5:$AT$510,3,)=0,0,(VLOOKUP($D35,$C$5:$AT$510,10,)/VLOOKUP($D35,$C$5:$AT$510,3,))*$E35)</f>
        <v>0</v>
      </c>
      <c r="M35" s="45">
        <f>IF(VLOOKUP($D35,$C$5:$AT$510,3,)=0,0,(VLOOKUP($D35,$C$5:$AT$510,11,)/VLOOKUP($D35,$C$5:$AT$510,3,))*$E35)</f>
        <v>0</v>
      </c>
      <c r="N35" s="45">
        <f>IF(VLOOKUP($D35,$C$5:$AT$510,3,)=0,0,(VLOOKUP($D35,$C$5:$AT$510,12,)/VLOOKUP($D35,$C$5:$AT$510,3,))*$E35)</f>
        <v>0</v>
      </c>
      <c r="O35" s="45">
        <f>IF(VLOOKUP($D35,$C$5:$AT$510,3,)=0,0,(VLOOKUP($D35,$C$5:$AT$510,13,)/VLOOKUP($D35,$C$5:$AT$510,3,))*$E35)</f>
        <v>0</v>
      </c>
      <c r="P35" s="45">
        <f>IF(VLOOKUP($D35,$C$5:$AT$510,3,)=0,0,(VLOOKUP($D35,$C$5:$AT$510,14,)/VLOOKUP($D35,$C$5:$AT$510,3,))*$E35)</f>
        <v>0</v>
      </c>
      <c r="Q35" s="45">
        <f>IF(VLOOKUP($D35,$C$5:$AT$510,3,)=0,0,(VLOOKUP($D35,$C$5:$AT$510,15,)/VLOOKUP($D35,$C$5:$AT$510,3,))*$E35)</f>
        <v>0</v>
      </c>
      <c r="R35" s="45">
        <f>IF(VLOOKUP($D35,$C$5:$AT$510,3,)=0,0,(VLOOKUP($D35,$C$5:$AT$510,16,)/VLOOKUP($D35,$C$5:$AT$510,3,))*$E35)</f>
        <v>0</v>
      </c>
      <c r="S35" s="45">
        <f>IF(VLOOKUP($D35,$C$5:$AT$510,3,)=0,0,(VLOOKUP($D35,$C$5:$AT$510,17,)/VLOOKUP($D35,$C$5:$AT$510,3,))*$E35)</f>
        <v>0</v>
      </c>
      <c r="T35" s="45">
        <f>IF(VLOOKUP($D35,$C$5:$AT$510,3,)=0,0,(VLOOKUP($D35,$C$5:$AT$510,18,)/VLOOKUP($D35,$C$5:$AT$510,3,))*$E35)</f>
        <v>0</v>
      </c>
      <c r="U35" s="45">
        <f>IF(VLOOKUP($D35,$C$5:$AT$510,3,)=0,0,(VLOOKUP($D35,$C$5:$AT$510,19,)/VLOOKUP($D35,$C$5:$AT$510,3,))*$E35)</f>
        <v>0</v>
      </c>
      <c r="V35" s="45">
        <f>IF(VLOOKUP($D35,$C$5:$AT$510,3,)=0,0,(VLOOKUP($D35,$C$5:$AT$510,20,)/VLOOKUP($D35,$C$5:$AT$510,3,))*$E35)</f>
        <v>0</v>
      </c>
      <c r="W35" s="45">
        <f>IF(VLOOKUP($D35,$C$5:$AT$510,3,)=0,0,(VLOOKUP($D35,$C$5:$AT$510,21,)/VLOOKUP($D35,$C$5:$AT$510,3,))*$E35)</f>
        <v>0</v>
      </c>
      <c r="X35" s="45">
        <f>IF(VLOOKUP($D35,$C$5:$AT$510,3,)=0,0,(VLOOKUP($D35,$C$5:$AT$510,22,)/VLOOKUP($D35,$C$5:$AT$510,3,))*$E35)</f>
        <v>0</v>
      </c>
      <c r="Y35" s="45">
        <f>IF(VLOOKUP($D35,$C$5:$AT$510,3,)=0,0,(VLOOKUP($D35,$C$5:$AT$510,23,)/VLOOKUP($D35,$C$5:$AT$510,3,))*$E35)</f>
        <v>0</v>
      </c>
      <c r="Z35" s="45">
        <f>IF(VLOOKUP($D35,$C$5:$AT$510,3,)=0,0,(VLOOKUP($D35,$C$5:$AT$510,24,)/VLOOKUP($D35,$C$5:$AT$510,3,))*$E35)</f>
        <v>0</v>
      </c>
      <c r="AA35" s="45">
        <f>IF(VLOOKUP($D35,$C$5:$AT$510,3,)=0,0,(VLOOKUP($D35,$C$5:$AT$510,25,)/VLOOKUP($D35,$C$5:$AT$510,3,))*$E35)</f>
        <v>0</v>
      </c>
      <c r="AB35" s="45">
        <f>IF(VLOOKUP($D35,$C$5:$AT$510,3,)=0,0,(VLOOKUP($D35,$C$5:$AT$510,26,)/VLOOKUP($D35,$C$5:$AT$510,3,))*$E35)</f>
        <v>0</v>
      </c>
      <c r="AC35" s="45">
        <f>IF(VLOOKUP($D35,$C$5:$AT$510,3,)=0,0,(VLOOKUP($D35,$C$5:$AT$510,27,)/VLOOKUP($D35,$C$5:$AT$510,3,))*$E35)</f>
        <v>0</v>
      </c>
      <c r="AD35" s="45">
        <f>IF(VLOOKUP($D35,$C$5:$AT$510,3,)=0,0,(VLOOKUP($D35,$C$5:$AT$510,28,)/VLOOKUP($D35,$C$5:$AT$510,3,))*$E35)</f>
        <v>0</v>
      </c>
      <c r="AE35" s="45">
        <f>IF(VLOOKUP($D35,$C$5:$AT$510,3,)=0,0,(VLOOKUP($D35,$C$5:$AT$510,29,)/VLOOKUP($D35,$C$5:$AT$510,3,))*$E35)</f>
        <v>0</v>
      </c>
      <c r="AF35" s="45">
        <f>IF(VLOOKUP($D35,$C$5:$AT$510,3,)=0,0,(VLOOKUP($D35,$C$5:$AT$510,30,)/VLOOKUP($D35,$C$5:$AT$510,3,))*$E35)</f>
        <v>0</v>
      </c>
      <c r="AG35" s="69">
        <f>SUM(F35:AF35)</f>
        <v>0</v>
      </c>
      <c r="AH35" s="14" t="str">
        <f>IF(ABS(E35-AG35)&lt;0.01,"ok","err")</f>
        <v>ok</v>
      </c>
    </row>
    <row r="36" spans="1:35" x14ac:dyDescent="0.2">
      <c r="E36" s="32"/>
    </row>
    <row r="37" spans="1:35" x14ac:dyDescent="0.2">
      <c r="A37" s="1" t="s">
        <v>470</v>
      </c>
      <c r="E37" s="32"/>
    </row>
    <row r="38" spans="1:35" x14ac:dyDescent="0.2">
      <c r="A38" s="72" t="s">
        <v>221</v>
      </c>
      <c r="C38" s="2" t="s">
        <v>226</v>
      </c>
      <c r="D38" s="2" t="s">
        <v>235</v>
      </c>
      <c r="E38" s="45">
        <f>'Func &amp; Classif'!AA93</f>
        <v>0</v>
      </c>
      <c r="F38" s="45">
        <f>IF(VLOOKUP($D38,$C$5:$AT$510,3,)=0,0,(VLOOKUP($D38,$C$5:$AT$510,4,)/VLOOKUP($D38,$C$5:$AT$510,3,))*$E38)</f>
        <v>0</v>
      </c>
      <c r="G38" s="45">
        <f>IF(VLOOKUP($D38,$C$5:$AT$510,3,)=0,0,(VLOOKUP($D38,$C$5:$AT$510,5,)/VLOOKUP($D38,$C$5:$AT$510,3,))*$E38)</f>
        <v>0</v>
      </c>
      <c r="H38" s="45">
        <f>IF(VLOOKUP($D38,$C$5:$AT$510,3,)=0,0,(VLOOKUP($D38,$C$5:$AT$510,6,)/VLOOKUP($D38,$C$5:$AT$510,3,))*$E38)</f>
        <v>0</v>
      </c>
      <c r="I38" s="45">
        <f>IF(VLOOKUP($D38,$C$5:$AT$510,3,)=0,0,(VLOOKUP($D38,$C$5:$AT$510,7,)/VLOOKUP($D38,$C$5:$AT$510,3,))*$E38)</f>
        <v>0</v>
      </c>
      <c r="J38" s="45">
        <f>IF(VLOOKUP($D38,$C$5:$AT$510,3,)=0,0,(VLOOKUP($D38,$C$5:$AT$510,8,)/VLOOKUP($D38,$C$5:$AT$510,3,))*$E38)</f>
        <v>0</v>
      </c>
      <c r="K38" s="45">
        <f>IF(VLOOKUP($D38,$C$5:$AT$510,3,)=0,0,(VLOOKUP($D38,$C$5:$AT$510,9,)/VLOOKUP($D38,$C$5:$AT$510,3,))*$E38)</f>
        <v>0</v>
      </c>
      <c r="L38" s="45">
        <f>IF(VLOOKUP($D38,$C$5:$AT$510,3,)=0,0,(VLOOKUP($D38,$C$5:$AT$510,10,)/VLOOKUP($D38,$C$5:$AT$510,3,))*$E38)</f>
        <v>0</v>
      </c>
      <c r="M38" s="45">
        <f>IF(VLOOKUP($D38,$C$5:$AT$510,3,)=0,0,(VLOOKUP($D38,$C$5:$AT$510,11,)/VLOOKUP($D38,$C$5:$AT$510,3,))*$E38)</f>
        <v>0</v>
      </c>
      <c r="N38" s="45">
        <f>IF(VLOOKUP($D38,$C$5:$AT$510,3,)=0,0,(VLOOKUP($D38,$C$5:$AT$510,12,)/VLOOKUP($D38,$C$5:$AT$510,3,))*$E38)</f>
        <v>0</v>
      </c>
      <c r="O38" s="45">
        <f>IF(VLOOKUP($D38,$C$5:$AT$510,3,)=0,0,(VLOOKUP($D38,$C$5:$AT$510,13,)/VLOOKUP($D38,$C$5:$AT$510,3,))*$E38)</f>
        <v>0</v>
      </c>
      <c r="P38" s="45">
        <f>IF(VLOOKUP($D38,$C$5:$AT$510,3,)=0,0,(VLOOKUP($D38,$C$5:$AT$510,14,)/VLOOKUP($D38,$C$5:$AT$510,3,))*$E38)</f>
        <v>0</v>
      </c>
      <c r="Q38" s="45">
        <f>IF(VLOOKUP($D38,$C$5:$AT$510,3,)=0,0,(VLOOKUP($D38,$C$5:$AT$510,15,)/VLOOKUP($D38,$C$5:$AT$510,3,))*$E38)</f>
        <v>0</v>
      </c>
      <c r="R38" s="45">
        <f>IF(VLOOKUP($D38,$C$5:$AT$510,3,)=0,0,(VLOOKUP($D38,$C$5:$AT$510,16,)/VLOOKUP($D38,$C$5:$AT$510,3,))*$E38)</f>
        <v>0</v>
      </c>
      <c r="S38" s="45">
        <f>IF(VLOOKUP($D38,$C$5:$AT$510,3,)=0,0,(VLOOKUP($D38,$C$5:$AT$510,17,)/VLOOKUP($D38,$C$5:$AT$510,3,))*$E38)</f>
        <v>0</v>
      </c>
      <c r="T38" s="45">
        <f>IF(VLOOKUP($D38,$C$5:$AT$510,3,)=0,0,(VLOOKUP($D38,$C$5:$AT$510,18,)/VLOOKUP($D38,$C$5:$AT$510,3,))*$E38)</f>
        <v>0</v>
      </c>
      <c r="U38" s="45">
        <f>IF(VLOOKUP($D38,$C$5:$AT$510,3,)=0,0,(VLOOKUP($D38,$C$5:$AT$510,19,)/VLOOKUP($D38,$C$5:$AT$510,3,))*$E38)</f>
        <v>0</v>
      </c>
      <c r="V38" s="45">
        <f>IF(VLOOKUP($D38,$C$5:$AT$510,3,)=0,0,(VLOOKUP($D38,$C$5:$AT$510,20,)/VLOOKUP($D38,$C$5:$AT$510,3,))*$E38)</f>
        <v>0</v>
      </c>
      <c r="W38" s="45">
        <f>IF(VLOOKUP($D38,$C$5:$AT$510,3,)=0,0,(VLOOKUP($D38,$C$5:$AT$510,21,)/VLOOKUP($D38,$C$5:$AT$510,3,))*$E38)</f>
        <v>0</v>
      </c>
      <c r="X38" s="45">
        <f>IF(VLOOKUP($D38,$C$5:$AT$510,3,)=0,0,(VLOOKUP($D38,$C$5:$AT$510,22,)/VLOOKUP($D38,$C$5:$AT$510,3,))*$E38)</f>
        <v>0</v>
      </c>
      <c r="Y38" s="45">
        <f>IF(VLOOKUP($D38,$C$5:$AT$510,3,)=0,0,(VLOOKUP($D38,$C$5:$AT$510,23,)/VLOOKUP($D38,$C$5:$AT$510,3,))*$E38)</f>
        <v>0</v>
      </c>
      <c r="Z38" s="45">
        <f>IF(VLOOKUP($D38,$C$5:$AT$510,3,)=0,0,(VLOOKUP($D38,$C$5:$AT$510,24,)/VLOOKUP($D38,$C$5:$AT$510,3,))*$E38)</f>
        <v>0</v>
      </c>
      <c r="AA38" s="45">
        <f>IF(VLOOKUP($D38,$C$5:$AT$510,3,)=0,0,(VLOOKUP($D38,$C$5:$AT$510,25,)/VLOOKUP($D38,$C$5:$AT$510,3,))*$E38)</f>
        <v>0</v>
      </c>
      <c r="AB38" s="45">
        <f>IF(VLOOKUP($D38,$C$5:$AT$510,3,)=0,0,(VLOOKUP($D38,$C$5:$AT$510,26,)/VLOOKUP($D38,$C$5:$AT$510,3,))*$E38)</f>
        <v>0</v>
      </c>
      <c r="AC38" s="45">
        <f>IF(VLOOKUP($D38,$C$5:$AT$510,3,)=0,0,(VLOOKUP($D38,$C$5:$AT$510,27,)/VLOOKUP($D38,$C$5:$AT$510,3,))*$E38)</f>
        <v>0</v>
      </c>
      <c r="AD38" s="45">
        <f>IF(VLOOKUP($D38,$C$5:$AT$510,3,)=0,0,(VLOOKUP($D38,$C$5:$AT$510,28,)/VLOOKUP($D38,$C$5:$AT$510,3,))*$E38)</f>
        <v>0</v>
      </c>
      <c r="AE38" s="45">
        <f>IF(VLOOKUP($D38,$C$5:$AT$510,3,)=0,0,(VLOOKUP($D38,$C$5:$AT$510,29,)/VLOOKUP($D38,$C$5:$AT$510,3,))*$E38)</f>
        <v>0</v>
      </c>
      <c r="AF38" s="45">
        <f>IF(VLOOKUP($D38,$C$5:$AT$510,3,)=0,0,(VLOOKUP($D38,$C$5:$AT$510,30,)/VLOOKUP($D38,$C$5:$AT$510,3,))*$E38)</f>
        <v>0</v>
      </c>
      <c r="AG38" s="69">
        <f>SUM(F38:AF38)</f>
        <v>0</v>
      </c>
      <c r="AH38" s="14" t="str">
        <f>IF(ABS(E38-AG38)&lt;0.01,"ok","err")</f>
        <v>ok</v>
      </c>
    </row>
    <row r="39" spans="1:35" x14ac:dyDescent="0.2">
      <c r="E39" s="32"/>
    </row>
    <row r="40" spans="1:35" x14ac:dyDescent="0.2">
      <c r="A40" s="2" t="s">
        <v>0</v>
      </c>
      <c r="C40" s="2" t="s">
        <v>236</v>
      </c>
      <c r="E40" s="45">
        <f>E10+E13+E16+E21+E26+E29+E32+E35+E38</f>
        <v>125567235.7</v>
      </c>
      <c r="F40" s="45">
        <f t="shared" ref="F40:R40" si="6">F10+F13+F16+F21+F26+F29+F32+F35+F38</f>
        <v>102225210.33626051</v>
      </c>
      <c r="G40" s="45">
        <f t="shared" si="6"/>
        <v>0</v>
      </c>
      <c r="H40" s="45">
        <f t="shared" si="6"/>
        <v>3889.1584175889852</v>
      </c>
      <c r="I40" s="45">
        <f t="shared" si="6"/>
        <v>8462497.3150233496</v>
      </c>
      <c r="J40" s="45">
        <f t="shared" si="6"/>
        <v>4848902.5630420772</v>
      </c>
      <c r="K40" s="45">
        <f t="shared" si="6"/>
        <v>70690.942121502594</v>
      </c>
      <c r="L40" s="45">
        <f t="shared" si="6"/>
        <v>0</v>
      </c>
      <c r="M40" s="45">
        <f t="shared" si="6"/>
        <v>1422946.3892756547</v>
      </c>
      <c r="N40" s="45">
        <f t="shared" si="6"/>
        <v>1621785.404312799</v>
      </c>
      <c r="O40" s="45">
        <f t="shared" si="6"/>
        <v>393612.84082074469</v>
      </c>
      <c r="P40" s="45">
        <f t="shared" si="6"/>
        <v>121120.66283756639</v>
      </c>
      <c r="Q40" s="45">
        <f t="shared" si="6"/>
        <v>415130.31341008405</v>
      </c>
      <c r="R40" s="45">
        <f t="shared" si="6"/>
        <v>889731.31110790116</v>
      </c>
      <c r="S40" s="45">
        <f t="shared" ref="S40:AF40" si="7">S10+S16+S21+S26+S29+S32+S35+S38</f>
        <v>0</v>
      </c>
      <c r="T40" s="45">
        <f t="shared" si="7"/>
        <v>96167.966802301351</v>
      </c>
      <c r="U40" s="45">
        <f t="shared" si="7"/>
        <v>4995550.4965679236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 t="shared" si="7"/>
        <v>0</v>
      </c>
      <c r="AA40" s="45">
        <f t="shared" si="7"/>
        <v>0</v>
      </c>
      <c r="AB40" s="45">
        <f t="shared" si="7"/>
        <v>0</v>
      </c>
      <c r="AC40" s="45">
        <f t="shared" si="7"/>
        <v>0</v>
      </c>
      <c r="AD40" s="45">
        <f t="shared" si="7"/>
        <v>0</v>
      </c>
      <c r="AE40" s="45">
        <f t="shared" si="7"/>
        <v>0</v>
      </c>
      <c r="AF40" s="45">
        <f t="shared" si="7"/>
        <v>0</v>
      </c>
      <c r="AG40" s="69">
        <f>SUM(F40:AF40)</f>
        <v>125567235.7</v>
      </c>
      <c r="AH40" s="14" t="str">
        <f>IF(ABS(E40-AG40)&lt;0.01,"ok","err")</f>
        <v>ok</v>
      </c>
      <c r="AI40" s="69"/>
    </row>
    <row r="44" spans="1:35" x14ac:dyDescent="0.2">
      <c r="A44" s="12" t="s">
        <v>83</v>
      </c>
    </row>
    <row r="46" spans="1:35" x14ac:dyDescent="0.2">
      <c r="A46" s="1" t="s">
        <v>859</v>
      </c>
    </row>
    <row r="47" spans="1:35" x14ac:dyDescent="0.2">
      <c r="A47" s="72" t="s">
        <v>209</v>
      </c>
      <c r="C47" s="2" t="s">
        <v>237</v>
      </c>
      <c r="D47" s="2" t="s">
        <v>655</v>
      </c>
      <c r="E47" s="45">
        <f>'Func &amp; Classif'!H137</f>
        <v>1502071.3599999999</v>
      </c>
      <c r="F47" s="45">
        <f>IF(VLOOKUP($D47,$C$5:$AT$510,3,)=0,0,(VLOOKUP($D47,$C$5:$AT$510,4,)/VLOOKUP($D47,$C$5:$AT$510,3,))*$E47)</f>
        <v>1055651.3968827121</v>
      </c>
      <c r="G47" s="45">
        <f>IF(VLOOKUP($D47,$C$5:$AT$510,3,)=0,0,(VLOOKUP($D47,$C$5:$AT$510,5,)/VLOOKUP($D47,$C$5:$AT$510,3,))*$E47)</f>
        <v>0</v>
      </c>
      <c r="H47" s="45">
        <f>IF(VLOOKUP($D47,$C$5:$AT$510,3,)=0,0,(VLOOKUP($D47,$C$5:$AT$510,6,)/VLOOKUP($D47,$C$5:$AT$510,3,))*$E47)</f>
        <v>19.841886427817446</v>
      </c>
      <c r="I47" s="45">
        <f>IF(VLOOKUP($D47,$C$5:$AT$510,3,)=0,0,(VLOOKUP($D47,$C$5:$AT$510,7,)/VLOOKUP($D47,$C$5:$AT$510,3,))*$E47)</f>
        <v>94793.661459922907</v>
      </c>
      <c r="J47" s="45">
        <f>IF(VLOOKUP($D47,$C$5:$AT$510,3,)=0,0,(VLOOKUP($D47,$C$5:$AT$510,8,)/VLOOKUP($D47,$C$5:$AT$510,3,))*$E47)</f>
        <v>151140.55410914178</v>
      </c>
      <c r="K47" s="45">
        <f>IF(VLOOKUP($D47,$C$5:$AT$510,3,)=0,0,(VLOOKUP($D47,$C$5:$AT$510,9,)/VLOOKUP($D47,$C$5:$AT$510,3,))*$E47)</f>
        <v>0</v>
      </c>
      <c r="L47" s="45">
        <f>IF(VLOOKUP($D47,$C$5:$AT$510,3,)=0,0,(VLOOKUP($D47,$C$5:$AT$510,10,)/VLOOKUP($D47,$C$5:$AT$510,3,))*$E47)</f>
        <v>0</v>
      </c>
      <c r="M47" s="45">
        <f>IF(VLOOKUP($D47,$C$5:$AT$510,3,)=0,0,(VLOOKUP($D47,$C$5:$AT$510,11,)/VLOOKUP($D47,$C$5:$AT$510,3,))*$E47)</f>
        <v>44919.346225951813</v>
      </c>
      <c r="N47" s="45">
        <f>IF(VLOOKUP($D47,$C$5:$AT$510,3,)=0,0,(VLOOKUP($D47,$C$5:$AT$510,12,)/VLOOKUP($D47,$C$5:$AT$510,3,))*$E47)</f>
        <v>105322.50758234748</v>
      </c>
      <c r="O47" s="45">
        <f>IF(VLOOKUP($D47,$C$5:$AT$510,3,)=0,0,(VLOOKUP($D47,$C$5:$AT$510,13,)/VLOOKUP($D47,$C$5:$AT$510,3,))*$E47)</f>
        <v>13274.562661158407</v>
      </c>
      <c r="P47" s="45">
        <f>IF(VLOOKUP($D47,$C$5:$AT$510,3,)=0,0,(VLOOKUP($D47,$C$5:$AT$510,14,)/VLOOKUP($D47,$C$5:$AT$510,3,))*$E47)</f>
        <v>1370.138804129095</v>
      </c>
      <c r="Q47" s="45">
        <f>IF(VLOOKUP($D47,$C$5:$AT$510,3,)=0,0,(VLOOKUP($D47,$C$5:$AT$510,15,)/VLOOKUP($D47,$C$5:$AT$510,3,))*$E47)</f>
        <v>4376.6727389417301</v>
      </c>
      <c r="R47" s="45">
        <f>IF(VLOOKUP($D47,$C$5:$AT$510,3,)=0,0,(VLOOKUP($D47,$C$5:$AT$510,16,)/VLOOKUP($D47,$C$5:$AT$510,3,))*$E47)</f>
        <v>29471.361707202341</v>
      </c>
      <c r="S47" s="45">
        <f>IF(VLOOKUP($D47,$C$5:$AT$510,3,)=0,0,(VLOOKUP($D47,$C$5:$AT$510,17,)/VLOOKUP($D47,$C$5:$AT$510,3,))*$E47)</f>
        <v>0</v>
      </c>
      <c r="T47" s="45">
        <f>IF(VLOOKUP($D47,$C$5:$AT$510,3,)=0,0,(VLOOKUP($D47,$C$5:$AT$510,18,)/VLOOKUP($D47,$C$5:$AT$510,3,))*$E47)</f>
        <v>989.47268265412265</v>
      </c>
      <c r="U47" s="45">
        <f>IF(VLOOKUP($D47,$C$5:$AT$510,3,)=0,0,(VLOOKUP($D47,$C$5:$AT$510,19,)/VLOOKUP($D47,$C$5:$AT$510,3,))*$E47)</f>
        <v>741.84325941024133</v>
      </c>
      <c r="V47" s="45">
        <f>IF(VLOOKUP($D47,$C$5:$AT$510,3,)=0,0,(VLOOKUP($D47,$C$5:$AT$510,20,)/VLOOKUP($D47,$C$5:$AT$510,3,))*$E47)</f>
        <v>0</v>
      </c>
      <c r="W47" s="45">
        <f>IF(VLOOKUP($D47,$C$5:$AT$510,3,)=0,0,(VLOOKUP($D47,$C$5:$AT$510,21,)/VLOOKUP($D47,$C$5:$AT$510,3,))*$E47)</f>
        <v>0</v>
      </c>
      <c r="X47" s="45">
        <f>IF(VLOOKUP($D47,$C$5:$AT$510,3,)=0,0,(VLOOKUP($D47,$C$5:$AT$510,22,)/VLOOKUP($D47,$C$5:$AT$510,3,))*$E47)</f>
        <v>0</v>
      </c>
      <c r="Y47" s="45">
        <f>IF(VLOOKUP($D47,$C$5:$AT$510,3,)=0,0,(VLOOKUP($D47,$C$5:$AT$510,23,)/VLOOKUP($D47,$C$5:$AT$510,3,))*$E47)</f>
        <v>0</v>
      </c>
      <c r="Z47" s="45">
        <f>IF(VLOOKUP($D47,$C$5:$AT$510,3,)=0,0,(VLOOKUP($D47,$C$5:$AT$510,24,)/VLOOKUP($D47,$C$5:$AT$510,3,))*$E47)</f>
        <v>0</v>
      </c>
      <c r="AA47" s="45">
        <f>IF(VLOOKUP($D47,$C$5:$AT$510,3,)=0,0,(VLOOKUP($D47,$C$5:$AT$510,25,)/VLOOKUP($D47,$C$5:$AT$510,3,))*$E47)</f>
        <v>0</v>
      </c>
      <c r="AB47" s="45">
        <f>IF(VLOOKUP($D47,$C$5:$AT$510,3,)=0,0,(VLOOKUP($D47,$C$5:$AT$510,26,)/VLOOKUP($D47,$C$5:$AT$510,3,))*$E47)</f>
        <v>0</v>
      </c>
      <c r="AC47" s="45">
        <f>IF(VLOOKUP($D47,$C$5:$AT$510,3,)=0,0,(VLOOKUP($D47,$C$5:$AT$510,27,)/VLOOKUP($D47,$C$5:$AT$510,3,))*$E47)</f>
        <v>0</v>
      </c>
      <c r="AD47" s="45">
        <f>IF(VLOOKUP($D47,$C$5:$AT$510,3,)=0,0,(VLOOKUP($D47,$C$5:$AT$510,28,)/VLOOKUP($D47,$C$5:$AT$510,3,))*$E47)</f>
        <v>0</v>
      </c>
      <c r="AE47" s="45">
        <f>IF(VLOOKUP($D47,$C$5:$AT$510,3,)=0,0,(VLOOKUP($D47,$C$5:$AT$510,29,)/VLOOKUP($D47,$C$5:$AT$510,3,))*$E47)</f>
        <v>0</v>
      </c>
      <c r="AF47" s="45">
        <f>IF(VLOOKUP($D47,$C$5:$AT$510,3,)=0,0,(VLOOKUP($D47,$C$5:$AT$510,30,)/VLOOKUP($D47,$C$5:$AT$510,3,))*$E47)</f>
        <v>0</v>
      </c>
      <c r="AG47" s="69">
        <f>SUM(F47:AF47)</f>
        <v>1502071.3599999996</v>
      </c>
      <c r="AH47" s="14" t="str">
        <f>IF(ABS(E47-AG47)&lt;0.01,"ok","err")</f>
        <v>ok</v>
      </c>
    </row>
    <row r="48" spans="1:35" x14ac:dyDescent="0.2">
      <c r="A48" s="72" t="s">
        <v>212</v>
      </c>
      <c r="C48" s="2" t="s">
        <v>238</v>
      </c>
      <c r="D48" s="2" t="s">
        <v>664</v>
      </c>
      <c r="E48" s="32">
        <f>'Func &amp; Classif'!I137</f>
        <v>0</v>
      </c>
      <c r="F48" s="45">
        <f>IF(VLOOKUP($D48,$C$5:$AT$510,3,)=0,0,(VLOOKUP($D48,$C$5:$AT$510,4,)/VLOOKUP($D48,$C$5:$AT$510,3,))*$E48)</f>
        <v>0</v>
      </c>
      <c r="G48" s="45">
        <f>IF(VLOOKUP($D48,$C$5:$AT$510,3,)=0,0,(VLOOKUP($D48,$C$5:$AT$510,5,)/VLOOKUP($D48,$C$5:$AT$510,3,))*$E48)</f>
        <v>0</v>
      </c>
      <c r="H48" s="45">
        <f>IF(VLOOKUP($D48,$C$5:$AT$510,3,)=0,0,(VLOOKUP($D48,$C$5:$AT$510,6,)/VLOOKUP($D48,$C$5:$AT$510,3,))*$E48)</f>
        <v>0</v>
      </c>
      <c r="I48" s="45">
        <f>IF(VLOOKUP($D48,$C$5:$AT$510,3,)=0,0,(VLOOKUP($D48,$C$5:$AT$510,7,)/VLOOKUP($D48,$C$5:$AT$510,3,))*$E48)</f>
        <v>0</v>
      </c>
      <c r="J48" s="45">
        <f>IF(VLOOKUP($D48,$C$5:$AT$510,3,)=0,0,(VLOOKUP($D48,$C$5:$AT$510,8,)/VLOOKUP($D48,$C$5:$AT$510,3,))*$E48)</f>
        <v>0</v>
      </c>
      <c r="K48" s="45">
        <f>IF(VLOOKUP($D48,$C$5:$AT$510,3,)=0,0,(VLOOKUP($D48,$C$5:$AT$510,9,)/VLOOKUP($D48,$C$5:$AT$510,3,))*$E48)</f>
        <v>0</v>
      </c>
      <c r="L48" s="45">
        <f>IF(VLOOKUP($D48,$C$5:$AT$510,3,)=0,0,(VLOOKUP($D48,$C$5:$AT$510,10,)/VLOOKUP($D48,$C$5:$AT$510,3,))*$E48)</f>
        <v>0</v>
      </c>
      <c r="M48" s="45">
        <f>IF(VLOOKUP($D48,$C$5:$AT$510,3,)=0,0,(VLOOKUP($D48,$C$5:$AT$510,11,)/VLOOKUP($D48,$C$5:$AT$510,3,))*$E48)</f>
        <v>0</v>
      </c>
      <c r="N48" s="45">
        <f>IF(VLOOKUP($D48,$C$5:$AT$510,3,)=0,0,(VLOOKUP($D48,$C$5:$AT$510,12,)/VLOOKUP($D48,$C$5:$AT$510,3,))*$E48)</f>
        <v>0</v>
      </c>
      <c r="O48" s="45">
        <f>IF(VLOOKUP($D48,$C$5:$AT$510,3,)=0,0,(VLOOKUP($D48,$C$5:$AT$510,13,)/VLOOKUP($D48,$C$5:$AT$510,3,))*$E48)</f>
        <v>0</v>
      </c>
      <c r="P48" s="45">
        <f>IF(VLOOKUP($D48,$C$5:$AT$510,3,)=0,0,(VLOOKUP($D48,$C$5:$AT$510,14,)/VLOOKUP($D48,$C$5:$AT$510,3,))*$E48)</f>
        <v>0</v>
      </c>
      <c r="Q48" s="45">
        <f>IF(VLOOKUP($D48,$C$5:$AT$510,3,)=0,0,(VLOOKUP($D48,$C$5:$AT$510,15,)/VLOOKUP($D48,$C$5:$AT$510,3,))*$E48)</f>
        <v>0</v>
      </c>
      <c r="R48" s="45">
        <f>IF(VLOOKUP($D48,$C$5:$AT$510,3,)=0,0,(VLOOKUP($D48,$C$5:$AT$510,16,)/VLOOKUP($D48,$C$5:$AT$510,3,))*$E48)</f>
        <v>0</v>
      </c>
      <c r="S48" s="45">
        <f>IF(VLOOKUP($D48,$C$5:$AT$510,3,)=0,0,(VLOOKUP($D48,$C$5:$AT$510,17,)/VLOOKUP($D48,$C$5:$AT$510,3,))*$E48)</f>
        <v>0</v>
      </c>
      <c r="T48" s="45">
        <f>IF(VLOOKUP($D48,$C$5:$AT$510,3,)=0,0,(VLOOKUP($D48,$C$5:$AT$510,18,)/VLOOKUP($D48,$C$5:$AT$510,3,))*$E48)</f>
        <v>0</v>
      </c>
      <c r="U48" s="45">
        <f>IF(VLOOKUP($D48,$C$5:$AT$510,3,)=0,0,(VLOOKUP($D48,$C$5:$AT$510,19,)/VLOOKUP($D48,$C$5:$AT$510,3,))*$E48)</f>
        <v>0</v>
      </c>
      <c r="V48" s="45">
        <f>IF(VLOOKUP($D48,$C$5:$AT$510,3,)=0,0,(VLOOKUP($D48,$C$5:$AT$510,20,)/VLOOKUP($D48,$C$5:$AT$510,3,))*$E48)</f>
        <v>0</v>
      </c>
      <c r="W48" s="45">
        <f>IF(VLOOKUP($D48,$C$5:$AT$510,3,)=0,0,(VLOOKUP($D48,$C$5:$AT$510,21,)/VLOOKUP($D48,$C$5:$AT$510,3,))*$E48)</f>
        <v>0</v>
      </c>
      <c r="X48" s="45">
        <f>IF(VLOOKUP($D48,$C$5:$AT$510,3,)=0,0,(VLOOKUP($D48,$C$5:$AT$510,22,)/VLOOKUP($D48,$C$5:$AT$510,3,))*$E48)</f>
        <v>0</v>
      </c>
      <c r="Y48" s="45">
        <f>IF(VLOOKUP($D48,$C$5:$AT$510,3,)=0,0,(VLOOKUP($D48,$C$5:$AT$510,23,)/VLOOKUP($D48,$C$5:$AT$510,3,))*$E48)</f>
        <v>0</v>
      </c>
      <c r="Z48" s="45">
        <f>IF(VLOOKUP($D48,$C$5:$AT$510,3,)=0,0,(VLOOKUP($D48,$C$5:$AT$510,24,)/VLOOKUP($D48,$C$5:$AT$510,3,))*$E48)</f>
        <v>0</v>
      </c>
      <c r="AA48" s="45">
        <f>IF(VLOOKUP($D48,$C$5:$AT$510,3,)=0,0,(VLOOKUP($D48,$C$5:$AT$510,25,)/VLOOKUP($D48,$C$5:$AT$510,3,))*$E48)</f>
        <v>0</v>
      </c>
      <c r="AB48" s="45">
        <f>IF(VLOOKUP($D48,$C$5:$AT$510,3,)=0,0,(VLOOKUP($D48,$C$5:$AT$510,26,)/VLOOKUP($D48,$C$5:$AT$510,3,))*$E48)</f>
        <v>0</v>
      </c>
      <c r="AC48" s="45">
        <f>IF(VLOOKUP($D48,$C$5:$AT$510,3,)=0,0,(VLOOKUP($D48,$C$5:$AT$510,27,)/VLOOKUP($D48,$C$5:$AT$510,3,))*$E48)</f>
        <v>0</v>
      </c>
      <c r="AD48" s="45">
        <f>IF(VLOOKUP($D48,$C$5:$AT$510,3,)=0,0,(VLOOKUP($D48,$C$5:$AT$510,28,)/VLOOKUP($D48,$C$5:$AT$510,3,))*$E48)</f>
        <v>0</v>
      </c>
      <c r="AE48" s="45">
        <f>IF(VLOOKUP($D48,$C$5:$AT$510,3,)=0,0,(VLOOKUP($D48,$C$5:$AT$510,29,)/VLOOKUP($D48,$C$5:$AT$510,3,))*$E48)</f>
        <v>0</v>
      </c>
      <c r="AF48" s="45">
        <f>IF(VLOOKUP($D48,$C$5:$AT$510,3,)=0,0,(VLOOKUP($D48,$C$5:$AT$510,30,)/VLOOKUP($D48,$C$5:$AT$510,3,))*$E48)</f>
        <v>0</v>
      </c>
      <c r="AG48" s="69">
        <f>SUM(F48:AF48)</f>
        <v>0</v>
      </c>
      <c r="AH48" s="14" t="str">
        <f>IF(ABS(E48-AG48)&lt;0.01,"ok","err")</f>
        <v>ok</v>
      </c>
    </row>
    <row r="49" spans="1:34" x14ac:dyDescent="0.2">
      <c r="A49" s="2" t="s">
        <v>215</v>
      </c>
      <c r="C49" s="2" t="s">
        <v>239</v>
      </c>
      <c r="E49" s="32">
        <f t="shared" ref="E49:T49" si="8">E47+E48</f>
        <v>1502071.3599999999</v>
      </c>
      <c r="F49" s="45">
        <f t="shared" si="8"/>
        <v>1055651.3968827121</v>
      </c>
      <c r="G49" s="45">
        <f t="shared" si="8"/>
        <v>0</v>
      </c>
      <c r="H49" s="45">
        <f t="shared" si="8"/>
        <v>19.841886427817446</v>
      </c>
      <c r="I49" s="45">
        <f t="shared" si="8"/>
        <v>94793.661459922907</v>
      </c>
      <c r="J49" s="45">
        <f t="shared" si="8"/>
        <v>151140.55410914178</v>
      </c>
      <c r="K49" s="45">
        <f t="shared" si="8"/>
        <v>0</v>
      </c>
      <c r="L49" s="45">
        <f t="shared" si="8"/>
        <v>0</v>
      </c>
      <c r="M49" s="45">
        <f t="shared" si="8"/>
        <v>44919.346225951813</v>
      </c>
      <c r="N49" s="45">
        <f t="shared" si="8"/>
        <v>105322.50758234748</v>
      </c>
      <c r="O49" s="45">
        <f t="shared" si="8"/>
        <v>13274.562661158407</v>
      </c>
      <c r="P49" s="45">
        <f t="shared" si="8"/>
        <v>1370.138804129095</v>
      </c>
      <c r="Q49" s="45">
        <f t="shared" si="8"/>
        <v>4376.6727389417301</v>
      </c>
      <c r="R49" s="45">
        <f t="shared" si="8"/>
        <v>29471.361707202341</v>
      </c>
      <c r="S49" s="45">
        <f t="shared" si="8"/>
        <v>0</v>
      </c>
      <c r="T49" s="45">
        <f t="shared" si="8"/>
        <v>989.47268265412265</v>
      </c>
      <c r="U49" s="45">
        <f t="shared" ref="U49:AF49" si="9">U47+U48</f>
        <v>741.84325941024133</v>
      </c>
      <c r="V49" s="45">
        <f t="shared" si="9"/>
        <v>0</v>
      </c>
      <c r="W49" s="45">
        <f t="shared" si="9"/>
        <v>0</v>
      </c>
      <c r="X49" s="45">
        <f t="shared" si="9"/>
        <v>0</v>
      </c>
      <c r="Y49" s="45">
        <f t="shared" si="9"/>
        <v>0</v>
      </c>
      <c r="Z49" s="45">
        <f t="shared" si="9"/>
        <v>0</v>
      </c>
      <c r="AA49" s="45">
        <f t="shared" si="9"/>
        <v>0</v>
      </c>
      <c r="AB49" s="45">
        <f t="shared" si="9"/>
        <v>0</v>
      </c>
      <c r="AC49" s="45">
        <f t="shared" si="9"/>
        <v>0</v>
      </c>
      <c r="AD49" s="45">
        <f t="shared" si="9"/>
        <v>0</v>
      </c>
      <c r="AE49" s="45">
        <f t="shared" si="9"/>
        <v>0</v>
      </c>
      <c r="AF49" s="45">
        <f t="shared" si="9"/>
        <v>0</v>
      </c>
      <c r="AG49" s="69">
        <f>SUM(F49:AF49)</f>
        <v>1502071.3599999996</v>
      </c>
      <c r="AH49" s="14" t="str">
        <f>IF(ABS(E49-AG49)&lt;0.01,"ok","err")</f>
        <v>ok</v>
      </c>
    </row>
    <row r="50" spans="1:34" x14ac:dyDescent="0.2">
      <c r="E50" s="32"/>
      <c r="F50" s="32"/>
    </row>
    <row r="51" spans="1:34" x14ac:dyDescent="0.2">
      <c r="A51" s="1" t="s">
        <v>350</v>
      </c>
      <c r="E51" s="32"/>
      <c r="F51" s="32"/>
    </row>
    <row r="52" spans="1:34" x14ac:dyDescent="0.2">
      <c r="A52" s="72" t="s">
        <v>209</v>
      </c>
      <c r="C52" s="2" t="s">
        <v>848</v>
      </c>
      <c r="D52" s="2" t="s">
        <v>597</v>
      </c>
      <c r="E52" s="45">
        <f>'Func &amp; Classif'!K137</f>
        <v>0</v>
      </c>
      <c r="F52" s="45">
        <f>IF(VLOOKUP($D52,$C$5:$AT$510,3,)=0,0,(VLOOKUP($D52,$C$5:$AT$510,4,)/VLOOKUP($D52,$C$5:$AT$510,3,))*$E52)</f>
        <v>0</v>
      </c>
      <c r="G52" s="45">
        <f>IF(VLOOKUP($D52,$C$5:$AT$510,3,)=0,0,(VLOOKUP($D52,$C$5:$AT$510,5,)/VLOOKUP($D52,$C$5:$AT$510,3,))*$E52)</f>
        <v>0</v>
      </c>
      <c r="H52" s="45">
        <f>IF(VLOOKUP($D52,$C$5:$AT$510,3,)=0,0,(VLOOKUP($D52,$C$5:$AT$510,6,)/VLOOKUP($D52,$C$5:$AT$510,3,))*$E52)</f>
        <v>0</v>
      </c>
      <c r="I52" s="45">
        <f>IF(VLOOKUP($D52,$C$5:$AT$510,3,)=0,0,(VLOOKUP($D52,$C$5:$AT$510,7,)/VLOOKUP($D52,$C$5:$AT$510,3,))*$E52)</f>
        <v>0</v>
      </c>
      <c r="J52" s="45">
        <f>IF(VLOOKUP($D52,$C$5:$AT$510,3,)=0,0,(VLOOKUP($D52,$C$5:$AT$510,8,)/VLOOKUP($D52,$C$5:$AT$510,3,))*$E52)</f>
        <v>0</v>
      </c>
      <c r="K52" s="45">
        <f>IF(VLOOKUP($D52,$C$5:$AT$510,3,)=0,0,(VLOOKUP($D52,$C$5:$AT$510,9,)/VLOOKUP($D52,$C$5:$AT$510,3,))*$E52)</f>
        <v>0</v>
      </c>
      <c r="L52" s="45">
        <f>IF(VLOOKUP($D52,$C$5:$AT$510,3,)=0,0,(VLOOKUP($D52,$C$5:$AT$510,10,)/VLOOKUP($D52,$C$5:$AT$510,3,))*$E52)</f>
        <v>0</v>
      </c>
      <c r="M52" s="45">
        <f>IF(VLOOKUP($D52,$C$5:$AT$510,3,)=0,0,(VLOOKUP($D52,$C$5:$AT$510,11,)/VLOOKUP($D52,$C$5:$AT$510,3,))*$E52)</f>
        <v>0</v>
      </c>
      <c r="N52" s="45">
        <f>IF(VLOOKUP($D52,$C$5:$AT$510,3,)=0,0,(VLOOKUP($D52,$C$5:$AT$510,12,)/VLOOKUP($D52,$C$5:$AT$510,3,))*$E52)</f>
        <v>0</v>
      </c>
      <c r="O52" s="45">
        <f>IF(VLOOKUP($D52,$C$5:$AT$510,3,)=0,0,(VLOOKUP($D52,$C$5:$AT$510,13,)/VLOOKUP($D52,$C$5:$AT$510,3,))*$E52)</f>
        <v>0</v>
      </c>
      <c r="P52" s="45">
        <f>IF(VLOOKUP($D52,$C$5:$AT$510,3,)=0,0,(VLOOKUP($D52,$C$5:$AT$510,14,)/VLOOKUP($D52,$C$5:$AT$510,3,))*$E52)</f>
        <v>0</v>
      </c>
      <c r="Q52" s="45">
        <f>IF(VLOOKUP($D52,$C$5:$AT$510,3,)=0,0,(VLOOKUP($D52,$C$5:$AT$510,15,)/VLOOKUP($D52,$C$5:$AT$510,3,))*$E52)</f>
        <v>0</v>
      </c>
      <c r="R52" s="45">
        <f>IF(VLOOKUP($D52,$C$5:$AT$510,3,)=0,0,(VLOOKUP($D52,$C$5:$AT$510,16,)/VLOOKUP($D52,$C$5:$AT$510,3,))*$E52)</f>
        <v>0</v>
      </c>
      <c r="S52" s="45">
        <f>IF(VLOOKUP($D52,$C$5:$AT$510,3,)=0,0,(VLOOKUP($D52,$C$5:$AT$510,17,)/VLOOKUP($D52,$C$5:$AT$510,3,))*$E52)</f>
        <v>0</v>
      </c>
      <c r="T52" s="45">
        <f>IF(VLOOKUP($D52,$C$5:$AT$510,3,)=0,0,(VLOOKUP($D52,$C$5:$AT$510,18,)/VLOOKUP($D52,$C$5:$AT$510,3,))*$E52)</f>
        <v>0</v>
      </c>
      <c r="U52" s="45">
        <f>IF(VLOOKUP($D52,$C$5:$AT$510,3,)=0,0,(VLOOKUP($D52,$C$5:$AT$510,19,)/VLOOKUP($D52,$C$5:$AT$510,3,))*$E52)</f>
        <v>0</v>
      </c>
      <c r="V52" s="45">
        <f>IF(VLOOKUP($D52,$C$5:$AT$510,3,)=0,0,(VLOOKUP($D52,$C$5:$AT$510,20,)/VLOOKUP($D52,$C$5:$AT$510,3,))*$E52)</f>
        <v>0</v>
      </c>
      <c r="W52" s="45">
        <f>IF(VLOOKUP($D52,$C$5:$AT$510,3,)=0,0,(VLOOKUP($D52,$C$5:$AT$510,21,)/VLOOKUP($D52,$C$5:$AT$510,3,))*$E52)</f>
        <v>0</v>
      </c>
      <c r="X52" s="45">
        <f>IF(VLOOKUP($D52,$C$5:$AT$510,3,)=0,0,(VLOOKUP($D52,$C$5:$AT$510,22,)/VLOOKUP($D52,$C$5:$AT$510,3,))*$E52)</f>
        <v>0</v>
      </c>
      <c r="Y52" s="45">
        <f>IF(VLOOKUP($D52,$C$5:$AT$510,3,)=0,0,(VLOOKUP($D52,$C$5:$AT$510,23,)/VLOOKUP($D52,$C$5:$AT$510,3,))*$E52)</f>
        <v>0</v>
      </c>
      <c r="Z52" s="45">
        <f>IF(VLOOKUP($D52,$C$5:$AT$510,3,)=0,0,(VLOOKUP($D52,$C$5:$AT$510,24,)/VLOOKUP($D52,$C$5:$AT$510,3,))*$E52)</f>
        <v>0</v>
      </c>
      <c r="AA52" s="45">
        <f>IF(VLOOKUP($D52,$C$5:$AT$510,3,)=0,0,(VLOOKUP($D52,$C$5:$AT$510,25,)/VLOOKUP($D52,$C$5:$AT$510,3,))*$E52)</f>
        <v>0</v>
      </c>
      <c r="AB52" s="45">
        <f>IF(VLOOKUP($D52,$C$5:$AT$510,3,)=0,0,(VLOOKUP($D52,$C$5:$AT$510,26,)/VLOOKUP($D52,$C$5:$AT$510,3,))*$E52)</f>
        <v>0</v>
      </c>
      <c r="AC52" s="45">
        <f>IF(VLOOKUP($D52,$C$5:$AT$510,3,)=0,0,(VLOOKUP($D52,$C$5:$AT$510,27,)/VLOOKUP($D52,$C$5:$AT$510,3,))*$E52)</f>
        <v>0</v>
      </c>
      <c r="AD52" s="45">
        <f>IF(VLOOKUP($D52,$C$5:$AT$510,3,)=0,0,(VLOOKUP($D52,$C$5:$AT$510,28,)/VLOOKUP($D52,$C$5:$AT$510,3,))*$E52)</f>
        <v>0</v>
      </c>
      <c r="AE52" s="45">
        <f>IF(VLOOKUP($D52,$C$5:$AT$510,3,)=0,0,(VLOOKUP($D52,$C$5:$AT$510,29,)/VLOOKUP($D52,$C$5:$AT$510,3,))*$E52)</f>
        <v>0</v>
      </c>
      <c r="AF52" s="45">
        <f>IF(VLOOKUP($D52,$C$5:$AT$510,3,)=0,0,(VLOOKUP($D52,$C$5:$AT$510,30,)/VLOOKUP($D52,$C$5:$AT$510,3,))*$E52)</f>
        <v>0</v>
      </c>
      <c r="AG52" s="69">
        <f>SUM(F52:AF52)</f>
        <v>0</v>
      </c>
      <c r="AH52" s="14" t="str">
        <f>IF(ABS(E52-AG52)&lt;0.01,"ok","err")</f>
        <v>ok</v>
      </c>
    </row>
    <row r="53" spans="1:34" x14ac:dyDescent="0.2">
      <c r="E53" s="32"/>
    </row>
    <row r="54" spans="1:34" x14ac:dyDescent="0.2">
      <c r="A54" s="1" t="s">
        <v>1</v>
      </c>
      <c r="E54" s="32"/>
      <c r="F54" s="32"/>
    </row>
    <row r="55" spans="1:34" x14ac:dyDescent="0.2">
      <c r="A55" s="72" t="s">
        <v>209</v>
      </c>
      <c r="C55" s="2" t="s">
        <v>240</v>
      </c>
      <c r="D55" s="2" t="s">
        <v>613</v>
      </c>
      <c r="E55" s="45">
        <f>'Func &amp; Classif'!M137</f>
        <v>31152.004755018726</v>
      </c>
      <c r="F55" s="45">
        <f>IF(VLOOKUP($D55,$C$5:$AT$510,3,)=0,0,(VLOOKUP($D55,$C$5:$AT$510,4,)/VLOOKUP($D55,$C$5:$AT$510,3,))*$E55)</f>
        <v>22678.806220792052</v>
      </c>
      <c r="G55" s="45">
        <f>IF(VLOOKUP($D55,$C$5:$AT$510,3,)=0,0,(VLOOKUP($D55,$C$5:$AT$510,5,)/VLOOKUP($D55,$C$5:$AT$510,3,))*$E55)</f>
        <v>0</v>
      </c>
      <c r="H55" s="45">
        <f>IF(VLOOKUP($D55,$C$5:$AT$510,3,)=0,0,(VLOOKUP($D55,$C$5:$AT$510,6,)/VLOOKUP($D55,$C$5:$AT$510,3,))*$E55)</f>
        <v>0.42626789362495571</v>
      </c>
      <c r="I55" s="45">
        <f>IF(VLOOKUP($D55,$C$5:$AT$510,3,)=0,0,(VLOOKUP($D55,$C$5:$AT$510,7,)/VLOOKUP($D55,$C$5:$AT$510,3,))*$E55)</f>
        <v>2036.4744323336593</v>
      </c>
      <c r="J55" s="45">
        <f>IF(VLOOKUP($D55,$C$5:$AT$510,3,)=0,0,(VLOOKUP($D55,$C$5:$AT$510,8,)/VLOOKUP($D55,$C$5:$AT$510,3,))*$E55)</f>
        <v>3246.9879250538193</v>
      </c>
      <c r="K55" s="45">
        <f>IF(VLOOKUP($D55,$C$5:$AT$510,3,)=0,0,(VLOOKUP($D55,$C$5:$AT$510,9,)/VLOOKUP($D55,$C$5:$AT$510,3,))*$E55)</f>
        <v>0</v>
      </c>
      <c r="L55" s="45">
        <f>IF(VLOOKUP($D55,$C$5:$AT$510,3,)=0,0,(VLOOKUP($D55,$C$5:$AT$510,10,)/VLOOKUP($D55,$C$5:$AT$510,3,))*$E55)</f>
        <v>0</v>
      </c>
      <c r="M55" s="45">
        <f>IF(VLOOKUP($D55,$C$5:$AT$510,3,)=0,0,(VLOOKUP($D55,$C$5:$AT$510,11,)/VLOOKUP($D55,$C$5:$AT$510,3,))*$E55)</f>
        <v>965.01283627459873</v>
      </c>
      <c r="N55" s="45">
        <f>IF(VLOOKUP($D55,$C$5:$AT$510,3,)=0,0,(VLOOKUP($D55,$C$5:$AT$510,12,)/VLOOKUP($D55,$C$5:$AT$510,3,))*$E55)</f>
        <v>1145.3220028970597</v>
      </c>
      <c r="O55" s="45">
        <f>IF(VLOOKUP($D55,$C$5:$AT$510,3,)=0,0,(VLOOKUP($D55,$C$5:$AT$510,13,)/VLOOKUP($D55,$C$5:$AT$510,3,))*$E55)</f>
        <v>285.18053890437989</v>
      </c>
      <c r="P55" s="45">
        <f>IF(VLOOKUP($D55,$C$5:$AT$510,3,)=0,0,(VLOOKUP($D55,$C$5:$AT$510,14,)/VLOOKUP($D55,$C$5:$AT$510,3,))*$E55)</f>
        <v>29.435012851959385</v>
      </c>
      <c r="Q55" s="45">
        <f>IF(VLOOKUP($D55,$C$5:$AT$510,3,)=0,0,(VLOOKUP($D55,$C$5:$AT$510,15,)/VLOOKUP($D55,$C$5:$AT$510,3,))*$E55)</f>
        <v>94.025085583542037</v>
      </c>
      <c r="R55" s="45">
        <f>IF(VLOOKUP($D55,$C$5:$AT$510,3,)=0,0,(VLOOKUP($D55,$C$5:$AT$510,16,)/VLOOKUP($D55,$C$5:$AT$510,3,))*$E55)</f>
        <v>633.14016653053579</v>
      </c>
      <c r="S55" s="45">
        <f>IF(VLOOKUP($D55,$C$5:$AT$510,3,)=0,0,(VLOOKUP($D55,$C$5:$AT$510,17,)/VLOOKUP($D55,$C$5:$AT$510,3,))*$E55)</f>
        <v>0</v>
      </c>
      <c r="T55" s="45">
        <f>IF(VLOOKUP($D55,$C$5:$AT$510,3,)=0,0,(VLOOKUP($D55,$C$5:$AT$510,18,)/VLOOKUP($D55,$C$5:$AT$510,3,))*$E55)</f>
        <v>21.257073402208853</v>
      </c>
      <c r="U55" s="45">
        <f>IF(VLOOKUP($D55,$C$5:$AT$510,3,)=0,0,(VLOOKUP($D55,$C$5:$AT$510,19,)/VLOOKUP($D55,$C$5:$AT$510,3,))*$E55)</f>
        <v>15.937192501280682</v>
      </c>
      <c r="V55" s="45">
        <f>IF(VLOOKUP($D55,$C$5:$AT$510,3,)=0,0,(VLOOKUP($D55,$C$5:$AT$510,20,)/VLOOKUP($D55,$C$5:$AT$510,3,))*$E55)</f>
        <v>0</v>
      </c>
      <c r="W55" s="45">
        <f>IF(VLOOKUP($D55,$C$5:$AT$510,3,)=0,0,(VLOOKUP($D55,$C$5:$AT$510,21,)/VLOOKUP($D55,$C$5:$AT$510,3,))*$E55)</f>
        <v>0</v>
      </c>
      <c r="X55" s="45">
        <f>IF(VLOOKUP($D55,$C$5:$AT$510,3,)=0,0,(VLOOKUP($D55,$C$5:$AT$510,22,)/VLOOKUP($D55,$C$5:$AT$510,3,))*$E55)</f>
        <v>0</v>
      </c>
      <c r="Y55" s="45">
        <f>IF(VLOOKUP($D55,$C$5:$AT$510,3,)=0,0,(VLOOKUP($D55,$C$5:$AT$510,23,)/VLOOKUP($D55,$C$5:$AT$510,3,))*$E55)</f>
        <v>0</v>
      </c>
      <c r="Z55" s="45">
        <f>IF(VLOOKUP($D55,$C$5:$AT$510,3,)=0,0,(VLOOKUP($D55,$C$5:$AT$510,24,)/VLOOKUP($D55,$C$5:$AT$510,3,))*$E55)</f>
        <v>0</v>
      </c>
      <c r="AA55" s="45">
        <f>IF(VLOOKUP($D55,$C$5:$AT$510,3,)=0,0,(VLOOKUP($D55,$C$5:$AT$510,25,)/VLOOKUP($D55,$C$5:$AT$510,3,))*$E55)</f>
        <v>0</v>
      </c>
      <c r="AB55" s="45">
        <f>IF(VLOOKUP($D55,$C$5:$AT$510,3,)=0,0,(VLOOKUP($D55,$C$5:$AT$510,26,)/VLOOKUP($D55,$C$5:$AT$510,3,))*$E55)</f>
        <v>0</v>
      </c>
      <c r="AC55" s="45">
        <f>IF(VLOOKUP($D55,$C$5:$AT$510,3,)=0,0,(VLOOKUP($D55,$C$5:$AT$510,27,)/VLOOKUP($D55,$C$5:$AT$510,3,))*$E55)</f>
        <v>0</v>
      </c>
      <c r="AD55" s="45">
        <f>IF(VLOOKUP($D55,$C$5:$AT$510,3,)=0,0,(VLOOKUP($D55,$C$5:$AT$510,28,)/VLOOKUP($D55,$C$5:$AT$510,3,))*$E55)</f>
        <v>0</v>
      </c>
      <c r="AE55" s="45">
        <f>IF(VLOOKUP($D55,$C$5:$AT$510,3,)=0,0,(VLOOKUP($D55,$C$5:$AT$510,29,)/VLOOKUP($D55,$C$5:$AT$510,3,))*$E55)</f>
        <v>0</v>
      </c>
      <c r="AF55" s="45">
        <f>IF(VLOOKUP($D55,$C$5:$AT$510,3,)=0,0,(VLOOKUP($D55,$C$5:$AT$510,30,)/VLOOKUP($D55,$C$5:$AT$510,3,))*$E55)</f>
        <v>0</v>
      </c>
      <c r="AG55" s="69">
        <f>SUM(F55:AF55)</f>
        <v>31152.004755018723</v>
      </c>
      <c r="AH55" s="14" t="str">
        <f>IF(ABS(E55-AG55)&lt;0.01,"ok","err")</f>
        <v>ok</v>
      </c>
    </row>
    <row r="56" spans="1:34" x14ac:dyDescent="0.2">
      <c r="E56" s="32"/>
    </row>
    <row r="57" spans="1:34" x14ac:dyDescent="0.2">
      <c r="A57" s="1" t="s">
        <v>2</v>
      </c>
      <c r="E57" s="32"/>
    </row>
    <row r="58" spans="1:34" x14ac:dyDescent="0.2">
      <c r="A58" s="72" t="s">
        <v>209</v>
      </c>
      <c r="C58" s="2" t="s">
        <v>241</v>
      </c>
      <c r="D58" s="2" t="s">
        <v>605</v>
      </c>
      <c r="E58" s="45">
        <f>'Func &amp; Classif'!O137</f>
        <v>45357167.167190447</v>
      </c>
      <c r="F58" s="45">
        <f>IF(VLOOKUP($D58,$C$5:$AT$510,3,)=0,0,(VLOOKUP($D58,$C$5:$AT$510,4,)/VLOOKUP($D58,$C$5:$AT$510,3,))*$E58)</f>
        <v>36403918.970519692</v>
      </c>
      <c r="G58" s="45">
        <f>IF(VLOOKUP($D58,$C$5:$AT$510,3,)=0,0,(VLOOKUP($D58,$C$5:$AT$510,5,)/VLOOKUP($D58,$C$5:$AT$510,3,))*$E58)</f>
        <v>0</v>
      </c>
      <c r="H58" s="45">
        <f>IF(VLOOKUP($D58,$C$5:$AT$510,3,)=0,0,(VLOOKUP($D58,$C$5:$AT$510,6,)/VLOOKUP($D58,$C$5:$AT$510,3,))*$E58)</f>
        <v>1311.5714498604962</v>
      </c>
      <c r="I58" s="45">
        <f>IF(VLOOKUP($D58,$C$5:$AT$510,3,)=0,0,(VLOOKUP($D58,$C$5:$AT$510,7,)/VLOOKUP($D58,$C$5:$AT$510,3,))*$E58)</f>
        <v>3155228.4291771003</v>
      </c>
      <c r="J58" s="45">
        <f>IF(VLOOKUP($D58,$C$5:$AT$510,3,)=0,0,(VLOOKUP($D58,$C$5:$AT$510,8,)/VLOOKUP($D58,$C$5:$AT$510,3,))*$E58)</f>
        <v>2717167.6200222662</v>
      </c>
      <c r="K58" s="45">
        <f>IF(VLOOKUP($D58,$C$5:$AT$510,3,)=0,0,(VLOOKUP($D58,$C$5:$AT$510,9,)/VLOOKUP($D58,$C$5:$AT$510,3,))*$E58)</f>
        <v>31206.127151513534</v>
      </c>
      <c r="L58" s="45">
        <f>IF(VLOOKUP($D58,$C$5:$AT$510,3,)=0,0,(VLOOKUP($D58,$C$5:$AT$510,10,)/VLOOKUP($D58,$C$5:$AT$510,3,))*$E58)</f>
        <v>0</v>
      </c>
      <c r="M58" s="45">
        <f>IF(VLOOKUP($D58,$C$5:$AT$510,3,)=0,0,(VLOOKUP($D58,$C$5:$AT$510,11,)/VLOOKUP($D58,$C$5:$AT$510,3,))*$E58)</f>
        <v>920941.92900254077</v>
      </c>
      <c r="N58" s="45">
        <f>IF(VLOOKUP($D58,$C$5:$AT$510,3,)=0,0,(VLOOKUP($D58,$C$5:$AT$510,12,)/VLOOKUP($D58,$C$5:$AT$510,3,))*$E58)</f>
        <v>1001242.7966777219</v>
      </c>
      <c r="O58" s="45">
        <f>IF(VLOOKUP($D58,$C$5:$AT$510,3,)=0,0,(VLOOKUP($D58,$C$5:$AT$510,13,)/VLOOKUP($D58,$C$5:$AT$510,3,))*$E58)</f>
        <v>249499.02028642833</v>
      </c>
      <c r="P58" s="45">
        <f>IF(VLOOKUP($D58,$C$5:$AT$510,3,)=0,0,(VLOOKUP($D58,$C$5:$AT$510,14,)/VLOOKUP($D58,$C$5:$AT$510,3,))*$E58)</f>
        <v>73269.391897053283</v>
      </c>
      <c r="Q58" s="45">
        <f>IF(VLOOKUP($D58,$C$5:$AT$510,3,)=0,0,(VLOOKUP($D58,$C$5:$AT$510,15,)/VLOOKUP($D58,$C$5:$AT$510,3,))*$E58)</f>
        <v>172981.73570007042</v>
      </c>
      <c r="R58" s="45">
        <f>IF(VLOOKUP($D58,$C$5:$AT$510,3,)=0,0,(VLOOKUP($D58,$C$5:$AT$510,16,)/VLOOKUP($D58,$C$5:$AT$510,3,))*$E58)</f>
        <v>584427.24300882337</v>
      </c>
      <c r="S58" s="45">
        <f>IF(VLOOKUP($D58,$C$5:$AT$510,3,)=0,0,(VLOOKUP($D58,$C$5:$AT$510,17,)/VLOOKUP($D58,$C$5:$AT$510,3,))*$E58)</f>
        <v>0</v>
      </c>
      <c r="T58" s="45">
        <f>IF(VLOOKUP($D58,$C$5:$AT$510,3,)=0,0,(VLOOKUP($D58,$C$5:$AT$510,18,)/VLOOKUP($D58,$C$5:$AT$510,3,))*$E58)</f>
        <v>28088.648716898144</v>
      </c>
      <c r="U58" s="45">
        <f>IF(VLOOKUP($D58,$C$5:$AT$510,3,)=0,0,(VLOOKUP($D58,$C$5:$AT$510,19,)/VLOOKUP($D58,$C$5:$AT$510,3,))*$E58)</f>
        <v>17883.683580479865</v>
      </c>
      <c r="V58" s="45">
        <f>IF(VLOOKUP($D58,$C$5:$AT$510,3,)=0,0,(VLOOKUP($D58,$C$5:$AT$510,20,)/VLOOKUP($D58,$C$5:$AT$510,3,))*$E58)</f>
        <v>0</v>
      </c>
      <c r="W58" s="45">
        <f>IF(VLOOKUP($D58,$C$5:$AT$510,3,)=0,0,(VLOOKUP($D58,$C$5:$AT$510,21,)/VLOOKUP($D58,$C$5:$AT$510,3,))*$E58)</f>
        <v>0</v>
      </c>
      <c r="X58" s="45">
        <f>IF(VLOOKUP($D58,$C$5:$AT$510,3,)=0,0,(VLOOKUP($D58,$C$5:$AT$510,22,)/VLOOKUP($D58,$C$5:$AT$510,3,))*$E58)</f>
        <v>0</v>
      </c>
      <c r="Y58" s="45">
        <f>IF(VLOOKUP($D58,$C$5:$AT$510,3,)=0,0,(VLOOKUP($D58,$C$5:$AT$510,23,)/VLOOKUP($D58,$C$5:$AT$510,3,))*$E58)</f>
        <v>0</v>
      </c>
      <c r="Z58" s="45">
        <f>IF(VLOOKUP($D58,$C$5:$AT$510,3,)=0,0,(VLOOKUP($D58,$C$5:$AT$510,24,)/VLOOKUP($D58,$C$5:$AT$510,3,))*$E58)</f>
        <v>0</v>
      </c>
      <c r="AA58" s="45">
        <f>IF(VLOOKUP($D58,$C$5:$AT$510,3,)=0,0,(VLOOKUP($D58,$C$5:$AT$510,25,)/VLOOKUP($D58,$C$5:$AT$510,3,))*$E58)</f>
        <v>0</v>
      </c>
      <c r="AB58" s="45">
        <f>IF(VLOOKUP($D58,$C$5:$AT$510,3,)=0,0,(VLOOKUP($D58,$C$5:$AT$510,26,)/VLOOKUP($D58,$C$5:$AT$510,3,))*$E58)</f>
        <v>0</v>
      </c>
      <c r="AC58" s="45">
        <f>IF(VLOOKUP($D58,$C$5:$AT$510,3,)=0,0,(VLOOKUP($D58,$C$5:$AT$510,27,)/VLOOKUP($D58,$C$5:$AT$510,3,))*$E58)</f>
        <v>0</v>
      </c>
      <c r="AD58" s="45">
        <f>IF(VLOOKUP($D58,$C$5:$AT$510,3,)=0,0,(VLOOKUP($D58,$C$5:$AT$510,28,)/VLOOKUP($D58,$C$5:$AT$510,3,))*$E58)</f>
        <v>0</v>
      </c>
      <c r="AE58" s="45">
        <f>IF(VLOOKUP($D58,$C$5:$AT$510,3,)=0,0,(VLOOKUP($D58,$C$5:$AT$510,29,)/VLOOKUP($D58,$C$5:$AT$510,3,))*$E58)</f>
        <v>0</v>
      </c>
      <c r="AF58" s="45">
        <f>IF(VLOOKUP($D58,$C$5:$AT$510,3,)=0,0,(VLOOKUP($D58,$C$5:$AT$510,30,)/VLOOKUP($D58,$C$5:$AT$510,3,))*$E58)</f>
        <v>0</v>
      </c>
      <c r="AG58" s="69">
        <f>SUM(F58:AF58)</f>
        <v>45357167.16719044</v>
      </c>
      <c r="AH58" s="14" t="str">
        <f>IF(ABS(E58-AG58)&lt;0.01,"ok","err")</f>
        <v>ok</v>
      </c>
    </row>
    <row r="59" spans="1:34" x14ac:dyDescent="0.2">
      <c r="A59" s="72" t="s">
        <v>221</v>
      </c>
      <c r="C59" s="2" t="s">
        <v>242</v>
      </c>
      <c r="D59" s="2" t="s">
        <v>223</v>
      </c>
      <c r="E59" s="32">
        <f>'Func &amp; Classif'!P137</f>
        <v>23374660.745849356</v>
      </c>
      <c r="F59" s="45">
        <f>IF(VLOOKUP($D59,$C$5:$AT$510,3,)=0,0,(VLOOKUP($D59,$C$5:$AT$510,4,)/VLOOKUP($D59,$C$5:$AT$510,3,))*$E59)</f>
        <v>21544876.621973295</v>
      </c>
      <c r="G59" s="45">
        <f>IF(VLOOKUP($D59,$C$5:$AT$510,3,)=0,0,(VLOOKUP($D59,$C$5:$AT$510,5,)/VLOOKUP($D59,$C$5:$AT$510,3,))*$E59)</f>
        <v>0</v>
      </c>
      <c r="H59" s="45">
        <f>IF(VLOOKUP($D59,$C$5:$AT$510,3,)=0,0,(VLOOKUP($D59,$C$5:$AT$510,6,)/VLOOKUP($D59,$C$5:$AT$510,3,))*$E59)</f>
        <v>876.73462285233575</v>
      </c>
      <c r="I59" s="45">
        <f>IF(VLOOKUP($D59,$C$5:$AT$510,3,)=0,0,(VLOOKUP($D59,$C$5:$AT$510,7,)/VLOOKUP($D59,$C$5:$AT$510,3,))*$E59)</f>
        <v>1550066.8132029297</v>
      </c>
      <c r="J59" s="45">
        <f>IF(VLOOKUP($D59,$C$5:$AT$510,3,)=0,0,(VLOOKUP($D59,$C$5:$AT$510,8,)/VLOOKUP($D59,$C$5:$AT$510,3,))*$E59)</f>
        <v>86796.727662381236</v>
      </c>
      <c r="K59" s="45">
        <f>IF(VLOOKUP($D59,$C$5:$AT$510,3,)=0,0,(VLOOKUP($D59,$C$5:$AT$510,9,)/VLOOKUP($D59,$C$5:$AT$510,3,))*$E59)</f>
        <v>1597.605312753145</v>
      </c>
      <c r="L59" s="45">
        <f>IF(VLOOKUP($D59,$C$5:$AT$510,3,)=0,0,(VLOOKUP($D59,$C$5:$AT$510,10,)/VLOOKUP($D59,$C$5:$AT$510,3,))*$E59)</f>
        <v>0</v>
      </c>
      <c r="M59" s="45">
        <f>IF(VLOOKUP($D59,$C$5:$AT$510,3,)=0,0,(VLOOKUP($D59,$C$5:$AT$510,11,)/VLOOKUP($D59,$C$5:$AT$510,3,))*$E59)</f>
        <v>77.931966475763176</v>
      </c>
      <c r="N59" s="45">
        <f>IF(VLOOKUP($D59,$C$5:$AT$510,3,)=0,0,(VLOOKUP($D59,$C$5:$AT$510,12,)/VLOOKUP($D59,$C$5:$AT$510,3,))*$E59)</f>
        <v>19.482991618940794</v>
      </c>
      <c r="O59" s="45">
        <f>IF(VLOOKUP($D59,$C$5:$AT$510,3,)=0,0,(VLOOKUP($D59,$C$5:$AT$510,13,)/VLOOKUP($D59,$C$5:$AT$510,3,))*$E59)</f>
        <v>19.482991618940794</v>
      </c>
      <c r="P59" s="45">
        <f>IF(VLOOKUP($D59,$C$5:$AT$510,3,)=0,0,(VLOOKUP($D59,$C$5:$AT$510,14,)/VLOOKUP($D59,$C$5:$AT$510,3,))*$E59)</f>
        <v>77.931966475763176</v>
      </c>
      <c r="Q59" s="45">
        <f>IF(VLOOKUP($D59,$C$5:$AT$510,3,)=0,0,(VLOOKUP($D59,$C$5:$AT$510,15,)/VLOOKUP($D59,$C$5:$AT$510,3,))*$E59)</f>
        <v>70138.769828186851</v>
      </c>
      <c r="R59" s="45">
        <f>IF(VLOOKUP($D59,$C$5:$AT$510,3,)=0,0,(VLOOKUP($D59,$C$5:$AT$510,16,)/VLOOKUP($D59,$C$5:$AT$510,3,))*$E59)</f>
        <v>876.73462285233575</v>
      </c>
      <c r="S59" s="45">
        <f>IF(VLOOKUP($D59,$C$5:$AT$510,3,)=0,0,(VLOOKUP($D59,$C$5:$AT$510,17,)/VLOOKUP($D59,$C$5:$AT$510,3,))*$E59)</f>
        <v>0</v>
      </c>
      <c r="T59" s="45">
        <f>IF(VLOOKUP($D59,$C$5:$AT$510,3,)=0,0,(VLOOKUP($D59,$C$5:$AT$510,18,)/VLOOKUP($D59,$C$5:$AT$510,3,))*$E59)</f>
        <v>6137.1423599663503</v>
      </c>
      <c r="U59" s="45">
        <f>IF(VLOOKUP($D59,$C$5:$AT$510,3,)=0,0,(VLOOKUP($D59,$C$5:$AT$510,19,)/VLOOKUP($D59,$C$5:$AT$510,3,))*$E59)</f>
        <v>113098.76634795131</v>
      </c>
      <c r="V59" s="45">
        <f>IF(VLOOKUP($D59,$C$5:$AT$510,3,)=0,0,(VLOOKUP($D59,$C$5:$AT$510,20,)/VLOOKUP($D59,$C$5:$AT$510,3,))*$E59)</f>
        <v>0</v>
      </c>
      <c r="W59" s="45">
        <f>IF(VLOOKUP($D59,$C$5:$AT$510,3,)=0,0,(VLOOKUP($D59,$C$5:$AT$510,21,)/VLOOKUP($D59,$C$5:$AT$510,3,))*$E59)</f>
        <v>0</v>
      </c>
      <c r="X59" s="45">
        <f>IF(VLOOKUP($D59,$C$5:$AT$510,3,)=0,0,(VLOOKUP($D59,$C$5:$AT$510,22,)/VLOOKUP($D59,$C$5:$AT$510,3,))*$E59)</f>
        <v>0</v>
      </c>
      <c r="Y59" s="45">
        <f>IF(VLOOKUP($D59,$C$5:$AT$510,3,)=0,0,(VLOOKUP($D59,$C$5:$AT$510,23,)/VLOOKUP($D59,$C$5:$AT$510,3,))*$E59)</f>
        <v>0</v>
      </c>
      <c r="Z59" s="45">
        <f>IF(VLOOKUP($D59,$C$5:$AT$510,3,)=0,0,(VLOOKUP($D59,$C$5:$AT$510,24,)/VLOOKUP($D59,$C$5:$AT$510,3,))*$E59)</f>
        <v>0</v>
      </c>
      <c r="AA59" s="45">
        <f>IF(VLOOKUP($D59,$C$5:$AT$510,3,)=0,0,(VLOOKUP($D59,$C$5:$AT$510,25,)/VLOOKUP($D59,$C$5:$AT$510,3,))*$E59)</f>
        <v>0</v>
      </c>
      <c r="AB59" s="45">
        <f>IF(VLOOKUP($D59,$C$5:$AT$510,3,)=0,0,(VLOOKUP($D59,$C$5:$AT$510,26,)/VLOOKUP($D59,$C$5:$AT$510,3,))*$E59)</f>
        <v>0</v>
      </c>
      <c r="AC59" s="45">
        <f>IF(VLOOKUP($D59,$C$5:$AT$510,3,)=0,0,(VLOOKUP($D59,$C$5:$AT$510,27,)/VLOOKUP($D59,$C$5:$AT$510,3,))*$E59)</f>
        <v>0</v>
      </c>
      <c r="AD59" s="45">
        <f>IF(VLOOKUP($D59,$C$5:$AT$510,3,)=0,0,(VLOOKUP($D59,$C$5:$AT$510,28,)/VLOOKUP($D59,$C$5:$AT$510,3,))*$E59)</f>
        <v>0</v>
      </c>
      <c r="AE59" s="45">
        <f>IF(VLOOKUP($D59,$C$5:$AT$510,3,)=0,0,(VLOOKUP($D59,$C$5:$AT$510,29,)/VLOOKUP($D59,$C$5:$AT$510,3,))*$E59)</f>
        <v>0</v>
      </c>
      <c r="AF59" s="45">
        <f>IF(VLOOKUP($D59,$C$5:$AT$510,3,)=0,0,(VLOOKUP($D59,$C$5:$AT$510,30,)/VLOOKUP($D59,$C$5:$AT$510,3,))*$E59)</f>
        <v>0</v>
      </c>
      <c r="AG59" s="69">
        <f>SUM(F59:AF59)</f>
        <v>23374660.745849349</v>
      </c>
      <c r="AH59" s="14" t="str">
        <f>IF(ABS(E59-AG59)&lt;0.01,"ok","err")</f>
        <v>ok</v>
      </c>
    </row>
    <row r="60" spans="1:34" x14ac:dyDescent="0.2">
      <c r="A60" s="2" t="s">
        <v>224</v>
      </c>
      <c r="E60" s="45">
        <f t="shared" ref="E60:T60" si="10">E58+E59</f>
        <v>68731827.913039804</v>
      </c>
      <c r="F60" s="45">
        <f t="shared" si="10"/>
        <v>57948795.592492983</v>
      </c>
      <c r="G60" s="45">
        <f t="shared" si="10"/>
        <v>0</v>
      </c>
      <c r="H60" s="45">
        <f t="shared" si="10"/>
        <v>2188.3060727128318</v>
      </c>
      <c r="I60" s="45">
        <f t="shared" si="10"/>
        <v>4705295.2423800305</v>
      </c>
      <c r="J60" s="45">
        <f t="shared" si="10"/>
        <v>2803964.3476846474</v>
      </c>
      <c r="K60" s="45">
        <f t="shared" si="10"/>
        <v>32803.732464266679</v>
      </c>
      <c r="L60" s="45">
        <f t="shared" si="10"/>
        <v>0</v>
      </c>
      <c r="M60" s="45">
        <f t="shared" si="10"/>
        <v>921019.86096901656</v>
      </c>
      <c r="N60" s="45">
        <f t="shared" si="10"/>
        <v>1001262.2796693408</v>
      </c>
      <c r="O60" s="45">
        <f t="shared" si="10"/>
        <v>249518.50327804728</v>
      </c>
      <c r="P60" s="45">
        <f t="shared" si="10"/>
        <v>73347.323863529047</v>
      </c>
      <c r="Q60" s="45">
        <f t="shared" si="10"/>
        <v>243120.50552825729</v>
      </c>
      <c r="R60" s="45">
        <f t="shared" si="10"/>
        <v>585303.97763167566</v>
      </c>
      <c r="S60" s="45">
        <f t="shared" si="10"/>
        <v>0</v>
      </c>
      <c r="T60" s="45">
        <f t="shared" si="10"/>
        <v>34225.791076864494</v>
      </c>
      <c r="U60" s="45">
        <f t="shared" ref="U60:AF60" si="11">U58+U59</f>
        <v>130982.44992843118</v>
      </c>
      <c r="V60" s="45">
        <f t="shared" si="11"/>
        <v>0</v>
      </c>
      <c r="W60" s="45">
        <f t="shared" si="11"/>
        <v>0</v>
      </c>
      <c r="X60" s="45">
        <f t="shared" si="11"/>
        <v>0</v>
      </c>
      <c r="Y60" s="45">
        <f t="shared" si="11"/>
        <v>0</v>
      </c>
      <c r="Z60" s="45">
        <f t="shared" si="11"/>
        <v>0</v>
      </c>
      <c r="AA60" s="45">
        <f t="shared" si="11"/>
        <v>0</v>
      </c>
      <c r="AB60" s="45">
        <f t="shared" si="11"/>
        <v>0</v>
      </c>
      <c r="AC60" s="45">
        <f t="shared" si="11"/>
        <v>0</v>
      </c>
      <c r="AD60" s="45">
        <f t="shared" si="11"/>
        <v>0</v>
      </c>
      <c r="AE60" s="45">
        <f t="shared" si="11"/>
        <v>0</v>
      </c>
      <c r="AF60" s="45">
        <f t="shared" si="11"/>
        <v>0</v>
      </c>
      <c r="AG60" s="69">
        <f>SUM(F60:AF60)</f>
        <v>68731827.913039804</v>
      </c>
      <c r="AH60" s="14" t="str">
        <f>IF(ABS(E60-AG60)&lt;0.01,"ok","err")</f>
        <v>ok</v>
      </c>
    </row>
    <row r="61" spans="1:34" x14ac:dyDescent="0.2">
      <c r="E61" s="32"/>
    </row>
    <row r="62" spans="1:34" x14ac:dyDescent="0.2">
      <c r="A62" s="1" t="s">
        <v>3</v>
      </c>
      <c r="E62" s="32"/>
    </row>
    <row r="63" spans="1:34" x14ac:dyDescent="0.2">
      <c r="A63" s="72" t="s">
        <v>209</v>
      </c>
      <c r="C63" s="2" t="s">
        <v>243</v>
      </c>
      <c r="D63" s="2" t="s">
        <v>617</v>
      </c>
      <c r="E63" s="45">
        <f>'Func &amp; Classif'!R137</f>
        <v>0</v>
      </c>
      <c r="F63" s="45">
        <f>IF(VLOOKUP($D63,$C$5:$AT$510,3,)=0,0,(VLOOKUP($D63,$C$5:$AT$510,4,)/VLOOKUP($D63,$C$5:$AT$510,3,))*$E63)</f>
        <v>0</v>
      </c>
      <c r="G63" s="45">
        <f>IF(VLOOKUP($D63,$C$5:$AT$510,3,)=0,0,(VLOOKUP($D63,$C$5:$AT$510,5,)/VLOOKUP($D63,$C$5:$AT$510,3,))*$E63)</f>
        <v>0</v>
      </c>
      <c r="H63" s="45">
        <f>IF(VLOOKUP($D63,$C$5:$AT$510,3,)=0,0,(VLOOKUP($D63,$C$5:$AT$510,6,)/VLOOKUP($D63,$C$5:$AT$510,3,))*$E63)</f>
        <v>0</v>
      </c>
      <c r="I63" s="45">
        <f>IF(VLOOKUP($D63,$C$5:$AT$510,3,)=0,0,(VLOOKUP($D63,$C$5:$AT$510,7,)/VLOOKUP($D63,$C$5:$AT$510,3,))*$E63)</f>
        <v>0</v>
      </c>
      <c r="J63" s="45">
        <f>IF(VLOOKUP($D63,$C$5:$AT$510,3,)=0,0,(VLOOKUP($D63,$C$5:$AT$510,8,)/VLOOKUP($D63,$C$5:$AT$510,3,))*$E63)</f>
        <v>0</v>
      </c>
      <c r="K63" s="45">
        <f>IF(VLOOKUP($D63,$C$5:$AT$510,3,)=0,0,(VLOOKUP($D63,$C$5:$AT$510,9,)/VLOOKUP($D63,$C$5:$AT$510,3,))*$E63)</f>
        <v>0</v>
      </c>
      <c r="L63" s="45">
        <f>IF(VLOOKUP($D63,$C$5:$AT$510,3,)=0,0,(VLOOKUP($D63,$C$5:$AT$510,10,)/VLOOKUP($D63,$C$5:$AT$510,3,))*$E63)</f>
        <v>0</v>
      </c>
      <c r="M63" s="45">
        <f>IF(VLOOKUP($D63,$C$5:$AT$510,3,)=0,0,(VLOOKUP($D63,$C$5:$AT$510,11,)/VLOOKUP($D63,$C$5:$AT$510,3,))*$E63)</f>
        <v>0</v>
      </c>
      <c r="N63" s="45">
        <f>IF(VLOOKUP($D63,$C$5:$AT$510,3,)=0,0,(VLOOKUP($D63,$C$5:$AT$510,12,)/VLOOKUP($D63,$C$5:$AT$510,3,))*$E63)</f>
        <v>0</v>
      </c>
      <c r="O63" s="45">
        <f>IF(VLOOKUP($D63,$C$5:$AT$510,3,)=0,0,(VLOOKUP($D63,$C$5:$AT$510,13,)/VLOOKUP($D63,$C$5:$AT$510,3,))*$E63)</f>
        <v>0</v>
      </c>
      <c r="P63" s="45">
        <f>IF(VLOOKUP($D63,$C$5:$AT$510,3,)=0,0,(VLOOKUP($D63,$C$5:$AT$510,14,)/VLOOKUP($D63,$C$5:$AT$510,3,))*$E63)</f>
        <v>0</v>
      </c>
      <c r="Q63" s="45">
        <f>IF(VLOOKUP($D63,$C$5:$AT$510,3,)=0,0,(VLOOKUP($D63,$C$5:$AT$510,15,)/VLOOKUP($D63,$C$5:$AT$510,3,))*$E63)</f>
        <v>0</v>
      </c>
      <c r="R63" s="45">
        <f>IF(VLOOKUP($D63,$C$5:$AT$510,3,)=0,0,(VLOOKUP($D63,$C$5:$AT$510,16,)/VLOOKUP($D63,$C$5:$AT$510,3,))*$E63)</f>
        <v>0</v>
      </c>
      <c r="S63" s="45">
        <f>IF(VLOOKUP($D63,$C$5:$AT$510,3,)=0,0,(VLOOKUP($D63,$C$5:$AT$510,17,)/VLOOKUP($D63,$C$5:$AT$510,3,))*$E63)</f>
        <v>0</v>
      </c>
      <c r="T63" s="45">
        <f>IF(VLOOKUP($D63,$C$5:$AT$510,3,)=0,0,(VLOOKUP($D63,$C$5:$AT$510,18,)/VLOOKUP($D63,$C$5:$AT$510,3,))*$E63)</f>
        <v>0</v>
      </c>
      <c r="U63" s="45">
        <f>IF(VLOOKUP($D63,$C$5:$AT$510,3,)=0,0,(VLOOKUP($D63,$C$5:$AT$510,19,)/VLOOKUP($D63,$C$5:$AT$510,3,))*$E63)</f>
        <v>0</v>
      </c>
      <c r="V63" s="45">
        <f>IF(VLOOKUP($D63,$C$5:$AT$510,3,)=0,0,(VLOOKUP($D63,$C$5:$AT$510,20,)/VLOOKUP($D63,$C$5:$AT$510,3,))*$E63)</f>
        <v>0</v>
      </c>
      <c r="W63" s="45">
        <f>IF(VLOOKUP($D63,$C$5:$AT$510,3,)=0,0,(VLOOKUP($D63,$C$5:$AT$510,21,)/VLOOKUP($D63,$C$5:$AT$510,3,))*$E63)</f>
        <v>0</v>
      </c>
      <c r="X63" s="45">
        <f>IF(VLOOKUP($D63,$C$5:$AT$510,3,)=0,0,(VLOOKUP($D63,$C$5:$AT$510,22,)/VLOOKUP($D63,$C$5:$AT$510,3,))*$E63)</f>
        <v>0</v>
      </c>
      <c r="Y63" s="45">
        <f>IF(VLOOKUP($D63,$C$5:$AT$510,3,)=0,0,(VLOOKUP($D63,$C$5:$AT$510,23,)/VLOOKUP($D63,$C$5:$AT$510,3,))*$E63)</f>
        <v>0</v>
      </c>
      <c r="Z63" s="45">
        <f>IF(VLOOKUP($D63,$C$5:$AT$510,3,)=0,0,(VLOOKUP($D63,$C$5:$AT$510,24,)/VLOOKUP($D63,$C$5:$AT$510,3,))*$E63)</f>
        <v>0</v>
      </c>
      <c r="AA63" s="45">
        <f>IF(VLOOKUP($D63,$C$5:$AT$510,3,)=0,0,(VLOOKUP($D63,$C$5:$AT$510,25,)/VLOOKUP($D63,$C$5:$AT$510,3,))*$E63)</f>
        <v>0</v>
      </c>
      <c r="AB63" s="45">
        <f>IF(VLOOKUP($D63,$C$5:$AT$510,3,)=0,0,(VLOOKUP($D63,$C$5:$AT$510,26,)/VLOOKUP($D63,$C$5:$AT$510,3,))*$E63)</f>
        <v>0</v>
      </c>
      <c r="AC63" s="45">
        <f>IF(VLOOKUP($D63,$C$5:$AT$510,3,)=0,0,(VLOOKUP($D63,$C$5:$AT$510,27,)/VLOOKUP($D63,$C$5:$AT$510,3,))*$E63)</f>
        <v>0</v>
      </c>
      <c r="AD63" s="45">
        <f>IF(VLOOKUP($D63,$C$5:$AT$510,3,)=0,0,(VLOOKUP($D63,$C$5:$AT$510,28,)/VLOOKUP($D63,$C$5:$AT$510,3,))*$E63)</f>
        <v>0</v>
      </c>
      <c r="AE63" s="45">
        <f>IF(VLOOKUP($D63,$C$5:$AT$510,3,)=0,0,(VLOOKUP($D63,$C$5:$AT$510,29,)/VLOOKUP($D63,$C$5:$AT$510,3,))*$E63)</f>
        <v>0</v>
      </c>
      <c r="AF63" s="45">
        <f>IF(VLOOKUP($D63,$C$5:$AT$510,3,)=0,0,(VLOOKUP($D63,$C$5:$AT$510,30,)/VLOOKUP($D63,$C$5:$AT$510,3,))*$E63)</f>
        <v>0</v>
      </c>
      <c r="AG63" s="69">
        <f>SUM(F63:AF63)</f>
        <v>0</v>
      </c>
      <c r="AH63" s="14" t="str">
        <f>IF(ABS(E63-AG63)&lt;0.01,"ok","err")</f>
        <v>ok</v>
      </c>
    </row>
    <row r="64" spans="1:34" x14ac:dyDescent="0.2">
      <c r="A64" s="72" t="s">
        <v>221</v>
      </c>
      <c r="C64" s="2" t="s">
        <v>244</v>
      </c>
      <c r="D64" s="2" t="s">
        <v>699</v>
      </c>
      <c r="E64" s="32">
        <f>'Func &amp; Classif'!S137</f>
        <v>8487422.6790760532</v>
      </c>
      <c r="F64" s="45">
        <f>IF(VLOOKUP($D64,$C$5:$AT$510,3,)=0,0,(VLOOKUP($D64,$C$5:$AT$510,4,)/VLOOKUP($D64,$C$5:$AT$510,3,))*$E64)</f>
        <v>7398063.7340319883</v>
      </c>
      <c r="G64" s="45">
        <f>IF(VLOOKUP($D64,$C$5:$AT$510,3,)=0,0,(VLOOKUP($D64,$C$5:$AT$510,5,)/VLOOKUP($D64,$C$5:$AT$510,3,))*$E64)</f>
        <v>0</v>
      </c>
      <c r="H64" s="45">
        <f>IF(VLOOKUP($D64,$C$5:$AT$510,3,)=0,0,(VLOOKUP($D64,$C$5:$AT$510,6,)/VLOOKUP($D64,$C$5:$AT$510,3,))*$E64)</f>
        <v>301.05248368324197</v>
      </c>
      <c r="I64" s="45">
        <f>IF(VLOOKUP($D64,$C$5:$AT$510,3,)=0,0,(VLOOKUP($D64,$C$5:$AT$510,7,)/VLOOKUP($D64,$C$5:$AT$510,3,))*$E64)</f>
        <v>744788.28581371484</v>
      </c>
      <c r="J64" s="45">
        <f>IF(VLOOKUP($D64,$C$5:$AT$510,3,)=0,0,(VLOOKUP($D64,$C$5:$AT$510,8,)/VLOOKUP($D64,$C$5:$AT$510,3,))*$E64)</f>
        <v>248329.61512661196</v>
      </c>
      <c r="K64" s="45">
        <f>IF(VLOOKUP($D64,$C$5:$AT$510,3,)=0,0,(VLOOKUP($D64,$C$5:$AT$510,9,)/VLOOKUP($D64,$C$5:$AT$510,3,))*$E64)</f>
        <v>1738.9643995550946</v>
      </c>
      <c r="L64" s="45">
        <f>IF(VLOOKUP($D64,$C$5:$AT$510,3,)=0,0,(VLOOKUP($D64,$C$5:$AT$510,10,)/VLOOKUP($D64,$C$5:$AT$510,3,))*$E64)</f>
        <v>0</v>
      </c>
      <c r="M64" s="45">
        <f>IF(VLOOKUP($D64,$C$5:$AT$510,3,)=0,0,(VLOOKUP($D64,$C$5:$AT$510,11,)/VLOOKUP($D64,$C$5:$AT$510,3,))*$E64)</f>
        <v>3691.7027043380062</v>
      </c>
      <c r="N64" s="45">
        <f>IF(VLOOKUP($D64,$C$5:$AT$510,3,)=0,0,(VLOOKUP($D64,$C$5:$AT$510,12,)/VLOOKUP($D64,$C$5:$AT$510,3,))*$E64)</f>
        <v>34900.454955331217</v>
      </c>
      <c r="O64" s="45">
        <f>IF(VLOOKUP($D64,$C$5:$AT$510,3,)=0,0,(VLOOKUP($D64,$C$5:$AT$510,13,)/VLOOKUP($D64,$C$5:$AT$510,3,))*$E64)</f>
        <v>6262.2646459894477</v>
      </c>
      <c r="P64" s="45">
        <f>IF(VLOOKUP($D64,$C$5:$AT$510,3,)=0,0,(VLOOKUP($D64,$C$5:$AT$510,14,)/VLOOKUP($D64,$C$5:$AT$510,3,))*$E64)</f>
        <v>4972.427925189405</v>
      </c>
      <c r="Q64" s="45">
        <f>IF(VLOOKUP($D64,$C$5:$AT$510,3,)=0,0,(VLOOKUP($D64,$C$5:$AT$510,15,)/VLOOKUP($D64,$C$5:$AT$510,3,))*$E64)</f>
        <v>25584.665586786807</v>
      </c>
      <c r="R64" s="45">
        <f>IF(VLOOKUP($D64,$C$5:$AT$510,3,)=0,0,(VLOOKUP($D64,$C$5:$AT$510,16,)/VLOOKUP($D64,$C$5:$AT$510,3,))*$E64)</f>
        <v>0</v>
      </c>
      <c r="S64" s="45">
        <f>IF(VLOOKUP($D64,$C$5:$AT$510,3,)=0,0,(VLOOKUP($D64,$C$5:$AT$510,17,)/VLOOKUP($D64,$C$5:$AT$510,3,))*$E64)</f>
        <v>0</v>
      </c>
      <c r="T64" s="45">
        <f>IF(VLOOKUP($D64,$C$5:$AT$510,3,)=0,0,(VLOOKUP($D64,$C$5:$AT$510,18,)/VLOOKUP($D64,$C$5:$AT$510,3,))*$E64)</f>
        <v>18789.511402865304</v>
      </c>
      <c r="U64" s="45">
        <f>IF(VLOOKUP($D64,$C$5:$AT$510,3,)=0,0,(VLOOKUP($D64,$C$5:$AT$510,19,)/VLOOKUP($D64,$C$5:$AT$510,3,))*$E64)</f>
        <v>0</v>
      </c>
      <c r="V64" s="45">
        <f>IF(VLOOKUP($D64,$C$5:$AT$510,3,)=0,0,(VLOOKUP($D64,$C$5:$AT$510,20,)/VLOOKUP($D64,$C$5:$AT$510,3,))*$E64)</f>
        <v>0</v>
      </c>
      <c r="W64" s="45">
        <f>IF(VLOOKUP($D64,$C$5:$AT$510,3,)=0,0,(VLOOKUP($D64,$C$5:$AT$510,21,)/VLOOKUP($D64,$C$5:$AT$510,3,))*$E64)</f>
        <v>0</v>
      </c>
      <c r="X64" s="45">
        <f>IF(VLOOKUP($D64,$C$5:$AT$510,3,)=0,0,(VLOOKUP($D64,$C$5:$AT$510,22,)/VLOOKUP($D64,$C$5:$AT$510,3,))*$E64)</f>
        <v>0</v>
      </c>
      <c r="Y64" s="45">
        <f>IF(VLOOKUP($D64,$C$5:$AT$510,3,)=0,0,(VLOOKUP($D64,$C$5:$AT$510,23,)/VLOOKUP($D64,$C$5:$AT$510,3,))*$E64)</f>
        <v>0</v>
      </c>
      <c r="Z64" s="45">
        <f>IF(VLOOKUP($D64,$C$5:$AT$510,3,)=0,0,(VLOOKUP($D64,$C$5:$AT$510,24,)/VLOOKUP($D64,$C$5:$AT$510,3,))*$E64)</f>
        <v>0</v>
      </c>
      <c r="AA64" s="45">
        <f>IF(VLOOKUP($D64,$C$5:$AT$510,3,)=0,0,(VLOOKUP($D64,$C$5:$AT$510,25,)/VLOOKUP($D64,$C$5:$AT$510,3,))*$E64)</f>
        <v>0</v>
      </c>
      <c r="AB64" s="45">
        <f>IF(VLOOKUP($D64,$C$5:$AT$510,3,)=0,0,(VLOOKUP($D64,$C$5:$AT$510,26,)/VLOOKUP($D64,$C$5:$AT$510,3,))*$E64)</f>
        <v>0</v>
      </c>
      <c r="AC64" s="45">
        <f>IF(VLOOKUP($D64,$C$5:$AT$510,3,)=0,0,(VLOOKUP($D64,$C$5:$AT$510,27,)/VLOOKUP($D64,$C$5:$AT$510,3,))*$E64)</f>
        <v>0</v>
      </c>
      <c r="AD64" s="45">
        <f>IF(VLOOKUP($D64,$C$5:$AT$510,3,)=0,0,(VLOOKUP($D64,$C$5:$AT$510,28,)/VLOOKUP($D64,$C$5:$AT$510,3,))*$E64)</f>
        <v>0</v>
      </c>
      <c r="AE64" s="45">
        <f>IF(VLOOKUP($D64,$C$5:$AT$510,3,)=0,0,(VLOOKUP($D64,$C$5:$AT$510,29,)/VLOOKUP($D64,$C$5:$AT$510,3,))*$E64)</f>
        <v>0</v>
      </c>
      <c r="AF64" s="45">
        <f>IF(VLOOKUP($D64,$C$5:$AT$510,3,)=0,0,(VLOOKUP($D64,$C$5:$AT$510,30,)/VLOOKUP($D64,$C$5:$AT$510,3,))*$E64)</f>
        <v>0</v>
      </c>
      <c r="AG64" s="69">
        <f>SUM(F64:AF64)</f>
        <v>8487422.6790760569</v>
      </c>
      <c r="AH64" s="14" t="str">
        <f>IF(ABS(E64-AG64)&lt;0.01,"ok","err")</f>
        <v>ok</v>
      </c>
    </row>
    <row r="65" spans="1:34" x14ac:dyDescent="0.2">
      <c r="A65" s="2" t="s">
        <v>228</v>
      </c>
      <c r="E65" s="45">
        <f t="shared" ref="E65:T65" si="12">E63+E64</f>
        <v>8487422.6790760532</v>
      </c>
      <c r="F65" s="45">
        <f t="shared" si="12"/>
        <v>7398063.7340319883</v>
      </c>
      <c r="G65" s="45">
        <f t="shared" si="12"/>
        <v>0</v>
      </c>
      <c r="H65" s="45">
        <f t="shared" si="12"/>
        <v>301.05248368324197</v>
      </c>
      <c r="I65" s="45">
        <f t="shared" si="12"/>
        <v>744788.28581371484</v>
      </c>
      <c r="J65" s="45">
        <f t="shared" si="12"/>
        <v>248329.61512661196</v>
      </c>
      <c r="K65" s="45">
        <f t="shared" si="12"/>
        <v>1738.9643995550946</v>
      </c>
      <c r="L65" s="45">
        <f t="shared" si="12"/>
        <v>0</v>
      </c>
      <c r="M65" s="45">
        <f t="shared" si="12"/>
        <v>3691.7027043380062</v>
      </c>
      <c r="N65" s="45">
        <f t="shared" si="12"/>
        <v>34900.454955331217</v>
      </c>
      <c r="O65" s="45">
        <f t="shared" si="12"/>
        <v>6262.2646459894477</v>
      </c>
      <c r="P65" s="45">
        <f t="shared" si="12"/>
        <v>4972.427925189405</v>
      </c>
      <c r="Q65" s="45">
        <f t="shared" si="12"/>
        <v>25584.665586786807</v>
      </c>
      <c r="R65" s="45">
        <f t="shared" si="12"/>
        <v>0</v>
      </c>
      <c r="S65" s="45">
        <f t="shared" si="12"/>
        <v>0</v>
      </c>
      <c r="T65" s="45">
        <f t="shared" si="12"/>
        <v>18789.511402865304</v>
      </c>
      <c r="U65" s="45">
        <f t="shared" ref="U65:AF65" si="13">U63+U64</f>
        <v>0</v>
      </c>
      <c r="V65" s="45">
        <f t="shared" si="13"/>
        <v>0</v>
      </c>
      <c r="W65" s="45">
        <f t="shared" si="13"/>
        <v>0</v>
      </c>
      <c r="X65" s="45">
        <f t="shared" si="13"/>
        <v>0</v>
      </c>
      <c r="Y65" s="45">
        <f t="shared" si="13"/>
        <v>0</v>
      </c>
      <c r="Z65" s="45">
        <f t="shared" si="13"/>
        <v>0</v>
      </c>
      <c r="AA65" s="45">
        <f t="shared" si="13"/>
        <v>0</v>
      </c>
      <c r="AB65" s="45">
        <f t="shared" si="13"/>
        <v>0</v>
      </c>
      <c r="AC65" s="45">
        <f t="shared" si="13"/>
        <v>0</v>
      </c>
      <c r="AD65" s="45">
        <f t="shared" si="13"/>
        <v>0</v>
      </c>
      <c r="AE65" s="45">
        <f t="shared" si="13"/>
        <v>0</v>
      </c>
      <c r="AF65" s="45">
        <f t="shared" si="13"/>
        <v>0</v>
      </c>
      <c r="AG65" s="69">
        <f>SUM(F65:AF65)</f>
        <v>8487422.6790760569</v>
      </c>
      <c r="AH65" s="14" t="str">
        <f>IF(ABS(E65-AG65)&lt;0.01,"ok","err")</f>
        <v>ok</v>
      </c>
    </row>
    <row r="66" spans="1:34" x14ac:dyDescent="0.2">
      <c r="E66" s="32"/>
    </row>
    <row r="67" spans="1:34" x14ac:dyDescent="0.2">
      <c r="A67" s="1" t="s">
        <v>4</v>
      </c>
      <c r="E67" s="32"/>
    </row>
    <row r="68" spans="1:34" x14ac:dyDescent="0.2">
      <c r="A68" s="72" t="s">
        <v>221</v>
      </c>
      <c r="C68" s="2" t="s">
        <v>245</v>
      </c>
      <c r="D68" s="2" t="s">
        <v>230</v>
      </c>
      <c r="E68" s="45">
        <f>'Func &amp; Classif'!U137</f>
        <v>4783455.9522608779</v>
      </c>
      <c r="F68" s="45">
        <f>IF(VLOOKUP($D68,$C$5:$AT$510,3,)=0,0,(VLOOKUP($D68,$C$5:$AT$510,4,)/VLOOKUP($D68,$C$5:$AT$510,3,))*$E68)</f>
        <v>4220211.4793846644</v>
      </c>
      <c r="G68" s="45">
        <f>IF(VLOOKUP($D68,$C$5:$AT$510,3,)=0,0,(VLOOKUP($D68,$C$5:$AT$510,5,)/VLOOKUP($D68,$C$5:$AT$510,3,))*$E68)</f>
        <v>0</v>
      </c>
      <c r="H68" s="45">
        <f>IF(VLOOKUP($D68,$C$5:$AT$510,3,)=0,0,(VLOOKUP($D68,$C$5:$AT$510,6,)/VLOOKUP($D68,$C$5:$AT$510,3,))*$E68)</f>
        <v>171.73482051699622</v>
      </c>
      <c r="I68" s="45">
        <f>IF(VLOOKUP($D68,$C$5:$AT$510,3,)=0,0,(VLOOKUP($D68,$C$5:$AT$510,7,)/VLOOKUP($D68,$C$5:$AT$510,3,))*$E68)</f>
        <v>303627.16267404932</v>
      </c>
      <c r="J68" s="45">
        <f>IF(VLOOKUP($D68,$C$5:$AT$510,3,)=0,0,(VLOOKUP($D68,$C$5:$AT$510,8,)/VLOOKUP($D68,$C$5:$AT$510,3,))*$E68)</f>
        <v>175827.11458177809</v>
      </c>
      <c r="K68" s="45">
        <f>IF(VLOOKUP($D68,$C$5:$AT$510,3,)=0,0,(VLOOKUP($D68,$C$5:$AT$510,9,)/VLOOKUP($D68,$C$5:$AT$510,3,))*$E68)</f>
        <v>14082.255282393689</v>
      </c>
      <c r="L68" s="45">
        <f>IF(VLOOKUP($D68,$C$5:$AT$510,3,)=0,0,(VLOOKUP($D68,$C$5:$AT$510,10,)/VLOOKUP($D68,$C$5:$AT$510,3,))*$E68)</f>
        <v>0</v>
      </c>
      <c r="M68" s="45">
        <f>IF(VLOOKUP($D68,$C$5:$AT$510,3,)=0,0,(VLOOKUP($D68,$C$5:$AT$510,11,)/VLOOKUP($D68,$C$5:$AT$510,3,))*$E68)</f>
        <v>22202.982222418486</v>
      </c>
      <c r="N68" s="45">
        <f>IF(VLOOKUP($D68,$C$5:$AT$510,3,)=0,0,(VLOOKUP($D68,$C$5:$AT$510,12,)/VLOOKUP($D68,$C$5:$AT$510,3,))*$E68)</f>
        <v>5794.9714561388428</v>
      </c>
      <c r="O68" s="45">
        <f>IF(VLOOKUP($D68,$C$5:$AT$510,3,)=0,0,(VLOOKUP($D68,$C$5:$AT$510,13,)/VLOOKUP($D68,$C$5:$AT$510,3,))*$E68)</f>
        <v>5550.7455556046216</v>
      </c>
      <c r="P68" s="45">
        <f>IF(VLOOKUP($D68,$C$5:$AT$510,3,)=0,0,(VLOOKUP($D68,$C$5:$AT$510,14,)/VLOOKUP($D68,$C$5:$AT$510,3,))*$E68)</f>
        <v>4021.5289628603136</v>
      </c>
      <c r="Q68" s="45">
        <f>IF(VLOOKUP($D68,$C$5:$AT$510,3,)=0,0,(VLOOKUP($D68,$C$5:$AT$510,15,)/VLOOKUP($D68,$C$5:$AT$510,3,))*$E68)</f>
        <v>13738.785641359698</v>
      </c>
      <c r="R68" s="45">
        <f>IF(VLOOKUP($D68,$C$5:$AT$510,3,)=0,0,(VLOOKUP($D68,$C$5:$AT$510,16,)/VLOOKUP($D68,$C$5:$AT$510,3,))*$E68)</f>
        <v>5794.9714561388428</v>
      </c>
      <c r="S68" s="45">
        <f>IF(VLOOKUP($D68,$C$5:$AT$510,3,)=0,0,(VLOOKUP($D68,$C$5:$AT$510,17,)/VLOOKUP($D68,$C$5:$AT$510,3,))*$E68)</f>
        <v>0</v>
      </c>
      <c r="T68" s="45">
        <f>IF(VLOOKUP($D68,$C$5:$AT$510,3,)=0,0,(VLOOKUP($D68,$C$5:$AT$510,18,)/VLOOKUP($D68,$C$5:$AT$510,3,))*$E68)</f>
        <v>12432.220222954009</v>
      </c>
      <c r="U68" s="45">
        <f>IF(VLOOKUP($D68,$C$5:$AT$510,3,)=0,0,(VLOOKUP($D68,$C$5:$AT$510,19,)/VLOOKUP($D68,$C$5:$AT$510,3,))*$E68)</f>
        <v>0</v>
      </c>
      <c r="V68" s="45">
        <f>IF(VLOOKUP($D68,$C$5:$AT$510,3,)=0,0,(VLOOKUP($D68,$C$5:$AT$510,20,)/VLOOKUP($D68,$C$5:$AT$510,3,))*$E68)</f>
        <v>0</v>
      </c>
      <c r="W68" s="45">
        <f>IF(VLOOKUP($D68,$C$5:$AT$510,3,)=0,0,(VLOOKUP($D68,$C$5:$AT$510,21,)/VLOOKUP($D68,$C$5:$AT$510,3,))*$E68)</f>
        <v>0</v>
      </c>
      <c r="X68" s="45">
        <f>IF(VLOOKUP($D68,$C$5:$AT$510,3,)=0,0,(VLOOKUP($D68,$C$5:$AT$510,22,)/VLOOKUP($D68,$C$5:$AT$510,3,))*$E68)</f>
        <v>0</v>
      </c>
      <c r="Y68" s="45">
        <f>IF(VLOOKUP($D68,$C$5:$AT$510,3,)=0,0,(VLOOKUP($D68,$C$5:$AT$510,23,)/VLOOKUP($D68,$C$5:$AT$510,3,))*$E68)</f>
        <v>0</v>
      </c>
      <c r="Z68" s="45">
        <f>IF(VLOOKUP($D68,$C$5:$AT$510,3,)=0,0,(VLOOKUP($D68,$C$5:$AT$510,24,)/VLOOKUP($D68,$C$5:$AT$510,3,))*$E68)</f>
        <v>0</v>
      </c>
      <c r="AA68" s="45">
        <f>IF(VLOOKUP($D68,$C$5:$AT$510,3,)=0,0,(VLOOKUP($D68,$C$5:$AT$510,25,)/VLOOKUP($D68,$C$5:$AT$510,3,))*$E68)</f>
        <v>0</v>
      </c>
      <c r="AB68" s="45">
        <f>IF(VLOOKUP($D68,$C$5:$AT$510,3,)=0,0,(VLOOKUP($D68,$C$5:$AT$510,26,)/VLOOKUP($D68,$C$5:$AT$510,3,))*$E68)</f>
        <v>0</v>
      </c>
      <c r="AC68" s="45">
        <f>IF(VLOOKUP($D68,$C$5:$AT$510,3,)=0,0,(VLOOKUP($D68,$C$5:$AT$510,27,)/VLOOKUP($D68,$C$5:$AT$510,3,))*$E68)</f>
        <v>0</v>
      </c>
      <c r="AD68" s="45">
        <f>IF(VLOOKUP($D68,$C$5:$AT$510,3,)=0,0,(VLOOKUP($D68,$C$5:$AT$510,28,)/VLOOKUP($D68,$C$5:$AT$510,3,))*$E68)</f>
        <v>0</v>
      </c>
      <c r="AE68" s="45">
        <f>IF(VLOOKUP($D68,$C$5:$AT$510,3,)=0,0,(VLOOKUP($D68,$C$5:$AT$510,29,)/VLOOKUP($D68,$C$5:$AT$510,3,))*$E68)</f>
        <v>0</v>
      </c>
      <c r="AF68" s="45">
        <f>IF(VLOOKUP($D68,$C$5:$AT$510,3,)=0,0,(VLOOKUP($D68,$C$5:$AT$510,30,)/VLOOKUP($D68,$C$5:$AT$510,3,))*$E68)</f>
        <v>0</v>
      </c>
      <c r="AG68" s="69">
        <f>SUM(F68:AF68)</f>
        <v>4783455.9522608751</v>
      </c>
      <c r="AH68" s="14" t="str">
        <f>IF(ABS(E68-AG68)&lt;0.01,"ok","err")</f>
        <v>ok</v>
      </c>
    </row>
    <row r="69" spans="1:34" x14ac:dyDescent="0.2">
      <c r="E69" s="32"/>
    </row>
    <row r="70" spans="1:34" x14ac:dyDescent="0.2">
      <c r="A70" s="1" t="s">
        <v>5</v>
      </c>
      <c r="E70" s="32"/>
    </row>
    <row r="71" spans="1:34" x14ac:dyDescent="0.2">
      <c r="A71" s="72" t="s">
        <v>221</v>
      </c>
      <c r="C71" s="2" t="s">
        <v>246</v>
      </c>
      <c r="D71" s="2" t="s">
        <v>232</v>
      </c>
      <c r="E71" s="45">
        <f>'Func &amp; Classif'!W137</f>
        <v>3304694.0008682366</v>
      </c>
      <c r="F71" s="45">
        <f>IF(VLOOKUP($D71,$C$5:$AT$510,3,)=0,0,(VLOOKUP($D71,$C$5:$AT$510,4,)/VLOOKUP($D71,$C$5:$AT$510,3,))*$E71)</f>
        <v>0</v>
      </c>
      <c r="G71" s="45">
        <f>IF(VLOOKUP($D71,$C$5:$AT$510,3,)=0,0,(VLOOKUP($D71,$C$5:$AT$510,5,)/VLOOKUP($D71,$C$5:$AT$510,3,))*$E71)</f>
        <v>0</v>
      </c>
      <c r="H71" s="45">
        <f>IF(VLOOKUP($D71,$C$5:$AT$510,3,)=0,0,(VLOOKUP($D71,$C$5:$AT$510,6,)/VLOOKUP($D71,$C$5:$AT$510,3,))*$E71)</f>
        <v>0</v>
      </c>
      <c r="I71" s="45">
        <f>IF(VLOOKUP($D71,$C$5:$AT$510,3,)=0,0,(VLOOKUP($D71,$C$5:$AT$510,7,)/VLOOKUP($D71,$C$5:$AT$510,3,))*$E71)</f>
        <v>0</v>
      </c>
      <c r="J71" s="45">
        <f>IF(VLOOKUP($D71,$C$5:$AT$510,3,)=0,0,(VLOOKUP($D71,$C$5:$AT$510,8,)/VLOOKUP($D71,$C$5:$AT$510,3,))*$E71)</f>
        <v>0</v>
      </c>
      <c r="K71" s="45">
        <f>IF(VLOOKUP($D71,$C$5:$AT$510,3,)=0,0,(VLOOKUP($D71,$C$5:$AT$510,9,)/VLOOKUP($D71,$C$5:$AT$510,3,))*$E71)</f>
        <v>0</v>
      </c>
      <c r="L71" s="45">
        <f>IF(VLOOKUP($D71,$C$5:$AT$510,3,)=0,0,(VLOOKUP($D71,$C$5:$AT$510,10,)/VLOOKUP($D71,$C$5:$AT$510,3,))*$E71)</f>
        <v>0</v>
      </c>
      <c r="M71" s="45">
        <f>IF(VLOOKUP($D71,$C$5:$AT$510,3,)=0,0,(VLOOKUP($D71,$C$5:$AT$510,11,)/VLOOKUP($D71,$C$5:$AT$510,3,))*$E71)</f>
        <v>0</v>
      </c>
      <c r="N71" s="45">
        <f>IF(VLOOKUP($D71,$C$5:$AT$510,3,)=0,0,(VLOOKUP($D71,$C$5:$AT$510,12,)/VLOOKUP($D71,$C$5:$AT$510,3,))*$E71)</f>
        <v>0</v>
      </c>
      <c r="O71" s="45">
        <f>IF(VLOOKUP($D71,$C$5:$AT$510,3,)=0,0,(VLOOKUP($D71,$C$5:$AT$510,13,)/VLOOKUP($D71,$C$5:$AT$510,3,))*$E71)</f>
        <v>0</v>
      </c>
      <c r="P71" s="45">
        <f>IF(VLOOKUP($D71,$C$5:$AT$510,3,)=0,0,(VLOOKUP($D71,$C$5:$AT$510,14,)/VLOOKUP($D71,$C$5:$AT$510,3,))*$E71)</f>
        <v>0</v>
      </c>
      <c r="Q71" s="45">
        <f>IF(VLOOKUP($D71,$C$5:$AT$510,3,)=0,0,(VLOOKUP($D71,$C$5:$AT$510,15,)/VLOOKUP($D71,$C$5:$AT$510,3,))*$E71)</f>
        <v>0</v>
      </c>
      <c r="R71" s="45">
        <f>IF(VLOOKUP($D71,$C$5:$AT$510,3,)=0,0,(VLOOKUP($D71,$C$5:$AT$510,16,)/VLOOKUP($D71,$C$5:$AT$510,3,))*$E71)</f>
        <v>0</v>
      </c>
      <c r="S71" s="45">
        <f>IF(VLOOKUP($D71,$C$5:$AT$510,3,)=0,0,(VLOOKUP($D71,$C$5:$AT$510,17,)/VLOOKUP($D71,$C$5:$AT$510,3,))*$E71)</f>
        <v>0</v>
      </c>
      <c r="T71" s="45">
        <f>IF(VLOOKUP($D71,$C$5:$AT$510,3,)=0,0,(VLOOKUP($D71,$C$5:$AT$510,18,)/VLOOKUP($D71,$C$5:$AT$510,3,))*$E71)</f>
        <v>0</v>
      </c>
      <c r="U71" s="45">
        <f>IF(VLOOKUP($D71,$C$5:$AT$510,3,)=0,0,(VLOOKUP($D71,$C$5:$AT$510,19,)/VLOOKUP($D71,$C$5:$AT$510,3,))*$E71)</f>
        <v>3304694.0008682366</v>
      </c>
      <c r="V71" s="45">
        <f>IF(VLOOKUP($D71,$C$5:$AT$510,3,)=0,0,(VLOOKUP($D71,$C$5:$AT$510,20,)/VLOOKUP($D71,$C$5:$AT$510,3,))*$E71)</f>
        <v>0</v>
      </c>
      <c r="W71" s="45">
        <f>IF(VLOOKUP($D71,$C$5:$AT$510,3,)=0,0,(VLOOKUP($D71,$C$5:$AT$510,21,)/VLOOKUP($D71,$C$5:$AT$510,3,))*$E71)</f>
        <v>0</v>
      </c>
      <c r="X71" s="45">
        <f>IF(VLOOKUP($D71,$C$5:$AT$510,3,)=0,0,(VLOOKUP($D71,$C$5:$AT$510,22,)/VLOOKUP($D71,$C$5:$AT$510,3,))*$E71)</f>
        <v>0</v>
      </c>
      <c r="Y71" s="45">
        <f>IF(VLOOKUP($D71,$C$5:$AT$510,3,)=0,0,(VLOOKUP($D71,$C$5:$AT$510,23,)/VLOOKUP($D71,$C$5:$AT$510,3,))*$E71)</f>
        <v>0</v>
      </c>
      <c r="Z71" s="45">
        <f>IF(VLOOKUP($D71,$C$5:$AT$510,3,)=0,0,(VLOOKUP($D71,$C$5:$AT$510,24,)/VLOOKUP($D71,$C$5:$AT$510,3,))*$E71)</f>
        <v>0</v>
      </c>
      <c r="AA71" s="45">
        <f>IF(VLOOKUP($D71,$C$5:$AT$510,3,)=0,0,(VLOOKUP($D71,$C$5:$AT$510,25,)/VLOOKUP($D71,$C$5:$AT$510,3,))*$E71)</f>
        <v>0</v>
      </c>
      <c r="AB71" s="45">
        <f>IF(VLOOKUP($D71,$C$5:$AT$510,3,)=0,0,(VLOOKUP($D71,$C$5:$AT$510,26,)/VLOOKUP($D71,$C$5:$AT$510,3,))*$E71)</f>
        <v>0</v>
      </c>
      <c r="AC71" s="45">
        <f>IF(VLOOKUP($D71,$C$5:$AT$510,3,)=0,0,(VLOOKUP($D71,$C$5:$AT$510,27,)/VLOOKUP($D71,$C$5:$AT$510,3,))*$E71)</f>
        <v>0</v>
      </c>
      <c r="AD71" s="45">
        <f>IF(VLOOKUP($D71,$C$5:$AT$510,3,)=0,0,(VLOOKUP($D71,$C$5:$AT$510,28,)/VLOOKUP($D71,$C$5:$AT$510,3,))*$E71)</f>
        <v>0</v>
      </c>
      <c r="AE71" s="45">
        <f>IF(VLOOKUP($D71,$C$5:$AT$510,3,)=0,0,(VLOOKUP($D71,$C$5:$AT$510,29,)/VLOOKUP($D71,$C$5:$AT$510,3,))*$E71)</f>
        <v>0</v>
      </c>
      <c r="AF71" s="45">
        <f>IF(VLOOKUP($D71,$C$5:$AT$510,3,)=0,0,(VLOOKUP($D71,$C$5:$AT$510,30,)/VLOOKUP($D71,$C$5:$AT$510,3,))*$E71)</f>
        <v>0</v>
      </c>
      <c r="AG71" s="69">
        <f>SUM(F71:AF71)</f>
        <v>3304694.0008682366</v>
      </c>
      <c r="AH71" s="14" t="str">
        <f>IF(ABS(E71-AG71)&lt;0.01,"ok","err")</f>
        <v>ok</v>
      </c>
    </row>
    <row r="72" spans="1:34" x14ac:dyDescent="0.2">
      <c r="E72" s="32"/>
    </row>
    <row r="73" spans="1:34" x14ac:dyDescent="0.2">
      <c r="A73" s="1" t="s">
        <v>545</v>
      </c>
      <c r="E73" s="32"/>
    </row>
    <row r="74" spans="1:34" x14ac:dyDescent="0.2">
      <c r="A74" s="72" t="s">
        <v>221</v>
      </c>
      <c r="C74" s="2" t="s">
        <v>247</v>
      </c>
      <c r="D74" s="2" t="s">
        <v>234</v>
      </c>
      <c r="E74" s="45">
        <f>'Func &amp; Classif'!Y137</f>
        <v>0</v>
      </c>
      <c r="F74" s="45">
        <f>IF(VLOOKUP($D74,$C$5:$AT$510,3,)=0,0,(VLOOKUP($D74,$C$5:$AT$510,4,)/VLOOKUP($D74,$C$5:$AT$510,3,))*$E74)</f>
        <v>0</v>
      </c>
      <c r="G74" s="45">
        <f>IF(VLOOKUP($D74,$C$5:$AT$510,3,)=0,0,(VLOOKUP($D74,$C$5:$AT$510,5,)/VLOOKUP($D74,$C$5:$AT$510,3,))*$E74)</f>
        <v>0</v>
      </c>
      <c r="H74" s="45">
        <f>IF(VLOOKUP($D74,$C$5:$AT$510,3,)=0,0,(VLOOKUP($D74,$C$5:$AT$510,6,)/VLOOKUP($D74,$C$5:$AT$510,3,))*$E74)</f>
        <v>0</v>
      </c>
      <c r="I74" s="45">
        <f>IF(VLOOKUP($D74,$C$5:$AT$510,3,)=0,0,(VLOOKUP($D74,$C$5:$AT$510,7,)/VLOOKUP($D74,$C$5:$AT$510,3,))*$E74)</f>
        <v>0</v>
      </c>
      <c r="J74" s="45">
        <f>IF(VLOOKUP($D74,$C$5:$AT$510,3,)=0,0,(VLOOKUP($D74,$C$5:$AT$510,8,)/VLOOKUP($D74,$C$5:$AT$510,3,))*$E74)</f>
        <v>0</v>
      </c>
      <c r="K74" s="45">
        <f>IF(VLOOKUP($D74,$C$5:$AT$510,3,)=0,0,(VLOOKUP($D74,$C$5:$AT$510,9,)/VLOOKUP($D74,$C$5:$AT$510,3,))*$E74)</f>
        <v>0</v>
      </c>
      <c r="L74" s="45">
        <f>IF(VLOOKUP($D74,$C$5:$AT$510,3,)=0,0,(VLOOKUP($D74,$C$5:$AT$510,10,)/VLOOKUP($D74,$C$5:$AT$510,3,))*$E74)</f>
        <v>0</v>
      </c>
      <c r="M74" s="45">
        <f>IF(VLOOKUP($D74,$C$5:$AT$510,3,)=0,0,(VLOOKUP($D74,$C$5:$AT$510,11,)/VLOOKUP($D74,$C$5:$AT$510,3,))*$E74)</f>
        <v>0</v>
      </c>
      <c r="N74" s="45">
        <f>IF(VLOOKUP($D74,$C$5:$AT$510,3,)=0,0,(VLOOKUP($D74,$C$5:$AT$510,12,)/VLOOKUP($D74,$C$5:$AT$510,3,))*$E74)</f>
        <v>0</v>
      </c>
      <c r="O74" s="45">
        <f>IF(VLOOKUP($D74,$C$5:$AT$510,3,)=0,0,(VLOOKUP($D74,$C$5:$AT$510,13,)/VLOOKUP($D74,$C$5:$AT$510,3,))*$E74)</f>
        <v>0</v>
      </c>
      <c r="P74" s="45">
        <f>IF(VLOOKUP($D74,$C$5:$AT$510,3,)=0,0,(VLOOKUP($D74,$C$5:$AT$510,14,)/VLOOKUP($D74,$C$5:$AT$510,3,))*$E74)</f>
        <v>0</v>
      </c>
      <c r="Q74" s="45">
        <f>IF(VLOOKUP($D74,$C$5:$AT$510,3,)=0,0,(VLOOKUP($D74,$C$5:$AT$510,15,)/VLOOKUP($D74,$C$5:$AT$510,3,))*$E74)</f>
        <v>0</v>
      </c>
      <c r="R74" s="45">
        <f>IF(VLOOKUP($D74,$C$5:$AT$510,3,)=0,0,(VLOOKUP($D74,$C$5:$AT$510,16,)/VLOOKUP($D74,$C$5:$AT$510,3,))*$E74)</f>
        <v>0</v>
      </c>
      <c r="S74" s="45">
        <f>IF(VLOOKUP($D74,$C$5:$AT$510,3,)=0,0,(VLOOKUP($D74,$C$5:$AT$510,17,)/VLOOKUP($D74,$C$5:$AT$510,3,))*$E74)</f>
        <v>0</v>
      </c>
      <c r="T74" s="45">
        <f>IF(VLOOKUP($D74,$C$5:$AT$510,3,)=0,0,(VLOOKUP($D74,$C$5:$AT$510,18,)/VLOOKUP($D74,$C$5:$AT$510,3,))*$E74)</f>
        <v>0</v>
      </c>
      <c r="U74" s="45">
        <f>IF(VLOOKUP($D74,$C$5:$AT$510,3,)=0,0,(VLOOKUP($D74,$C$5:$AT$510,19,)/VLOOKUP($D74,$C$5:$AT$510,3,))*$E74)</f>
        <v>0</v>
      </c>
      <c r="V74" s="45">
        <f>IF(VLOOKUP($D74,$C$5:$AT$510,3,)=0,0,(VLOOKUP($D74,$C$5:$AT$510,20,)/VLOOKUP($D74,$C$5:$AT$510,3,))*$E74)</f>
        <v>0</v>
      </c>
      <c r="W74" s="45">
        <f>IF(VLOOKUP($D74,$C$5:$AT$510,3,)=0,0,(VLOOKUP($D74,$C$5:$AT$510,21,)/VLOOKUP($D74,$C$5:$AT$510,3,))*$E74)</f>
        <v>0</v>
      </c>
      <c r="X74" s="45">
        <f>IF(VLOOKUP($D74,$C$5:$AT$510,3,)=0,0,(VLOOKUP($D74,$C$5:$AT$510,22,)/VLOOKUP($D74,$C$5:$AT$510,3,))*$E74)</f>
        <v>0</v>
      </c>
      <c r="Y74" s="45">
        <f>IF(VLOOKUP($D74,$C$5:$AT$510,3,)=0,0,(VLOOKUP($D74,$C$5:$AT$510,23,)/VLOOKUP($D74,$C$5:$AT$510,3,))*$E74)</f>
        <v>0</v>
      </c>
      <c r="Z74" s="45">
        <f>IF(VLOOKUP($D74,$C$5:$AT$510,3,)=0,0,(VLOOKUP($D74,$C$5:$AT$510,24,)/VLOOKUP($D74,$C$5:$AT$510,3,))*$E74)</f>
        <v>0</v>
      </c>
      <c r="AA74" s="45">
        <f>IF(VLOOKUP($D74,$C$5:$AT$510,3,)=0,0,(VLOOKUP($D74,$C$5:$AT$510,25,)/VLOOKUP($D74,$C$5:$AT$510,3,))*$E74)</f>
        <v>0</v>
      </c>
      <c r="AB74" s="45">
        <f>IF(VLOOKUP($D74,$C$5:$AT$510,3,)=0,0,(VLOOKUP($D74,$C$5:$AT$510,26,)/VLOOKUP($D74,$C$5:$AT$510,3,))*$E74)</f>
        <v>0</v>
      </c>
      <c r="AC74" s="45">
        <f>IF(VLOOKUP($D74,$C$5:$AT$510,3,)=0,0,(VLOOKUP($D74,$C$5:$AT$510,27,)/VLOOKUP($D74,$C$5:$AT$510,3,))*$E74)</f>
        <v>0</v>
      </c>
      <c r="AD74" s="45">
        <f>IF(VLOOKUP($D74,$C$5:$AT$510,3,)=0,0,(VLOOKUP($D74,$C$5:$AT$510,28,)/VLOOKUP($D74,$C$5:$AT$510,3,))*$E74)</f>
        <v>0</v>
      </c>
      <c r="AE74" s="45">
        <f>IF(VLOOKUP($D74,$C$5:$AT$510,3,)=0,0,(VLOOKUP($D74,$C$5:$AT$510,29,)/VLOOKUP($D74,$C$5:$AT$510,3,))*$E74)</f>
        <v>0</v>
      </c>
      <c r="AF74" s="45">
        <f>IF(VLOOKUP($D74,$C$5:$AT$510,3,)=0,0,(VLOOKUP($D74,$C$5:$AT$510,30,)/VLOOKUP($D74,$C$5:$AT$510,3,))*$E74)</f>
        <v>0</v>
      </c>
      <c r="AG74" s="69">
        <f>SUM(F74:AF74)</f>
        <v>0</v>
      </c>
      <c r="AH74" s="14" t="str">
        <f>IF(ABS(E74-AG74)&lt;0.01,"ok","err")</f>
        <v>ok</v>
      </c>
    </row>
    <row r="75" spans="1:34" x14ac:dyDescent="0.2">
      <c r="E75" s="32"/>
    </row>
    <row r="76" spans="1:34" x14ac:dyDescent="0.2">
      <c r="A76" s="1" t="s">
        <v>470</v>
      </c>
      <c r="E76" s="32"/>
    </row>
    <row r="77" spans="1:34" x14ac:dyDescent="0.2">
      <c r="A77" s="72" t="s">
        <v>221</v>
      </c>
      <c r="C77" s="2" t="s">
        <v>244</v>
      </c>
      <c r="D77" s="2" t="s">
        <v>235</v>
      </c>
      <c r="E77" s="45">
        <f>'Func &amp; Classif'!AA137</f>
        <v>0</v>
      </c>
      <c r="F77" s="45">
        <f>IF(VLOOKUP($D77,$C$5:$AT$510,3,)=0,0,(VLOOKUP($D77,$C$5:$AT$510,4,)/VLOOKUP($D77,$C$5:$AT$510,3,))*$E77)</f>
        <v>0</v>
      </c>
      <c r="G77" s="45">
        <f>IF(VLOOKUP($D77,$C$5:$AT$510,3,)=0,0,(VLOOKUP($D77,$C$5:$AT$510,5,)/VLOOKUP($D77,$C$5:$AT$510,3,))*$E77)</f>
        <v>0</v>
      </c>
      <c r="H77" s="45">
        <f>IF(VLOOKUP($D77,$C$5:$AT$510,3,)=0,0,(VLOOKUP($D77,$C$5:$AT$510,6,)/VLOOKUP($D77,$C$5:$AT$510,3,))*$E77)</f>
        <v>0</v>
      </c>
      <c r="I77" s="45">
        <f>IF(VLOOKUP($D77,$C$5:$AT$510,3,)=0,0,(VLOOKUP($D77,$C$5:$AT$510,7,)/VLOOKUP($D77,$C$5:$AT$510,3,))*$E77)</f>
        <v>0</v>
      </c>
      <c r="J77" s="45">
        <f>IF(VLOOKUP($D77,$C$5:$AT$510,3,)=0,0,(VLOOKUP($D77,$C$5:$AT$510,8,)/VLOOKUP($D77,$C$5:$AT$510,3,))*$E77)</f>
        <v>0</v>
      </c>
      <c r="K77" s="45">
        <f>IF(VLOOKUP($D77,$C$5:$AT$510,3,)=0,0,(VLOOKUP($D77,$C$5:$AT$510,9,)/VLOOKUP($D77,$C$5:$AT$510,3,))*$E77)</f>
        <v>0</v>
      </c>
      <c r="L77" s="45">
        <f>IF(VLOOKUP($D77,$C$5:$AT$510,3,)=0,0,(VLOOKUP($D77,$C$5:$AT$510,10,)/VLOOKUP($D77,$C$5:$AT$510,3,))*$E77)</f>
        <v>0</v>
      </c>
      <c r="M77" s="45">
        <f>IF(VLOOKUP($D77,$C$5:$AT$510,3,)=0,0,(VLOOKUP($D77,$C$5:$AT$510,11,)/VLOOKUP($D77,$C$5:$AT$510,3,))*$E77)</f>
        <v>0</v>
      </c>
      <c r="N77" s="45">
        <f>IF(VLOOKUP($D77,$C$5:$AT$510,3,)=0,0,(VLOOKUP($D77,$C$5:$AT$510,12,)/VLOOKUP($D77,$C$5:$AT$510,3,))*$E77)</f>
        <v>0</v>
      </c>
      <c r="O77" s="45">
        <f>IF(VLOOKUP($D77,$C$5:$AT$510,3,)=0,0,(VLOOKUP($D77,$C$5:$AT$510,13,)/VLOOKUP($D77,$C$5:$AT$510,3,))*$E77)</f>
        <v>0</v>
      </c>
      <c r="P77" s="45">
        <f>IF(VLOOKUP($D77,$C$5:$AT$510,3,)=0,0,(VLOOKUP($D77,$C$5:$AT$510,14,)/VLOOKUP($D77,$C$5:$AT$510,3,))*$E77)</f>
        <v>0</v>
      </c>
      <c r="Q77" s="45">
        <f>IF(VLOOKUP($D77,$C$5:$AT$510,3,)=0,0,(VLOOKUP($D77,$C$5:$AT$510,15,)/VLOOKUP($D77,$C$5:$AT$510,3,))*$E77)</f>
        <v>0</v>
      </c>
      <c r="R77" s="45">
        <f>IF(VLOOKUP($D77,$C$5:$AT$510,3,)=0,0,(VLOOKUP($D77,$C$5:$AT$510,16,)/VLOOKUP($D77,$C$5:$AT$510,3,))*$E77)</f>
        <v>0</v>
      </c>
      <c r="S77" s="45">
        <f>IF(VLOOKUP($D77,$C$5:$AT$510,3,)=0,0,(VLOOKUP($D77,$C$5:$AT$510,17,)/VLOOKUP($D77,$C$5:$AT$510,3,))*$E77)</f>
        <v>0</v>
      </c>
      <c r="T77" s="45">
        <f>IF(VLOOKUP($D77,$C$5:$AT$510,3,)=0,0,(VLOOKUP($D77,$C$5:$AT$510,18,)/VLOOKUP($D77,$C$5:$AT$510,3,))*$E77)</f>
        <v>0</v>
      </c>
      <c r="U77" s="45">
        <f>IF(VLOOKUP($D77,$C$5:$AT$510,3,)=0,0,(VLOOKUP($D77,$C$5:$AT$510,19,)/VLOOKUP($D77,$C$5:$AT$510,3,))*$E77)</f>
        <v>0</v>
      </c>
      <c r="V77" s="45">
        <f>IF(VLOOKUP($D77,$C$5:$AT$510,3,)=0,0,(VLOOKUP($D77,$C$5:$AT$510,20,)/VLOOKUP($D77,$C$5:$AT$510,3,))*$E77)</f>
        <v>0</v>
      </c>
      <c r="W77" s="45">
        <f>IF(VLOOKUP($D77,$C$5:$AT$510,3,)=0,0,(VLOOKUP($D77,$C$5:$AT$510,21,)/VLOOKUP($D77,$C$5:$AT$510,3,))*$E77)</f>
        <v>0</v>
      </c>
      <c r="X77" s="45">
        <f>IF(VLOOKUP($D77,$C$5:$AT$510,3,)=0,0,(VLOOKUP($D77,$C$5:$AT$510,22,)/VLOOKUP($D77,$C$5:$AT$510,3,))*$E77)</f>
        <v>0</v>
      </c>
      <c r="Y77" s="45">
        <f>IF(VLOOKUP($D77,$C$5:$AT$510,3,)=0,0,(VLOOKUP($D77,$C$5:$AT$510,23,)/VLOOKUP($D77,$C$5:$AT$510,3,))*$E77)</f>
        <v>0</v>
      </c>
      <c r="Z77" s="45">
        <f>IF(VLOOKUP($D77,$C$5:$AT$510,3,)=0,0,(VLOOKUP($D77,$C$5:$AT$510,24,)/VLOOKUP($D77,$C$5:$AT$510,3,))*$E77)</f>
        <v>0</v>
      </c>
      <c r="AA77" s="45">
        <f>IF(VLOOKUP($D77,$C$5:$AT$510,3,)=0,0,(VLOOKUP($D77,$C$5:$AT$510,25,)/VLOOKUP($D77,$C$5:$AT$510,3,))*$E77)</f>
        <v>0</v>
      </c>
      <c r="AB77" s="45">
        <f>IF(VLOOKUP($D77,$C$5:$AT$510,3,)=0,0,(VLOOKUP($D77,$C$5:$AT$510,26,)/VLOOKUP($D77,$C$5:$AT$510,3,))*$E77)</f>
        <v>0</v>
      </c>
      <c r="AC77" s="45">
        <f>IF(VLOOKUP($D77,$C$5:$AT$510,3,)=0,0,(VLOOKUP($D77,$C$5:$AT$510,27,)/VLOOKUP($D77,$C$5:$AT$510,3,))*$E77)</f>
        <v>0</v>
      </c>
      <c r="AD77" s="45">
        <f>IF(VLOOKUP($D77,$C$5:$AT$510,3,)=0,0,(VLOOKUP($D77,$C$5:$AT$510,28,)/VLOOKUP($D77,$C$5:$AT$510,3,))*$E77)</f>
        <v>0</v>
      </c>
      <c r="AE77" s="45">
        <f>IF(VLOOKUP($D77,$C$5:$AT$510,3,)=0,0,(VLOOKUP($D77,$C$5:$AT$510,29,)/VLOOKUP($D77,$C$5:$AT$510,3,))*$E77)</f>
        <v>0</v>
      </c>
      <c r="AF77" s="45">
        <f>IF(VLOOKUP($D77,$C$5:$AT$510,3,)=0,0,(VLOOKUP($D77,$C$5:$AT$510,30,)/VLOOKUP($D77,$C$5:$AT$510,3,))*$E77)</f>
        <v>0</v>
      </c>
      <c r="AG77" s="69">
        <f>SUM(F77:AF77)</f>
        <v>0</v>
      </c>
      <c r="AH77" s="14" t="str">
        <f>IF(ABS(E77-AG77)&lt;0.01,"ok","err")</f>
        <v>ok</v>
      </c>
    </row>
    <row r="78" spans="1:34" x14ac:dyDescent="0.2">
      <c r="E78" s="32"/>
    </row>
    <row r="79" spans="1:34" x14ac:dyDescent="0.2">
      <c r="A79" s="2" t="s">
        <v>0</v>
      </c>
      <c r="C79" s="2" t="s">
        <v>248</v>
      </c>
      <c r="E79" s="45">
        <f>E49+E52+E55+E60+E65+E68+E71+E74+E77</f>
        <v>86840623.909999996</v>
      </c>
      <c r="F79" s="45">
        <f t="shared" ref="F79:R79" si="14">F49+F52+F55+F60+F65+F68+F71+F74+F77</f>
        <v>70645401.009013146</v>
      </c>
      <c r="G79" s="45">
        <f t="shared" si="14"/>
        <v>0</v>
      </c>
      <c r="H79" s="45">
        <f t="shared" si="14"/>
        <v>2681.3615312345123</v>
      </c>
      <c r="I79" s="45">
        <f t="shared" si="14"/>
        <v>5850540.8267600499</v>
      </c>
      <c r="J79" s="45">
        <f t="shared" si="14"/>
        <v>3382508.6194272335</v>
      </c>
      <c r="K79" s="45">
        <f t="shared" si="14"/>
        <v>48624.952146215466</v>
      </c>
      <c r="L79" s="45">
        <f t="shared" si="14"/>
        <v>0</v>
      </c>
      <c r="M79" s="45">
        <f t="shared" si="14"/>
        <v>992798.90495799948</v>
      </c>
      <c r="N79" s="45">
        <f t="shared" si="14"/>
        <v>1148425.5356660555</v>
      </c>
      <c r="O79" s="45">
        <f t="shared" si="14"/>
        <v>274891.25667970418</v>
      </c>
      <c r="P79" s="45">
        <f t="shared" si="14"/>
        <v>83740.854568559822</v>
      </c>
      <c r="Q79" s="45">
        <f t="shared" si="14"/>
        <v>286914.65458092903</v>
      </c>
      <c r="R79" s="45">
        <f t="shared" si="14"/>
        <v>621203.45096154744</v>
      </c>
      <c r="S79" s="45">
        <f t="shared" ref="S79:AF79" si="15">S49+S55+S60+S65+S68+S71+S74+S77</f>
        <v>0</v>
      </c>
      <c r="T79" s="45">
        <f t="shared" si="15"/>
        <v>66458.252458740142</v>
      </c>
      <c r="U79" s="45">
        <f t="shared" si="15"/>
        <v>3436434.2312485795</v>
      </c>
      <c r="V79" s="45">
        <f t="shared" si="15"/>
        <v>0</v>
      </c>
      <c r="W79" s="45">
        <f t="shared" si="15"/>
        <v>0</v>
      </c>
      <c r="X79" s="45">
        <f t="shared" si="15"/>
        <v>0</v>
      </c>
      <c r="Y79" s="45">
        <f t="shared" si="15"/>
        <v>0</v>
      </c>
      <c r="Z79" s="45">
        <f t="shared" si="15"/>
        <v>0</v>
      </c>
      <c r="AA79" s="45">
        <f t="shared" si="15"/>
        <v>0</v>
      </c>
      <c r="AB79" s="45">
        <f t="shared" si="15"/>
        <v>0</v>
      </c>
      <c r="AC79" s="45">
        <f t="shared" si="15"/>
        <v>0</v>
      </c>
      <c r="AD79" s="45">
        <f t="shared" si="15"/>
        <v>0</v>
      </c>
      <c r="AE79" s="45">
        <f t="shared" si="15"/>
        <v>0</v>
      </c>
      <c r="AF79" s="45">
        <f t="shared" si="15"/>
        <v>0</v>
      </c>
      <c r="AG79" s="69">
        <f>SUM(F79:AF79)</f>
        <v>86840623.909999967</v>
      </c>
      <c r="AH79" s="14" t="str">
        <f>IF(ABS(E79-AG79)&lt;0.01,"ok","err")</f>
        <v>ok</v>
      </c>
    </row>
    <row r="80" spans="1:34" x14ac:dyDescent="0.2">
      <c r="F80" s="30"/>
    </row>
    <row r="82" spans="1:34" x14ac:dyDescent="0.2">
      <c r="A82" s="12" t="s">
        <v>249</v>
      </c>
    </row>
    <row r="84" spans="1:34" x14ac:dyDescent="0.2">
      <c r="A84" s="1" t="s">
        <v>859</v>
      </c>
    </row>
    <row r="85" spans="1:34" x14ac:dyDescent="0.2">
      <c r="A85" s="72" t="s">
        <v>209</v>
      </c>
      <c r="C85" s="2" t="s">
        <v>250</v>
      </c>
      <c r="D85" s="2" t="s">
        <v>655</v>
      </c>
      <c r="E85" s="45">
        <f>'Func &amp; Classif'!H155</f>
        <v>1501914.1530180934</v>
      </c>
      <c r="F85" s="45">
        <f>IF(VLOOKUP($D85,$C$5:$AT$510,3,)=0,0,(VLOOKUP($D85,$C$5:$AT$510,4,)/VLOOKUP($D85,$C$5:$AT$510,3,))*$E85)</f>
        <v>1055540.9122716154</v>
      </c>
      <c r="G85" s="45">
        <f>IF(VLOOKUP($D85,$C$5:$AT$510,3,)=0,0,(VLOOKUP($D85,$C$5:$AT$510,5,)/VLOOKUP($D85,$C$5:$AT$510,3,))*$E85)</f>
        <v>0</v>
      </c>
      <c r="H85" s="45">
        <f>IF(VLOOKUP($D85,$C$5:$AT$510,3,)=0,0,(VLOOKUP($D85,$C$5:$AT$510,6,)/VLOOKUP($D85,$C$5:$AT$510,3,))*$E85)</f>
        <v>19.839809773429572</v>
      </c>
      <c r="I85" s="45">
        <f>IF(VLOOKUP($D85,$C$5:$AT$510,3,)=0,0,(VLOOKUP($D85,$C$5:$AT$510,7,)/VLOOKUP($D85,$C$5:$AT$510,3,))*$E85)</f>
        <v>94783.740343111262</v>
      </c>
      <c r="J85" s="45">
        <f>IF(VLOOKUP($D85,$C$5:$AT$510,3,)=0,0,(VLOOKUP($D85,$C$5:$AT$510,8,)/VLOOKUP($D85,$C$5:$AT$510,3,))*$E85)</f>
        <v>151124.73571929167</v>
      </c>
      <c r="K85" s="45">
        <f>IF(VLOOKUP($D85,$C$5:$AT$510,3,)=0,0,(VLOOKUP($D85,$C$5:$AT$510,9,)/VLOOKUP($D85,$C$5:$AT$510,3,))*$E85)</f>
        <v>0</v>
      </c>
      <c r="L85" s="45">
        <f>IF(VLOOKUP($D85,$C$5:$AT$510,3,)=0,0,(VLOOKUP($D85,$C$5:$AT$510,10,)/VLOOKUP($D85,$C$5:$AT$510,3,))*$E85)</f>
        <v>0</v>
      </c>
      <c r="M85" s="45">
        <f>IF(VLOOKUP($D85,$C$5:$AT$510,3,)=0,0,(VLOOKUP($D85,$C$5:$AT$510,11,)/VLOOKUP($D85,$C$5:$AT$510,3,))*$E85)</f>
        <v>44914.644961393118</v>
      </c>
      <c r="N85" s="45">
        <f>IF(VLOOKUP($D85,$C$5:$AT$510,3,)=0,0,(VLOOKUP($D85,$C$5:$AT$510,12,)/VLOOKUP($D85,$C$5:$AT$510,3,))*$E85)</f>
        <v>105311.48451514523</v>
      </c>
      <c r="O85" s="45">
        <f>IF(VLOOKUP($D85,$C$5:$AT$510,3,)=0,0,(VLOOKUP($D85,$C$5:$AT$510,13,)/VLOOKUP($D85,$C$5:$AT$510,3,))*$E85)</f>
        <v>13273.173343721392</v>
      </c>
      <c r="P85" s="45">
        <f>IF(VLOOKUP($D85,$C$5:$AT$510,3,)=0,0,(VLOOKUP($D85,$C$5:$AT$510,14,)/VLOOKUP($D85,$C$5:$AT$510,3,))*$E85)</f>
        <v>1369.9954052254704</v>
      </c>
      <c r="Q85" s="45">
        <f>IF(VLOOKUP($D85,$C$5:$AT$510,3,)=0,0,(VLOOKUP($D85,$C$5:$AT$510,15,)/VLOOKUP($D85,$C$5:$AT$510,3,))*$E85)</f>
        <v>4376.2146758094423</v>
      </c>
      <c r="R85" s="45">
        <f>IF(VLOOKUP($D85,$C$5:$AT$510,3,)=0,0,(VLOOKUP($D85,$C$5:$AT$510,16,)/VLOOKUP($D85,$C$5:$AT$510,3,))*$E85)</f>
        <v>29468.277230692078</v>
      </c>
      <c r="S85" s="45">
        <f>IF(VLOOKUP($D85,$C$5:$AT$510,3,)=0,0,(VLOOKUP($D85,$C$5:$AT$510,17,)/VLOOKUP($D85,$C$5:$AT$510,3,))*$E85)</f>
        <v>0</v>
      </c>
      <c r="T85" s="45">
        <f>IF(VLOOKUP($D85,$C$5:$AT$510,3,)=0,0,(VLOOKUP($D85,$C$5:$AT$510,18,)/VLOOKUP($D85,$C$5:$AT$510,3,))*$E85)</f>
        <v>989.3691243157765</v>
      </c>
      <c r="U85" s="45">
        <f>IF(VLOOKUP($D85,$C$5:$AT$510,3,)=0,0,(VLOOKUP($D85,$C$5:$AT$510,19,)/VLOOKUP($D85,$C$5:$AT$510,3,))*$E85)</f>
        <v>741.76561799921046</v>
      </c>
      <c r="V85" s="45">
        <f>IF(VLOOKUP($D85,$C$5:$AT$510,3,)=0,0,(VLOOKUP($D85,$C$5:$AT$510,20,)/VLOOKUP($D85,$C$5:$AT$510,3,))*$E85)</f>
        <v>0</v>
      </c>
      <c r="W85" s="45">
        <f>IF(VLOOKUP($D85,$C$5:$AT$510,3,)=0,0,(VLOOKUP($D85,$C$5:$AT$510,21,)/VLOOKUP($D85,$C$5:$AT$510,3,))*$E85)</f>
        <v>0</v>
      </c>
      <c r="X85" s="45">
        <f>IF(VLOOKUP($D85,$C$5:$AT$510,3,)=0,0,(VLOOKUP($D85,$C$5:$AT$510,22,)/VLOOKUP($D85,$C$5:$AT$510,3,))*$E85)</f>
        <v>0</v>
      </c>
      <c r="Y85" s="45">
        <f>IF(VLOOKUP($D85,$C$5:$AT$510,3,)=0,0,(VLOOKUP($D85,$C$5:$AT$510,23,)/VLOOKUP($D85,$C$5:$AT$510,3,))*$E85)</f>
        <v>0</v>
      </c>
      <c r="Z85" s="45">
        <f>IF(VLOOKUP($D85,$C$5:$AT$510,3,)=0,0,(VLOOKUP($D85,$C$5:$AT$510,24,)/VLOOKUP($D85,$C$5:$AT$510,3,))*$E85)</f>
        <v>0</v>
      </c>
      <c r="AA85" s="45">
        <f>IF(VLOOKUP($D85,$C$5:$AT$510,3,)=0,0,(VLOOKUP($D85,$C$5:$AT$510,25,)/VLOOKUP($D85,$C$5:$AT$510,3,))*$E85)</f>
        <v>0</v>
      </c>
      <c r="AB85" s="45">
        <f>IF(VLOOKUP($D85,$C$5:$AT$510,3,)=0,0,(VLOOKUP($D85,$C$5:$AT$510,26,)/VLOOKUP($D85,$C$5:$AT$510,3,))*$E85)</f>
        <v>0</v>
      </c>
      <c r="AC85" s="45">
        <f>IF(VLOOKUP($D85,$C$5:$AT$510,3,)=0,0,(VLOOKUP($D85,$C$5:$AT$510,27,)/VLOOKUP($D85,$C$5:$AT$510,3,))*$E85)</f>
        <v>0</v>
      </c>
      <c r="AD85" s="45">
        <f>IF(VLOOKUP($D85,$C$5:$AT$510,3,)=0,0,(VLOOKUP($D85,$C$5:$AT$510,28,)/VLOOKUP($D85,$C$5:$AT$510,3,))*$E85)</f>
        <v>0</v>
      </c>
      <c r="AE85" s="45">
        <f>IF(VLOOKUP($D85,$C$5:$AT$510,3,)=0,0,(VLOOKUP($D85,$C$5:$AT$510,29,)/VLOOKUP($D85,$C$5:$AT$510,3,))*$E85)</f>
        <v>0</v>
      </c>
      <c r="AF85" s="45">
        <f>IF(VLOOKUP($D85,$C$5:$AT$510,3,)=0,0,(VLOOKUP($D85,$C$5:$AT$510,30,)/VLOOKUP($D85,$C$5:$AT$510,3,))*$E85)</f>
        <v>0</v>
      </c>
      <c r="AG85" s="69">
        <f>SUM(F85:AF85)</f>
        <v>1501914.1530180937</v>
      </c>
      <c r="AH85" s="14" t="str">
        <f>IF(ABS(E85-AG85)&lt;0.01,"ok","err")</f>
        <v>ok</v>
      </c>
    </row>
    <row r="86" spans="1:34" x14ac:dyDescent="0.2">
      <c r="A86" s="72" t="s">
        <v>212</v>
      </c>
      <c r="C86" s="2" t="s">
        <v>251</v>
      </c>
      <c r="D86" s="2" t="s">
        <v>664</v>
      </c>
      <c r="E86" s="32">
        <f>'Func &amp; Classif'!I155</f>
        <v>0</v>
      </c>
      <c r="F86" s="45">
        <f>IF(VLOOKUP($D86,$C$5:$AT$510,3,)=0,0,(VLOOKUP($D86,$C$5:$AT$510,4,)/VLOOKUP($D86,$C$5:$AT$510,3,))*$E86)</f>
        <v>0</v>
      </c>
      <c r="G86" s="45">
        <f>IF(VLOOKUP($D86,$C$5:$AT$510,3,)=0,0,(VLOOKUP($D86,$C$5:$AT$510,5,)/VLOOKUP($D86,$C$5:$AT$510,3,))*$E86)</f>
        <v>0</v>
      </c>
      <c r="H86" s="45">
        <f>IF(VLOOKUP($D86,$C$5:$AT$510,3,)=0,0,(VLOOKUP($D86,$C$5:$AT$510,6,)/VLOOKUP($D86,$C$5:$AT$510,3,))*$E86)</f>
        <v>0</v>
      </c>
      <c r="I86" s="45">
        <f>IF(VLOOKUP($D86,$C$5:$AT$510,3,)=0,0,(VLOOKUP($D86,$C$5:$AT$510,7,)/VLOOKUP($D86,$C$5:$AT$510,3,))*$E86)</f>
        <v>0</v>
      </c>
      <c r="J86" s="45">
        <f>IF(VLOOKUP($D86,$C$5:$AT$510,3,)=0,0,(VLOOKUP($D86,$C$5:$AT$510,8,)/VLOOKUP($D86,$C$5:$AT$510,3,))*$E86)</f>
        <v>0</v>
      </c>
      <c r="K86" s="45">
        <f>IF(VLOOKUP($D86,$C$5:$AT$510,3,)=0,0,(VLOOKUP($D86,$C$5:$AT$510,9,)/VLOOKUP($D86,$C$5:$AT$510,3,))*$E86)</f>
        <v>0</v>
      </c>
      <c r="L86" s="45">
        <f>IF(VLOOKUP($D86,$C$5:$AT$510,3,)=0,0,(VLOOKUP($D86,$C$5:$AT$510,10,)/VLOOKUP($D86,$C$5:$AT$510,3,))*$E86)</f>
        <v>0</v>
      </c>
      <c r="M86" s="45">
        <f>IF(VLOOKUP($D86,$C$5:$AT$510,3,)=0,0,(VLOOKUP($D86,$C$5:$AT$510,11,)/VLOOKUP($D86,$C$5:$AT$510,3,))*$E86)</f>
        <v>0</v>
      </c>
      <c r="N86" s="45">
        <f>IF(VLOOKUP($D86,$C$5:$AT$510,3,)=0,0,(VLOOKUP($D86,$C$5:$AT$510,12,)/VLOOKUP($D86,$C$5:$AT$510,3,))*$E86)</f>
        <v>0</v>
      </c>
      <c r="O86" s="45">
        <f>IF(VLOOKUP($D86,$C$5:$AT$510,3,)=0,0,(VLOOKUP($D86,$C$5:$AT$510,13,)/VLOOKUP($D86,$C$5:$AT$510,3,))*$E86)</f>
        <v>0</v>
      </c>
      <c r="P86" s="45">
        <f>IF(VLOOKUP($D86,$C$5:$AT$510,3,)=0,0,(VLOOKUP($D86,$C$5:$AT$510,14,)/VLOOKUP($D86,$C$5:$AT$510,3,))*$E86)</f>
        <v>0</v>
      </c>
      <c r="Q86" s="45">
        <f>IF(VLOOKUP($D86,$C$5:$AT$510,3,)=0,0,(VLOOKUP($D86,$C$5:$AT$510,15,)/VLOOKUP($D86,$C$5:$AT$510,3,))*$E86)</f>
        <v>0</v>
      </c>
      <c r="R86" s="45">
        <f>IF(VLOOKUP($D86,$C$5:$AT$510,3,)=0,0,(VLOOKUP($D86,$C$5:$AT$510,16,)/VLOOKUP($D86,$C$5:$AT$510,3,))*$E86)</f>
        <v>0</v>
      </c>
      <c r="S86" s="45">
        <f>IF(VLOOKUP($D86,$C$5:$AT$510,3,)=0,0,(VLOOKUP($D86,$C$5:$AT$510,17,)/VLOOKUP($D86,$C$5:$AT$510,3,))*$E86)</f>
        <v>0</v>
      </c>
      <c r="T86" s="45">
        <f>IF(VLOOKUP($D86,$C$5:$AT$510,3,)=0,0,(VLOOKUP($D86,$C$5:$AT$510,18,)/VLOOKUP($D86,$C$5:$AT$510,3,))*$E86)</f>
        <v>0</v>
      </c>
      <c r="U86" s="45">
        <f>IF(VLOOKUP($D86,$C$5:$AT$510,3,)=0,0,(VLOOKUP($D86,$C$5:$AT$510,19,)/VLOOKUP($D86,$C$5:$AT$510,3,))*$E86)</f>
        <v>0</v>
      </c>
      <c r="V86" s="45">
        <f>IF(VLOOKUP($D86,$C$5:$AT$510,3,)=0,0,(VLOOKUP($D86,$C$5:$AT$510,20,)/VLOOKUP($D86,$C$5:$AT$510,3,))*$E86)</f>
        <v>0</v>
      </c>
      <c r="W86" s="45">
        <f>IF(VLOOKUP($D86,$C$5:$AT$510,3,)=0,0,(VLOOKUP($D86,$C$5:$AT$510,21,)/VLOOKUP($D86,$C$5:$AT$510,3,))*$E86)</f>
        <v>0</v>
      </c>
      <c r="X86" s="45">
        <f>IF(VLOOKUP($D86,$C$5:$AT$510,3,)=0,0,(VLOOKUP($D86,$C$5:$AT$510,22,)/VLOOKUP($D86,$C$5:$AT$510,3,))*$E86)</f>
        <v>0</v>
      </c>
      <c r="Y86" s="45">
        <f>IF(VLOOKUP($D86,$C$5:$AT$510,3,)=0,0,(VLOOKUP($D86,$C$5:$AT$510,23,)/VLOOKUP($D86,$C$5:$AT$510,3,))*$E86)</f>
        <v>0</v>
      </c>
      <c r="Z86" s="45">
        <f>IF(VLOOKUP($D86,$C$5:$AT$510,3,)=0,0,(VLOOKUP($D86,$C$5:$AT$510,24,)/VLOOKUP($D86,$C$5:$AT$510,3,))*$E86)</f>
        <v>0</v>
      </c>
      <c r="AA86" s="45">
        <f>IF(VLOOKUP($D86,$C$5:$AT$510,3,)=0,0,(VLOOKUP($D86,$C$5:$AT$510,25,)/VLOOKUP($D86,$C$5:$AT$510,3,))*$E86)</f>
        <v>0</v>
      </c>
      <c r="AB86" s="45">
        <f>IF(VLOOKUP($D86,$C$5:$AT$510,3,)=0,0,(VLOOKUP($D86,$C$5:$AT$510,26,)/VLOOKUP($D86,$C$5:$AT$510,3,))*$E86)</f>
        <v>0</v>
      </c>
      <c r="AC86" s="45">
        <f>IF(VLOOKUP($D86,$C$5:$AT$510,3,)=0,0,(VLOOKUP($D86,$C$5:$AT$510,27,)/VLOOKUP($D86,$C$5:$AT$510,3,))*$E86)</f>
        <v>0</v>
      </c>
      <c r="AD86" s="45">
        <f>IF(VLOOKUP($D86,$C$5:$AT$510,3,)=0,0,(VLOOKUP($D86,$C$5:$AT$510,28,)/VLOOKUP($D86,$C$5:$AT$510,3,))*$E86)</f>
        <v>0</v>
      </c>
      <c r="AE86" s="45">
        <f>IF(VLOOKUP($D86,$C$5:$AT$510,3,)=0,0,(VLOOKUP($D86,$C$5:$AT$510,29,)/VLOOKUP($D86,$C$5:$AT$510,3,))*$E86)</f>
        <v>0</v>
      </c>
      <c r="AF86" s="45">
        <f>IF(VLOOKUP($D86,$C$5:$AT$510,3,)=0,0,(VLOOKUP($D86,$C$5:$AT$510,30,)/VLOOKUP($D86,$C$5:$AT$510,3,))*$E86)</f>
        <v>0</v>
      </c>
      <c r="AG86" s="69">
        <f>SUM(F86:AF86)</f>
        <v>0</v>
      </c>
      <c r="AH86" s="14" t="str">
        <f>IF(ABS(E86-AG86)&lt;0.01,"ok","err")</f>
        <v>ok</v>
      </c>
    </row>
    <row r="87" spans="1:34" x14ac:dyDescent="0.2">
      <c r="A87" s="2" t="s">
        <v>215</v>
      </c>
      <c r="C87" s="2" t="s">
        <v>252</v>
      </c>
      <c r="E87" s="32">
        <f t="shared" ref="E87:T87" si="16">E85+E86</f>
        <v>1501914.1530180934</v>
      </c>
      <c r="F87" s="45">
        <f t="shared" si="16"/>
        <v>1055540.9122716154</v>
      </c>
      <c r="G87" s="45">
        <f t="shared" si="16"/>
        <v>0</v>
      </c>
      <c r="H87" s="45">
        <f t="shared" si="16"/>
        <v>19.839809773429572</v>
      </c>
      <c r="I87" s="45">
        <f t="shared" si="16"/>
        <v>94783.740343111262</v>
      </c>
      <c r="J87" s="45">
        <f t="shared" si="16"/>
        <v>151124.73571929167</v>
      </c>
      <c r="K87" s="45">
        <f t="shared" si="16"/>
        <v>0</v>
      </c>
      <c r="L87" s="45">
        <f t="shared" si="16"/>
        <v>0</v>
      </c>
      <c r="M87" s="45">
        <f t="shared" si="16"/>
        <v>44914.644961393118</v>
      </c>
      <c r="N87" s="45">
        <f t="shared" si="16"/>
        <v>105311.48451514523</v>
      </c>
      <c r="O87" s="45">
        <f t="shared" si="16"/>
        <v>13273.173343721392</v>
      </c>
      <c r="P87" s="45">
        <f t="shared" si="16"/>
        <v>1369.9954052254704</v>
      </c>
      <c r="Q87" s="45">
        <f t="shared" si="16"/>
        <v>4376.2146758094423</v>
      </c>
      <c r="R87" s="45">
        <f t="shared" si="16"/>
        <v>29468.277230692078</v>
      </c>
      <c r="S87" s="45">
        <f t="shared" si="16"/>
        <v>0</v>
      </c>
      <c r="T87" s="45">
        <f t="shared" si="16"/>
        <v>989.3691243157765</v>
      </c>
      <c r="U87" s="45">
        <f t="shared" ref="U87:AF87" si="17">U85+U86</f>
        <v>741.76561799921046</v>
      </c>
      <c r="V87" s="45">
        <f t="shared" si="17"/>
        <v>0</v>
      </c>
      <c r="W87" s="45">
        <f t="shared" si="17"/>
        <v>0</v>
      </c>
      <c r="X87" s="45">
        <f t="shared" si="17"/>
        <v>0</v>
      </c>
      <c r="Y87" s="45">
        <f t="shared" si="17"/>
        <v>0</v>
      </c>
      <c r="Z87" s="45">
        <f t="shared" si="17"/>
        <v>0</v>
      </c>
      <c r="AA87" s="45">
        <f t="shared" si="17"/>
        <v>0</v>
      </c>
      <c r="AB87" s="45">
        <f t="shared" si="17"/>
        <v>0</v>
      </c>
      <c r="AC87" s="45">
        <f t="shared" si="17"/>
        <v>0</v>
      </c>
      <c r="AD87" s="45">
        <f t="shared" si="17"/>
        <v>0</v>
      </c>
      <c r="AE87" s="45">
        <f t="shared" si="17"/>
        <v>0</v>
      </c>
      <c r="AF87" s="45">
        <f t="shared" si="17"/>
        <v>0</v>
      </c>
      <c r="AG87" s="69">
        <f>SUM(F87:AF87)</f>
        <v>1501914.1530180937</v>
      </c>
      <c r="AH87" s="14" t="str">
        <f>IF(ABS(E87-AG87)&lt;0.01,"ok","err")</f>
        <v>ok</v>
      </c>
    </row>
    <row r="88" spans="1:34" x14ac:dyDescent="0.2">
      <c r="E88" s="32"/>
      <c r="F88" s="32"/>
    </row>
    <row r="89" spans="1:34" x14ac:dyDescent="0.2">
      <c r="A89" s="1" t="s">
        <v>350</v>
      </c>
      <c r="E89" s="32"/>
      <c r="F89" s="32"/>
    </row>
    <row r="90" spans="1:34" x14ac:dyDescent="0.2">
      <c r="A90" s="72" t="s">
        <v>209</v>
      </c>
      <c r="C90" s="2" t="s">
        <v>850</v>
      </c>
      <c r="D90" s="2" t="s">
        <v>597</v>
      </c>
      <c r="E90" s="45">
        <f>'Func &amp; Classif'!K155</f>
        <v>0</v>
      </c>
      <c r="F90" s="45">
        <f>IF(VLOOKUP($D90,$C$5:$AT$510,3,)=0,0,(VLOOKUP($D90,$C$5:$AT$510,4,)/VLOOKUP($D90,$C$5:$AT$510,3,))*$E90)</f>
        <v>0</v>
      </c>
      <c r="G90" s="45">
        <f>IF(VLOOKUP($D90,$C$5:$AT$510,3,)=0,0,(VLOOKUP($D90,$C$5:$AT$510,5,)/VLOOKUP($D90,$C$5:$AT$510,3,))*$E90)</f>
        <v>0</v>
      </c>
      <c r="H90" s="45">
        <f>IF(VLOOKUP($D90,$C$5:$AT$510,3,)=0,0,(VLOOKUP($D90,$C$5:$AT$510,6,)/VLOOKUP($D90,$C$5:$AT$510,3,))*$E90)</f>
        <v>0</v>
      </c>
      <c r="I90" s="45">
        <f>IF(VLOOKUP($D90,$C$5:$AT$510,3,)=0,0,(VLOOKUP($D90,$C$5:$AT$510,7,)/VLOOKUP($D90,$C$5:$AT$510,3,))*$E90)</f>
        <v>0</v>
      </c>
      <c r="J90" s="45">
        <f>IF(VLOOKUP($D90,$C$5:$AT$510,3,)=0,0,(VLOOKUP($D90,$C$5:$AT$510,8,)/VLOOKUP($D90,$C$5:$AT$510,3,))*$E90)</f>
        <v>0</v>
      </c>
      <c r="K90" s="45">
        <f>IF(VLOOKUP($D90,$C$5:$AT$510,3,)=0,0,(VLOOKUP($D90,$C$5:$AT$510,9,)/VLOOKUP($D90,$C$5:$AT$510,3,))*$E90)</f>
        <v>0</v>
      </c>
      <c r="L90" s="45">
        <f>IF(VLOOKUP($D90,$C$5:$AT$510,3,)=0,0,(VLOOKUP($D90,$C$5:$AT$510,10,)/VLOOKUP($D90,$C$5:$AT$510,3,))*$E90)</f>
        <v>0</v>
      </c>
      <c r="M90" s="45">
        <f>IF(VLOOKUP($D90,$C$5:$AT$510,3,)=0,0,(VLOOKUP($D90,$C$5:$AT$510,11,)/VLOOKUP($D90,$C$5:$AT$510,3,))*$E90)</f>
        <v>0</v>
      </c>
      <c r="N90" s="45">
        <f>IF(VLOOKUP($D90,$C$5:$AT$510,3,)=0,0,(VLOOKUP($D90,$C$5:$AT$510,12,)/VLOOKUP($D90,$C$5:$AT$510,3,))*$E90)</f>
        <v>0</v>
      </c>
      <c r="O90" s="45">
        <f>IF(VLOOKUP($D90,$C$5:$AT$510,3,)=0,0,(VLOOKUP($D90,$C$5:$AT$510,13,)/VLOOKUP($D90,$C$5:$AT$510,3,))*$E90)</f>
        <v>0</v>
      </c>
      <c r="P90" s="45">
        <f>IF(VLOOKUP($D90,$C$5:$AT$510,3,)=0,0,(VLOOKUP($D90,$C$5:$AT$510,14,)/VLOOKUP($D90,$C$5:$AT$510,3,))*$E90)</f>
        <v>0</v>
      </c>
      <c r="Q90" s="45">
        <f>IF(VLOOKUP($D90,$C$5:$AT$510,3,)=0,0,(VLOOKUP($D90,$C$5:$AT$510,15,)/VLOOKUP($D90,$C$5:$AT$510,3,))*$E90)</f>
        <v>0</v>
      </c>
      <c r="R90" s="45">
        <f>IF(VLOOKUP($D90,$C$5:$AT$510,3,)=0,0,(VLOOKUP($D90,$C$5:$AT$510,16,)/VLOOKUP($D90,$C$5:$AT$510,3,))*$E90)</f>
        <v>0</v>
      </c>
      <c r="S90" s="45">
        <f>IF(VLOOKUP($D90,$C$5:$AT$510,3,)=0,0,(VLOOKUP($D90,$C$5:$AT$510,17,)/VLOOKUP($D90,$C$5:$AT$510,3,))*$E90)</f>
        <v>0</v>
      </c>
      <c r="T90" s="45">
        <f>IF(VLOOKUP($D90,$C$5:$AT$510,3,)=0,0,(VLOOKUP($D90,$C$5:$AT$510,18,)/VLOOKUP($D90,$C$5:$AT$510,3,))*$E90)</f>
        <v>0</v>
      </c>
      <c r="U90" s="45">
        <f>IF(VLOOKUP($D90,$C$5:$AT$510,3,)=0,0,(VLOOKUP($D90,$C$5:$AT$510,19,)/VLOOKUP($D90,$C$5:$AT$510,3,))*$E90)</f>
        <v>0</v>
      </c>
      <c r="V90" s="45">
        <f>IF(VLOOKUP($D90,$C$5:$AT$510,3,)=0,0,(VLOOKUP($D90,$C$5:$AT$510,20,)/VLOOKUP($D90,$C$5:$AT$510,3,))*$E90)</f>
        <v>0</v>
      </c>
      <c r="W90" s="45">
        <f>IF(VLOOKUP($D90,$C$5:$AT$510,3,)=0,0,(VLOOKUP($D90,$C$5:$AT$510,21,)/VLOOKUP($D90,$C$5:$AT$510,3,))*$E90)</f>
        <v>0</v>
      </c>
      <c r="X90" s="45">
        <f>IF(VLOOKUP($D90,$C$5:$AT$510,3,)=0,0,(VLOOKUP($D90,$C$5:$AT$510,22,)/VLOOKUP($D90,$C$5:$AT$510,3,))*$E90)</f>
        <v>0</v>
      </c>
      <c r="Y90" s="45">
        <f>IF(VLOOKUP($D90,$C$5:$AT$510,3,)=0,0,(VLOOKUP($D90,$C$5:$AT$510,23,)/VLOOKUP($D90,$C$5:$AT$510,3,))*$E90)</f>
        <v>0</v>
      </c>
      <c r="Z90" s="45">
        <f>IF(VLOOKUP($D90,$C$5:$AT$510,3,)=0,0,(VLOOKUP($D90,$C$5:$AT$510,24,)/VLOOKUP($D90,$C$5:$AT$510,3,))*$E90)</f>
        <v>0</v>
      </c>
      <c r="AA90" s="45">
        <f>IF(VLOOKUP($D90,$C$5:$AT$510,3,)=0,0,(VLOOKUP($D90,$C$5:$AT$510,25,)/VLOOKUP($D90,$C$5:$AT$510,3,))*$E90)</f>
        <v>0</v>
      </c>
      <c r="AB90" s="45">
        <f>IF(VLOOKUP($D90,$C$5:$AT$510,3,)=0,0,(VLOOKUP($D90,$C$5:$AT$510,26,)/VLOOKUP($D90,$C$5:$AT$510,3,))*$E90)</f>
        <v>0</v>
      </c>
      <c r="AC90" s="45">
        <f>IF(VLOOKUP($D90,$C$5:$AT$510,3,)=0,0,(VLOOKUP($D90,$C$5:$AT$510,27,)/VLOOKUP($D90,$C$5:$AT$510,3,))*$E90)</f>
        <v>0</v>
      </c>
      <c r="AD90" s="45">
        <f>IF(VLOOKUP($D90,$C$5:$AT$510,3,)=0,0,(VLOOKUP($D90,$C$5:$AT$510,28,)/VLOOKUP($D90,$C$5:$AT$510,3,))*$E90)</f>
        <v>0</v>
      </c>
      <c r="AE90" s="45">
        <f>IF(VLOOKUP($D90,$C$5:$AT$510,3,)=0,0,(VLOOKUP($D90,$C$5:$AT$510,29,)/VLOOKUP($D90,$C$5:$AT$510,3,))*$E90)</f>
        <v>0</v>
      </c>
      <c r="AF90" s="45">
        <f>IF(VLOOKUP($D90,$C$5:$AT$510,3,)=0,0,(VLOOKUP($D90,$C$5:$AT$510,30,)/VLOOKUP($D90,$C$5:$AT$510,3,))*$E90)</f>
        <v>0</v>
      </c>
      <c r="AG90" s="69">
        <f>SUM(F90:AF90)</f>
        <v>0</v>
      </c>
      <c r="AH90" s="14" t="str">
        <f>IF(ABS(E90-AG90)&lt;0.01,"ok","err")</f>
        <v>ok</v>
      </c>
    </row>
    <row r="91" spans="1:34" x14ac:dyDescent="0.2">
      <c r="E91" s="32"/>
    </row>
    <row r="92" spans="1:34" x14ac:dyDescent="0.2">
      <c r="A92" s="1" t="s">
        <v>1</v>
      </c>
      <c r="E92" s="32"/>
      <c r="F92" s="32"/>
    </row>
    <row r="93" spans="1:34" x14ac:dyDescent="0.2">
      <c r="A93" s="72" t="s">
        <v>209</v>
      </c>
      <c r="C93" s="2" t="s">
        <v>253</v>
      </c>
      <c r="D93" s="2" t="s">
        <v>613</v>
      </c>
      <c r="E93" s="45">
        <f>'Func &amp; Classif'!M155</f>
        <v>31217.088518270622</v>
      </c>
      <c r="F93" s="45">
        <f>IF(VLOOKUP($D93,$C$5:$AT$510,3,)=0,0,(VLOOKUP($D93,$C$5:$AT$510,4,)/VLOOKUP($D93,$C$5:$AT$510,3,))*$E93)</f>
        <v>22726.187507053313</v>
      </c>
      <c r="G93" s="45">
        <f>IF(VLOOKUP($D93,$C$5:$AT$510,3,)=0,0,(VLOOKUP($D93,$C$5:$AT$510,5,)/VLOOKUP($D93,$C$5:$AT$510,3,))*$E93)</f>
        <v>0</v>
      </c>
      <c r="H93" s="45">
        <f>IF(VLOOKUP($D93,$C$5:$AT$510,3,)=0,0,(VLOOKUP($D93,$C$5:$AT$510,6,)/VLOOKUP($D93,$C$5:$AT$510,3,))*$E93)</f>
        <v>0.42715846612225544</v>
      </c>
      <c r="I93" s="45">
        <f>IF(VLOOKUP($D93,$C$5:$AT$510,3,)=0,0,(VLOOKUP($D93,$C$5:$AT$510,7,)/VLOOKUP($D93,$C$5:$AT$510,3,))*$E93)</f>
        <v>2040.7290997576295</v>
      </c>
      <c r="J93" s="45">
        <f>IF(VLOOKUP($D93,$C$5:$AT$510,3,)=0,0,(VLOOKUP($D93,$C$5:$AT$510,8,)/VLOOKUP($D93,$C$5:$AT$510,3,))*$E93)</f>
        <v>3253.7716359275769</v>
      </c>
      <c r="K93" s="45">
        <f>IF(VLOOKUP($D93,$C$5:$AT$510,3,)=0,0,(VLOOKUP($D93,$C$5:$AT$510,9,)/VLOOKUP($D93,$C$5:$AT$510,3,))*$E93)</f>
        <v>0</v>
      </c>
      <c r="L93" s="45">
        <f>IF(VLOOKUP($D93,$C$5:$AT$510,3,)=0,0,(VLOOKUP($D93,$C$5:$AT$510,10,)/VLOOKUP($D93,$C$5:$AT$510,3,))*$E93)</f>
        <v>0</v>
      </c>
      <c r="M93" s="45">
        <f>IF(VLOOKUP($D93,$C$5:$AT$510,3,)=0,0,(VLOOKUP($D93,$C$5:$AT$510,11,)/VLOOKUP($D93,$C$5:$AT$510,3,))*$E93)</f>
        <v>967.02897191225838</v>
      </c>
      <c r="N93" s="45">
        <f>IF(VLOOKUP($D93,$C$5:$AT$510,3,)=0,0,(VLOOKUP($D93,$C$5:$AT$510,12,)/VLOOKUP($D93,$C$5:$AT$510,3,))*$E93)</f>
        <v>1147.7148462042542</v>
      </c>
      <c r="O93" s="45">
        <f>IF(VLOOKUP($D93,$C$5:$AT$510,3,)=0,0,(VLOOKUP($D93,$C$5:$AT$510,13,)/VLOOKUP($D93,$C$5:$AT$510,3,))*$E93)</f>
        <v>285.77634719421746</v>
      </c>
      <c r="P93" s="45">
        <f>IF(VLOOKUP($D93,$C$5:$AT$510,3,)=0,0,(VLOOKUP($D93,$C$5:$AT$510,14,)/VLOOKUP($D93,$C$5:$AT$510,3,))*$E93)</f>
        <v>29.496509420890948</v>
      </c>
      <c r="Q93" s="45">
        <f>IF(VLOOKUP($D93,$C$5:$AT$510,3,)=0,0,(VLOOKUP($D93,$C$5:$AT$510,15,)/VLOOKUP($D93,$C$5:$AT$510,3,))*$E93)</f>
        <v>94.221525795271035</v>
      </c>
      <c r="R93" s="45">
        <f>IF(VLOOKUP($D93,$C$5:$AT$510,3,)=0,0,(VLOOKUP($D93,$C$5:$AT$510,16,)/VLOOKUP($D93,$C$5:$AT$510,3,))*$E93)</f>
        <v>634.46294318737682</v>
      </c>
      <c r="S93" s="45">
        <f>IF(VLOOKUP($D93,$C$5:$AT$510,3,)=0,0,(VLOOKUP($D93,$C$5:$AT$510,17,)/VLOOKUP($D93,$C$5:$AT$510,3,))*$E93)</f>
        <v>0</v>
      </c>
      <c r="T93" s="45">
        <f>IF(VLOOKUP($D93,$C$5:$AT$510,3,)=0,0,(VLOOKUP($D93,$C$5:$AT$510,18,)/VLOOKUP($D93,$C$5:$AT$510,3,))*$E93)</f>
        <v>21.301484358858911</v>
      </c>
      <c r="U93" s="45">
        <f>IF(VLOOKUP($D93,$C$5:$AT$510,3,)=0,0,(VLOOKUP($D93,$C$5:$AT$510,19,)/VLOOKUP($D93,$C$5:$AT$510,3,))*$E93)</f>
        <v>15.970488992848729</v>
      </c>
      <c r="V93" s="45">
        <f>IF(VLOOKUP($D93,$C$5:$AT$510,3,)=0,0,(VLOOKUP($D93,$C$5:$AT$510,20,)/VLOOKUP($D93,$C$5:$AT$510,3,))*$E93)</f>
        <v>0</v>
      </c>
      <c r="W93" s="45">
        <f>IF(VLOOKUP($D93,$C$5:$AT$510,3,)=0,0,(VLOOKUP($D93,$C$5:$AT$510,21,)/VLOOKUP($D93,$C$5:$AT$510,3,))*$E93)</f>
        <v>0</v>
      </c>
      <c r="X93" s="45">
        <f>IF(VLOOKUP($D93,$C$5:$AT$510,3,)=0,0,(VLOOKUP($D93,$C$5:$AT$510,22,)/VLOOKUP($D93,$C$5:$AT$510,3,))*$E93)</f>
        <v>0</v>
      </c>
      <c r="Y93" s="45">
        <f>IF(VLOOKUP($D93,$C$5:$AT$510,3,)=0,0,(VLOOKUP($D93,$C$5:$AT$510,23,)/VLOOKUP($D93,$C$5:$AT$510,3,))*$E93)</f>
        <v>0</v>
      </c>
      <c r="Z93" s="45">
        <f>IF(VLOOKUP($D93,$C$5:$AT$510,3,)=0,0,(VLOOKUP($D93,$C$5:$AT$510,24,)/VLOOKUP($D93,$C$5:$AT$510,3,))*$E93)</f>
        <v>0</v>
      </c>
      <c r="AA93" s="45">
        <f>IF(VLOOKUP($D93,$C$5:$AT$510,3,)=0,0,(VLOOKUP($D93,$C$5:$AT$510,25,)/VLOOKUP($D93,$C$5:$AT$510,3,))*$E93)</f>
        <v>0</v>
      </c>
      <c r="AB93" s="45">
        <f>IF(VLOOKUP($D93,$C$5:$AT$510,3,)=0,0,(VLOOKUP($D93,$C$5:$AT$510,26,)/VLOOKUP($D93,$C$5:$AT$510,3,))*$E93)</f>
        <v>0</v>
      </c>
      <c r="AC93" s="45">
        <f>IF(VLOOKUP($D93,$C$5:$AT$510,3,)=0,0,(VLOOKUP($D93,$C$5:$AT$510,27,)/VLOOKUP($D93,$C$5:$AT$510,3,))*$E93)</f>
        <v>0</v>
      </c>
      <c r="AD93" s="45">
        <f>IF(VLOOKUP($D93,$C$5:$AT$510,3,)=0,0,(VLOOKUP($D93,$C$5:$AT$510,28,)/VLOOKUP($D93,$C$5:$AT$510,3,))*$E93)</f>
        <v>0</v>
      </c>
      <c r="AE93" s="45">
        <f>IF(VLOOKUP($D93,$C$5:$AT$510,3,)=0,0,(VLOOKUP($D93,$C$5:$AT$510,29,)/VLOOKUP($D93,$C$5:$AT$510,3,))*$E93)</f>
        <v>0</v>
      </c>
      <c r="AF93" s="45">
        <f>IF(VLOOKUP($D93,$C$5:$AT$510,3,)=0,0,(VLOOKUP($D93,$C$5:$AT$510,30,)/VLOOKUP($D93,$C$5:$AT$510,3,))*$E93)</f>
        <v>0</v>
      </c>
      <c r="AG93" s="69">
        <f>SUM(F93:AF93)</f>
        <v>31217.088518270612</v>
      </c>
      <c r="AH93" s="14" t="str">
        <f>IF(ABS(E93-AG93)&lt;0.01,"ok","err")</f>
        <v>ok</v>
      </c>
    </row>
    <row r="94" spans="1:34" x14ac:dyDescent="0.2">
      <c r="E94" s="32"/>
    </row>
    <row r="95" spans="1:34" x14ac:dyDescent="0.2">
      <c r="A95" s="1" t="s">
        <v>2</v>
      </c>
      <c r="E95" s="32"/>
    </row>
    <row r="96" spans="1:34" x14ac:dyDescent="0.2">
      <c r="A96" s="72" t="s">
        <v>209</v>
      </c>
      <c r="C96" s="2" t="s">
        <v>254</v>
      </c>
      <c r="D96" s="2" t="s">
        <v>605</v>
      </c>
      <c r="E96" s="45">
        <f>'Func &amp; Classif'!O155</f>
        <v>46012009.013767079</v>
      </c>
      <c r="F96" s="45">
        <f>IF(VLOOKUP($D96,$C$5:$AT$510,3,)=0,0,(VLOOKUP($D96,$C$5:$AT$510,4,)/VLOOKUP($D96,$C$5:$AT$510,3,))*$E96)</f>
        <v>36929498.74126263</v>
      </c>
      <c r="G96" s="45">
        <f>IF(VLOOKUP($D96,$C$5:$AT$510,3,)=0,0,(VLOOKUP($D96,$C$5:$AT$510,5,)/VLOOKUP($D96,$C$5:$AT$510,3,))*$E96)</f>
        <v>0</v>
      </c>
      <c r="H96" s="45">
        <f>IF(VLOOKUP($D96,$C$5:$AT$510,3,)=0,0,(VLOOKUP($D96,$C$5:$AT$510,6,)/VLOOKUP($D96,$C$5:$AT$510,3,))*$E96)</f>
        <v>1330.5071974784628</v>
      </c>
      <c r="I96" s="45">
        <f>IF(VLOOKUP($D96,$C$5:$AT$510,3,)=0,0,(VLOOKUP($D96,$C$5:$AT$510,7,)/VLOOKUP($D96,$C$5:$AT$510,3,))*$E96)</f>
        <v>3200781.8827981632</v>
      </c>
      <c r="J96" s="45">
        <f>IF(VLOOKUP($D96,$C$5:$AT$510,3,)=0,0,(VLOOKUP($D96,$C$5:$AT$510,8,)/VLOOKUP($D96,$C$5:$AT$510,3,))*$E96)</f>
        <v>2756396.5924842125</v>
      </c>
      <c r="K96" s="45">
        <f>IF(VLOOKUP($D96,$C$5:$AT$510,3,)=0,0,(VLOOKUP($D96,$C$5:$AT$510,9,)/VLOOKUP($D96,$C$5:$AT$510,3,))*$E96)</f>
        <v>31656.664061216841</v>
      </c>
      <c r="L96" s="45">
        <f>IF(VLOOKUP($D96,$C$5:$AT$510,3,)=0,0,(VLOOKUP($D96,$C$5:$AT$510,10,)/VLOOKUP($D96,$C$5:$AT$510,3,))*$E96)</f>
        <v>0</v>
      </c>
      <c r="M96" s="45">
        <f>IF(VLOOKUP($D96,$C$5:$AT$510,3,)=0,0,(VLOOKUP($D96,$C$5:$AT$510,11,)/VLOOKUP($D96,$C$5:$AT$510,3,))*$E96)</f>
        <v>934237.9823286864</v>
      </c>
      <c r="N96" s="45">
        <f>IF(VLOOKUP($D96,$C$5:$AT$510,3,)=0,0,(VLOOKUP($D96,$C$5:$AT$510,12,)/VLOOKUP($D96,$C$5:$AT$510,3,))*$E96)</f>
        <v>1015698.1897897121</v>
      </c>
      <c r="O96" s="45">
        <f>IF(VLOOKUP($D96,$C$5:$AT$510,3,)=0,0,(VLOOKUP($D96,$C$5:$AT$510,13,)/VLOOKUP($D96,$C$5:$AT$510,3,))*$E96)</f>
        <v>253101.14999089562</v>
      </c>
      <c r="P96" s="45">
        <f>IF(VLOOKUP($D96,$C$5:$AT$510,3,)=0,0,(VLOOKUP($D96,$C$5:$AT$510,14,)/VLOOKUP($D96,$C$5:$AT$510,3,))*$E96)</f>
        <v>74327.215100838366</v>
      </c>
      <c r="Q96" s="45">
        <f>IF(VLOOKUP($D96,$C$5:$AT$510,3,)=0,0,(VLOOKUP($D96,$C$5:$AT$510,15,)/VLOOKUP($D96,$C$5:$AT$510,3,))*$E96)</f>
        <v>175479.15091148167</v>
      </c>
      <c r="R96" s="45">
        <f>IF(VLOOKUP($D96,$C$5:$AT$510,3,)=0,0,(VLOOKUP($D96,$C$5:$AT$510,16,)/VLOOKUP($D96,$C$5:$AT$510,3,))*$E96)</f>
        <v>592864.88228181622</v>
      </c>
      <c r="S96" s="45">
        <f>IF(VLOOKUP($D96,$C$5:$AT$510,3,)=0,0,(VLOOKUP($D96,$C$5:$AT$510,17,)/VLOOKUP($D96,$C$5:$AT$510,3,))*$E96)</f>
        <v>0</v>
      </c>
      <c r="T96" s="45">
        <f>IF(VLOOKUP($D96,$C$5:$AT$510,3,)=0,0,(VLOOKUP($D96,$C$5:$AT$510,18,)/VLOOKUP($D96,$C$5:$AT$510,3,))*$E96)</f>
        <v>28494.177186650573</v>
      </c>
      <c r="U96" s="45">
        <f>IF(VLOOKUP($D96,$C$5:$AT$510,3,)=0,0,(VLOOKUP($D96,$C$5:$AT$510,19,)/VLOOKUP($D96,$C$5:$AT$510,3,))*$E96)</f>
        <v>18141.878373295429</v>
      </c>
      <c r="V96" s="45">
        <f>IF(VLOOKUP($D96,$C$5:$AT$510,3,)=0,0,(VLOOKUP($D96,$C$5:$AT$510,20,)/VLOOKUP($D96,$C$5:$AT$510,3,))*$E96)</f>
        <v>0</v>
      </c>
      <c r="W96" s="45">
        <f>IF(VLOOKUP($D96,$C$5:$AT$510,3,)=0,0,(VLOOKUP($D96,$C$5:$AT$510,21,)/VLOOKUP($D96,$C$5:$AT$510,3,))*$E96)</f>
        <v>0</v>
      </c>
      <c r="X96" s="45">
        <f>IF(VLOOKUP($D96,$C$5:$AT$510,3,)=0,0,(VLOOKUP($D96,$C$5:$AT$510,22,)/VLOOKUP($D96,$C$5:$AT$510,3,))*$E96)</f>
        <v>0</v>
      </c>
      <c r="Y96" s="45">
        <f>IF(VLOOKUP($D96,$C$5:$AT$510,3,)=0,0,(VLOOKUP($D96,$C$5:$AT$510,23,)/VLOOKUP($D96,$C$5:$AT$510,3,))*$E96)</f>
        <v>0</v>
      </c>
      <c r="Z96" s="45">
        <f>IF(VLOOKUP($D96,$C$5:$AT$510,3,)=0,0,(VLOOKUP($D96,$C$5:$AT$510,24,)/VLOOKUP($D96,$C$5:$AT$510,3,))*$E96)</f>
        <v>0</v>
      </c>
      <c r="AA96" s="45">
        <f>IF(VLOOKUP($D96,$C$5:$AT$510,3,)=0,0,(VLOOKUP($D96,$C$5:$AT$510,25,)/VLOOKUP($D96,$C$5:$AT$510,3,))*$E96)</f>
        <v>0</v>
      </c>
      <c r="AB96" s="45">
        <f>IF(VLOOKUP($D96,$C$5:$AT$510,3,)=0,0,(VLOOKUP($D96,$C$5:$AT$510,26,)/VLOOKUP($D96,$C$5:$AT$510,3,))*$E96)</f>
        <v>0</v>
      </c>
      <c r="AC96" s="45">
        <f>IF(VLOOKUP($D96,$C$5:$AT$510,3,)=0,0,(VLOOKUP($D96,$C$5:$AT$510,27,)/VLOOKUP($D96,$C$5:$AT$510,3,))*$E96)</f>
        <v>0</v>
      </c>
      <c r="AD96" s="45">
        <f>IF(VLOOKUP($D96,$C$5:$AT$510,3,)=0,0,(VLOOKUP($D96,$C$5:$AT$510,28,)/VLOOKUP($D96,$C$5:$AT$510,3,))*$E96)</f>
        <v>0</v>
      </c>
      <c r="AE96" s="45">
        <f>IF(VLOOKUP($D96,$C$5:$AT$510,3,)=0,0,(VLOOKUP($D96,$C$5:$AT$510,29,)/VLOOKUP($D96,$C$5:$AT$510,3,))*$E96)</f>
        <v>0</v>
      </c>
      <c r="AF96" s="45">
        <f>IF(VLOOKUP($D96,$C$5:$AT$510,3,)=0,0,(VLOOKUP($D96,$C$5:$AT$510,30,)/VLOOKUP($D96,$C$5:$AT$510,3,))*$E96)</f>
        <v>0</v>
      </c>
      <c r="AG96" s="69">
        <f>SUM(F96:AF96)</f>
        <v>46012009.013767079</v>
      </c>
      <c r="AH96" s="14" t="str">
        <f>IF(ABS(E96-AG96)&lt;0.01,"ok","err")</f>
        <v>ok</v>
      </c>
    </row>
    <row r="97" spans="1:34" x14ac:dyDescent="0.2">
      <c r="A97" s="72" t="s">
        <v>221</v>
      </c>
      <c r="C97" s="2" t="s">
        <v>255</v>
      </c>
      <c r="D97" s="2" t="s">
        <v>223</v>
      </c>
      <c r="E97" s="32">
        <f>'Func &amp; Classif'!P155</f>
        <v>23588984.034348413</v>
      </c>
      <c r="F97" s="45">
        <f>IF(VLOOKUP($D97,$C$5:$AT$510,3,)=0,0,(VLOOKUP($D97,$C$5:$AT$510,4,)/VLOOKUP($D97,$C$5:$AT$510,3,))*$E97)</f>
        <v>21742422.539671704</v>
      </c>
      <c r="G97" s="45">
        <f>IF(VLOOKUP($D97,$C$5:$AT$510,3,)=0,0,(VLOOKUP($D97,$C$5:$AT$510,5,)/VLOOKUP($D97,$C$5:$AT$510,3,))*$E97)</f>
        <v>0</v>
      </c>
      <c r="H97" s="45">
        <f>IF(VLOOKUP($D97,$C$5:$AT$510,3,)=0,0,(VLOOKUP($D97,$C$5:$AT$510,6,)/VLOOKUP($D97,$C$5:$AT$510,3,))*$E97)</f>
        <v>884.77344102188113</v>
      </c>
      <c r="I97" s="45">
        <f>IF(VLOOKUP($D97,$C$5:$AT$510,3,)=0,0,(VLOOKUP($D97,$C$5:$AT$510,7,)/VLOOKUP($D97,$C$5:$AT$510,3,))*$E97)</f>
        <v>1564279.4437266858</v>
      </c>
      <c r="J97" s="45">
        <f>IF(VLOOKUP($D97,$C$5:$AT$510,3,)=0,0,(VLOOKUP($D97,$C$5:$AT$510,8,)/VLOOKUP($D97,$C$5:$AT$510,3,))*$E97)</f>
        <v>87592.570661166232</v>
      </c>
      <c r="K97" s="45">
        <f>IF(VLOOKUP($D97,$C$5:$AT$510,3,)=0,0,(VLOOKUP($D97,$C$5:$AT$510,9,)/VLOOKUP($D97,$C$5:$AT$510,3,))*$E97)</f>
        <v>1612.2538258620943</v>
      </c>
      <c r="L97" s="45">
        <f>IF(VLOOKUP($D97,$C$5:$AT$510,3,)=0,0,(VLOOKUP($D97,$C$5:$AT$510,10,)/VLOOKUP($D97,$C$5:$AT$510,3,))*$E97)</f>
        <v>0</v>
      </c>
      <c r="M97" s="45">
        <f>IF(VLOOKUP($D97,$C$5:$AT$510,3,)=0,0,(VLOOKUP($D97,$C$5:$AT$510,11,)/VLOOKUP($D97,$C$5:$AT$510,3,))*$E97)</f>
        <v>78.646528090833883</v>
      </c>
      <c r="N97" s="45">
        <f>IF(VLOOKUP($D97,$C$5:$AT$510,3,)=0,0,(VLOOKUP($D97,$C$5:$AT$510,12,)/VLOOKUP($D97,$C$5:$AT$510,3,))*$E97)</f>
        <v>19.661632022708471</v>
      </c>
      <c r="O97" s="45">
        <f>IF(VLOOKUP($D97,$C$5:$AT$510,3,)=0,0,(VLOOKUP($D97,$C$5:$AT$510,13,)/VLOOKUP($D97,$C$5:$AT$510,3,))*$E97)</f>
        <v>19.661632022708471</v>
      </c>
      <c r="P97" s="45">
        <f>IF(VLOOKUP($D97,$C$5:$AT$510,3,)=0,0,(VLOOKUP($D97,$C$5:$AT$510,14,)/VLOOKUP($D97,$C$5:$AT$510,3,))*$E97)</f>
        <v>78.646528090833883</v>
      </c>
      <c r="Q97" s="45">
        <f>IF(VLOOKUP($D97,$C$5:$AT$510,3,)=0,0,(VLOOKUP($D97,$C$5:$AT$510,15,)/VLOOKUP($D97,$C$5:$AT$510,3,))*$E97)</f>
        <v>70781.875281750486</v>
      </c>
      <c r="R97" s="45">
        <f>IF(VLOOKUP($D97,$C$5:$AT$510,3,)=0,0,(VLOOKUP($D97,$C$5:$AT$510,16,)/VLOOKUP($D97,$C$5:$AT$510,3,))*$E97)</f>
        <v>884.77344102188113</v>
      </c>
      <c r="S97" s="45">
        <f>IF(VLOOKUP($D97,$C$5:$AT$510,3,)=0,0,(VLOOKUP($D97,$C$5:$AT$510,17,)/VLOOKUP($D97,$C$5:$AT$510,3,))*$E97)</f>
        <v>0</v>
      </c>
      <c r="T97" s="45">
        <f>IF(VLOOKUP($D97,$C$5:$AT$510,3,)=0,0,(VLOOKUP($D97,$C$5:$AT$510,18,)/VLOOKUP($D97,$C$5:$AT$510,3,))*$E97)</f>
        <v>6193.4140871531681</v>
      </c>
      <c r="U97" s="45">
        <f>IF(VLOOKUP($D97,$C$5:$AT$510,3,)=0,0,(VLOOKUP($D97,$C$5:$AT$510,19,)/VLOOKUP($D97,$C$5:$AT$510,3,))*$E97)</f>
        <v>114135.77389182267</v>
      </c>
      <c r="V97" s="45">
        <f>IF(VLOOKUP($D97,$C$5:$AT$510,3,)=0,0,(VLOOKUP($D97,$C$5:$AT$510,20,)/VLOOKUP($D97,$C$5:$AT$510,3,))*$E97)</f>
        <v>0</v>
      </c>
      <c r="W97" s="45">
        <f>IF(VLOOKUP($D97,$C$5:$AT$510,3,)=0,0,(VLOOKUP($D97,$C$5:$AT$510,21,)/VLOOKUP($D97,$C$5:$AT$510,3,))*$E97)</f>
        <v>0</v>
      </c>
      <c r="X97" s="45">
        <f>IF(VLOOKUP($D97,$C$5:$AT$510,3,)=0,0,(VLOOKUP($D97,$C$5:$AT$510,22,)/VLOOKUP($D97,$C$5:$AT$510,3,))*$E97)</f>
        <v>0</v>
      </c>
      <c r="Y97" s="45">
        <f>IF(VLOOKUP($D97,$C$5:$AT$510,3,)=0,0,(VLOOKUP($D97,$C$5:$AT$510,23,)/VLOOKUP($D97,$C$5:$AT$510,3,))*$E97)</f>
        <v>0</v>
      </c>
      <c r="Z97" s="45">
        <f>IF(VLOOKUP($D97,$C$5:$AT$510,3,)=0,0,(VLOOKUP($D97,$C$5:$AT$510,24,)/VLOOKUP($D97,$C$5:$AT$510,3,))*$E97)</f>
        <v>0</v>
      </c>
      <c r="AA97" s="45">
        <f>IF(VLOOKUP($D97,$C$5:$AT$510,3,)=0,0,(VLOOKUP($D97,$C$5:$AT$510,25,)/VLOOKUP($D97,$C$5:$AT$510,3,))*$E97)</f>
        <v>0</v>
      </c>
      <c r="AB97" s="45">
        <f>IF(VLOOKUP($D97,$C$5:$AT$510,3,)=0,0,(VLOOKUP($D97,$C$5:$AT$510,26,)/VLOOKUP($D97,$C$5:$AT$510,3,))*$E97)</f>
        <v>0</v>
      </c>
      <c r="AC97" s="45">
        <f>IF(VLOOKUP($D97,$C$5:$AT$510,3,)=0,0,(VLOOKUP($D97,$C$5:$AT$510,27,)/VLOOKUP($D97,$C$5:$AT$510,3,))*$E97)</f>
        <v>0</v>
      </c>
      <c r="AD97" s="45">
        <f>IF(VLOOKUP($D97,$C$5:$AT$510,3,)=0,0,(VLOOKUP($D97,$C$5:$AT$510,28,)/VLOOKUP($D97,$C$5:$AT$510,3,))*$E97)</f>
        <v>0</v>
      </c>
      <c r="AE97" s="45">
        <f>IF(VLOOKUP($D97,$C$5:$AT$510,3,)=0,0,(VLOOKUP($D97,$C$5:$AT$510,29,)/VLOOKUP($D97,$C$5:$AT$510,3,))*$E97)</f>
        <v>0</v>
      </c>
      <c r="AF97" s="45">
        <f>IF(VLOOKUP($D97,$C$5:$AT$510,3,)=0,0,(VLOOKUP($D97,$C$5:$AT$510,30,)/VLOOKUP($D97,$C$5:$AT$510,3,))*$E97)</f>
        <v>0</v>
      </c>
      <c r="AG97" s="69">
        <f>SUM(F97:AF97)</f>
        <v>23588984.034348413</v>
      </c>
      <c r="AH97" s="14" t="str">
        <f>IF(ABS(E97-AG97)&lt;0.01,"ok","err")</f>
        <v>ok</v>
      </c>
    </row>
    <row r="98" spans="1:34" x14ac:dyDescent="0.2">
      <c r="A98" s="2" t="s">
        <v>224</v>
      </c>
      <c r="E98" s="45">
        <f t="shared" ref="E98:T98" si="18">E96+E97</f>
        <v>69600993.048115492</v>
      </c>
      <c r="F98" s="45">
        <f t="shared" si="18"/>
        <v>58671921.280934334</v>
      </c>
      <c r="G98" s="45">
        <f t="shared" si="18"/>
        <v>0</v>
      </c>
      <c r="H98" s="45">
        <f t="shared" si="18"/>
        <v>2215.2806385003441</v>
      </c>
      <c r="I98" s="45">
        <f t="shared" si="18"/>
        <v>4765061.326524849</v>
      </c>
      <c r="J98" s="45">
        <f t="shared" si="18"/>
        <v>2843989.1631453787</v>
      </c>
      <c r="K98" s="45">
        <f t="shared" si="18"/>
        <v>33268.917887078933</v>
      </c>
      <c r="L98" s="45">
        <f t="shared" si="18"/>
        <v>0</v>
      </c>
      <c r="M98" s="45">
        <f t="shared" si="18"/>
        <v>934316.62885677721</v>
      </c>
      <c r="N98" s="45">
        <f t="shared" si="18"/>
        <v>1015717.8514217348</v>
      </c>
      <c r="O98" s="45">
        <f t="shared" si="18"/>
        <v>253120.81162291832</v>
      </c>
      <c r="P98" s="45">
        <f t="shared" si="18"/>
        <v>74405.861628929197</v>
      </c>
      <c r="Q98" s="45">
        <f t="shared" si="18"/>
        <v>246261.02619323216</v>
      </c>
      <c r="R98" s="45">
        <f t="shared" si="18"/>
        <v>593749.65572283813</v>
      </c>
      <c r="S98" s="45">
        <f t="shared" si="18"/>
        <v>0</v>
      </c>
      <c r="T98" s="45">
        <f t="shared" si="18"/>
        <v>34687.591273803744</v>
      </c>
      <c r="U98" s="45">
        <f t="shared" ref="U98:AF98" si="19">U96+U97</f>
        <v>132277.65226511809</v>
      </c>
      <c r="V98" s="45">
        <f t="shared" si="19"/>
        <v>0</v>
      </c>
      <c r="W98" s="45">
        <f t="shared" si="19"/>
        <v>0</v>
      </c>
      <c r="X98" s="45">
        <f t="shared" si="19"/>
        <v>0</v>
      </c>
      <c r="Y98" s="45">
        <f t="shared" si="19"/>
        <v>0</v>
      </c>
      <c r="Z98" s="45">
        <f t="shared" si="19"/>
        <v>0</v>
      </c>
      <c r="AA98" s="45">
        <f t="shared" si="19"/>
        <v>0</v>
      </c>
      <c r="AB98" s="45">
        <f t="shared" si="19"/>
        <v>0</v>
      </c>
      <c r="AC98" s="45">
        <f t="shared" si="19"/>
        <v>0</v>
      </c>
      <c r="AD98" s="45">
        <f t="shared" si="19"/>
        <v>0</v>
      </c>
      <c r="AE98" s="45">
        <f t="shared" si="19"/>
        <v>0</v>
      </c>
      <c r="AF98" s="45">
        <f t="shared" si="19"/>
        <v>0</v>
      </c>
      <c r="AG98" s="69">
        <f>SUM(F98:AF98)</f>
        <v>69600993.048115477</v>
      </c>
      <c r="AH98" s="14" t="str">
        <f>IF(ABS(E98-AG98)&lt;0.01,"ok","err")</f>
        <v>ok</v>
      </c>
    </row>
    <row r="99" spans="1:34" x14ac:dyDescent="0.2">
      <c r="E99" s="32"/>
    </row>
    <row r="100" spans="1:34" x14ac:dyDescent="0.2">
      <c r="A100" s="1" t="s">
        <v>3</v>
      </c>
      <c r="E100" s="32"/>
    </row>
    <row r="101" spans="1:34" x14ac:dyDescent="0.2">
      <c r="A101" s="72" t="s">
        <v>209</v>
      </c>
      <c r="C101" s="2" t="s">
        <v>256</v>
      </c>
      <c r="D101" s="2" t="s">
        <v>617</v>
      </c>
      <c r="E101" s="45">
        <f>'Func &amp; Classif'!R155</f>
        <v>0</v>
      </c>
      <c r="F101" s="45">
        <f>IF(VLOOKUP($D101,$C$5:$AT$510,3,)=0,0,(VLOOKUP($D101,$C$5:$AT$510,4,)/VLOOKUP($D101,$C$5:$AT$510,3,))*$E101)</f>
        <v>0</v>
      </c>
      <c r="G101" s="45">
        <f>IF(VLOOKUP($D101,$C$5:$AT$510,3,)=0,0,(VLOOKUP($D101,$C$5:$AT$510,5,)/VLOOKUP($D101,$C$5:$AT$510,3,))*$E101)</f>
        <v>0</v>
      </c>
      <c r="H101" s="45">
        <f>IF(VLOOKUP($D101,$C$5:$AT$510,3,)=0,0,(VLOOKUP($D101,$C$5:$AT$510,6,)/VLOOKUP($D101,$C$5:$AT$510,3,))*$E101)</f>
        <v>0</v>
      </c>
      <c r="I101" s="45">
        <f>IF(VLOOKUP($D101,$C$5:$AT$510,3,)=0,0,(VLOOKUP($D101,$C$5:$AT$510,7,)/VLOOKUP($D101,$C$5:$AT$510,3,))*$E101)</f>
        <v>0</v>
      </c>
      <c r="J101" s="45">
        <f>IF(VLOOKUP($D101,$C$5:$AT$510,3,)=0,0,(VLOOKUP($D101,$C$5:$AT$510,8,)/VLOOKUP($D101,$C$5:$AT$510,3,))*$E101)</f>
        <v>0</v>
      </c>
      <c r="K101" s="45">
        <f>IF(VLOOKUP($D101,$C$5:$AT$510,3,)=0,0,(VLOOKUP($D101,$C$5:$AT$510,9,)/VLOOKUP($D101,$C$5:$AT$510,3,))*$E101)</f>
        <v>0</v>
      </c>
      <c r="L101" s="45">
        <f>IF(VLOOKUP($D101,$C$5:$AT$510,3,)=0,0,(VLOOKUP($D101,$C$5:$AT$510,10,)/VLOOKUP($D101,$C$5:$AT$510,3,))*$E101)</f>
        <v>0</v>
      </c>
      <c r="M101" s="45">
        <f>IF(VLOOKUP($D101,$C$5:$AT$510,3,)=0,0,(VLOOKUP($D101,$C$5:$AT$510,11,)/VLOOKUP($D101,$C$5:$AT$510,3,))*$E101)</f>
        <v>0</v>
      </c>
      <c r="N101" s="45">
        <f>IF(VLOOKUP($D101,$C$5:$AT$510,3,)=0,0,(VLOOKUP($D101,$C$5:$AT$510,12,)/VLOOKUP($D101,$C$5:$AT$510,3,))*$E101)</f>
        <v>0</v>
      </c>
      <c r="O101" s="45">
        <f>IF(VLOOKUP($D101,$C$5:$AT$510,3,)=0,0,(VLOOKUP($D101,$C$5:$AT$510,13,)/VLOOKUP($D101,$C$5:$AT$510,3,))*$E101)</f>
        <v>0</v>
      </c>
      <c r="P101" s="45">
        <f>IF(VLOOKUP($D101,$C$5:$AT$510,3,)=0,0,(VLOOKUP($D101,$C$5:$AT$510,14,)/VLOOKUP($D101,$C$5:$AT$510,3,))*$E101)</f>
        <v>0</v>
      </c>
      <c r="Q101" s="45">
        <f>IF(VLOOKUP($D101,$C$5:$AT$510,3,)=0,0,(VLOOKUP($D101,$C$5:$AT$510,15,)/VLOOKUP($D101,$C$5:$AT$510,3,))*$E101)</f>
        <v>0</v>
      </c>
      <c r="R101" s="45">
        <f>IF(VLOOKUP($D101,$C$5:$AT$510,3,)=0,0,(VLOOKUP($D101,$C$5:$AT$510,16,)/VLOOKUP($D101,$C$5:$AT$510,3,))*$E101)</f>
        <v>0</v>
      </c>
      <c r="S101" s="45">
        <f>IF(VLOOKUP($D101,$C$5:$AT$510,3,)=0,0,(VLOOKUP($D101,$C$5:$AT$510,17,)/VLOOKUP($D101,$C$5:$AT$510,3,))*$E101)</f>
        <v>0</v>
      </c>
      <c r="T101" s="45">
        <f>IF(VLOOKUP($D101,$C$5:$AT$510,3,)=0,0,(VLOOKUP($D101,$C$5:$AT$510,18,)/VLOOKUP($D101,$C$5:$AT$510,3,))*$E101)</f>
        <v>0</v>
      </c>
      <c r="U101" s="45">
        <f>IF(VLOOKUP($D101,$C$5:$AT$510,3,)=0,0,(VLOOKUP($D101,$C$5:$AT$510,19,)/VLOOKUP($D101,$C$5:$AT$510,3,))*$E101)</f>
        <v>0</v>
      </c>
      <c r="V101" s="45">
        <f>IF(VLOOKUP($D101,$C$5:$AT$510,3,)=0,0,(VLOOKUP($D101,$C$5:$AT$510,20,)/VLOOKUP($D101,$C$5:$AT$510,3,))*$E101)</f>
        <v>0</v>
      </c>
      <c r="W101" s="45">
        <f>IF(VLOOKUP($D101,$C$5:$AT$510,3,)=0,0,(VLOOKUP($D101,$C$5:$AT$510,21,)/VLOOKUP($D101,$C$5:$AT$510,3,))*$E101)</f>
        <v>0</v>
      </c>
      <c r="X101" s="45">
        <f>IF(VLOOKUP($D101,$C$5:$AT$510,3,)=0,0,(VLOOKUP($D101,$C$5:$AT$510,22,)/VLOOKUP($D101,$C$5:$AT$510,3,))*$E101)</f>
        <v>0</v>
      </c>
      <c r="Y101" s="45">
        <f>IF(VLOOKUP($D101,$C$5:$AT$510,3,)=0,0,(VLOOKUP($D101,$C$5:$AT$510,23,)/VLOOKUP($D101,$C$5:$AT$510,3,))*$E101)</f>
        <v>0</v>
      </c>
      <c r="Z101" s="45">
        <f>IF(VLOOKUP($D101,$C$5:$AT$510,3,)=0,0,(VLOOKUP($D101,$C$5:$AT$510,24,)/VLOOKUP($D101,$C$5:$AT$510,3,))*$E101)</f>
        <v>0</v>
      </c>
      <c r="AA101" s="45">
        <f>IF(VLOOKUP($D101,$C$5:$AT$510,3,)=0,0,(VLOOKUP($D101,$C$5:$AT$510,25,)/VLOOKUP($D101,$C$5:$AT$510,3,))*$E101)</f>
        <v>0</v>
      </c>
      <c r="AB101" s="45">
        <f>IF(VLOOKUP($D101,$C$5:$AT$510,3,)=0,0,(VLOOKUP($D101,$C$5:$AT$510,26,)/VLOOKUP($D101,$C$5:$AT$510,3,))*$E101)</f>
        <v>0</v>
      </c>
      <c r="AC101" s="45">
        <f>IF(VLOOKUP($D101,$C$5:$AT$510,3,)=0,0,(VLOOKUP($D101,$C$5:$AT$510,27,)/VLOOKUP($D101,$C$5:$AT$510,3,))*$E101)</f>
        <v>0</v>
      </c>
      <c r="AD101" s="45">
        <f>IF(VLOOKUP($D101,$C$5:$AT$510,3,)=0,0,(VLOOKUP($D101,$C$5:$AT$510,28,)/VLOOKUP($D101,$C$5:$AT$510,3,))*$E101)</f>
        <v>0</v>
      </c>
      <c r="AE101" s="45">
        <f>IF(VLOOKUP($D101,$C$5:$AT$510,3,)=0,0,(VLOOKUP($D101,$C$5:$AT$510,29,)/VLOOKUP($D101,$C$5:$AT$510,3,))*$E101)</f>
        <v>0</v>
      </c>
      <c r="AF101" s="45">
        <f>IF(VLOOKUP($D101,$C$5:$AT$510,3,)=0,0,(VLOOKUP($D101,$C$5:$AT$510,30,)/VLOOKUP($D101,$C$5:$AT$510,3,))*$E101)</f>
        <v>0</v>
      </c>
      <c r="AG101" s="69">
        <f>SUM(F101:AF101)</f>
        <v>0</v>
      </c>
      <c r="AH101" s="14" t="str">
        <f>IF(ABS(E101-AG101)&lt;0.01,"ok","err")</f>
        <v>ok</v>
      </c>
    </row>
    <row r="102" spans="1:34" x14ac:dyDescent="0.2">
      <c r="A102" s="72" t="s">
        <v>221</v>
      </c>
      <c r="C102" s="2" t="s">
        <v>257</v>
      </c>
      <c r="D102" s="2" t="s">
        <v>699</v>
      </c>
      <c r="E102" s="32">
        <f>'Func &amp; Classif'!S155</f>
        <v>8514989.5821478982</v>
      </c>
      <c r="F102" s="45">
        <f>IF(VLOOKUP($D102,$C$5:$AT$510,3,)=0,0,(VLOOKUP($D102,$C$5:$AT$510,4,)/VLOOKUP($D102,$C$5:$AT$510,3,))*$E102)</f>
        <v>7422092.430797399</v>
      </c>
      <c r="G102" s="45">
        <f>IF(VLOOKUP($D102,$C$5:$AT$510,3,)=0,0,(VLOOKUP($D102,$C$5:$AT$510,5,)/VLOOKUP($D102,$C$5:$AT$510,3,))*$E102)</f>
        <v>0</v>
      </c>
      <c r="H102" s="45">
        <f>IF(VLOOKUP($D102,$C$5:$AT$510,3,)=0,0,(VLOOKUP($D102,$C$5:$AT$510,6,)/VLOOKUP($D102,$C$5:$AT$510,3,))*$E102)</f>
        <v>302.03029343197687</v>
      </c>
      <c r="I102" s="45">
        <f>IF(VLOOKUP($D102,$C$5:$AT$510,3,)=0,0,(VLOOKUP($D102,$C$5:$AT$510,7,)/VLOOKUP($D102,$C$5:$AT$510,3,))*$E102)</f>
        <v>747207.33659749257</v>
      </c>
      <c r="J102" s="45">
        <f>IF(VLOOKUP($D102,$C$5:$AT$510,3,)=0,0,(VLOOKUP($D102,$C$5:$AT$510,8,)/VLOOKUP($D102,$C$5:$AT$510,3,))*$E102)</f>
        <v>249136.18252509212</v>
      </c>
      <c r="K102" s="45">
        <f>IF(VLOOKUP($D102,$C$5:$AT$510,3,)=0,0,(VLOOKUP($D102,$C$5:$AT$510,9,)/VLOOKUP($D102,$C$5:$AT$510,3,))*$E102)</f>
        <v>1744.612505565663</v>
      </c>
      <c r="L102" s="45">
        <f>IF(VLOOKUP($D102,$C$5:$AT$510,3,)=0,0,(VLOOKUP($D102,$C$5:$AT$510,10,)/VLOOKUP($D102,$C$5:$AT$510,3,))*$E102)</f>
        <v>0</v>
      </c>
      <c r="M102" s="45">
        <f>IF(VLOOKUP($D102,$C$5:$AT$510,3,)=0,0,(VLOOKUP($D102,$C$5:$AT$510,11,)/VLOOKUP($D102,$C$5:$AT$510,3,))*$E102)</f>
        <v>3703.6932478125809</v>
      </c>
      <c r="N102" s="45">
        <f>IF(VLOOKUP($D102,$C$5:$AT$510,3,)=0,0,(VLOOKUP($D102,$C$5:$AT$510,12,)/VLOOKUP($D102,$C$5:$AT$510,3,))*$E102)</f>
        <v>35013.810622333491</v>
      </c>
      <c r="O102" s="45">
        <f>IF(VLOOKUP($D102,$C$5:$AT$510,3,)=0,0,(VLOOKUP($D102,$C$5:$AT$510,13,)/VLOOKUP($D102,$C$5:$AT$510,3,))*$E102)</f>
        <v>6282.60430020884</v>
      </c>
      <c r="P102" s="45">
        <f>IF(VLOOKUP($D102,$C$5:$AT$510,3,)=0,0,(VLOOKUP($D102,$C$5:$AT$510,14,)/VLOOKUP($D102,$C$5:$AT$510,3,))*$E102)</f>
        <v>4988.5782270924028</v>
      </c>
      <c r="Q102" s="45">
        <f>IF(VLOOKUP($D102,$C$5:$AT$510,3,)=0,0,(VLOOKUP($D102,$C$5:$AT$510,15,)/VLOOKUP($D102,$C$5:$AT$510,3,))*$E102)</f>
        <v>25667.76383969876</v>
      </c>
      <c r="R102" s="45">
        <f>IF(VLOOKUP($D102,$C$5:$AT$510,3,)=0,0,(VLOOKUP($D102,$C$5:$AT$510,16,)/VLOOKUP($D102,$C$5:$AT$510,3,))*$E102)</f>
        <v>0</v>
      </c>
      <c r="S102" s="45">
        <f>IF(VLOOKUP($D102,$C$5:$AT$510,3,)=0,0,(VLOOKUP($D102,$C$5:$AT$510,17,)/VLOOKUP($D102,$C$5:$AT$510,3,))*$E102)</f>
        <v>0</v>
      </c>
      <c r="T102" s="45">
        <f>IF(VLOOKUP($D102,$C$5:$AT$510,3,)=0,0,(VLOOKUP($D102,$C$5:$AT$510,18,)/VLOOKUP($D102,$C$5:$AT$510,3,))*$E102)</f>
        <v>18850.539191770771</v>
      </c>
      <c r="U102" s="45">
        <f>IF(VLOOKUP($D102,$C$5:$AT$510,3,)=0,0,(VLOOKUP($D102,$C$5:$AT$510,19,)/VLOOKUP($D102,$C$5:$AT$510,3,))*$E102)</f>
        <v>0</v>
      </c>
      <c r="V102" s="45">
        <f>IF(VLOOKUP($D102,$C$5:$AT$510,3,)=0,0,(VLOOKUP($D102,$C$5:$AT$510,20,)/VLOOKUP($D102,$C$5:$AT$510,3,))*$E102)</f>
        <v>0</v>
      </c>
      <c r="W102" s="45">
        <f>IF(VLOOKUP($D102,$C$5:$AT$510,3,)=0,0,(VLOOKUP($D102,$C$5:$AT$510,21,)/VLOOKUP($D102,$C$5:$AT$510,3,))*$E102)</f>
        <v>0</v>
      </c>
      <c r="X102" s="45">
        <f>IF(VLOOKUP($D102,$C$5:$AT$510,3,)=0,0,(VLOOKUP($D102,$C$5:$AT$510,22,)/VLOOKUP($D102,$C$5:$AT$510,3,))*$E102)</f>
        <v>0</v>
      </c>
      <c r="Y102" s="45">
        <f>IF(VLOOKUP($D102,$C$5:$AT$510,3,)=0,0,(VLOOKUP($D102,$C$5:$AT$510,23,)/VLOOKUP($D102,$C$5:$AT$510,3,))*$E102)</f>
        <v>0</v>
      </c>
      <c r="Z102" s="45">
        <f>IF(VLOOKUP($D102,$C$5:$AT$510,3,)=0,0,(VLOOKUP($D102,$C$5:$AT$510,24,)/VLOOKUP($D102,$C$5:$AT$510,3,))*$E102)</f>
        <v>0</v>
      </c>
      <c r="AA102" s="45">
        <f>IF(VLOOKUP($D102,$C$5:$AT$510,3,)=0,0,(VLOOKUP($D102,$C$5:$AT$510,25,)/VLOOKUP($D102,$C$5:$AT$510,3,))*$E102)</f>
        <v>0</v>
      </c>
      <c r="AB102" s="45">
        <f>IF(VLOOKUP($D102,$C$5:$AT$510,3,)=0,0,(VLOOKUP($D102,$C$5:$AT$510,26,)/VLOOKUP($D102,$C$5:$AT$510,3,))*$E102)</f>
        <v>0</v>
      </c>
      <c r="AC102" s="45">
        <f>IF(VLOOKUP($D102,$C$5:$AT$510,3,)=0,0,(VLOOKUP($D102,$C$5:$AT$510,27,)/VLOOKUP($D102,$C$5:$AT$510,3,))*$E102)</f>
        <v>0</v>
      </c>
      <c r="AD102" s="45">
        <f>IF(VLOOKUP($D102,$C$5:$AT$510,3,)=0,0,(VLOOKUP($D102,$C$5:$AT$510,28,)/VLOOKUP($D102,$C$5:$AT$510,3,))*$E102)</f>
        <v>0</v>
      </c>
      <c r="AE102" s="45">
        <f>IF(VLOOKUP($D102,$C$5:$AT$510,3,)=0,0,(VLOOKUP($D102,$C$5:$AT$510,29,)/VLOOKUP($D102,$C$5:$AT$510,3,))*$E102)</f>
        <v>0</v>
      </c>
      <c r="AF102" s="45">
        <f>IF(VLOOKUP($D102,$C$5:$AT$510,3,)=0,0,(VLOOKUP($D102,$C$5:$AT$510,30,)/VLOOKUP($D102,$C$5:$AT$510,3,))*$E102)</f>
        <v>0</v>
      </c>
      <c r="AG102" s="69">
        <f>SUM(F102:AF102)</f>
        <v>8514989.5821478982</v>
      </c>
      <c r="AH102" s="14" t="str">
        <f>IF(ABS(E102-AG102)&lt;0.01,"ok","err")</f>
        <v>ok</v>
      </c>
    </row>
    <row r="103" spans="1:34" x14ac:dyDescent="0.2">
      <c r="A103" s="2" t="s">
        <v>228</v>
      </c>
      <c r="E103" s="45">
        <f t="shared" ref="E103:T103" si="20">E101+E102</f>
        <v>8514989.5821478982</v>
      </c>
      <c r="F103" s="45">
        <f t="shared" si="20"/>
        <v>7422092.430797399</v>
      </c>
      <c r="G103" s="45">
        <f t="shared" si="20"/>
        <v>0</v>
      </c>
      <c r="H103" s="45">
        <f t="shared" si="20"/>
        <v>302.03029343197687</v>
      </c>
      <c r="I103" s="45">
        <f t="shared" si="20"/>
        <v>747207.33659749257</v>
      </c>
      <c r="J103" s="45">
        <f t="shared" si="20"/>
        <v>249136.18252509212</v>
      </c>
      <c r="K103" s="45">
        <f t="shared" si="20"/>
        <v>1744.612505565663</v>
      </c>
      <c r="L103" s="45">
        <f t="shared" si="20"/>
        <v>0</v>
      </c>
      <c r="M103" s="45">
        <f t="shared" si="20"/>
        <v>3703.6932478125809</v>
      </c>
      <c r="N103" s="45">
        <f t="shared" si="20"/>
        <v>35013.810622333491</v>
      </c>
      <c r="O103" s="45">
        <f t="shared" si="20"/>
        <v>6282.60430020884</v>
      </c>
      <c r="P103" s="45">
        <f t="shared" si="20"/>
        <v>4988.5782270924028</v>
      </c>
      <c r="Q103" s="45">
        <f t="shared" si="20"/>
        <v>25667.76383969876</v>
      </c>
      <c r="R103" s="45">
        <f t="shared" si="20"/>
        <v>0</v>
      </c>
      <c r="S103" s="45">
        <f t="shared" si="20"/>
        <v>0</v>
      </c>
      <c r="T103" s="45">
        <f t="shared" si="20"/>
        <v>18850.539191770771</v>
      </c>
      <c r="U103" s="45">
        <f t="shared" ref="U103:AF103" si="21">U101+U102</f>
        <v>0</v>
      </c>
      <c r="V103" s="45">
        <f t="shared" si="21"/>
        <v>0</v>
      </c>
      <c r="W103" s="45">
        <f t="shared" si="21"/>
        <v>0</v>
      </c>
      <c r="X103" s="45">
        <f t="shared" si="21"/>
        <v>0</v>
      </c>
      <c r="Y103" s="45">
        <f t="shared" si="21"/>
        <v>0</v>
      </c>
      <c r="Z103" s="45">
        <f t="shared" si="21"/>
        <v>0</v>
      </c>
      <c r="AA103" s="45">
        <f t="shared" si="21"/>
        <v>0</v>
      </c>
      <c r="AB103" s="45">
        <f t="shared" si="21"/>
        <v>0</v>
      </c>
      <c r="AC103" s="45">
        <f t="shared" si="21"/>
        <v>0</v>
      </c>
      <c r="AD103" s="45">
        <f t="shared" si="21"/>
        <v>0</v>
      </c>
      <c r="AE103" s="45">
        <f t="shared" si="21"/>
        <v>0</v>
      </c>
      <c r="AF103" s="45">
        <f t="shared" si="21"/>
        <v>0</v>
      </c>
      <c r="AG103" s="69">
        <f>SUM(F103:AF103)</f>
        <v>8514989.5821478982</v>
      </c>
      <c r="AH103" s="14" t="str">
        <f>IF(ABS(E103-AG103)&lt;0.01,"ok","err")</f>
        <v>ok</v>
      </c>
    </row>
    <row r="104" spans="1:34" x14ac:dyDescent="0.2">
      <c r="E104" s="32"/>
    </row>
    <row r="105" spans="1:34" x14ac:dyDescent="0.2">
      <c r="A105" s="1" t="s">
        <v>4</v>
      </c>
      <c r="E105" s="32"/>
    </row>
    <row r="106" spans="1:34" x14ac:dyDescent="0.2">
      <c r="A106" s="72" t="s">
        <v>221</v>
      </c>
      <c r="C106" s="2" t="s">
        <v>258</v>
      </c>
      <c r="D106" s="2" t="s">
        <v>230</v>
      </c>
      <c r="E106" s="45">
        <f>'Func &amp; Classif'!U155</f>
        <v>4832832.809304432</v>
      </c>
      <c r="F106" s="45">
        <f>IF(VLOOKUP($D106,$C$5:$AT$510,3,)=0,0,(VLOOKUP($D106,$C$5:$AT$510,4,)/VLOOKUP($D106,$C$5:$AT$510,3,))*$E106)</f>
        <v>4263774.2885734169</v>
      </c>
      <c r="G106" s="45">
        <f>IF(VLOOKUP($D106,$C$5:$AT$510,3,)=0,0,(VLOOKUP($D106,$C$5:$AT$510,5,)/VLOOKUP($D106,$C$5:$AT$510,3,))*$E106)</f>
        <v>0</v>
      </c>
      <c r="H106" s="45">
        <f>IF(VLOOKUP($D106,$C$5:$AT$510,3,)=0,0,(VLOOKUP($D106,$C$5:$AT$510,6,)/VLOOKUP($D106,$C$5:$AT$510,3,))*$E106)</f>
        <v>173.50754002496205</v>
      </c>
      <c r="I106" s="45">
        <f>IF(VLOOKUP($D106,$C$5:$AT$510,3,)=0,0,(VLOOKUP($D106,$C$5:$AT$510,7,)/VLOOKUP($D106,$C$5:$AT$510,3,))*$E106)</f>
        <v>306761.3307641329</v>
      </c>
      <c r="J106" s="45">
        <f>IF(VLOOKUP($D106,$C$5:$AT$510,3,)=0,0,(VLOOKUP($D106,$C$5:$AT$510,8,)/VLOOKUP($D106,$C$5:$AT$510,3,))*$E106)</f>
        <v>177642.07648123527</v>
      </c>
      <c r="K106" s="45">
        <f>IF(VLOOKUP($D106,$C$5:$AT$510,3,)=0,0,(VLOOKUP($D106,$C$5:$AT$510,9,)/VLOOKUP($D106,$C$5:$AT$510,3,))*$E106)</f>
        <v>14227.618282046888</v>
      </c>
      <c r="L106" s="45">
        <f>IF(VLOOKUP($D106,$C$5:$AT$510,3,)=0,0,(VLOOKUP($D106,$C$5:$AT$510,10,)/VLOOKUP($D106,$C$5:$AT$510,3,))*$E106)</f>
        <v>0</v>
      </c>
      <c r="M106" s="45">
        <f>IF(VLOOKUP($D106,$C$5:$AT$510,3,)=0,0,(VLOOKUP($D106,$C$5:$AT$510,11,)/VLOOKUP($D106,$C$5:$AT$510,3,))*$E106)</f>
        <v>22432.170802825243</v>
      </c>
      <c r="N106" s="45">
        <f>IF(VLOOKUP($D106,$C$5:$AT$510,3,)=0,0,(VLOOKUP($D106,$C$5:$AT$510,12,)/VLOOKUP($D106,$C$5:$AT$510,3,))*$E106)</f>
        <v>5854.7896043599003</v>
      </c>
      <c r="O106" s="45">
        <f>IF(VLOOKUP($D106,$C$5:$AT$510,3,)=0,0,(VLOOKUP($D106,$C$5:$AT$510,13,)/VLOOKUP($D106,$C$5:$AT$510,3,))*$E106)</f>
        <v>5608.0427007063108</v>
      </c>
      <c r="P106" s="45">
        <f>IF(VLOOKUP($D106,$C$5:$AT$510,3,)=0,0,(VLOOKUP($D106,$C$5:$AT$510,14,)/VLOOKUP($D106,$C$5:$AT$510,3,))*$E106)</f>
        <v>4063.0408870166993</v>
      </c>
      <c r="Q106" s="45">
        <f>IF(VLOOKUP($D106,$C$5:$AT$510,3,)=0,0,(VLOOKUP($D106,$C$5:$AT$510,15,)/VLOOKUP($D106,$C$5:$AT$510,3,))*$E106)</f>
        <v>13880.603201996964</v>
      </c>
      <c r="R106" s="45">
        <f>IF(VLOOKUP($D106,$C$5:$AT$510,3,)=0,0,(VLOOKUP($D106,$C$5:$AT$510,16,)/VLOOKUP($D106,$C$5:$AT$510,3,))*$E106)</f>
        <v>5854.7896043599003</v>
      </c>
      <c r="S106" s="45">
        <f>IF(VLOOKUP($D106,$C$5:$AT$510,3,)=0,0,(VLOOKUP($D106,$C$5:$AT$510,17,)/VLOOKUP($D106,$C$5:$AT$510,3,))*$E106)</f>
        <v>0</v>
      </c>
      <c r="T106" s="45">
        <f>IF(VLOOKUP($D106,$C$5:$AT$510,3,)=0,0,(VLOOKUP($D106,$C$5:$AT$510,18,)/VLOOKUP($D106,$C$5:$AT$510,3,))*$E106)</f>
        <v>12560.550862309565</v>
      </c>
      <c r="U106" s="45">
        <f>IF(VLOOKUP($D106,$C$5:$AT$510,3,)=0,0,(VLOOKUP($D106,$C$5:$AT$510,19,)/VLOOKUP($D106,$C$5:$AT$510,3,))*$E106)</f>
        <v>0</v>
      </c>
      <c r="V106" s="45">
        <f>IF(VLOOKUP($D106,$C$5:$AT$510,3,)=0,0,(VLOOKUP($D106,$C$5:$AT$510,20,)/VLOOKUP($D106,$C$5:$AT$510,3,))*$E106)</f>
        <v>0</v>
      </c>
      <c r="W106" s="45">
        <f>IF(VLOOKUP($D106,$C$5:$AT$510,3,)=0,0,(VLOOKUP($D106,$C$5:$AT$510,21,)/VLOOKUP($D106,$C$5:$AT$510,3,))*$E106)</f>
        <v>0</v>
      </c>
      <c r="X106" s="45">
        <f>IF(VLOOKUP($D106,$C$5:$AT$510,3,)=0,0,(VLOOKUP($D106,$C$5:$AT$510,22,)/VLOOKUP($D106,$C$5:$AT$510,3,))*$E106)</f>
        <v>0</v>
      </c>
      <c r="Y106" s="45">
        <f>IF(VLOOKUP($D106,$C$5:$AT$510,3,)=0,0,(VLOOKUP($D106,$C$5:$AT$510,23,)/VLOOKUP($D106,$C$5:$AT$510,3,))*$E106)</f>
        <v>0</v>
      </c>
      <c r="Z106" s="45">
        <f>IF(VLOOKUP($D106,$C$5:$AT$510,3,)=0,0,(VLOOKUP($D106,$C$5:$AT$510,24,)/VLOOKUP($D106,$C$5:$AT$510,3,))*$E106)</f>
        <v>0</v>
      </c>
      <c r="AA106" s="45">
        <f>IF(VLOOKUP($D106,$C$5:$AT$510,3,)=0,0,(VLOOKUP($D106,$C$5:$AT$510,25,)/VLOOKUP($D106,$C$5:$AT$510,3,))*$E106)</f>
        <v>0</v>
      </c>
      <c r="AB106" s="45">
        <f>IF(VLOOKUP($D106,$C$5:$AT$510,3,)=0,0,(VLOOKUP($D106,$C$5:$AT$510,26,)/VLOOKUP($D106,$C$5:$AT$510,3,))*$E106)</f>
        <v>0</v>
      </c>
      <c r="AC106" s="45">
        <f>IF(VLOOKUP($D106,$C$5:$AT$510,3,)=0,0,(VLOOKUP($D106,$C$5:$AT$510,27,)/VLOOKUP($D106,$C$5:$AT$510,3,))*$E106)</f>
        <v>0</v>
      </c>
      <c r="AD106" s="45">
        <f>IF(VLOOKUP($D106,$C$5:$AT$510,3,)=0,0,(VLOOKUP($D106,$C$5:$AT$510,28,)/VLOOKUP($D106,$C$5:$AT$510,3,))*$E106)</f>
        <v>0</v>
      </c>
      <c r="AE106" s="45">
        <f>IF(VLOOKUP($D106,$C$5:$AT$510,3,)=0,0,(VLOOKUP($D106,$C$5:$AT$510,29,)/VLOOKUP($D106,$C$5:$AT$510,3,))*$E106)</f>
        <v>0</v>
      </c>
      <c r="AF106" s="45">
        <f>IF(VLOOKUP($D106,$C$5:$AT$510,3,)=0,0,(VLOOKUP($D106,$C$5:$AT$510,30,)/VLOOKUP($D106,$C$5:$AT$510,3,))*$E106)</f>
        <v>0</v>
      </c>
      <c r="AG106" s="69">
        <f>SUM(F106:AF106)</f>
        <v>4832832.8093044311</v>
      </c>
      <c r="AH106" s="14" t="str">
        <f>IF(ABS(E106-AG106)&lt;0.01,"ok","err")</f>
        <v>ok</v>
      </c>
    </row>
    <row r="107" spans="1:34" x14ac:dyDescent="0.2">
      <c r="E107" s="32"/>
    </row>
    <row r="108" spans="1:34" x14ac:dyDescent="0.2">
      <c r="A108" s="1" t="s">
        <v>5</v>
      </c>
      <c r="E108" s="32"/>
    </row>
    <row r="109" spans="1:34" x14ac:dyDescent="0.2">
      <c r="A109" s="72" t="s">
        <v>221</v>
      </c>
      <c r="C109" s="2" t="s">
        <v>259</v>
      </c>
      <c r="D109" s="2" t="s">
        <v>232</v>
      </c>
      <c r="E109" s="45">
        <f>'Func &amp; Classif'!W155</f>
        <v>3311598.2731185746</v>
      </c>
      <c r="F109" s="45">
        <f>IF(VLOOKUP($D109,$C$5:$AT$510,3,)=0,0,(VLOOKUP($D109,$C$5:$AT$510,4,)/VLOOKUP($D109,$C$5:$AT$510,3,))*$E109)</f>
        <v>0</v>
      </c>
      <c r="G109" s="45">
        <f>IF(VLOOKUP($D109,$C$5:$AT$510,3,)=0,0,(VLOOKUP($D109,$C$5:$AT$510,5,)/VLOOKUP($D109,$C$5:$AT$510,3,))*$E109)</f>
        <v>0</v>
      </c>
      <c r="H109" s="45">
        <f>IF(VLOOKUP($D109,$C$5:$AT$510,3,)=0,0,(VLOOKUP($D109,$C$5:$AT$510,6,)/VLOOKUP($D109,$C$5:$AT$510,3,))*$E109)</f>
        <v>0</v>
      </c>
      <c r="I109" s="45">
        <f>IF(VLOOKUP($D109,$C$5:$AT$510,3,)=0,0,(VLOOKUP($D109,$C$5:$AT$510,7,)/VLOOKUP($D109,$C$5:$AT$510,3,))*$E109)</f>
        <v>0</v>
      </c>
      <c r="J109" s="45">
        <f>IF(VLOOKUP($D109,$C$5:$AT$510,3,)=0,0,(VLOOKUP($D109,$C$5:$AT$510,8,)/VLOOKUP($D109,$C$5:$AT$510,3,))*$E109)</f>
        <v>0</v>
      </c>
      <c r="K109" s="45">
        <f>IF(VLOOKUP($D109,$C$5:$AT$510,3,)=0,0,(VLOOKUP($D109,$C$5:$AT$510,9,)/VLOOKUP($D109,$C$5:$AT$510,3,))*$E109)</f>
        <v>0</v>
      </c>
      <c r="L109" s="45">
        <f>IF(VLOOKUP($D109,$C$5:$AT$510,3,)=0,0,(VLOOKUP($D109,$C$5:$AT$510,10,)/VLOOKUP($D109,$C$5:$AT$510,3,))*$E109)</f>
        <v>0</v>
      </c>
      <c r="M109" s="45">
        <f>IF(VLOOKUP($D109,$C$5:$AT$510,3,)=0,0,(VLOOKUP($D109,$C$5:$AT$510,11,)/VLOOKUP($D109,$C$5:$AT$510,3,))*$E109)</f>
        <v>0</v>
      </c>
      <c r="N109" s="45">
        <f>IF(VLOOKUP($D109,$C$5:$AT$510,3,)=0,0,(VLOOKUP($D109,$C$5:$AT$510,12,)/VLOOKUP($D109,$C$5:$AT$510,3,))*$E109)</f>
        <v>0</v>
      </c>
      <c r="O109" s="45">
        <f>IF(VLOOKUP($D109,$C$5:$AT$510,3,)=0,0,(VLOOKUP($D109,$C$5:$AT$510,13,)/VLOOKUP($D109,$C$5:$AT$510,3,))*$E109)</f>
        <v>0</v>
      </c>
      <c r="P109" s="45">
        <f>IF(VLOOKUP($D109,$C$5:$AT$510,3,)=0,0,(VLOOKUP($D109,$C$5:$AT$510,14,)/VLOOKUP($D109,$C$5:$AT$510,3,))*$E109)</f>
        <v>0</v>
      </c>
      <c r="Q109" s="45">
        <f>IF(VLOOKUP($D109,$C$5:$AT$510,3,)=0,0,(VLOOKUP($D109,$C$5:$AT$510,15,)/VLOOKUP($D109,$C$5:$AT$510,3,))*$E109)</f>
        <v>0</v>
      </c>
      <c r="R109" s="45">
        <f>IF(VLOOKUP($D109,$C$5:$AT$510,3,)=0,0,(VLOOKUP($D109,$C$5:$AT$510,16,)/VLOOKUP($D109,$C$5:$AT$510,3,))*$E109)</f>
        <v>0</v>
      </c>
      <c r="S109" s="45">
        <f>IF(VLOOKUP($D109,$C$5:$AT$510,3,)=0,0,(VLOOKUP($D109,$C$5:$AT$510,17,)/VLOOKUP($D109,$C$5:$AT$510,3,))*$E109)</f>
        <v>0</v>
      </c>
      <c r="T109" s="45">
        <f>IF(VLOOKUP($D109,$C$5:$AT$510,3,)=0,0,(VLOOKUP($D109,$C$5:$AT$510,18,)/VLOOKUP($D109,$C$5:$AT$510,3,))*$E109)</f>
        <v>0</v>
      </c>
      <c r="U109" s="45">
        <f>IF(VLOOKUP($D109,$C$5:$AT$510,3,)=0,0,(VLOOKUP($D109,$C$5:$AT$510,19,)/VLOOKUP($D109,$C$5:$AT$510,3,))*$E109)</f>
        <v>3311598.2731185746</v>
      </c>
      <c r="V109" s="45">
        <f>IF(VLOOKUP($D109,$C$5:$AT$510,3,)=0,0,(VLOOKUP($D109,$C$5:$AT$510,20,)/VLOOKUP($D109,$C$5:$AT$510,3,))*$E109)</f>
        <v>0</v>
      </c>
      <c r="W109" s="45">
        <f>IF(VLOOKUP($D109,$C$5:$AT$510,3,)=0,0,(VLOOKUP($D109,$C$5:$AT$510,21,)/VLOOKUP($D109,$C$5:$AT$510,3,))*$E109)</f>
        <v>0</v>
      </c>
      <c r="X109" s="45">
        <f>IF(VLOOKUP($D109,$C$5:$AT$510,3,)=0,0,(VLOOKUP($D109,$C$5:$AT$510,22,)/VLOOKUP($D109,$C$5:$AT$510,3,))*$E109)</f>
        <v>0</v>
      </c>
      <c r="Y109" s="45">
        <f>IF(VLOOKUP($D109,$C$5:$AT$510,3,)=0,0,(VLOOKUP($D109,$C$5:$AT$510,23,)/VLOOKUP($D109,$C$5:$AT$510,3,))*$E109)</f>
        <v>0</v>
      </c>
      <c r="Z109" s="45">
        <f>IF(VLOOKUP($D109,$C$5:$AT$510,3,)=0,0,(VLOOKUP($D109,$C$5:$AT$510,24,)/VLOOKUP($D109,$C$5:$AT$510,3,))*$E109)</f>
        <v>0</v>
      </c>
      <c r="AA109" s="45">
        <f>IF(VLOOKUP($D109,$C$5:$AT$510,3,)=0,0,(VLOOKUP($D109,$C$5:$AT$510,25,)/VLOOKUP($D109,$C$5:$AT$510,3,))*$E109)</f>
        <v>0</v>
      </c>
      <c r="AB109" s="45">
        <f>IF(VLOOKUP($D109,$C$5:$AT$510,3,)=0,0,(VLOOKUP($D109,$C$5:$AT$510,26,)/VLOOKUP($D109,$C$5:$AT$510,3,))*$E109)</f>
        <v>0</v>
      </c>
      <c r="AC109" s="45">
        <f>IF(VLOOKUP($D109,$C$5:$AT$510,3,)=0,0,(VLOOKUP($D109,$C$5:$AT$510,27,)/VLOOKUP($D109,$C$5:$AT$510,3,))*$E109)</f>
        <v>0</v>
      </c>
      <c r="AD109" s="45">
        <f>IF(VLOOKUP($D109,$C$5:$AT$510,3,)=0,0,(VLOOKUP($D109,$C$5:$AT$510,28,)/VLOOKUP($D109,$C$5:$AT$510,3,))*$E109)</f>
        <v>0</v>
      </c>
      <c r="AE109" s="45">
        <f>IF(VLOOKUP($D109,$C$5:$AT$510,3,)=0,0,(VLOOKUP($D109,$C$5:$AT$510,29,)/VLOOKUP($D109,$C$5:$AT$510,3,))*$E109)</f>
        <v>0</v>
      </c>
      <c r="AF109" s="45">
        <f>IF(VLOOKUP($D109,$C$5:$AT$510,3,)=0,0,(VLOOKUP($D109,$C$5:$AT$510,30,)/VLOOKUP($D109,$C$5:$AT$510,3,))*$E109)</f>
        <v>0</v>
      </c>
      <c r="AG109" s="69">
        <f>SUM(F109:AF109)</f>
        <v>3311598.2731185746</v>
      </c>
      <c r="AH109" s="14" t="str">
        <f>IF(ABS(E109-AG109)&lt;0.01,"ok","err")</f>
        <v>ok</v>
      </c>
    </row>
    <row r="110" spans="1:34" x14ac:dyDescent="0.2">
      <c r="E110" s="32"/>
    </row>
    <row r="111" spans="1:34" x14ac:dyDescent="0.2">
      <c r="A111" s="1" t="s">
        <v>545</v>
      </c>
      <c r="E111" s="32"/>
    </row>
    <row r="112" spans="1:34" x14ac:dyDescent="0.2">
      <c r="A112" s="72" t="s">
        <v>221</v>
      </c>
      <c r="C112" s="2" t="s">
        <v>260</v>
      </c>
      <c r="D112" s="2" t="s">
        <v>234</v>
      </c>
      <c r="E112" s="45">
        <f>'Func &amp; Classif'!Y155</f>
        <v>278578.21750799601</v>
      </c>
      <c r="F112" s="45">
        <f>IF(VLOOKUP($D112,$C$5:$AT$510,3,)=0,0,(VLOOKUP($D112,$C$5:$AT$510,4,)/VLOOKUP($D112,$C$5:$AT$510,3,))*$E112)</f>
        <v>256770.92775965872</v>
      </c>
      <c r="G112" s="45">
        <f>IF(VLOOKUP($D112,$C$5:$AT$510,3,)=0,0,(VLOOKUP($D112,$C$5:$AT$510,5,)/VLOOKUP($D112,$C$5:$AT$510,3,))*$E112)</f>
        <v>0</v>
      </c>
      <c r="H112" s="45">
        <f>IF(VLOOKUP($D112,$C$5:$AT$510,3,)=0,0,(VLOOKUP($D112,$C$5:$AT$510,6,)/VLOOKUP($D112,$C$5:$AT$510,3,))*$E112)</f>
        <v>10.44888613004227</v>
      </c>
      <c r="I112" s="45">
        <f>IF(VLOOKUP($D112,$C$5:$AT$510,3,)=0,0,(VLOOKUP($D112,$C$5:$AT$510,7,)/VLOOKUP($D112,$C$5:$AT$510,3,))*$E112)</f>
        <v>18473.630677914734</v>
      </c>
      <c r="J112" s="45">
        <f>IF(VLOOKUP($D112,$C$5:$AT$510,3,)=0,0,(VLOOKUP($D112,$C$5:$AT$510,8,)/VLOOKUP($D112,$C$5:$AT$510,3,))*$E112)</f>
        <v>1034.4397268741848</v>
      </c>
      <c r="K112" s="45">
        <f>IF(VLOOKUP($D112,$C$5:$AT$510,3,)=0,0,(VLOOKUP($D112,$C$5:$AT$510,9,)/VLOOKUP($D112,$C$5:$AT$510,3,))*$E112)</f>
        <v>19.040192503632579</v>
      </c>
      <c r="L112" s="45">
        <f>IF(VLOOKUP($D112,$C$5:$AT$510,3,)=0,0,(VLOOKUP($D112,$C$5:$AT$510,10,)/VLOOKUP($D112,$C$5:$AT$510,3,))*$E112)</f>
        <v>0</v>
      </c>
      <c r="M112" s="45">
        <f>IF(VLOOKUP($D112,$C$5:$AT$510,3,)=0,0,(VLOOKUP($D112,$C$5:$AT$510,11,)/VLOOKUP($D112,$C$5:$AT$510,3,))*$E112)</f>
        <v>0.92878987822597958</v>
      </c>
      <c r="N112" s="45">
        <f>IF(VLOOKUP($D112,$C$5:$AT$510,3,)=0,0,(VLOOKUP($D112,$C$5:$AT$510,12,)/VLOOKUP($D112,$C$5:$AT$510,3,))*$E112)</f>
        <v>0.2321974695564949</v>
      </c>
      <c r="O112" s="45">
        <f>IF(VLOOKUP($D112,$C$5:$AT$510,3,)=0,0,(VLOOKUP($D112,$C$5:$AT$510,13,)/VLOOKUP($D112,$C$5:$AT$510,3,))*$E112)</f>
        <v>0.2321974695564949</v>
      </c>
      <c r="P112" s="45">
        <f>IF(VLOOKUP($D112,$C$5:$AT$510,3,)=0,0,(VLOOKUP($D112,$C$5:$AT$510,14,)/VLOOKUP($D112,$C$5:$AT$510,3,))*$E112)</f>
        <v>0.92878987822597958</v>
      </c>
      <c r="Q112" s="45">
        <f>IF(VLOOKUP($D112,$C$5:$AT$510,3,)=0,0,(VLOOKUP($D112,$C$5:$AT$510,15,)/VLOOKUP($D112,$C$5:$AT$510,3,))*$E112)</f>
        <v>835.91089040338147</v>
      </c>
      <c r="R112" s="45">
        <f>IF(VLOOKUP($D112,$C$5:$AT$510,3,)=0,0,(VLOOKUP($D112,$C$5:$AT$510,16,)/VLOOKUP($D112,$C$5:$AT$510,3,))*$E112)</f>
        <v>10.44888613004227</v>
      </c>
      <c r="S112" s="45">
        <f>IF(VLOOKUP($D112,$C$5:$AT$510,3,)=0,0,(VLOOKUP($D112,$C$5:$AT$510,17,)/VLOOKUP($D112,$C$5:$AT$510,3,))*$E112)</f>
        <v>0</v>
      </c>
      <c r="T112" s="45">
        <f>IF(VLOOKUP($D112,$C$5:$AT$510,3,)=0,0,(VLOOKUP($D112,$C$5:$AT$510,18,)/VLOOKUP($D112,$C$5:$AT$510,3,))*$E112)</f>
        <v>73.142202910295893</v>
      </c>
      <c r="U112" s="45">
        <f>IF(VLOOKUP($D112,$C$5:$AT$510,3,)=0,0,(VLOOKUP($D112,$C$5:$AT$510,19,)/VLOOKUP($D112,$C$5:$AT$510,3,))*$E112)</f>
        <v>1347.9063107754528</v>
      </c>
      <c r="V112" s="45">
        <f>IF(VLOOKUP($D112,$C$5:$AT$510,3,)=0,0,(VLOOKUP($D112,$C$5:$AT$510,20,)/VLOOKUP($D112,$C$5:$AT$510,3,))*$E112)</f>
        <v>0</v>
      </c>
      <c r="W112" s="45">
        <f>IF(VLOOKUP($D112,$C$5:$AT$510,3,)=0,0,(VLOOKUP($D112,$C$5:$AT$510,21,)/VLOOKUP($D112,$C$5:$AT$510,3,))*$E112)</f>
        <v>0</v>
      </c>
      <c r="X112" s="45">
        <f>IF(VLOOKUP($D112,$C$5:$AT$510,3,)=0,0,(VLOOKUP($D112,$C$5:$AT$510,22,)/VLOOKUP($D112,$C$5:$AT$510,3,))*$E112)</f>
        <v>0</v>
      </c>
      <c r="Y112" s="45">
        <f>IF(VLOOKUP($D112,$C$5:$AT$510,3,)=0,0,(VLOOKUP($D112,$C$5:$AT$510,23,)/VLOOKUP($D112,$C$5:$AT$510,3,))*$E112)</f>
        <v>0</v>
      </c>
      <c r="Z112" s="45">
        <f>IF(VLOOKUP($D112,$C$5:$AT$510,3,)=0,0,(VLOOKUP($D112,$C$5:$AT$510,24,)/VLOOKUP($D112,$C$5:$AT$510,3,))*$E112)</f>
        <v>0</v>
      </c>
      <c r="AA112" s="45">
        <f>IF(VLOOKUP($D112,$C$5:$AT$510,3,)=0,0,(VLOOKUP($D112,$C$5:$AT$510,25,)/VLOOKUP($D112,$C$5:$AT$510,3,))*$E112)</f>
        <v>0</v>
      </c>
      <c r="AB112" s="45">
        <f>IF(VLOOKUP($D112,$C$5:$AT$510,3,)=0,0,(VLOOKUP($D112,$C$5:$AT$510,26,)/VLOOKUP($D112,$C$5:$AT$510,3,))*$E112)</f>
        <v>0</v>
      </c>
      <c r="AC112" s="45">
        <f>IF(VLOOKUP($D112,$C$5:$AT$510,3,)=0,0,(VLOOKUP($D112,$C$5:$AT$510,27,)/VLOOKUP($D112,$C$5:$AT$510,3,))*$E112)</f>
        <v>0</v>
      </c>
      <c r="AD112" s="45">
        <f>IF(VLOOKUP($D112,$C$5:$AT$510,3,)=0,0,(VLOOKUP($D112,$C$5:$AT$510,28,)/VLOOKUP($D112,$C$5:$AT$510,3,))*$E112)</f>
        <v>0</v>
      </c>
      <c r="AE112" s="45">
        <f>IF(VLOOKUP($D112,$C$5:$AT$510,3,)=0,0,(VLOOKUP($D112,$C$5:$AT$510,29,)/VLOOKUP($D112,$C$5:$AT$510,3,))*$E112)</f>
        <v>0</v>
      </c>
      <c r="AF112" s="45">
        <f>IF(VLOOKUP($D112,$C$5:$AT$510,3,)=0,0,(VLOOKUP($D112,$C$5:$AT$510,30,)/VLOOKUP($D112,$C$5:$AT$510,3,))*$E112)</f>
        <v>0</v>
      </c>
      <c r="AG112" s="69">
        <f>SUM(F112:AF112)</f>
        <v>278578.21750799601</v>
      </c>
      <c r="AH112" s="14" t="str">
        <f>IF(ABS(E112-AG112)&lt;0.01,"ok","err")</f>
        <v>ok</v>
      </c>
    </row>
    <row r="113" spans="1:34" x14ac:dyDescent="0.2">
      <c r="E113" s="32"/>
    </row>
    <row r="114" spans="1:34" x14ac:dyDescent="0.2">
      <c r="A114" s="1" t="s">
        <v>470</v>
      </c>
      <c r="E114" s="32"/>
    </row>
    <row r="115" spans="1:34" x14ac:dyDescent="0.2">
      <c r="A115" s="72" t="s">
        <v>221</v>
      </c>
      <c r="C115" s="2" t="s">
        <v>257</v>
      </c>
      <c r="D115" s="2" t="s">
        <v>235</v>
      </c>
      <c r="E115" s="45">
        <f>'Func &amp; Classif'!AA155</f>
        <v>0</v>
      </c>
      <c r="F115" s="45">
        <f>IF(VLOOKUP($D115,$C$5:$AT$510,3,)=0,0,(VLOOKUP($D115,$C$5:$AT$510,4,)/VLOOKUP($D115,$C$5:$AT$510,3,))*$E115)</f>
        <v>0</v>
      </c>
      <c r="G115" s="45">
        <f>IF(VLOOKUP($D115,$C$5:$AT$510,3,)=0,0,(VLOOKUP($D115,$C$5:$AT$510,5,)/VLOOKUP($D115,$C$5:$AT$510,3,))*$E115)</f>
        <v>0</v>
      </c>
      <c r="H115" s="45">
        <f>IF(VLOOKUP($D115,$C$5:$AT$510,3,)=0,0,(VLOOKUP($D115,$C$5:$AT$510,6,)/VLOOKUP($D115,$C$5:$AT$510,3,))*$E115)</f>
        <v>0</v>
      </c>
      <c r="I115" s="45">
        <f>IF(VLOOKUP($D115,$C$5:$AT$510,3,)=0,0,(VLOOKUP($D115,$C$5:$AT$510,7,)/VLOOKUP($D115,$C$5:$AT$510,3,))*$E115)</f>
        <v>0</v>
      </c>
      <c r="J115" s="45">
        <f>IF(VLOOKUP($D115,$C$5:$AT$510,3,)=0,0,(VLOOKUP($D115,$C$5:$AT$510,8,)/VLOOKUP($D115,$C$5:$AT$510,3,))*$E115)</f>
        <v>0</v>
      </c>
      <c r="K115" s="45">
        <f>IF(VLOOKUP($D115,$C$5:$AT$510,3,)=0,0,(VLOOKUP($D115,$C$5:$AT$510,9,)/VLOOKUP($D115,$C$5:$AT$510,3,))*$E115)</f>
        <v>0</v>
      </c>
      <c r="L115" s="45">
        <f>IF(VLOOKUP($D115,$C$5:$AT$510,3,)=0,0,(VLOOKUP($D115,$C$5:$AT$510,10,)/VLOOKUP($D115,$C$5:$AT$510,3,))*$E115)</f>
        <v>0</v>
      </c>
      <c r="M115" s="45">
        <f>IF(VLOOKUP($D115,$C$5:$AT$510,3,)=0,0,(VLOOKUP($D115,$C$5:$AT$510,11,)/VLOOKUP($D115,$C$5:$AT$510,3,))*$E115)</f>
        <v>0</v>
      </c>
      <c r="N115" s="45">
        <f>IF(VLOOKUP($D115,$C$5:$AT$510,3,)=0,0,(VLOOKUP($D115,$C$5:$AT$510,12,)/VLOOKUP($D115,$C$5:$AT$510,3,))*$E115)</f>
        <v>0</v>
      </c>
      <c r="O115" s="45">
        <f>IF(VLOOKUP($D115,$C$5:$AT$510,3,)=0,0,(VLOOKUP($D115,$C$5:$AT$510,13,)/VLOOKUP($D115,$C$5:$AT$510,3,))*$E115)</f>
        <v>0</v>
      </c>
      <c r="P115" s="45">
        <f>IF(VLOOKUP($D115,$C$5:$AT$510,3,)=0,0,(VLOOKUP($D115,$C$5:$AT$510,14,)/VLOOKUP($D115,$C$5:$AT$510,3,))*$E115)</f>
        <v>0</v>
      </c>
      <c r="Q115" s="45">
        <f>IF(VLOOKUP($D115,$C$5:$AT$510,3,)=0,0,(VLOOKUP($D115,$C$5:$AT$510,15,)/VLOOKUP($D115,$C$5:$AT$510,3,))*$E115)</f>
        <v>0</v>
      </c>
      <c r="R115" s="45">
        <f>IF(VLOOKUP($D115,$C$5:$AT$510,3,)=0,0,(VLOOKUP($D115,$C$5:$AT$510,16,)/VLOOKUP($D115,$C$5:$AT$510,3,))*$E115)</f>
        <v>0</v>
      </c>
      <c r="S115" s="45">
        <f>IF(VLOOKUP($D115,$C$5:$AT$510,3,)=0,0,(VLOOKUP($D115,$C$5:$AT$510,17,)/VLOOKUP($D115,$C$5:$AT$510,3,))*$E115)</f>
        <v>0</v>
      </c>
      <c r="T115" s="45">
        <f>IF(VLOOKUP($D115,$C$5:$AT$510,3,)=0,0,(VLOOKUP($D115,$C$5:$AT$510,18,)/VLOOKUP($D115,$C$5:$AT$510,3,))*$E115)</f>
        <v>0</v>
      </c>
      <c r="U115" s="45">
        <f>IF(VLOOKUP($D115,$C$5:$AT$510,3,)=0,0,(VLOOKUP($D115,$C$5:$AT$510,19,)/VLOOKUP($D115,$C$5:$AT$510,3,))*$E115)</f>
        <v>0</v>
      </c>
      <c r="V115" s="45">
        <f>IF(VLOOKUP($D115,$C$5:$AT$510,3,)=0,0,(VLOOKUP($D115,$C$5:$AT$510,20,)/VLOOKUP($D115,$C$5:$AT$510,3,))*$E115)</f>
        <v>0</v>
      </c>
      <c r="W115" s="45">
        <f>IF(VLOOKUP($D115,$C$5:$AT$510,3,)=0,0,(VLOOKUP($D115,$C$5:$AT$510,21,)/VLOOKUP($D115,$C$5:$AT$510,3,))*$E115)</f>
        <v>0</v>
      </c>
      <c r="X115" s="45">
        <f>IF(VLOOKUP($D115,$C$5:$AT$510,3,)=0,0,(VLOOKUP($D115,$C$5:$AT$510,22,)/VLOOKUP($D115,$C$5:$AT$510,3,))*$E115)</f>
        <v>0</v>
      </c>
      <c r="Y115" s="45">
        <f>IF(VLOOKUP($D115,$C$5:$AT$510,3,)=0,0,(VLOOKUP($D115,$C$5:$AT$510,23,)/VLOOKUP($D115,$C$5:$AT$510,3,))*$E115)</f>
        <v>0</v>
      </c>
      <c r="Z115" s="45">
        <f>IF(VLOOKUP($D115,$C$5:$AT$510,3,)=0,0,(VLOOKUP($D115,$C$5:$AT$510,24,)/VLOOKUP($D115,$C$5:$AT$510,3,))*$E115)</f>
        <v>0</v>
      </c>
      <c r="AA115" s="45">
        <f>IF(VLOOKUP($D115,$C$5:$AT$510,3,)=0,0,(VLOOKUP($D115,$C$5:$AT$510,25,)/VLOOKUP($D115,$C$5:$AT$510,3,))*$E115)</f>
        <v>0</v>
      </c>
      <c r="AB115" s="45">
        <f>IF(VLOOKUP($D115,$C$5:$AT$510,3,)=0,0,(VLOOKUP($D115,$C$5:$AT$510,26,)/VLOOKUP($D115,$C$5:$AT$510,3,))*$E115)</f>
        <v>0</v>
      </c>
      <c r="AC115" s="45">
        <f>IF(VLOOKUP($D115,$C$5:$AT$510,3,)=0,0,(VLOOKUP($D115,$C$5:$AT$510,27,)/VLOOKUP($D115,$C$5:$AT$510,3,))*$E115)</f>
        <v>0</v>
      </c>
      <c r="AD115" s="45">
        <f>IF(VLOOKUP($D115,$C$5:$AT$510,3,)=0,0,(VLOOKUP($D115,$C$5:$AT$510,28,)/VLOOKUP($D115,$C$5:$AT$510,3,))*$E115)</f>
        <v>0</v>
      </c>
      <c r="AE115" s="45">
        <f>IF(VLOOKUP($D115,$C$5:$AT$510,3,)=0,0,(VLOOKUP($D115,$C$5:$AT$510,29,)/VLOOKUP($D115,$C$5:$AT$510,3,))*$E115)</f>
        <v>0</v>
      </c>
      <c r="AF115" s="45">
        <f>IF(VLOOKUP($D115,$C$5:$AT$510,3,)=0,0,(VLOOKUP($D115,$C$5:$AT$510,30,)/VLOOKUP($D115,$C$5:$AT$510,3,))*$E115)</f>
        <v>0</v>
      </c>
      <c r="AG115" s="69">
        <f>SUM(F115:AF115)</f>
        <v>0</v>
      </c>
      <c r="AH115" s="14" t="str">
        <f>IF(ABS(E115-AG115)&lt;0.01,"ok","err")</f>
        <v>ok</v>
      </c>
    </row>
    <row r="116" spans="1:34" x14ac:dyDescent="0.2">
      <c r="E116" s="32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</row>
    <row r="117" spans="1:34" x14ac:dyDescent="0.2">
      <c r="A117" s="2" t="s">
        <v>0</v>
      </c>
      <c r="C117" s="2" t="s">
        <v>261</v>
      </c>
      <c r="E117" s="45">
        <f>E87+E90+E93+E98+E103+E106+E109+E112+E115</f>
        <v>88072123.171730757</v>
      </c>
      <c r="F117" s="45">
        <f t="shared" ref="F117:R117" si="22">F87+F90+F93+F98+F103+F106+F109+F112+F115</f>
        <v>71692826.027843475</v>
      </c>
      <c r="G117" s="45">
        <f t="shared" si="22"/>
        <v>0</v>
      </c>
      <c r="H117" s="45">
        <f t="shared" si="22"/>
        <v>2721.5343263268774</v>
      </c>
      <c r="I117" s="45">
        <f t="shared" si="22"/>
        <v>5934328.0940072583</v>
      </c>
      <c r="J117" s="45">
        <f t="shared" si="22"/>
        <v>3426180.3692337996</v>
      </c>
      <c r="K117" s="45">
        <f t="shared" si="22"/>
        <v>49260.188867195116</v>
      </c>
      <c r="L117" s="45">
        <f t="shared" si="22"/>
        <v>0</v>
      </c>
      <c r="M117" s="45">
        <f t="shared" si="22"/>
        <v>1006335.0956305987</v>
      </c>
      <c r="N117" s="45">
        <f t="shared" si="22"/>
        <v>1163045.8832072474</v>
      </c>
      <c r="O117" s="45">
        <f t="shared" si="22"/>
        <v>278570.64051221864</v>
      </c>
      <c r="P117" s="45">
        <f t="shared" si="22"/>
        <v>84857.901447562879</v>
      </c>
      <c r="Q117" s="45">
        <f t="shared" si="22"/>
        <v>291115.74032693595</v>
      </c>
      <c r="R117" s="45">
        <f t="shared" si="22"/>
        <v>629717.63438720745</v>
      </c>
      <c r="S117" s="45">
        <f t="shared" ref="S117:AF117" si="23">S87+S93+S98+S103+S106+S109+S112+S115</f>
        <v>0</v>
      </c>
      <c r="T117" s="45">
        <f t="shared" si="23"/>
        <v>67182.49413946901</v>
      </c>
      <c r="U117" s="45">
        <f t="shared" si="23"/>
        <v>3445981.5678014602</v>
      </c>
      <c r="V117" s="45">
        <f t="shared" si="23"/>
        <v>0</v>
      </c>
      <c r="W117" s="45">
        <f t="shared" si="23"/>
        <v>0</v>
      </c>
      <c r="X117" s="45">
        <f t="shared" si="23"/>
        <v>0</v>
      </c>
      <c r="Y117" s="45">
        <f t="shared" si="23"/>
        <v>0</v>
      </c>
      <c r="Z117" s="45">
        <f t="shared" si="23"/>
        <v>0</v>
      </c>
      <c r="AA117" s="45">
        <f t="shared" si="23"/>
        <v>0</v>
      </c>
      <c r="AB117" s="45">
        <f t="shared" si="23"/>
        <v>0</v>
      </c>
      <c r="AC117" s="45">
        <f t="shared" si="23"/>
        <v>0</v>
      </c>
      <c r="AD117" s="45">
        <f t="shared" si="23"/>
        <v>0</v>
      </c>
      <c r="AE117" s="45">
        <f t="shared" si="23"/>
        <v>0</v>
      </c>
      <c r="AF117" s="45">
        <f t="shared" si="23"/>
        <v>0</v>
      </c>
      <c r="AG117" s="69">
        <f>SUM(F117:AF117)</f>
        <v>88072123.171730757</v>
      </c>
      <c r="AH117" s="14" t="str">
        <f>IF(ABS(E117-AG117)&lt;0.01,"ok","err")</f>
        <v>ok</v>
      </c>
    </row>
    <row r="118" spans="1:34" x14ac:dyDescent="0.2"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AG118" s="118"/>
      <c r="AH118" s="14"/>
    </row>
    <row r="119" spans="1:34" x14ac:dyDescent="0.2">
      <c r="E119" s="69"/>
    </row>
    <row r="120" spans="1:34" x14ac:dyDescent="0.2">
      <c r="A120" s="12" t="s">
        <v>86</v>
      </c>
    </row>
    <row r="122" spans="1:34" x14ac:dyDescent="0.2">
      <c r="A122" s="1" t="s">
        <v>859</v>
      </c>
    </row>
    <row r="123" spans="1:34" x14ac:dyDescent="0.2">
      <c r="A123" s="72" t="s">
        <v>209</v>
      </c>
      <c r="C123" s="2" t="s">
        <v>262</v>
      </c>
      <c r="D123" s="2" t="s">
        <v>655</v>
      </c>
      <c r="E123" s="45">
        <f>'Func &amp; Classif'!H296</f>
        <v>12119881.312573178</v>
      </c>
      <c r="F123" s="45">
        <f>IF(VLOOKUP($D123,$C$5:$AT$510,3,)=0,0,(VLOOKUP($D123,$C$5:$AT$510,4,)/VLOOKUP($D123,$C$5:$AT$510,3,))*$E123)</f>
        <v>8517817.4475482665</v>
      </c>
      <c r="G123" s="45">
        <f>IF(VLOOKUP($D123,$C$5:$AT$510,3,)=0,0,(VLOOKUP($D123,$C$5:$AT$510,5,)/VLOOKUP($D123,$C$5:$AT$510,3,))*$E123)</f>
        <v>0</v>
      </c>
      <c r="H123" s="45">
        <f>IF(VLOOKUP($D123,$C$5:$AT$510,3,)=0,0,(VLOOKUP($D123,$C$5:$AT$510,6,)/VLOOKUP($D123,$C$5:$AT$510,3,))*$E123)</f>
        <v>160.09978948184198</v>
      </c>
      <c r="I123" s="45">
        <f>IF(VLOOKUP($D123,$C$5:$AT$510,3,)=0,0,(VLOOKUP($D123,$C$5:$AT$510,7,)/VLOOKUP($D123,$C$5:$AT$510,3,))*$E123)</f>
        <v>764869.07125271857</v>
      </c>
      <c r="J123" s="45">
        <f>IF(VLOOKUP($D123,$C$5:$AT$510,3,)=0,0,(VLOOKUP($D123,$C$5:$AT$510,8,)/VLOOKUP($D123,$C$5:$AT$510,3,))*$E123)</f>
        <v>1219519.6753630552</v>
      </c>
      <c r="K123" s="45">
        <f>IF(VLOOKUP($D123,$C$5:$AT$510,3,)=0,0,(VLOOKUP($D123,$C$5:$AT$510,9,)/VLOOKUP($D123,$C$5:$AT$510,3,))*$E123)</f>
        <v>0</v>
      </c>
      <c r="L123" s="45">
        <f>IF(VLOOKUP($D123,$C$5:$AT$510,3,)=0,0,(VLOOKUP($D123,$C$5:$AT$510,10,)/VLOOKUP($D123,$C$5:$AT$510,3,))*$E123)</f>
        <v>0</v>
      </c>
      <c r="M123" s="45">
        <f>IF(VLOOKUP($D123,$C$5:$AT$510,3,)=0,0,(VLOOKUP($D123,$C$5:$AT$510,11,)/VLOOKUP($D123,$C$5:$AT$510,3,))*$E123)</f>
        <v>362444.26156751829</v>
      </c>
      <c r="N123" s="45">
        <f>IF(VLOOKUP($D123,$C$5:$AT$510,3,)=0,0,(VLOOKUP($D123,$C$5:$AT$510,12,)/VLOOKUP($D123,$C$5:$AT$510,3,))*$E123)</f>
        <v>849824</v>
      </c>
      <c r="O123" s="45">
        <f>IF(VLOOKUP($D123,$C$5:$AT$510,3,)=0,0,(VLOOKUP($D123,$C$5:$AT$510,13,)/VLOOKUP($D123,$C$5:$AT$510,3,))*$E123)</f>
        <v>107109.50771976337</v>
      </c>
      <c r="P123" s="45">
        <f>IF(VLOOKUP($D123,$C$5:$AT$510,3,)=0,0,(VLOOKUP($D123,$C$5:$AT$510,14,)/VLOOKUP($D123,$C$5:$AT$510,3,))*$E123)</f>
        <v>11055.34672320467</v>
      </c>
      <c r="Q123" s="45">
        <f>IF(VLOOKUP($D123,$C$5:$AT$510,3,)=0,0,(VLOOKUP($D123,$C$5:$AT$510,15,)/VLOOKUP($D123,$C$5:$AT$510,3,))*$E123)</f>
        <v>35314.403531366406</v>
      </c>
      <c r="R123" s="45">
        <f>IF(VLOOKUP($D123,$C$5:$AT$510,3,)=0,0,(VLOOKUP($D123,$C$5:$AT$510,16,)/VLOOKUP($D123,$C$5:$AT$510,3,))*$E123)</f>
        <v>237797.89397702547</v>
      </c>
      <c r="S123" s="45">
        <f>IF(VLOOKUP($D123,$C$5:$AT$510,3,)=0,0,(VLOOKUP($D123,$C$5:$AT$510,17,)/VLOOKUP($D123,$C$5:$AT$510,3,))*$E123)</f>
        <v>0</v>
      </c>
      <c r="T123" s="45">
        <f>IF(VLOOKUP($D123,$C$5:$AT$510,3,)=0,0,(VLOOKUP($D123,$C$5:$AT$510,18,)/VLOOKUP($D123,$C$5:$AT$510,3,))*$E123)</f>
        <v>7983.8360514385631</v>
      </c>
      <c r="U123" s="45">
        <f>IF(VLOOKUP($D123,$C$5:$AT$510,3,)=0,0,(VLOOKUP($D123,$C$5:$AT$510,19,)/VLOOKUP($D123,$C$5:$AT$510,3,))*$E123)</f>
        <v>5985.769049337684</v>
      </c>
      <c r="V123" s="45">
        <f>IF(VLOOKUP($D123,$C$5:$AT$510,3,)=0,0,(VLOOKUP($D123,$C$5:$AT$510,20,)/VLOOKUP($D123,$C$5:$AT$510,3,))*$E123)</f>
        <v>0</v>
      </c>
      <c r="W123" s="45">
        <f>IF(VLOOKUP($D123,$C$5:$AT$510,3,)=0,0,(VLOOKUP($D123,$C$5:$AT$510,21,)/VLOOKUP($D123,$C$5:$AT$510,3,))*$E123)</f>
        <v>0</v>
      </c>
      <c r="X123" s="45">
        <f>IF(VLOOKUP($D123,$C$5:$AT$510,3,)=0,0,(VLOOKUP($D123,$C$5:$AT$510,22,)/VLOOKUP($D123,$C$5:$AT$510,3,))*$E123)</f>
        <v>0</v>
      </c>
      <c r="Y123" s="45">
        <f>IF(VLOOKUP($D123,$C$5:$AT$510,3,)=0,0,(VLOOKUP($D123,$C$5:$AT$510,23,)/VLOOKUP($D123,$C$5:$AT$510,3,))*$E123)</f>
        <v>0</v>
      </c>
      <c r="Z123" s="45">
        <f>IF(VLOOKUP($D123,$C$5:$AT$510,3,)=0,0,(VLOOKUP($D123,$C$5:$AT$510,24,)/VLOOKUP($D123,$C$5:$AT$510,3,))*$E123)</f>
        <v>0</v>
      </c>
      <c r="AA123" s="45">
        <f>IF(VLOOKUP($D123,$C$5:$AT$510,3,)=0,0,(VLOOKUP($D123,$C$5:$AT$510,25,)/VLOOKUP($D123,$C$5:$AT$510,3,))*$E123)</f>
        <v>0</v>
      </c>
      <c r="AB123" s="45">
        <f>IF(VLOOKUP($D123,$C$5:$AT$510,3,)=0,0,(VLOOKUP($D123,$C$5:$AT$510,26,)/VLOOKUP($D123,$C$5:$AT$510,3,))*$E123)</f>
        <v>0</v>
      </c>
      <c r="AC123" s="45">
        <f>IF(VLOOKUP($D123,$C$5:$AT$510,3,)=0,0,(VLOOKUP($D123,$C$5:$AT$510,27,)/VLOOKUP($D123,$C$5:$AT$510,3,))*$E123)</f>
        <v>0</v>
      </c>
      <c r="AD123" s="45">
        <f>IF(VLOOKUP($D123,$C$5:$AT$510,3,)=0,0,(VLOOKUP($D123,$C$5:$AT$510,28,)/VLOOKUP($D123,$C$5:$AT$510,3,))*$E123)</f>
        <v>0</v>
      </c>
      <c r="AE123" s="45">
        <f>IF(VLOOKUP($D123,$C$5:$AT$510,3,)=0,0,(VLOOKUP($D123,$C$5:$AT$510,29,)/VLOOKUP($D123,$C$5:$AT$510,3,))*$E123)</f>
        <v>0</v>
      </c>
      <c r="AF123" s="45">
        <f>IF(VLOOKUP($D123,$C$5:$AT$510,3,)=0,0,(VLOOKUP($D123,$C$5:$AT$510,30,)/VLOOKUP($D123,$C$5:$AT$510,3,))*$E123)</f>
        <v>0</v>
      </c>
      <c r="AG123" s="69">
        <f>SUM(F123:AF123)</f>
        <v>12119881.312573174</v>
      </c>
      <c r="AH123" s="14" t="str">
        <f>IF(ABS(E123-AG123)&lt;0.01,"ok","err")</f>
        <v>ok</v>
      </c>
    </row>
    <row r="124" spans="1:34" x14ac:dyDescent="0.2">
      <c r="A124" s="72" t="s">
        <v>212</v>
      </c>
      <c r="C124" s="2" t="s">
        <v>263</v>
      </c>
      <c r="D124" s="2" t="s">
        <v>664</v>
      </c>
      <c r="E124" s="32">
        <f>'Func &amp; Classif'!I296</f>
        <v>30449263.092405669</v>
      </c>
      <c r="F124" s="45">
        <f>IF(VLOOKUP($D124,$C$5:$AT$510,3,)=0,0,(VLOOKUP($D124,$C$5:$AT$510,4,)/VLOOKUP($D124,$C$5:$AT$510,3,))*$E124)</f>
        <v>19842851.777374856</v>
      </c>
      <c r="G124" s="45">
        <f>IF(VLOOKUP($D124,$C$5:$AT$510,3,)=0,0,(VLOOKUP($D124,$C$5:$AT$510,5,)/VLOOKUP($D124,$C$5:$AT$510,3,))*$E124)</f>
        <v>0</v>
      </c>
      <c r="H124" s="45">
        <f>IF(VLOOKUP($D124,$C$5:$AT$510,3,)=0,0,(VLOOKUP($D124,$C$5:$AT$510,6,)/VLOOKUP($D124,$C$5:$AT$510,3,))*$E124)</f>
        <v>711.26223384996877</v>
      </c>
      <c r="I124" s="45">
        <f>IF(VLOOKUP($D124,$C$5:$AT$510,3,)=0,0,(VLOOKUP($D124,$C$5:$AT$510,7,)/VLOOKUP($D124,$C$5:$AT$510,3,))*$E124)</f>
        <v>2199761.2436899431</v>
      </c>
      <c r="J124" s="45">
        <f>IF(VLOOKUP($D124,$C$5:$AT$510,3,)=0,0,(VLOOKUP($D124,$C$5:$AT$510,8,)/VLOOKUP($D124,$C$5:$AT$510,3,))*$E124)</f>
        <v>3389118.5842388291</v>
      </c>
      <c r="K124" s="45">
        <f>IF(VLOOKUP($D124,$C$5:$AT$510,3,)=0,0,(VLOOKUP($D124,$C$5:$AT$510,9,)/VLOOKUP($D124,$C$5:$AT$510,3,))*$E124)</f>
        <v>16852.702469770931</v>
      </c>
      <c r="L124" s="45">
        <f>IF(VLOOKUP($D124,$C$5:$AT$510,3,)=0,0,(VLOOKUP($D124,$C$5:$AT$510,10,)/VLOOKUP($D124,$C$5:$AT$510,3,))*$E124)</f>
        <v>0</v>
      </c>
      <c r="M124" s="45">
        <f>IF(VLOOKUP($D124,$C$5:$AT$510,3,)=0,0,(VLOOKUP($D124,$C$5:$AT$510,11,)/VLOOKUP($D124,$C$5:$AT$510,3,))*$E124)</f>
        <v>1553621.4691564988</v>
      </c>
      <c r="N124" s="45">
        <f>IF(VLOOKUP($D124,$C$5:$AT$510,3,)=0,0,(VLOOKUP($D124,$C$5:$AT$510,12,)/VLOOKUP($D124,$C$5:$AT$510,3,))*$E124)</f>
        <v>1633867</v>
      </c>
      <c r="O124" s="45">
        <f>IF(VLOOKUP($D124,$C$5:$AT$510,3,)=0,0,(VLOOKUP($D124,$C$5:$AT$510,13,)/VLOOKUP($D124,$C$5:$AT$510,3,))*$E124)</f>
        <v>533149.43719322805</v>
      </c>
      <c r="P124" s="45">
        <f>IF(VLOOKUP($D124,$C$5:$AT$510,3,)=0,0,(VLOOKUP($D124,$C$5:$AT$510,14,)/VLOOKUP($D124,$C$5:$AT$510,3,))*$E124)</f>
        <v>48926.301683985039</v>
      </c>
      <c r="Q124" s="45">
        <f>IF(VLOOKUP($D124,$C$5:$AT$510,3,)=0,0,(VLOOKUP($D124,$C$5:$AT$510,15,)/VLOOKUP($D124,$C$5:$AT$510,3,))*$E124)</f>
        <v>104843.77354107793</v>
      </c>
      <c r="R124" s="45">
        <f>IF(VLOOKUP($D124,$C$5:$AT$510,3,)=0,0,(VLOOKUP($D124,$C$5:$AT$510,16,)/VLOOKUP($D124,$C$5:$AT$510,3,))*$E124)</f>
        <v>1062620.7275186607</v>
      </c>
      <c r="S124" s="45">
        <f>IF(VLOOKUP($D124,$C$5:$AT$510,3,)=0,0,(VLOOKUP($D124,$C$5:$AT$510,17,)/VLOOKUP($D124,$C$5:$AT$510,3,))*$E124)</f>
        <v>0</v>
      </c>
      <c r="T124" s="45">
        <f>IF(VLOOKUP($D124,$C$5:$AT$510,3,)=0,0,(VLOOKUP($D124,$C$5:$AT$510,18,)/VLOOKUP($D124,$C$5:$AT$510,3,))*$E124)</f>
        <v>35827.110346744899</v>
      </c>
      <c r="U124" s="45">
        <f>IF(VLOOKUP($D124,$C$5:$AT$510,3,)=0,0,(VLOOKUP($D124,$C$5:$AT$510,19,)/VLOOKUP($D124,$C$5:$AT$510,3,))*$E124)</f>
        <v>27111.702958226866</v>
      </c>
      <c r="V124" s="45">
        <f>IF(VLOOKUP($D124,$C$5:$AT$510,3,)=0,0,(VLOOKUP($D124,$C$5:$AT$510,20,)/VLOOKUP($D124,$C$5:$AT$510,3,))*$E124)</f>
        <v>0</v>
      </c>
      <c r="W124" s="45">
        <f>IF(VLOOKUP($D124,$C$5:$AT$510,3,)=0,0,(VLOOKUP($D124,$C$5:$AT$510,21,)/VLOOKUP($D124,$C$5:$AT$510,3,))*$E124)</f>
        <v>0</v>
      </c>
      <c r="X124" s="45">
        <f>IF(VLOOKUP($D124,$C$5:$AT$510,3,)=0,0,(VLOOKUP($D124,$C$5:$AT$510,22,)/VLOOKUP($D124,$C$5:$AT$510,3,))*$E124)</f>
        <v>0</v>
      </c>
      <c r="Y124" s="45">
        <f>IF(VLOOKUP($D124,$C$5:$AT$510,3,)=0,0,(VLOOKUP($D124,$C$5:$AT$510,23,)/VLOOKUP($D124,$C$5:$AT$510,3,))*$E124)</f>
        <v>0</v>
      </c>
      <c r="Z124" s="45">
        <f>IF(VLOOKUP($D124,$C$5:$AT$510,3,)=0,0,(VLOOKUP($D124,$C$5:$AT$510,24,)/VLOOKUP($D124,$C$5:$AT$510,3,))*$E124)</f>
        <v>0</v>
      </c>
      <c r="AA124" s="45">
        <f>IF(VLOOKUP($D124,$C$5:$AT$510,3,)=0,0,(VLOOKUP($D124,$C$5:$AT$510,25,)/VLOOKUP($D124,$C$5:$AT$510,3,))*$E124)</f>
        <v>0</v>
      </c>
      <c r="AB124" s="45">
        <f>IF(VLOOKUP($D124,$C$5:$AT$510,3,)=0,0,(VLOOKUP($D124,$C$5:$AT$510,26,)/VLOOKUP($D124,$C$5:$AT$510,3,))*$E124)</f>
        <v>0</v>
      </c>
      <c r="AC124" s="45">
        <f>IF(VLOOKUP($D124,$C$5:$AT$510,3,)=0,0,(VLOOKUP($D124,$C$5:$AT$510,27,)/VLOOKUP($D124,$C$5:$AT$510,3,))*$E124)</f>
        <v>0</v>
      </c>
      <c r="AD124" s="45">
        <f>IF(VLOOKUP($D124,$C$5:$AT$510,3,)=0,0,(VLOOKUP($D124,$C$5:$AT$510,28,)/VLOOKUP($D124,$C$5:$AT$510,3,))*$E124)</f>
        <v>0</v>
      </c>
      <c r="AE124" s="45">
        <f>IF(VLOOKUP($D124,$C$5:$AT$510,3,)=0,0,(VLOOKUP($D124,$C$5:$AT$510,29,)/VLOOKUP($D124,$C$5:$AT$510,3,))*$E124)</f>
        <v>0</v>
      </c>
      <c r="AF124" s="45">
        <f>IF(VLOOKUP($D124,$C$5:$AT$510,3,)=0,0,(VLOOKUP($D124,$C$5:$AT$510,30,)/VLOOKUP($D124,$C$5:$AT$510,3,))*$E124)</f>
        <v>0</v>
      </c>
      <c r="AG124" s="69">
        <f>SUM(F124:AF124)</f>
        <v>30449263.092405669</v>
      </c>
      <c r="AH124" s="14" t="str">
        <f>IF(ABS(E124-AG124)&lt;0.01,"ok","err")</f>
        <v>ok</v>
      </c>
    </row>
    <row r="125" spans="1:34" x14ac:dyDescent="0.2">
      <c r="A125" s="2" t="s">
        <v>215</v>
      </c>
      <c r="C125" s="2" t="s">
        <v>264</v>
      </c>
      <c r="E125" s="117">
        <f t="shared" ref="E125:T125" si="24">E123+E124</f>
        <v>42569144.404978849</v>
      </c>
      <c r="F125" s="78">
        <f t="shared" si="24"/>
        <v>28360669.224923123</v>
      </c>
      <c r="G125" s="78">
        <f t="shared" si="24"/>
        <v>0</v>
      </c>
      <c r="H125" s="78">
        <f t="shared" si="24"/>
        <v>871.36202333181075</v>
      </c>
      <c r="I125" s="78">
        <f t="shared" si="24"/>
        <v>2964630.3149426617</v>
      </c>
      <c r="J125" s="78">
        <f t="shared" si="24"/>
        <v>4608638.2596018845</v>
      </c>
      <c r="K125" s="78">
        <f t="shared" si="24"/>
        <v>16852.702469770931</v>
      </c>
      <c r="L125" s="78">
        <f t="shared" si="24"/>
        <v>0</v>
      </c>
      <c r="M125" s="78">
        <f t="shared" si="24"/>
        <v>1916065.7307240171</v>
      </c>
      <c r="N125" s="78">
        <f t="shared" si="24"/>
        <v>2483691</v>
      </c>
      <c r="O125" s="78">
        <f t="shared" si="24"/>
        <v>640258.94491299137</v>
      </c>
      <c r="P125" s="78">
        <f t="shared" si="24"/>
        <v>59981.648407189707</v>
      </c>
      <c r="Q125" s="78">
        <f t="shared" si="24"/>
        <v>140158.17707244435</v>
      </c>
      <c r="R125" s="78">
        <f t="shared" si="24"/>
        <v>1300418.6214956862</v>
      </c>
      <c r="S125" s="78">
        <f t="shared" si="24"/>
        <v>0</v>
      </c>
      <c r="T125" s="78">
        <f t="shared" si="24"/>
        <v>43810.946398183463</v>
      </c>
      <c r="U125" s="78">
        <f t="shared" ref="U125:AF125" si="25">U123+U124</f>
        <v>33097.472007564553</v>
      </c>
      <c r="V125" s="78">
        <f t="shared" si="25"/>
        <v>0</v>
      </c>
      <c r="W125" s="78">
        <f t="shared" si="25"/>
        <v>0</v>
      </c>
      <c r="X125" s="78">
        <f t="shared" si="25"/>
        <v>0</v>
      </c>
      <c r="Y125" s="78">
        <f t="shared" si="25"/>
        <v>0</v>
      </c>
      <c r="Z125" s="78">
        <f t="shared" si="25"/>
        <v>0</v>
      </c>
      <c r="AA125" s="78">
        <f t="shared" si="25"/>
        <v>0</v>
      </c>
      <c r="AB125" s="78">
        <f t="shared" si="25"/>
        <v>0</v>
      </c>
      <c r="AC125" s="78">
        <f t="shared" si="25"/>
        <v>0</v>
      </c>
      <c r="AD125" s="78">
        <f t="shared" si="25"/>
        <v>0</v>
      </c>
      <c r="AE125" s="78">
        <f t="shared" si="25"/>
        <v>0</v>
      </c>
      <c r="AF125" s="78">
        <f t="shared" si="25"/>
        <v>0</v>
      </c>
      <c r="AG125" s="162">
        <f>SUM(F125:AF125)</f>
        <v>42569144.404978849</v>
      </c>
      <c r="AH125" s="14" t="str">
        <f>IF(ABS(E125-AG125)&lt;0.01,"ok","err")</f>
        <v>ok</v>
      </c>
    </row>
    <row r="126" spans="1:34" x14ac:dyDescent="0.2">
      <c r="E126" s="32"/>
      <c r="F126" s="32"/>
      <c r="K126" s="69"/>
      <c r="L126" s="69"/>
      <c r="M126" s="69"/>
    </row>
    <row r="127" spans="1:34" x14ac:dyDescent="0.2">
      <c r="A127" s="1" t="s">
        <v>350</v>
      </c>
      <c r="E127" s="32"/>
      <c r="F127" s="32"/>
    </row>
    <row r="128" spans="1:34" x14ac:dyDescent="0.2">
      <c r="A128" s="72" t="s">
        <v>209</v>
      </c>
      <c r="C128" s="2" t="s">
        <v>851</v>
      </c>
      <c r="D128" s="2" t="s">
        <v>623</v>
      </c>
      <c r="E128" s="45">
        <f>'Func &amp; Classif'!K296</f>
        <v>0</v>
      </c>
      <c r="F128" s="45">
        <f>IF(VLOOKUP($D128,$C$5:$AT$510,3,)=0,0,(VLOOKUP($D128,$C$5:$AT$510,4,)/VLOOKUP($D128,$C$5:$AT$510,3,))*$E128)</f>
        <v>0</v>
      </c>
      <c r="G128" s="45">
        <f>IF(VLOOKUP($D128,$C$5:$AT$510,3,)=0,0,(VLOOKUP($D128,$C$5:$AT$510,5,)/VLOOKUP($D128,$C$5:$AT$510,3,))*$E128)</f>
        <v>0</v>
      </c>
      <c r="H128" s="45">
        <f>IF(VLOOKUP($D128,$C$5:$AT$510,3,)=0,0,(VLOOKUP($D128,$C$5:$AT$510,6,)/VLOOKUP($D128,$C$5:$AT$510,3,))*$E128)</f>
        <v>0</v>
      </c>
      <c r="I128" s="45">
        <f>IF(VLOOKUP($D128,$C$5:$AT$510,3,)=0,0,(VLOOKUP($D128,$C$5:$AT$510,7,)/VLOOKUP($D128,$C$5:$AT$510,3,))*$E128)</f>
        <v>0</v>
      </c>
      <c r="J128" s="45">
        <f>IF(VLOOKUP($D128,$C$5:$AT$510,3,)=0,0,(VLOOKUP($D128,$C$5:$AT$510,8,)/VLOOKUP($D128,$C$5:$AT$510,3,))*$E128)</f>
        <v>0</v>
      </c>
      <c r="K128" s="45">
        <f>IF(VLOOKUP($D128,$C$5:$AT$510,3,)=0,0,(VLOOKUP($D128,$C$5:$AT$510,9,)/VLOOKUP($D128,$C$5:$AT$510,3,))*$E128)</f>
        <v>0</v>
      </c>
      <c r="L128" s="45">
        <f>IF(VLOOKUP($D128,$C$5:$AT$510,3,)=0,0,(VLOOKUP($D128,$C$5:$AT$510,10,)/VLOOKUP($D128,$C$5:$AT$510,3,))*$E128)</f>
        <v>0</v>
      </c>
      <c r="M128" s="45">
        <f>IF(VLOOKUP($D128,$C$5:$AT$510,3,)=0,0,(VLOOKUP($D128,$C$5:$AT$510,11,)/VLOOKUP($D128,$C$5:$AT$510,3,))*$E128)</f>
        <v>0</v>
      </c>
      <c r="N128" s="45">
        <f>IF(VLOOKUP($D128,$C$5:$AT$510,3,)=0,0,(VLOOKUP($D128,$C$5:$AT$510,12,)/VLOOKUP($D128,$C$5:$AT$510,3,))*$E128)</f>
        <v>0</v>
      </c>
      <c r="O128" s="45">
        <f>IF(VLOOKUP($D128,$C$5:$AT$510,3,)=0,0,(VLOOKUP($D128,$C$5:$AT$510,13,)/VLOOKUP($D128,$C$5:$AT$510,3,))*$E128)</f>
        <v>0</v>
      </c>
      <c r="P128" s="45">
        <f>IF(VLOOKUP($D128,$C$5:$AT$510,3,)=0,0,(VLOOKUP($D128,$C$5:$AT$510,14,)/VLOOKUP($D128,$C$5:$AT$510,3,))*$E128)</f>
        <v>0</v>
      </c>
      <c r="Q128" s="45">
        <f>IF(VLOOKUP($D128,$C$5:$AT$510,3,)=0,0,(VLOOKUP($D128,$C$5:$AT$510,15,)/VLOOKUP($D128,$C$5:$AT$510,3,))*$E128)</f>
        <v>0</v>
      </c>
      <c r="R128" s="45">
        <f>IF(VLOOKUP($D128,$C$5:$AT$510,3,)=0,0,(VLOOKUP($D128,$C$5:$AT$510,16,)/VLOOKUP($D128,$C$5:$AT$510,3,))*$E128)</f>
        <v>0</v>
      </c>
      <c r="S128" s="45">
        <f>IF(VLOOKUP($D128,$C$5:$AT$510,3,)=0,0,(VLOOKUP($D128,$C$5:$AT$510,17,)/VLOOKUP($D128,$C$5:$AT$510,3,))*$E128)</f>
        <v>0</v>
      </c>
      <c r="T128" s="45">
        <f>IF(VLOOKUP($D128,$C$5:$AT$510,3,)=0,0,(VLOOKUP($D128,$C$5:$AT$510,18,)/VLOOKUP($D128,$C$5:$AT$510,3,))*$E128)</f>
        <v>0</v>
      </c>
      <c r="U128" s="45">
        <f>IF(VLOOKUP($D128,$C$5:$AT$510,3,)=0,0,(VLOOKUP($D128,$C$5:$AT$510,19,)/VLOOKUP($D128,$C$5:$AT$510,3,))*$E128)</f>
        <v>0</v>
      </c>
      <c r="V128" s="45">
        <f>IF(VLOOKUP($D128,$C$5:$AT$510,3,)=0,0,(VLOOKUP($D128,$C$5:$AT$510,20,)/VLOOKUP($D128,$C$5:$AT$510,3,))*$E128)</f>
        <v>0</v>
      </c>
      <c r="W128" s="45">
        <f>IF(VLOOKUP($D128,$C$5:$AT$510,3,)=0,0,(VLOOKUP($D128,$C$5:$AT$510,21,)/VLOOKUP($D128,$C$5:$AT$510,3,))*$E128)</f>
        <v>0</v>
      </c>
      <c r="X128" s="45">
        <f>IF(VLOOKUP($D128,$C$5:$AT$510,3,)=0,0,(VLOOKUP($D128,$C$5:$AT$510,22,)/VLOOKUP($D128,$C$5:$AT$510,3,))*$E128)</f>
        <v>0</v>
      </c>
      <c r="Y128" s="45">
        <f>IF(VLOOKUP($D128,$C$5:$AT$510,3,)=0,0,(VLOOKUP($D128,$C$5:$AT$510,23,)/VLOOKUP($D128,$C$5:$AT$510,3,))*$E128)</f>
        <v>0</v>
      </c>
      <c r="Z128" s="45">
        <f>IF(VLOOKUP($D128,$C$5:$AT$510,3,)=0,0,(VLOOKUP($D128,$C$5:$AT$510,24,)/VLOOKUP($D128,$C$5:$AT$510,3,))*$E128)</f>
        <v>0</v>
      </c>
      <c r="AA128" s="45">
        <f>IF(VLOOKUP($D128,$C$5:$AT$510,3,)=0,0,(VLOOKUP($D128,$C$5:$AT$510,25,)/VLOOKUP($D128,$C$5:$AT$510,3,))*$E128)</f>
        <v>0</v>
      </c>
      <c r="AB128" s="45">
        <f>IF(VLOOKUP($D128,$C$5:$AT$510,3,)=0,0,(VLOOKUP($D128,$C$5:$AT$510,26,)/VLOOKUP($D128,$C$5:$AT$510,3,))*$E128)</f>
        <v>0</v>
      </c>
      <c r="AC128" s="45">
        <f>IF(VLOOKUP($D128,$C$5:$AT$510,3,)=0,0,(VLOOKUP($D128,$C$5:$AT$510,27,)/VLOOKUP($D128,$C$5:$AT$510,3,))*$E128)</f>
        <v>0</v>
      </c>
      <c r="AD128" s="45">
        <f>IF(VLOOKUP($D128,$C$5:$AT$510,3,)=0,0,(VLOOKUP($D128,$C$5:$AT$510,28,)/VLOOKUP($D128,$C$5:$AT$510,3,))*$E128)</f>
        <v>0</v>
      </c>
      <c r="AE128" s="45">
        <f>IF(VLOOKUP($D128,$C$5:$AT$510,3,)=0,0,(VLOOKUP($D128,$C$5:$AT$510,29,)/VLOOKUP($D128,$C$5:$AT$510,3,))*$E128)</f>
        <v>0</v>
      </c>
      <c r="AF128" s="45">
        <f>IF(VLOOKUP($D128,$C$5:$AT$510,3,)=0,0,(VLOOKUP($D128,$C$5:$AT$510,30,)/VLOOKUP($D128,$C$5:$AT$510,3,))*$E128)</f>
        <v>0</v>
      </c>
      <c r="AG128" s="69">
        <f>SUM(F128:AF128)</f>
        <v>0</v>
      </c>
      <c r="AH128" s="14" t="str">
        <f>IF(ABS(E128-AG128)&lt;0.01,"ok","err")</f>
        <v>ok</v>
      </c>
    </row>
    <row r="129" spans="1:34" x14ac:dyDescent="0.2">
      <c r="E129" s="32"/>
    </row>
    <row r="130" spans="1:34" x14ac:dyDescent="0.2">
      <c r="A130" s="1" t="s">
        <v>1</v>
      </c>
      <c r="E130" s="32"/>
      <c r="F130" s="32"/>
    </row>
    <row r="131" spans="1:34" x14ac:dyDescent="0.2">
      <c r="A131" s="72" t="s">
        <v>209</v>
      </c>
      <c r="C131" s="2" t="s">
        <v>265</v>
      </c>
      <c r="D131" s="2" t="s">
        <v>630</v>
      </c>
      <c r="E131" s="45">
        <f>'Func &amp; Classif'!M296</f>
        <v>574.73850140813556</v>
      </c>
      <c r="F131" s="45">
        <f>IF(VLOOKUP($D131,$C$5:$AT$510,3,)=0,0,(VLOOKUP($D131,$C$5:$AT$510,4,)/VLOOKUP($D131,$C$5:$AT$510,3,))*$E131)</f>
        <v>418.41233665591392</v>
      </c>
      <c r="G131" s="45">
        <f>IF(VLOOKUP($D131,$C$5:$AT$510,3,)=0,0,(VLOOKUP($D131,$C$5:$AT$510,5,)/VLOOKUP($D131,$C$5:$AT$510,3,))*$E131)</f>
        <v>0</v>
      </c>
      <c r="H131" s="45">
        <f>IF(VLOOKUP($D131,$C$5:$AT$510,3,)=0,0,(VLOOKUP($D131,$C$5:$AT$510,6,)/VLOOKUP($D131,$C$5:$AT$510,3,))*$E131)</f>
        <v>7.8644238888330355E-3</v>
      </c>
      <c r="I131" s="45">
        <f>IF(VLOOKUP($D131,$C$5:$AT$510,3,)=0,0,(VLOOKUP($D131,$C$5:$AT$510,7,)/VLOOKUP($D131,$C$5:$AT$510,3,))*$E131)</f>
        <v>37.571908215854641</v>
      </c>
      <c r="J131" s="45">
        <f>IF(VLOOKUP($D131,$C$5:$AT$510,3,)=0,0,(VLOOKUP($D131,$C$5:$AT$510,8,)/VLOOKUP($D131,$C$5:$AT$510,3,))*$E131)</f>
        <v>59.905260955479775</v>
      </c>
      <c r="K131" s="45">
        <f>IF(VLOOKUP($D131,$C$5:$AT$510,3,)=0,0,(VLOOKUP($D131,$C$5:$AT$510,9,)/VLOOKUP($D131,$C$5:$AT$510,3,))*$E131)</f>
        <v>0</v>
      </c>
      <c r="L131" s="45">
        <f>IF(VLOOKUP($D131,$C$5:$AT$510,3,)=0,0,(VLOOKUP($D131,$C$5:$AT$510,10,)/VLOOKUP($D131,$C$5:$AT$510,3,))*$E131)</f>
        <v>0</v>
      </c>
      <c r="M131" s="45">
        <f>IF(VLOOKUP($D131,$C$5:$AT$510,3,)=0,0,(VLOOKUP($D131,$C$5:$AT$510,11,)/VLOOKUP($D131,$C$5:$AT$510,3,))*$E131)</f>
        <v>17.803991612152153</v>
      </c>
      <c r="N131" s="45">
        <f>IF(VLOOKUP($D131,$C$5:$AT$510,3,)=0,0,(VLOOKUP($D131,$C$5:$AT$510,12,)/VLOOKUP($D131,$C$5:$AT$510,3,))*$E131)</f>
        <v>21.130603206805549</v>
      </c>
      <c r="O131" s="45">
        <f>IF(VLOOKUP($D131,$C$5:$AT$510,3,)=0,0,(VLOOKUP($D131,$C$5:$AT$510,13,)/VLOOKUP($D131,$C$5:$AT$510,3,))*$E131)</f>
        <v>5.2614345962521751</v>
      </c>
      <c r="P131" s="45">
        <f>IF(VLOOKUP($D131,$C$5:$AT$510,3,)=0,0,(VLOOKUP($D131,$C$5:$AT$510,14,)/VLOOKUP($D131,$C$5:$AT$510,3,))*$E131)</f>
        <v>0.54306088190805357</v>
      </c>
      <c r="Q131" s="45">
        <f>IF(VLOOKUP($D131,$C$5:$AT$510,3,)=0,0,(VLOOKUP($D131,$C$5:$AT$510,15,)/VLOOKUP($D131,$C$5:$AT$510,3,))*$E131)</f>
        <v>1.7347145780192712</v>
      </c>
      <c r="R131" s="45">
        <f>IF(VLOOKUP($D131,$C$5:$AT$510,3,)=0,0,(VLOOKUP($D131,$C$5:$AT$510,16,)/VLOOKUP($D131,$C$5:$AT$510,3,))*$E131)</f>
        <v>11.681111162980073</v>
      </c>
      <c r="S131" s="45">
        <f>IF(VLOOKUP($D131,$C$5:$AT$510,3,)=0,0,(VLOOKUP($D131,$C$5:$AT$510,17,)/VLOOKUP($D131,$C$5:$AT$510,3,))*$E131)</f>
        <v>0</v>
      </c>
      <c r="T131" s="45">
        <f>IF(VLOOKUP($D131,$C$5:$AT$510,3,)=0,0,(VLOOKUP($D131,$C$5:$AT$510,18,)/VLOOKUP($D131,$C$5:$AT$510,3,))*$E131)</f>
        <v>0.39218209574586044</v>
      </c>
      <c r="U131" s="45">
        <f>IF(VLOOKUP($D131,$C$5:$AT$510,3,)=0,0,(VLOOKUP($D131,$C$5:$AT$510,19,)/VLOOKUP($D131,$C$5:$AT$510,3,))*$E131)</f>
        <v>0.29403302313516</v>
      </c>
      <c r="V131" s="45">
        <f>IF(VLOOKUP($D131,$C$5:$AT$510,3,)=0,0,(VLOOKUP($D131,$C$5:$AT$510,20,)/VLOOKUP($D131,$C$5:$AT$510,3,))*$E131)</f>
        <v>0</v>
      </c>
      <c r="W131" s="45">
        <f>IF(VLOOKUP($D131,$C$5:$AT$510,3,)=0,0,(VLOOKUP($D131,$C$5:$AT$510,21,)/VLOOKUP($D131,$C$5:$AT$510,3,))*$E131)</f>
        <v>0</v>
      </c>
      <c r="X131" s="45">
        <f>IF(VLOOKUP($D131,$C$5:$AT$510,3,)=0,0,(VLOOKUP($D131,$C$5:$AT$510,22,)/VLOOKUP($D131,$C$5:$AT$510,3,))*$E131)</f>
        <v>0</v>
      </c>
      <c r="Y131" s="45">
        <f>IF(VLOOKUP($D131,$C$5:$AT$510,3,)=0,0,(VLOOKUP($D131,$C$5:$AT$510,23,)/VLOOKUP($D131,$C$5:$AT$510,3,))*$E131)</f>
        <v>0</v>
      </c>
      <c r="Z131" s="45">
        <f>IF(VLOOKUP($D131,$C$5:$AT$510,3,)=0,0,(VLOOKUP($D131,$C$5:$AT$510,24,)/VLOOKUP($D131,$C$5:$AT$510,3,))*$E131)</f>
        <v>0</v>
      </c>
      <c r="AA131" s="45">
        <f>IF(VLOOKUP($D131,$C$5:$AT$510,3,)=0,0,(VLOOKUP($D131,$C$5:$AT$510,25,)/VLOOKUP($D131,$C$5:$AT$510,3,))*$E131)</f>
        <v>0</v>
      </c>
      <c r="AB131" s="45">
        <f>IF(VLOOKUP($D131,$C$5:$AT$510,3,)=0,0,(VLOOKUP($D131,$C$5:$AT$510,26,)/VLOOKUP($D131,$C$5:$AT$510,3,))*$E131)</f>
        <v>0</v>
      </c>
      <c r="AC131" s="45">
        <f>IF(VLOOKUP($D131,$C$5:$AT$510,3,)=0,0,(VLOOKUP($D131,$C$5:$AT$510,27,)/VLOOKUP($D131,$C$5:$AT$510,3,))*$E131)</f>
        <v>0</v>
      </c>
      <c r="AD131" s="45">
        <f>IF(VLOOKUP($D131,$C$5:$AT$510,3,)=0,0,(VLOOKUP($D131,$C$5:$AT$510,28,)/VLOOKUP($D131,$C$5:$AT$510,3,))*$E131)</f>
        <v>0</v>
      </c>
      <c r="AE131" s="45">
        <f>IF(VLOOKUP($D131,$C$5:$AT$510,3,)=0,0,(VLOOKUP($D131,$C$5:$AT$510,29,)/VLOOKUP($D131,$C$5:$AT$510,3,))*$E131)</f>
        <v>0</v>
      </c>
      <c r="AF131" s="45">
        <f>IF(VLOOKUP($D131,$C$5:$AT$510,3,)=0,0,(VLOOKUP($D131,$C$5:$AT$510,30,)/VLOOKUP($D131,$C$5:$AT$510,3,))*$E131)</f>
        <v>0</v>
      </c>
      <c r="AG131" s="69">
        <f>SUM(F131:AF131)</f>
        <v>574.73850140813556</v>
      </c>
      <c r="AH131" s="14" t="str">
        <f>IF(ABS(E131-AG131)&lt;0.01,"ok","err")</f>
        <v>ok</v>
      </c>
    </row>
    <row r="132" spans="1:34" x14ac:dyDescent="0.2">
      <c r="E132" s="32"/>
    </row>
    <row r="133" spans="1:34" x14ac:dyDescent="0.2">
      <c r="A133" s="1" t="s">
        <v>2</v>
      </c>
      <c r="E133" s="32"/>
    </row>
    <row r="134" spans="1:34" x14ac:dyDescent="0.2">
      <c r="A134" s="72" t="s">
        <v>209</v>
      </c>
      <c r="C134" s="2" t="s">
        <v>266</v>
      </c>
      <c r="D134" s="2" t="s">
        <v>627</v>
      </c>
      <c r="E134" s="45">
        <f>'Func &amp; Classif'!O296</f>
        <v>5317458.0929125296</v>
      </c>
      <c r="F134" s="45">
        <f>IF(VLOOKUP($D134,$C$5:$AT$510,3,)=0,0,(VLOOKUP($D134,$C$5:$AT$510,4,)/VLOOKUP($D134,$C$5:$AT$510,3,))*$E134)</f>
        <v>4267821.9481825847</v>
      </c>
      <c r="G134" s="45">
        <f>IF(VLOOKUP($D134,$C$5:$AT$510,3,)=0,0,(VLOOKUP($D134,$C$5:$AT$510,5,)/VLOOKUP($D134,$C$5:$AT$510,3,))*$E134)</f>
        <v>0</v>
      </c>
      <c r="H134" s="45">
        <f>IF(VLOOKUP($D134,$C$5:$AT$510,3,)=0,0,(VLOOKUP($D134,$C$5:$AT$510,6,)/VLOOKUP($D134,$C$5:$AT$510,3,))*$E134)</f>
        <v>153.76238544144772</v>
      </c>
      <c r="I134" s="45">
        <f>IF(VLOOKUP($D134,$C$5:$AT$510,3,)=0,0,(VLOOKUP($D134,$C$5:$AT$510,7,)/VLOOKUP($D134,$C$5:$AT$510,3,))*$E134)</f>
        <v>369903.94227820833</v>
      </c>
      <c r="J134" s="45">
        <f>IF(VLOOKUP($D134,$C$5:$AT$510,3,)=0,0,(VLOOKUP($D134,$C$5:$AT$510,8,)/VLOOKUP($D134,$C$5:$AT$510,3,))*$E134)</f>
        <v>318547.78094119352</v>
      </c>
      <c r="K134" s="45">
        <f>IF(VLOOKUP($D134,$C$5:$AT$510,3,)=0,0,(VLOOKUP($D134,$C$5:$AT$510,9,)/VLOOKUP($D134,$C$5:$AT$510,3,))*$E134)</f>
        <v>3658.4576095463349</v>
      </c>
      <c r="L134" s="45">
        <f>IF(VLOOKUP($D134,$C$5:$AT$510,3,)=0,0,(VLOOKUP($D134,$C$5:$AT$510,10,)/VLOOKUP($D134,$C$5:$AT$510,3,))*$E134)</f>
        <v>0</v>
      </c>
      <c r="M134" s="45">
        <f>IF(VLOOKUP($D134,$C$5:$AT$510,3,)=0,0,(VLOOKUP($D134,$C$5:$AT$510,11,)/VLOOKUP($D134,$C$5:$AT$510,3,))*$E134)</f>
        <v>107966.84227271099</v>
      </c>
      <c r="N134" s="45">
        <f>IF(VLOOKUP($D134,$C$5:$AT$510,3,)=0,0,(VLOOKUP($D134,$C$5:$AT$510,12,)/VLOOKUP($D134,$C$5:$AT$510,3,))*$E134)</f>
        <v>117380.93326109534</v>
      </c>
      <c r="O134" s="45">
        <f>IF(VLOOKUP($D134,$C$5:$AT$510,3,)=0,0,(VLOOKUP($D134,$C$5:$AT$510,13,)/VLOOKUP($D134,$C$5:$AT$510,3,))*$E134)</f>
        <v>29250.075951733987</v>
      </c>
      <c r="P134" s="45">
        <f>IF(VLOOKUP($D134,$C$5:$AT$510,3,)=0,0,(VLOOKUP($D134,$C$5:$AT$510,14,)/VLOOKUP($D134,$C$5:$AT$510,3,))*$E134)</f>
        <v>8589.7542822646046</v>
      </c>
      <c r="Q134" s="45">
        <f>IF(VLOOKUP($D134,$C$5:$AT$510,3,)=0,0,(VLOOKUP($D134,$C$5:$AT$510,15,)/VLOOKUP($D134,$C$5:$AT$510,3,))*$E134)</f>
        <v>20279.554210999289</v>
      </c>
      <c r="R134" s="45">
        <f>IF(VLOOKUP($D134,$C$5:$AT$510,3,)=0,0,(VLOOKUP($D134,$C$5:$AT$510,16,)/VLOOKUP($D134,$C$5:$AT$510,3,))*$E134)</f>
        <v>68515.464416035815</v>
      </c>
      <c r="S134" s="45">
        <f>IF(VLOOKUP($D134,$C$5:$AT$510,3,)=0,0,(VLOOKUP($D134,$C$5:$AT$510,17,)/VLOOKUP($D134,$C$5:$AT$510,3,))*$E134)</f>
        <v>0</v>
      </c>
      <c r="T134" s="45">
        <f>IF(VLOOKUP($D134,$C$5:$AT$510,3,)=0,0,(VLOOKUP($D134,$C$5:$AT$510,18,)/VLOOKUP($D134,$C$5:$AT$510,3,))*$E134)</f>
        <v>3292.9792967028229</v>
      </c>
      <c r="U134" s="45">
        <f>IF(VLOOKUP($D134,$C$5:$AT$510,3,)=0,0,(VLOOKUP($D134,$C$5:$AT$510,19,)/VLOOKUP($D134,$C$5:$AT$510,3,))*$E134)</f>
        <v>2096.5978240126519</v>
      </c>
      <c r="V134" s="45">
        <f>IF(VLOOKUP($D134,$C$5:$AT$510,3,)=0,0,(VLOOKUP($D134,$C$5:$AT$510,20,)/VLOOKUP($D134,$C$5:$AT$510,3,))*$E134)</f>
        <v>0</v>
      </c>
      <c r="W134" s="45">
        <f>IF(VLOOKUP($D134,$C$5:$AT$510,3,)=0,0,(VLOOKUP($D134,$C$5:$AT$510,21,)/VLOOKUP($D134,$C$5:$AT$510,3,))*$E134)</f>
        <v>0</v>
      </c>
      <c r="X134" s="45">
        <f>IF(VLOOKUP($D134,$C$5:$AT$510,3,)=0,0,(VLOOKUP($D134,$C$5:$AT$510,22,)/VLOOKUP($D134,$C$5:$AT$510,3,))*$E134)</f>
        <v>0</v>
      </c>
      <c r="Y134" s="45">
        <f>IF(VLOOKUP($D134,$C$5:$AT$510,3,)=0,0,(VLOOKUP($D134,$C$5:$AT$510,23,)/VLOOKUP($D134,$C$5:$AT$510,3,))*$E134)</f>
        <v>0</v>
      </c>
      <c r="Z134" s="45">
        <f>IF(VLOOKUP($D134,$C$5:$AT$510,3,)=0,0,(VLOOKUP($D134,$C$5:$AT$510,24,)/VLOOKUP($D134,$C$5:$AT$510,3,))*$E134)</f>
        <v>0</v>
      </c>
      <c r="AA134" s="45">
        <f>IF(VLOOKUP($D134,$C$5:$AT$510,3,)=0,0,(VLOOKUP($D134,$C$5:$AT$510,25,)/VLOOKUP($D134,$C$5:$AT$510,3,))*$E134)</f>
        <v>0</v>
      </c>
      <c r="AB134" s="45">
        <f>IF(VLOOKUP($D134,$C$5:$AT$510,3,)=0,0,(VLOOKUP($D134,$C$5:$AT$510,26,)/VLOOKUP($D134,$C$5:$AT$510,3,))*$E134)</f>
        <v>0</v>
      </c>
      <c r="AC134" s="45">
        <f>IF(VLOOKUP($D134,$C$5:$AT$510,3,)=0,0,(VLOOKUP($D134,$C$5:$AT$510,27,)/VLOOKUP($D134,$C$5:$AT$510,3,))*$E134)</f>
        <v>0</v>
      </c>
      <c r="AD134" s="45">
        <f>IF(VLOOKUP($D134,$C$5:$AT$510,3,)=0,0,(VLOOKUP($D134,$C$5:$AT$510,28,)/VLOOKUP($D134,$C$5:$AT$510,3,))*$E134)</f>
        <v>0</v>
      </c>
      <c r="AE134" s="45">
        <f>IF(VLOOKUP($D134,$C$5:$AT$510,3,)=0,0,(VLOOKUP($D134,$C$5:$AT$510,29,)/VLOOKUP($D134,$C$5:$AT$510,3,))*$E134)</f>
        <v>0</v>
      </c>
      <c r="AF134" s="45">
        <f>IF(VLOOKUP($D134,$C$5:$AT$510,3,)=0,0,(VLOOKUP($D134,$C$5:$AT$510,30,)/VLOOKUP($D134,$C$5:$AT$510,3,))*$E134)</f>
        <v>0</v>
      </c>
      <c r="AG134" s="69">
        <f>SUM(F134:AF134)</f>
        <v>5317458.0929125296</v>
      </c>
      <c r="AH134" s="14" t="str">
        <f>IF(ABS(E134-AG134)&lt;0.01,"ok","err")</f>
        <v>ok</v>
      </c>
    </row>
    <row r="135" spans="1:34" x14ac:dyDescent="0.2">
      <c r="A135" s="72" t="s">
        <v>221</v>
      </c>
      <c r="C135" s="2" t="s">
        <v>267</v>
      </c>
      <c r="D135" s="2" t="s">
        <v>223</v>
      </c>
      <c r="E135" s="32">
        <f>'Func &amp; Classif'!P296</f>
        <v>1755156.1014719452</v>
      </c>
      <c r="F135" s="45">
        <f>IF(VLOOKUP($D135,$C$5:$AT$510,3,)=0,0,(VLOOKUP($D135,$C$5:$AT$510,4,)/VLOOKUP($D135,$C$5:$AT$510,3,))*$E135)</f>
        <v>1617761.3044172823</v>
      </c>
      <c r="G135" s="45">
        <f>IF(VLOOKUP($D135,$C$5:$AT$510,3,)=0,0,(VLOOKUP($D135,$C$5:$AT$510,5,)/VLOOKUP($D135,$C$5:$AT$510,3,))*$E135)</f>
        <v>0</v>
      </c>
      <c r="H135" s="45">
        <f>IF(VLOOKUP($D135,$C$5:$AT$510,3,)=0,0,(VLOOKUP($D135,$C$5:$AT$510,6,)/VLOOKUP($D135,$C$5:$AT$510,3,))*$E135)</f>
        <v>65.832233434413709</v>
      </c>
      <c r="I135" s="45">
        <f>IF(VLOOKUP($D135,$C$5:$AT$510,3,)=0,0,(VLOOKUP($D135,$C$5:$AT$510,7,)/VLOOKUP($D135,$C$5:$AT$510,3,))*$E135)</f>
        <v>116391.38871204344</v>
      </c>
      <c r="J135" s="45">
        <f>IF(VLOOKUP($D135,$C$5:$AT$510,3,)=0,0,(VLOOKUP($D135,$C$5:$AT$510,8,)/VLOOKUP($D135,$C$5:$AT$510,3,))*$E135)</f>
        <v>6517.3911100069572</v>
      </c>
      <c r="K135" s="45">
        <f>IF(VLOOKUP($D135,$C$5:$AT$510,3,)=0,0,(VLOOKUP($D135,$C$5:$AT$510,9,)/VLOOKUP($D135,$C$5:$AT$510,3,))*$E135)</f>
        <v>119.96095870270942</v>
      </c>
      <c r="L135" s="45">
        <f>IF(VLOOKUP($D135,$C$5:$AT$510,3,)=0,0,(VLOOKUP($D135,$C$5:$AT$510,10,)/VLOOKUP($D135,$C$5:$AT$510,3,))*$E135)</f>
        <v>0</v>
      </c>
      <c r="M135" s="45">
        <f>IF(VLOOKUP($D135,$C$5:$AT$510,3,)=0,0,(VLOOKUP($D135,$C$5:$AT$510,11,)/VLOOKUP($D135,$C$5:$AT$510,3,))*$E135)</f>
        <v>5.8517540830589967</v>
      </c>
      <c r="N135" s="45">
        <f>IF(VLOOKUP($D135,$C$5:$AT$510,3,)=0,0,(VLOOKUP($D135,$C$5:$AT$510,12,)/VLOOKUP($D135,$C$5:$AT$510,3,))*$E135)</f>
        <v>1.4629385207647492</v>
      </c>
      <c r="O135" s="45">
        <f>IF(VLOOKUP($D135,$C$5:$AT$510,3,)=0,0,(VLOOKUP($D135,$C$5:$AT$510,13,)/VLOOKUP($D135,$C$5:$AT$510,3,))*$E135)</f>
        <v>1.4629385207647492</v>
      </c>
      <c r="P135" s="45">
        <f>IF(VLOOKUP($D135,$C$5:$AT$510,3,)=0,0,(VLOOKUP($D135,$C$5:$AT$510,14,)/VLOOKUP($D135,$C$5:$AT$510,3,))*$E135)</f>
        <v>5.8517540830589967</v>
      </c>
      <c r="Q135" s="45">
        <f>IF(VLOOKUP($D135,$C$5:$AT$510,3,)=0,0,(VLOOKUP($D135,$C$5:$AT$510,15,)/VLOOKUP($D135,$C$5:$AT$510,3,))*$E135)</f>
        <v>5266.5786747530965</v>
      </c>
      <c r="R135" s="45">
        <f>IF(VLOOKUP($D135,$C$5:$AT$510,3,)=0,0,(VLOOKUP($D135,$C$5:$AT$510,16,)/VLOOKUP($D135,$C$5:$AT$510,3,))*$E135)</f>
        <v>65.832233434413709</v>
      </c>
      <c r="S135" s="45">
        <f>IF(VLOOKUP($D135,$C$5:$AT$510,3,)=0,0,(VLOOKUP($D135,$C$5:$AT$510,17,)/VLOOKUP($D135,$C$5:$AT$510,3,))*$E135)</f>
        <v>0</v>
      </c>
      <c r="T135" s="45">
        <f>IF(VLOOKUP($D135,$C$5:$AT$510,3,)=0,0,(VLOOKUP($D135,$C$5:$AT$510,18,)/VLOOKUP($D135,$C$5:$AT$510,3,))*$E135)</f>
        <v>460.82563404089603</v>
      </c>
      <c r="U135" s="45">
        <f>IF(VLOOKUP($D135,$C$5:$AT$510,3,)=0,0,(VLOOKUP($D135,$C$5:$AT$510,19,)/VLOOKUP($D135,$C$5:$AT$510,3,))*$E135)</f>
        <v>8492.3581130393686</v>
      </c>
      <c r="V135" s="45">
        <f>IF(VLOOKUP($D135,$C$5:$AT$510,3,)=0,0,(VLOOKUP($D135,$C$5:$AT$510,20,)/VLOOKUP($D135,$C$5:$AT$510,3,))*$E135)</f>
        <v>0</v>
      </c>
      <c r="W135" s="45">
        <f>IF(VLOOKUP($D135,$C$5:$AT$510,3,)=0,0,(VLOOKUP($D135,$C$5:$AT$510,21,)/VLOOKUP($D135,$C$5:$AT$510,3,))*$E135)</f>
        <v>0</v>
      </c>
      <c r="X135" s="45">
        <f>IF(VLOOKUP($D135,$C$5:$AT$510,3,)=0,0,(VLOOKUP($D135,$C$5:$AT$510,22,)/VLOOKUP($D135,$C$5:$AT$510,3,))*$E135)</f>
        <v>0</v>
      </c>
      <c r="Y135" s="45">
        <f>IF(VLOOKUP($D135,$C$5:$AT$510,3,)=0,0,(VLOOKUP($D135,$C$5:$AT$510,23,)/VLOOKUP($D135,$C$5:$AT$510,3,))*$E135)</f>
        <v>0</v>
      </c>
      <c r="Z135" s="45">
        <f>IF(VLOOKUP($D135,$C$5:$AT$510,3,)=0,0,(VLOOKUP($D135,$C$5:$AT$510,24,)/VLOOKUP($D135,$C$5:$AT$510,3,))*$E135)</f>
        <v>0</v>
      </c>
      <c r="AA135" s="45">
        <f>IF(VLOOKUP($D135,$C$5:$AT$510,3,)=0,0,(VLOOKUP($D135,$C$5:$AT$510,25,)/VLOOKUP($D135,$C$5:$AT$510,3,))*$E135)</f>
        <v>0</v>
      </c>
      <c r="AB135" s="45">
        <f>IF(VLOOKUP($D135,$C$5:$AT$510,3,)=0,0,(VLOOKUP($D135,$C$5:$AT$510,26,)/VLOOKUP($D135,$C$5:$AT$510,3,))*$E135)</f>
        <v>0</v>
      </c>
      <c r="AC135" s="45">
        <f>IF(VLOOKUP($D135,$C$5:$AT$510,3,)=0,0,(VLOOKUP($D135,$C$5:$AT$510,27,)/VLOOKUP($D135,$C$5:$AT$510,3,))*$E135)</f>
        <v>0</v>
      </c>
      <c r="AD135" s="45">
        <f>IF(VLOOKUP($D135,$C$5:$AT$510,3,)=0,0,(VLOOKUP($D135,$C$5:$AT$510,28,)/VLOOKUP($D135,$C$5:$AT$510,3,))*$E135)</f>
        <v>0</v>
      </c>
      <c r="AE135" s="45">
        <f>IF(VLOOKUP($D135,$C$5:$AT$510,3,)=0,0,(VLOOKUP($D135,$C$5:$AT$510,29,)/VLOOKUP($D135,$C$5:$AT$510,3,))*$E135)</f>
        <v>0</v>
      </c>
      <c r="AF135" s="45">
        <f>IF(VLOOKUP($D135,$C$5:$AT$510,3,)=0,0,(VLOOKUP($D135,$C$5:$AT$510,30,)/VLOOKUP($D135,$C$5:$AT$510,3,))*$E135)</f>
        <v>0</v>
      </c>
      <c r="AG135" s="69">
        <f>SUM(F135:AF135)</f>
        <v>1755156.1014719452</v>
      </c>
      <c r="AH135" s="14" t="str">
        <f>IF(ABS(E135-AG135)&lt;0.01,"ok","err")</f>
        <v>ok</v>
      </c>
    </row>
    <row r="136" spans="1:34" x14ac:dyDescent="0.2">
      <c r="A136" s="2" t="s">
        <v>224</v>
      </c>
      <c r="E136" s="45">
        <f t="shared" ref="E136:T136" si="26">E134+E135</f>
        <v>7072614.1943844743</v>
      </c>
      <c r="F136" s="45">
        <f t="shared" si="26"/>
        <v>5885583.2525998671</v>
      </c>
      <c r="G136" s="45">
        <f t="shared" si="26"/>
        <v>0</v>
      </c>
      <c r="H136" s="45">
        <f t="shared" si="26"/>
        <v>219.59461887586144</v>
      </c>
      <c r="I136" s="45">
        <f t="shared" si="26"/>
        <v>486295.33099025174</v>
      </c>
      <c r="J136" s="45">
        <f t="shared" si="26"/>
        <v>325065.17205120047</v>
      </c>
      <c r="K136" s="45">
        <f t="shared" si="26"/>
        <v>3778.4185682490443</v>
      </c>
      <c r="L136" s="45">
        <f t="shared" si="26"/>
        <v>0</v>
      </c>
      <c r="M136" s="45">
        <f t="shared" si="26"/>
        <v>107972.69402679405</v>
      </c>
      <c r="N136" s="45">
        <f t="shared" si="26"/>
        <v>117382.39619961611</v>
      </c>
      <c r="O136" s="45">
        <f t="shared" si="26"/>
        <v>29251.538890254753</v>
      </c>
      <c r="P136" s="45">
        <f t="shared" si="26"/>
        <v>8595.6060363476645</v>
      </c>
      <c r="Q136" s="45">
        <f t="shared" si="26"/>
        <v>25546.132885752384</v>
      </c>
      <c r="R136" s="45">
        <f t="shared" si="26"/>
        <v>68581.296649470227</v>
      </c>
      <c r="S136" s="45">
        <f t="shared" si="26"/>
        <v>0</v>
      </c>
      <c r="T136" s="45">
        <f t="shared" si="26"/>
        <v>3753.8049307437191</v>
      </c>
      <c r="U136" s="45">
        <f t="shared" ref="U136:AF136" si="27">U134+U135</f>
        <v>10588.95593705202</v>
      </c>
      <c r="V136" s="45">
        <f t="shared" si="27"/>
        <v>0</v>
      </c>
      <c r="W136" s="45">
        <f t="shared" si="27"/>
        <v>0</v>
      </c>
      <c r="X136" s="45">
        <f t="shared" si="27"/>
        <v>0</v>
      </c>
      <c r="Y136" s="45">
        <f t="shared" si="27"/>
        <v>0</v>
      </c>
      <c r="Z136" s="45">
        <f t="shared" si="27"/>
        <v>0</v>
      </c>
      <c r="AA136" s="45">
        <f t="shared" si="27"/>
        <v>0</v>
      </c>
      <c r="AB136" s="45">
        <f t="shared" si="27"/>
        <v>0</v>
      </c>
      <c r="AC136" s="45">
        <f t="shared" si="27"/>
        <v>0</v>
      </c>
      <c r="AD136" s="45">
        <f t="shared" si="27"/>
        <v>0</v>
      </c>
      <c r="AE136" s="45">
        <f t="shared" si="27"/>
        <v>0</v>
      </c>
      <c r="AF136" s="45">
        <f t="shared" si="27"/>
        <v>0</v>
      </c>
      <c r="AG136" s="69">
        <f>SUM(F136:AF136)</f>
        <v>7072614.1943844743</v>
      </c>
      <c r="AH136" s="14" t="str">
        <f>IF(ABS(E136-AG136)&lt;0.01,"ok","err")</f>
        <v>ok</v>
      </c>
    </row>
    <row r="137" spans="1:34" x14ac:dyDescent="0.2">
      <c r="E137" s="32"/>
    </row>
    <row r="138" spans="1:34" x14ac:dyDescent="0.2">
      <c r="A138" s="1" t="s">
        <v>3</v>
      </c>
      <c r="E138" s="32"/>
    </row>
    <row r="139" spans="1:34" x14ac:dyDescent="0.2">
      <c r="A139" s="72" t="s">
        <v>209</v>
      </c>
      <c r="C139" s="2" t="s">
        <v>268</v>
      </c>
      <c r="D139" s="2" t="s">
        <v>699</v>
      </c>
      <c r="E139" s="45">
        <f>'Func &amp; Classif'!R296</f>
        <v>0</v>
      </c>
      <c r="F139" s="45">
        <f>IF(VLOOKUP($D139,$C$5:$AT$510,3,)=0,0,(VLOOKUP($D139,$C$5:$AT$510,4,)/VLOOKUP($D139,$C$5:$AT$510,3,))*$E139)</f>
        <v>0</v>
      </c>
      <c r="G139" s="45">
        <f>IF(VLOOKUP($D139,$C$5:$AT$510,3,)=0,0,(VLOOKUP($D139,$C$5:$AT$510,5,)/VLOOKUP($D139,$C$5:$AT$510,3,))*$E139)</f>
        <v>0</v>
      </c>
      <c r="H139" s="45">
        <f>IF(VLOOKUP($D139,$C$5:$AT$510,3,)=0,0,(VLOOKUP($D139,$C$5:$AT$510,6,)/VLOOKUP($D139,$C$5:$AT$510,3,))*$E139)</f>
        <v>0</v>
      </c>
      <c r="I139" s="45">
        <f>IF(VLOOKUP($D139,$C$5:$AT$510,3,)=0,0,(VLOOKUP($D139,$C$5:$AT$510,7,)/VLOOKUP($D139,$C$5:$AT$510,3,))*$E139)</f>
        <v>0</v>
      </c>
      <c r="J139" s="45">
        <f>IF(VLOOKUP($D139,$C$5:$AT$510,3,)=0,0,(VLOOKUP($D139,$C$5:$AT$510,8,)/VLOOKUP($D139,$C$5:$AT$510,3,))*$E139)</f>
        <v>0</v>
      </c>
      <c r="K139" s="45">
        <f>IF(VLOOKUP($D139,$C$5:$AT$510,3,)=0,0,(VLOOKUP($D139,$C$5:$AT$510,9,)/VLOOKUP($D139,$C$5:$AT$510,3,))*$E139)</f>
        <v>0</v>
      </c>
      <c r="L139" s="45">
        <f>IF(VLOOKUP($D139,$C$5:$AT$510,3,)=0,0,(VLOOKUP($D139,$C$5:$AT$510,10,)/VLOOKUP($D139,$C$5:$AT$510,3,))*$E139)</f>
        <v>0</v>
      </c>
      <c r="M139" s="45">
        <f>IF(VLOOKUP($D139,$C$5:$AT$510,3,)=0,0,(VLOOKUP($D139,$C$5:$AT$510,11,)/VLOOKUP($D139,$C$5:$AT$510,3,))*$E139)</f>
        <v>0</v>
      </c>
      <c r="N139" s="45">
        <f>IF(VLOOKUP($D139,$C$5:$AT$510,3,)=0,0,(VLOOKUP($D139,$C$5:$AT$510,12,)/VLOOKUP($D139,$C$5:$AT$510,3,))*$E139)</f>
        <v>0</v>
      </c>
      <c r="O139" s="45">
        <f>IF(VLOOKUP($D139,$C$5:$AT$510,3,)=0,0,(VLOOKUP($D139,$C$5:$AT$510,13,)/VLOOKUP($D139,$C$5:$AT$510,3,))*$E139)</f>
        <v>0</v>
      </c>
      <c r="P139" s="45">
        <f>IF(VLOOKUP($D139,$C$5:$AT$510,3,)=0,0,(VLOOKUP($D139,$C$5:$AT$510,14,)/VLOOKUP($D139,$C$5:$AT$510,3,))*$E139)</f>
        <v>0</v>
      </c>
      <c r="Q139" s="45">
        <f>IF(VLOOKUP($D139,$C$5:$AT$510,3,)=0,0,(VLOOKUP($D139,$C$5:$AT$510,15,)/VLOOKUP($D139,$C$5:$AT$510,3,))*$E139)</f>
        <v>0</v>
      </c>
      <c r="R139" s="45">
        <f>IF(VLOOKUP($D139,$C$5:$AT$510,3,)=0,0,(VLOOKUP($D139,$C$5:$AT$510,16,)/VLOOKUP($D139,$C$5:$AT$510,3,))*$E139)</f>
        <v>0</v>
      </c>
      <c r="S139" s="45">
        <f>IF(VLOOKUP($D139,$C$5:$AT$510,3,)=0,0,(VLOOKUP($D139,$C$5:$AT$510,17,)/VLOOKUP($D139,$C$5:$AT$510,3,))*$E139)</f>
        <v>0</v>
      </c>
      <c r="T139" s="45">
        <f>IF(VLOOKUP($D139,$C$5:$AT$510,3,)=0,0,(VLOOKUP($D139,$C$5:$AT$510,18,)/VLOOKUP($D139,$C$5:$AT$510,3,))*$E139)</f>
        <v>0</v>
      </c>
      <c r="U139" s="45">
        <f>IF(VLOOKUP($D139,$C$5:$AT$510,3,)=0,0,(VLOOKUP($D139,$C$5:$AT$510,19,)/VLOOKUP($D139,$C$5:$AT$510,3,))*$E139)</f>
        <v>0</v>
      </c>
      <c r="V139" s="45">
        <f>IF(VLOOKUP($D139,$C$5:$AT$510,3,)=0,0,(VLOOKUP($D139,$C$5:$AT$510,20,)/VLOOKUP($D139,$C$5:$AT$510,3,))*$E139)</f>
        <v>0</v>
      </c>
      <c r="W139" s="45">
        <f>IF(VLOOKUP($D139,$C$5:$AT$510,3,)=0,0,(VLOOKUP($D139,$C$5:$AT$510,21,)/VLOOKUP($D139,$C$5:$AT$510,3,))*$E139)</f>
        <v>0</v>
      </c>
      <c r="X139" s="45">
        <f>IF(VLOOKUP($D139,$C$5:$AT$510,3,)=0,0,(VLOOKUP($D139,$C$5:$AT$510,22,)/VLOOKUP($D139,$C$5:$AT$510,3,))*$E139)</f>
        <v>0</v>
      </c>
      <c r="Y139" s="45">
        <f>IF(VLOOKUP($D139,$C$5:$AT$510,3,)=0,0,(VLOOKUP($D139,$C$5:$AT$510,23,)/VLOOKUP($D139,$C$5:$AT$510,3,))*$E139)</f>
        <v>0</v>
      </c>
      <c r="Z139" s="45">
        <f>IF(VLOOKUP($D139,$C$5:$AT$510,3,)=0,0,(VLOOKUP($D139,$C$5:$AT$510,24,)/VLOOKUP($D139,$C$5:$AT$510,3,))*$E139)</f>
        <v>0</v>
      </c>
      <c r="AA139" s="45">
        <f>IF(VLOOKUP($D139,$C$5:$AT$510,3,)=0,0,(VLOOKUP($D139,$C$5:$AT$510,25,)/VLOOKUP($D139,$C$5:$AT$510,3,))*$E139)</f>
        <v>0</v>
      </c>
      <c r="AB139" s="45">
        <f>IF(VLOOKUP($D139,$C$5:$AT$510,3,)=0,0,(VLOOKUP($D139,$C$5:$AT$510,26,)/VLOOKUP($D139,$C$5:$AT$510,3,))*$E139)</f>
        <v>0</v>
      </c>
      <c r="AC139" s="45">
        <f>IF(VLOOKUP($D139,$C$5:$AT$510,3,)=0,0,(VLOOKUP($D139,$C$5:$AT$510,27,)/VLOOKUP($D139,$C$5:$AT$510,3,))*$E139)</f>
        <v>0</v>
      </c>
      <c r="AD139" s="45">
        <f>IF(VLOOKUP($D139,$C$5:$AT$510,3,)=0,0,(VLOOKUP($D139,$C$5:$AT$510,28,)/VLOOKUP($D139,$C$5:$AT$510,3,))*$E139)</f>
        <v>0</v>
      </c>
      <c r="AE139" s="45">
        <f>IF(VLOOKUP($D139,$C$5:$AT$510,3,)=0,0,(VLOOKUP($D139,$C$5:$AT$510,29,)/VLOOKUP($D139,$C$5:$AT$510,3,))*$E139)</f>
        <v>0</v>
      </c>
      <c r="AF139" s="45">
        <f>IF(VLOOKUP($D139,$C$5:$AT$510,3,)=0,0,(VLOOKUP($D139,$C$5:$AT$510,30,)/VLOOKUP($D139,$C$5:$AT$510,3,))*$E139)</f>
        <v>0</v>
      </c>
      <c r="AG139" s="69">
        <f>SUM(F139:AF139)</f>
        <v>0</v>
      </c>
      <c r="AH139" s="14" t="str">
        <f>IF(ABS(E139-AG139)&lt;0.01,"ok","err")</f>
        <v>ok</v>
      </c>
    </row>
    <row r="140" spans="1:34" x14ac:dyDescent="0.2">
      <c r="A140" s="72" t="s">
        <v>221</v>
      </c>
      <c r="C140" s="2" t="s">
        <v>269</v>
      </c>
      <c r="D140" s="2" t="s">
        <v>699</v>
      </c>
      <c r="E140" s="32">
        <f>'Func &amp; Classif'!S296</f>
        <v>235266.26127331541</v>
      </c>
      <c r="F140" s="45">
        <f>IF(VLOOKUP($D140,$C$5:$AT$510,3,)=0,0,(VLOOKUP($D140,$C$5:$AT$510,4,)/VLOOKUP($D140,$C$5:$AT$510,3,))*$E140)</f>
        <v>205069.88530903269</v>
      </c>
      <c r="G140" s="45">
        <f>IF(VLOOKUP($D140,$C$5:$AT$510,3,)=0,0,(VLOOKUP($D140,$C$5:$AT$510,5,)/VLOOKUP($D140,$C$5:$AT$510,3,))*$E140)</f>
        <v>0</v>
      </c>
      <c r="H140" s="45">
        <f>IF(VLOOKUP($D140,$C$5:$AT$510,3,)=0,0,(VLOOKUP($D140,$C$5:$AT$510,6,)/VLOOKUP($D140,$C$5:$AT$510,3,))*$E140)</f>
        <v>8.3449941120303048</v>
      </c>
      <c r="I140" s="45">
        <f>IF(VLOOKUP($D140,$C$5:$AT$510,3,)=0,0,(VLOOKUP($D140,$C$5:$AT$510,7,)/VLOOKUP($D140,$C$5:$AT$510,3,))*$E140)</f>
        <v>20645.084152051339</v>
      </c>
      <c r="J140" s="45">
        <f>IF(VLOOKUP($D140,$C$5:$AT$510,3,)=0,0,(VLOOKUP($D140,$C$5:$AT$510,8,)/VLOOKUP($D140,$C$5:$AT$510,3,))*$E140)</f>
        <v>6883.5478476063572</v>
      </c>
      <c r="K140" s="45">
        <f>IF(VLOOKUP($D140,$C$5:$AT$510,3,)=0,0,(VLOOKUP($D140,$C$5:$AT$510,9,)/VLOOKUP($D140,$C$5:$AT$510,3,))*$E140)</f>
        <v>48.203049175260354</v>
      </c>
      <c r="L140" s="45">
        <f>IF(VLOOKUP($D140,$C$5:$AT$510,3,)=0,0,(VLOOKUP($D140,$C$5:$AT$510,10,)/VLOOKUP($D140,$C$5:$AT$510,3,))*$E140)</f>
        <v>0</v>
      </c>
      <c r="M140" s="45">
        <f>IF(VLOOKUP($D140,$C$5:$AT$510,3,)=0,0,(VLOOKUP($D140,$C$5:$AT$510,11,)/VLOOKUP($D140,$C$5:$AT$510,3,))*$E140)</f>
        <v>102.33178266511638</v>
      </c>
      <c r="N140" s="45">
        <f>IF(VLOOKUP($D140,$C$5:$AT$510,3,)=0,0,(VLOOKUP($D140,$C$5:$AT$510,12,)/VLOOKUP($D140,$C$5:$AT$510,3,))*$E140)</f>
        <v>967.4196590115356</v>
      </c>
      <c r="O140" s="45">
        <f>IF(VLOOKUP($D140,$C$5:$AT$510,3,)=0,0,(VLOOKUP($D140,$C$5:$AT$510,13,)/VLOOKUP($D140,$C$5:$AT$510,3,))*$E140)</f>
        <v>173.5862164609886</v>
      </c>
      <c r="P140" s="45">
        <f>IF(VLOOKUP($D140,$C$5:$AT$510,3,)=0,0,(VLOOKUP($D140,$C$5:$AT$510,14,)/VLOOKUP($D140,$C$5:$AT$510,3,))*$E140)</f>
        <v>137.83271690879079</v>
      </c>
      <c r="Q140" s="45">
        <f>IF(VLOOKUP($D140,$C$5:$AT$510,3,)=0,0,(VLOOKUP($D140,$C$5:$AT$510,15,)/VLOOKUP($D140,$C$5:$AT$510,3,))*$E140)</f>
        <v>709.19157041282665</v>
      </c>
      <c r="R140" s="45">
        <f>IF(VLOOKUP($D140,$C$5:$AT$510,3,)=0,0,(VLOOKUP($D140,$C$5:$AT$510,16,)/VLOOKUP($D140,$C$5:$AT$510,3,))*$E140)</f>
        <v>0</v>
      </c>
      <c r="S140" s="45">
        <f>IF(VLOOKUP($D140,$C$5:$AT$510,3,)=0,0,(VLOOKUP($D140,$C$5:$AT$510,17,)/VLOOKUP($D140,$C$5:$AT$510,3,))*$E140)</f>
        <v>0</v>
      </c>
      <c r="T140" s="45">
        <f>IF(VLOOKUP($D140,$C$5:$AT$510,3,)=0,0,(VLOOKUP($D140,$C$5:$AT$510,18,)/VLOOKUP($D140,$C$5:$AT$510,3,))*$E140)</f>
        <v>520.83397587849026</v>
      </c>
      <c r="U140" s="45">
        <f>IF(VLOOKUP($D140,$C$5:$AT$510,3,)=0,0,(VLOOKUP($D140,$C$5:$AT$510,19,)/VLOOKUP($D140,$C$5:$AT$510,3,))*$E140)</f>
        <v>0</v>
      </c>
      <c r="V140" s="45">
        <f>IF(VLOOKUP($D140,$C$5:$AT$510,3,)=0,0,(VLOOKUP($D140,$C$5:$AT$510,20,)/VLOOKUP($D140,$C$5:$AT$510,3,))*$E140)</f>
        <v>0</v>
      </c>
      <c r="W140" s="45">
        <f>IF(VLOOKUP($D140,$C$5:$AT$510,3,)=0,0,(VLOOKUP($D140,$C$5:$AT$510,21,)/VLOOKUP($D140,$C$5:$AT$510,3,))*$E140)</f>
        <v>0</v>
      </c>
      <c r="X140" s="45">
        <f>IF(VLOOKUP($D140,$C$5:$AT$510,3,)=0,0,(VLOOKUP($D140,$C$5:$AT$510,22,)/VLOOKUP($D140,$C$5:$AT$510,3,))*$E140)</f>
        <v>0</v>
      </c>
      <c r="Y140" s="45">
        <f>IF(VLOOKUP($D140,$C$5:$AT$510,3,)=0,0,(VLOOKUP($D140,$C$5:$AT$510,23,)/VLOOKUP($D140,$C$5:$AT$510,3,))*$E140)</f>
        <v>0</v>
      </c>
      <c r="Z140" s="45">
        <f>IF(VLOOKUP($D140,$C$5:$AT$510,3,)=0,0,(VLOOKUP($D140,$C$5:$AT$510,24,)/VLOOKUP($D140,$C$5:$AT$510,3,))*$E140)</f>
        <v>0</v>
      </c>
      <c r="AA140" s="45">
        <f>IF(VLOOKUP($D140,$C$5:$AT$510,3,)=0,0,(VLOOKUP($D140,$C$5:$AT$510,25,)/VLOOKUP($D140,$C$5:$AT$510,3,))*$E140)</f>
        <v>0</v>
      </c>
      <c r="AB140" s="45">
        <f>IF(VLOOKUP($D140,$C$5:$AT$510,3,)=0,0,(VLOOKUP($D140,$C$5:$AT$510,26,)/VLOOKUP($D140,$C$5:$AT$510,3,))*$E140)</f>
        <v>0</v>
      </c>
      <c r="AC140" s="45">
        <f>IF(VLOOKUP($D140,$C$5:$AT$510,3,)=0,0,(VLOOKUP($D140,$C$5:$AT$510,27,)/VLOOKUP($D140,$C$5:$AT$510,3,))*$E140)</f>
        <v>0</v>
      </c>
      <c r="AD140" s="45">
        <f>IF(VLOOKUP($D140,$C$5:$AT$510,3,)=0,0,(VLOOKUP($D140,$C$5:$AT$510,28,)/VLOOKUP($D140,$C$5:$AT$510,3,))*$E140)</f>
        <v>0</v>
      </c>
      <c r="AE140" s="45">
        <f>IF(VLOOKUP($D140,$C$5:$AT$510,3,)=0,0,(VLOOKUP($D140,$C$5:$AT$510,29,)/VLOOKUP($D140,$C$5:$AT$510,3,))*$E140)</f>
        <v>0</v>
      </c>
      <c r="AF140" s="45">
        <f>IF(VLOOKUP($D140,$C$5:$AT$510,3,)=0,0,(VLOOKUP($D140,$C$5:$AT$510,30,)/VLOOKUP($D140,$C$5:$AT$510,3,))*$E140)</f>
        <v>0</v>
      </c>
      <c r="AG140" s="69">
        <f>SUM(F140:AF140)</f>
        <v>235266.26127331544</v>
      </c>
      <c r="AH140" s="14" t="str">
        <f>IF(ABS(E140-AG140)&lt;0.01,"ok","err")</f>
        <v>ok</v>
      </c>
    </row>
    <row r="141" spans="1:34" x14ac:dyDescent="0.2">
      <c r="A141" s="2" t="s">
        <v>228</v>
      </c>
      <c r="E141" s="45">
        <f t="shared" ref="E141:T141" si="28">E139+E140</f>
        <v>235266.26127331541</v>
      </c>
      <c r="F141" s="45">
        <f t="shared" si="28"/>
        <v>205069.88530903269</v>
      </c>
      <c r="G141" s="45">
        <f t="shared" si="28"/>
        <v>0</v>
      </c>
      <c r="H141" s="45">
        <f t="shared" si="28"/>
        <v>8.3449941120303048</v>
      </c>
      <c r="I141" s="45">
        <f t="shared" si="28"/>
        <v>20645.084152051339</v>
      </c>
      <c r="J141" s="45">
        <f t="shared" si="28"/>
        <v>6883.5478476063572</v>
      </c>
      <c r="K141" s="45">
        <f t="shared" si="28"/>
        <v>48.203049175260354</v>
      </c>
      <c r="L141" s="45">
        <f t="shared" si="28"/>
        <v>0</v>
      </c>
      <c r="M141" s="45">
        <f t="shared" si="28"/>
        <v>102.33178266511638</v>
      </c>
      <c r="N141" s="45">
        <f t="shared" si="28"/>
        <v>967.4196590115356</v>
      </c>
      <c r="O141" s="45">
        <f t="shared" si="28"/>
        <v>173.5862164609886</v>
      </c>
      <c r="P141" s="45">
        <f t="shared" si="28"/>
        <v>137.83271690879079</v>
      </c>
      <c r="Q141" s="45">
        <f t="shared" si="28"/>
        <v>709.19157041282665</v>
      </c>
      <c r="R141" s="45">
        <f t="shared" si="28"/>
        <v>0</v>
      </c>
      <c r="S141" s="45">
        <f t="shared" si="28"/>
        <v>0</v>
      </c>
      <c r="T141" s="45">
        <f t="shared" si="28"/>
        <v>520.83397587849026</v>
      </c>
      <c r="U141" s="45">
        <f t="shared" ref="U141:AF141" si="29">U139+U140</f>
        <v>0</v>
      </c>
      <c r="V141" s="45">
        <f t="shared" si="29"/>
        <v>0</v>
      </c>
      <c r="W141" s="45">
        <f t="shared" si="29"/>
        <v>0</v>
      </c>
      <c r="X141" s="45">
        <f t="shared" si="29"/>
        <v>0</v>
      </c>
      <c r="Y141" s="45">
        <f t="shared" si="29"/>
        <v>0</v>
      </c>
      <c r="Z141" s="45">
        <f t="shared" si="29"/>
        <v>0</v>
      </c>
      <c r="AA141" s="45">
        <f t="shared" si="29"/>
        <v>0</v>
      </c>
      <c r="AB141" s="45">
        <f t="shared" si="29"/>
        <v>0</v>
      </c>
      <c r="AC141" s="45">
        <f t="shared" si="29"/>
        <v>0</v>
      </c>
      <c r="AD141" s="45">
        <f t="shared" si="29"/>
        <v>0</v>
      </c>
      <c r="AE141" s="45">
        <f t="shared" si="29"/>
        <v>0</v>
      </c>
      <c r="AF141" s="45">
        <f t="shared" si="29"/>
        <v>0</v>
      </c>
      <c r="AG141" s="69">
        <f>SUM(F141:AF141)</f>
        <v>235266.26127331544</v>
      </c>
      <c r="AH141" s="14" t="str">
        <f>IF(ABS(E141-AG141)&lt;0.01,"ok","err")</f>
        <v>ok</v>
      </c>
    </row>
    <row r="142" spans="1:34" x14ac:dyDescent="0.2">
      <c r="E142" s="32"/>
    </row>
    <row r="143" spans="1:34" x14ac:dyDescent="0.2">
      <c r="A143" s="1" t="s">
        <v>4</v>
      </c>
      <c r="E143" s="32"/>
    </row>
    <row r="144" spans="1:34" x14ac:dyDescent="0.2">
      <c r="A144" s="72" t="s">
        <v>221</v>
      </c>
      <c r="C144" s="2" t="s">
        <v>270</v>
      </c>
      <c r="D144" s="2" t="s">
        <v>230</v>
      </c>
      <c r="E144" s="45">
        <f>'Func &amp; Classif'!U296</f>
        <v>403317.17235684523</v>
      </c>
      <c r="F144" s="45">
        <f>IF(VLOOKUP($D144,$C$5:$AT$510,3,)=0,0,(VLOOKUP($D144,$C$5:$AT$510,4,)/VLOOKUP($D144,$C$5:$AT$510,3,))*$E144)</f>
        <v>355827.20476580114</v>
      </c>
      <c r="G144" s="45">
        <f>IF(VLOOKUP($D144,$C$5:$AT$510,3,)=0,0,(VLOOKUP($D144,$C$5:$AT$510,5,)/VLOOKUP($D144,$C$5:$AT$510,3,))*$E144)</f>
        <v>0</v>
      </c>
      <c r="H144" s="45">
        <f>IF(VLOOKUP($D144,$C$5:$AT$510,3,)=0,0,(VLOOKUP($D144,$C$5:$AT$510,6,)/VLOOKUP($D144,$C$5:$AT$510,3,))*$E144)</f>
        <v>14.479824398380449</v>
      </c>
      <c r="I144" s="45">
        <f>IF(VLOOKUP($D144,$C$5:$AT$510,3,)=0,0,(VLOOKUP($D144,$C$5:$AT$510,7,)/VLOOKUP($D144,$C$5:$AT$510,3,))*$E144)</f>
        <v>25600.329536336631</v>
      </c>
      <c r="J144" s="45">
        <f>IF(VLOOKUP($D144,$C$5:$AT$510,3,)=0,0,(VLOOKUP($D144,$C$5:$AT$510,8,)/VLOOKUP($D144,$C$5:$AT$510,3,))*$E144)</f>
        <v>14824.866244094619</v>
      </c>
      <c r="K144" s="45">
        <f>IF(VLOOKUP($D144,$C$5:$AT$510,3,)=0,0,(VLOOKUP($D144,$C$5:$AT$510,9,)/VLOOKUP($D144,$C$5:$AT$510,3,))*$E144)</f>
        <v>1187.3456006671968</v>
      </c>
      <c r="L144" s="45">
        <f>IF(VLOOKUP($D144,$C$5:$AT$510,3,)=0,0,(VLOOKUP($D144,$C$5:$AT$510,10,)/VLOOKUP($D144,$C$5:$AT$510,3,))*$E144)</f>
        <v>0</v>
      </c>
      <c r="M144" s="45">
        <f>IF(VLOOKUP($D144,$C$5:$AT$510,3,)=0,0,(VLOOKUP($D144,$C$5:$AT$510,11,)/VLOOKUP($D144,$C$5:$AT$510,3,))*$E144)</f>
        <v>1872.0448347815689</v>
      </c>
      <c r="N144" s="45">
        <f>IF(VLOOKUP($D144,$C$5:$AT$510,3,)=0,0,(VLOOKUP($D144,$C$5:$AT$510,12,)/VLOOKUP($D144,$C$5:$AT$510,3,))*$E144)</f>
        <v>488.60311977449607</v>
      </c>
      <c r="O144" s="45">
        <f>IF(VLOOKUP($D144,$C$5:$AT$510,3,)=0,0,(VLOOKUP($D144,$C$5:$AT$510,13,)/VLOOKUP($D144,$C$5:$AT$510,3,))*$E144)</f>
        <v>468.01120869539221</v>
      </c>
      <c r="P144" s="45">
        <f>IF(VLOOKUP($D144,$C$5:$AT$510,3,)=0,0,(VLOOKUP($D144,$C$5:$AT$510,14,)/VLOOKUP($D144,$C$5:$AT$510,3,))*$E144)</f>
        <v>339.07528490679846</v>
      </c>
      <c r="Q144" s="45">
        <f>IF(VLOOKUP($D144,$C$5:$AT$510,3,)=0,0,(VLOOKUP($D144,$C$5:$AT$510,15,)/VLOOKUP($D144,$C$5:$AT$510,3,))*$E144)</f>
        <v>1158.385951870436</v>
      </c>
      <c r="R144" s="45">
        <f>IF(VLOOKUP($D144,$C$5:$AT$510,3,)=0,0,(VLOOKUP($D144,$C$5:$AT$510,16,)/VLOOKUP($D144,$C$5:$AT$510,3,))*$E144)</f>
        <v>488.60311977449607</v>
      </c>
      <c r="S144" s="45">
        <f>IF(VLOOKUP($D144,$C$5:$AT$510,3,)=0,0,(VLOOKUP($D144,$C$5:$AT$510,17,)/VLOOKUP($D144,$C$5:$AT$510,3,))*$E144)</f>
        <v>0</v>
      </c>
      <c r="T144" s="45">
        <f>IF(VLOOKUP($D144,$C$5:$AT$510,3,)=0,0,(VLOOKUP($D144,$C$5:$AT$510,18,)/VLOOKUP($D144,$C$5:$AT$510,3,))*$E144)</f>
        <v>1048.2228657440642</v>
      </c>
      <c r="U144" s="45">
        <f>IF(VLOOKUP($D144,$C$5:$AT$510,3,)=0,0,(VLOOKUP($D144,$C$5:$AT$510,19,)/VLOOKUP($D144,$C$5:$AT$510,3,))*$E144)</f>
        <v>0</v>
      </c>
      <c r="V144" s="45">
        <f>IF(VLOOKUP($D144,$C$5:$AT$510,3,)=0,0,(VLOOKUP($D144,$C$5:$AT$510,20,)/VLOOKUP($D144,$C$5:$AT$510,3,))*$E144)</f>
        <v>0</v>
      </c>
      <c r="W144" s="45">
        <f>IF(VLOOKUP($D144,$C$5:$AT$510,3,)=0,0,(VLOOKUP($D144,$C$5:$AT$510,21,)/VLOOKUP($D144,$C$5:$AT$510,3,))*$E144)</f>
        <v>0</v>
      </c>
      <c r="X144" s="45">
        <f>IF(VLOOKUP($D144,$C$5:$AT$510,3,)=0,0,(VLOOKUP($D144,$C$5:$AT$510,22,)/VLOOKUP($D144,$C$5:$AT$510,3,))*$E144)</f>
        <v>0</v>
      </c>
      <c r="Y144" s="45">
        <f>IF(VLOOKUP($D144,$C$5:$AT$510,3,)=0,0,(VLOOKUP($D144,$C$5:$AT$510,23,)/VLOOKUP($D144,$C$5:$AT$510,3,))*$E144)</f>
        <v>0</v>
      </c>
      <c r="Z144" s="45">
        <f>IF(VLOOKUP($D144,$C$5:$AT$510,3,)=0,0,(VLOOKUP($D144,$C$5:$AT$510,24,)/VLOOKUP($D144,$C$5:$AT$510,3,))*$E144)</f>
        <v>0</v>
      </c>
      <c r="AA144" s="45">
        <f>IF(VLOOKUP($D144,$C$5:$AT$510,3,)=0,0,(VLOOKUP($D144,$C$5:$AT$510,25,)/VLOOKUP($D144,$C$5:$AT$510,3,))*$E144)</f>
        <v>0</v>
      </c>
      <c r="AB144" s="45">
        <f>IF(VLOOKUP($D144,$C$5:$AT$510,3,)=0,0,(VLOOKUP($D144,$C$5:$AT$510,26,)/VLOOKUP($D144,$C$5:$AT$510,3,))*$E144)</f>
        <v>0</v>
      </c>
      <c r="AC144" s="45">
        <f>IF(VLOOKUP($D144,$C$5:$AT$510,3,)=0,0,(VLOOKUP($D144,$C$5:$AT$510,27,)/VLOOKUP($D144,$C$5:$AT$510,3,))*$E144)</f>
        <v>0</v>
      </c>
      <c r="AD144" s="45">
        <f>IF(VLOOKUP($D144,$C$5:$AT$510,3,)=0,0,(VLOOKUP($D144,$C$5:$AT$510,28,)/VLOOKUP($D144,$C$5:$AT$510,3,))*$E144)</f>
        <v>0</v>
      </c>
      <c r="AE144" s="45">
        <f>IF(VLOOKUP($D144,$C$5:$AT$510,3,)=0,0,(VLOOKUP($D144,$C$5:$AT$510,29,)/VLOOKUP($D144,$C$5:$AT$510,3,))*$E144)</f>
        <v>0</v>
      </c>
      <c r="AF144" s="45">
        <f>IF(VLOOKUP($D144,$C$5:$AT$510,3,)=0,0,(VLOOKUP($D144,$C$5:$AT$510,30,)/VLOOKUP($D144,$C$5:$AT$510,3,))*$E144)</f>
        <v>0</v>
      </c>
      <c r="AG144" s="69">
        <f>SUM(F144:AF144)</f>
        <v>403317.17235684517</v>
      </c>
      <c r="AH144" s="14" t="str">
        <f>IF(ABS(E144-AG144)&lt;0.01,"ok","err")</f>
        <v>ok</v>
      </c>
    </row>
    <row r="145" spans="1:34" x14ac:dyDescent="0.2">
      <c r="E145" s="32"/>
    </row>
    <row r="146" spans="1:34" x14ac:dyDescent="0.2">
      <c r="A146" s="1" t="s">
        <v>5</v>
      </c>
      <c r="E146" s="32"/>
    </row>
    <row r="147" spans="1:34" x14ac:dyDescent="0.2">
      <c r="A147" s="72" t="s">
        <v>221</v>
      </c>
      <c r="C147" s="2" t="s">
        <v>271</v>
      </c>
      <c r="D147" s="2" t="s">
        <v>232</v>
      </c>
      <c r="E147" s="45">
        <f>'Func &amp; Classif'!W296</f>
        <v>60969.90844114052</v>
      </c>
      <c r="F147" s="45">
        <f>IF(VLOOKUP($D147,$C$5:$AT$510,3,)=0,0,(VLOOKUP($D147,$C$5:$AT$510,4,)/VLOOKUP($D147,$C$5:$AT$510,3,))*$E147)</f>
        <v>0</v>
      </c>
      <c r="G147" s="45">
        <f>IF(VLOOKUP($D147,$C$5:$AT$510,3,)=0,0,(VLOOKUP($D147,$C$5:$AT$510,5,)/VLOOKUP($D147,$C$5:$AT$510,3,))*$E147)</f>
        <v>0</v>
      </c>
      <c r="H147" s="45">
        <f>IF(VLOOKUP($D147,$C$5:$AT$510,3,)=0,0,(VLOOKUP($D147,$C$5:$AT$510,6,)/VLOOKUP($D147,$C$5:$AT$510,3,))*$E147)</f>
        <v>0</v>
      </c>
      <c r="I147" s="45">
        <f>IF(VLOOKUP($D147,$C$5:$AT$510,3,)=0,0,(VLOOKUP($D147,$C$5:$AT$510,7,)/VLOOKUP($D147,$C$5:$AT$510,3,))*$E147)</f>
        <v>0</v>
      </c>
      <c r="J147" s="45">
        <f>IF(VLOOKUP($D147,$C$5:$AT$510,3,)=0,0,(VLOOKUP($D147,$C$5:$AT$510,8,)/VLOOKUP($D147,$C$5:$AT$510,3,))*$E147)</f>
        <v>0</v>
      </c>
      <c r="K147" s="45">
        <f>IF(VLOOKUP($D147,$C$5:$AT$510,3,)=0,0,(VLOOKUP($D147,$C$5:$AT$510,9,)/VLOOKUP($D147,$C$5:$AT$510,3,))*$E147)</f>
        <v>0</v>
      </c>
      <c r="L147" s="45">
        <f>IF(VLOOKUP($D147,$C$5:$AT$510,3,)=0,0,(VLOOKUP($D147,$C$5:$AT$510,10,)/VLOOKUP($D147,$C$5:$AT$510,3,))*$E147)</f>
        <v>0</v>
      </c>
      <c r="M147" s="45">
        <f>IF(VLOOKUP($D147,$C$5:$AT$510,3,)=0,0,(VLOOKUP($D147,$C$5:$AT$510,11,)/VLOOKUP($D147,$C$5:$AT$510,3,))*$E147)</f>
        <v>0</v>
      </c>
      <c r="N147" s="45">
        <f>IF(VLOOKUP($D147,$C$5:$AT$510,3,)=0,0,(VLOOKUP($D147,$C$5:$AT$510,12,)/VLOOKUP($D147,$C$5:$AT$510,3,))*$E147)</f>
        <v>0</v>
      </c>
      <c r="O147" s="45">
        <f>IF(VLOOKUP($D147,$C$5:$AT$510,3,)=0,0,(VLOOKUP($D147,$C$5:$AT$510,13,)/VLOOKUP($D147,$C$5:$AT$510,3,))*$E147)</f>
        <v>0</v>
      </c>
      <c r="P147" s="45">
        <f>IF(VLOOKUP($D147,$C$5:$AT$510,3,)=0,0,(VLOOKUP($D147,$C$5:$AT$510,14,)/VLOOKUP($D147,$C$5:$AT$510,3,))*$E147)</f>
        <v>0</v>
      </c>
      <c r="Q147" s="45">
        <f>IF(VLOOKUP($D147,$C$5:$AT$510,3,)=0,0,(VLOOKUP($D147,$C$5:$AT$510,15,)/VLOOKUP($D147,$C$5:$AT$510,3,))*$E147)</f>
        <v>0</v>
      </c>
      <c r="R147" s="45">
        <f>IF(VLOOKUP($D147,$C$5:$AT$510,3,)=0,0,(VLOOKUP($D147,$C$5:$AT$510,16,)/VLOOKUP($D147,$C$5:$AT$510,3,))*$E147)</f>
        <v>0</v>
      </c>
      <c r="S147" s="45">
        <f>IF(VLOOKUP($D147,$C$5:$AT$510,3,)=0,0,(VLOOKUP($D147,$C$5:$AT$510,17,)/VLOOKUP($D147,$C$5:$AT$510,3,))*$E147)</f>
        <v>0</v>
      </c>
      <c r="T147" s="45">
        <f>IF(VLOOKUP($D147,$C$5:$AT$510,3,)=0,0,(VLOOKUP($D147,$C$5:$AT$510,18,)/VLOOKUP($D147,$C$5:$AT$510,3,))*$E147)</f>
        <v>0</v>
      </c>
      <c r="U147" s="45">
        <f>IF(VLOOKUP($D147,$C$5:$AT$510,3,)=0,0,(VLOOKUP($D147,$C$5:$AT$510,19,)/VLOOKUP($D147,$C$5:$AT$510,3,))*$E147)</f>
        <v>60969.90844114052</v>
      </c>
      <c r="V147" s="45">
        <f>IF(VLOOKUP($D147,$C$5:$AT$510,3,)=0,0,(VLOOKUP($D147,$C$5:$AT$510,20,)/VLOOKUP($D147,$C$5:$AT$510,3,))*$E147)</f>
        <v>0</v>
      </c>
      <c r="W147" s="45">
        <f>IF(VLOOKUP($D147,$C$5:$AT$510,3,)=0,0,(VLOOKUP($D147,$C$5:$AT$510,21,)/VLOOKUP($D147,$C$5:$AT$510,3,))*$E147)</f>
        <v>0</v>
      </c>
      <c r="X147" s="45">
        <f>IF(VLOOKUP($D147,$C$5:$AT$510,3,)=0,0,(VLOOKUP($D147,$C$5:$AT$510,22,)/VLOOKUP($D147,$C$5:$AT$510,3,))*$E147)</f>
        <v>0</v>
      </c>
      <c r="Y147" s="45">
        <f>IF(VLOOKUP($D147,$C$5:$AT$510,3,)=0,0,(VLOOKUP($D147,$C$5:$AT$510,23,)/VLOOKUP($D147,$C$5:$AT$510,3,))*$E147)</f>
        <v>0</v>
      </c>
      <c r="Z147" s="45">
        <f>IF(VLOOKUP($D147,$C$5:$AT$510,3,)=0,0,(VLOOKUP($D147,$C$5:$AT$510,24,)/VLOOKUP($D147,$C$5:$AT$510,3,))*$E147)</f>
        <v>0</v>
      </c>
      <c r="AA147" s="45">
        <f>IF(VLOOKUP($D147,$C$5:$AT$510,3,)=0,0,(VLOOKUP($D147,$C$5:$AT$510,25,)/VLOOKUP($D147,$C$5:$AT$510,3,))*$E147)</f>
        <v>0</v>
      </c>
      <c r="AB147" s="45">
        <f>IF(VLOOKUP($D147,$C$5:$AT$510,3,)=0,0,(VLOOKUP($D147,$C$5:$AT$510,26,)/VLOOKUP($D147,$C$5:$AT$510,3,))*$E147)</f>
        <v>0</v>
      </c>
      <c r="AC147" s="45">
        <f>IF(VLOOKUP($D147,$C$5:$AT$510,3,)=0,0,(VLOOKUP($D147,$C$5:$AT$510,27,)/VLOOKUP($D147,$C$5:$AT$510,3,))*$E147)</f>
        <v>0</v>
      </c>
      <c r="AD147" s="45">
        <f>IF(VLOOKUP($D147,$C$5:$AT$510,3,)=0,0,(VLOOKUP($D147,$C$5:$AT$510,28,)/VLOOKUP($D147,$C$5:$AT$510,3,))*$E147)</f>
        <v>0</v>
      </c>
      <c r="AE147" s="45">
        <f>IF(VLOOKUP($D147,$C$5:$AT$510,3,)=0,0,(VLOOKUP($D147,$C$5:$AT$510,29,)/VLOOKUP($D147,$C$5:$AT$510,3,))*$E147)</f>
        <v>0</v>
      </c>
      <c r="AF147" s="45">
        <f>IF(VLOOKUP($D147,$C$5:$AT$510,3,)=0,0,(VLOOKUP($D147,$C$5:$AT$510,30,)/VLOOKUP($D147,$C$5:$AT$510,3,))*$E147)</f>
        <v>0</v>
      </c>
      <c r="AG147" s="69">
        <f>SUM(F147:AF147)</f>
        <v>60969.90844114052</v>
      </c>
      <c r="AH147" s="14" t="str">
        <f>IF(ABS(E147-AG147)&lt;0.01,"ok","err")</f>
        <v>ok</v>
      </c>
    </row>
    <row r="148" spans="1:34" x14ac:dyDescent="0.2">
      <c r="E148" s="32"/>
    </row>
    <row r="149" spans="1:34" x14ac:dyDescent="0.2">
      <c r="A149" s="1" t="s">
        <v>545</v>
      </c>
      <c r="E149" s="32"/>
    </row>
    <row r="150" spans="1:34" x14ac:dyDescent="0.2">
      <c r="A150" s="72" t="s">
        <v>221</v>
      </c>
      <c r="C150" s="2" t="s">
        <v>272</v>
      </c>
      <c r="D150" s="2" t="s">
        <v>234</v>
      </c>
      <c r="E150" s="45">
        <f>'Func &amp; Classif'!Y296</f>
        <v>2228625.7400639681</v>
      </c>
      <c r="F150" s="45">
        <f>IF(VLOOKUP($D150,$C$5:$AT$510,3,)=0,0,(VLOOKUP($D150,$C$5:$AT$510,4,)/VLOOKUP($D150,$C$5:$AT$510,3,))*$E150)</f>
        <v>2054167.4220772698</v>
      </c>
      <c r="G150" s="45">
        <f>IF(VLOOKUP($D150,$C$5:$AT$510,3,)=0,0,(VLOOKUP($D150,$C$5:$AT$510,5,)/VLOOKUP($D150,$C$5:$AT$510,3,))*$E150)</f>
        <v>0</v>
      </c>
      <c r="H150" s="45">
        <f>IF(VLOOKUP($D150,$C$5:$AT$510,3,)=0,0,(VLOOKUP($D150,$C$5:$AT$510,6,)/VLOOKUP($D150,$C$5:$AT$510,3,))*$E150)</f>
        <v>83.591089040338161</v>
      </c>
      <c r="I150" s="45">
        <f>IF(VLOOKUP($D150,$C$5:$AT$510,3,)=0,0,(VLOOKUP($D150,$C$5:$AT$510,7,)/VLOOKUP($D150,$C$5:$AT$510,3,))*$E150)</f>
        <v>147789.04542331788</v>
      </c>
      <c r="J150" s="45">
        <f>IF(VLOOKUP($D150,$C$5:$AT$510,3,)=0,0,(VLOOKUP($D150,$C$5:$AT$510,8,)/VLOOKUP($D150,$C$5:$AT$510,3,))*$E150)</f>
        <v>8275.5178149934782</v>
      </c>
      <c r="K150" s="45">
        <f>IF(VLOOKUP($D150,$C$5:$AT$510,3,)=0,0,(VLOOKUP($D150,$C$5:$AT$510,9,)/VLOOKUP($D150,$C$5:$AT$510,3,))*$E150)</f>
        <v>152.32154002906063</v>
      </c>
      <c r="L150" s="45">
        <f>IF(VLOOKUP($D150,$C$5:$AT$510,3,)=0,0,(VLOOKUP($D150,$C$5:$AT$510,10,)/VLOOKUP($D150,$C$5:$AT$510,3,))*$E150)</f>
        <v>0</v>
      </c>
      <c r="M150" s="45">
        <f>IF(VLOOKUP($D150,$C$5:$AT$510,3,)=0,0,(VLOOKUP($D150,$C$5:$AT$510,11,)/VLOOKUP($D150,$C$5:$AT$510,3,))*$E150)</f>
        <v>7.4303190258078367</v>
      </c>
      <c r="N150" s="45">
        <f>IF(VLOOKUP($D150,$C$5:$AT$510,3,)=0,0,(VLOOKUP($D150,$C$5:$AT$510,12,)/VLOOKUP($D150,$C$5:$AT$510,3,))*$E150)</f>
        <v>1.8575797564519592</v>
      </c>
      <c r="O150" s="45">
        <f>IF(VLOOKUP($D150,$C$5:$AT$510,3,)=0,0,(VLOOKUP($D150,$C$5:$AT$510,13,)/VLOOKUP($D150,$C$5:$AT$510,3,))*$E150)</f>
        <v>1.8575797564519592</v>
      </c>
      <c r="P150" s="45">
        <f>IF(VLOOKUP($D150,$C$5:$AT$510,3,)=0,0,(VLOOKUP($D150,$C$5:$AT$510,14,)/VLOOKUP($D150,$C$5:$AT$510,3,))*$E150)</f>
        <v>7.4303190258078367</v>
      </c>
      <c r="Q150" s="45">
        <f>IF(VLOOKUP($D150,$C$5:$AT$510,3,)=0,0,(VLOOKUP($D150,$C$5:$AT$510,15,)/VLOOKUP($D150,$C$5:$AT$510,3,))*$E150)</f>
        <v>6687.2871232270518</v>
      </c>
      <c r="R150" s="45">
        <f>IF(VLOOKUP($D150,$C$5:$AT$510,3,)=0,0,(VLOOKUP($D150,$C$5:$AT$510,16,)/VLOOKUP($D150,$C$5:$AT$510,3,))*$E150)</f>
        <v>83.591089040338161</v>
      </c>
      <c r="S150" s="45">
        <f>IF(VLOOKUP($D150,$C$5:$AT$510,3,)=0,0,(VLOOKUP($D150,$C$5:$AT$510,17,)/VLOOKUP($D150,$C$5:$AT$510,3,))*$E150)</f>
        <v>0</v>
      </c>
      <c r="T150" s="45">
        <f>IF(VLOOKUP($D150,$C$5:$AT$510,3,)=0,0,(VLOOKUP($D150,$C$5:$AT$510,18,)/VLOOKUP($D150,$C$5:$AT$510,3,))*$E150)</f>
        <v>585.13762328236714</v>
      </c>
      <c r="U150" s="45">
        <f>IF(VLOOKUP($D150,$C$5:$AT$510,3,)=0,0,(VLOOKUP($D150,$C$5:$AT$510,19,)/VLOOKUP($D150,$C$5:$AT$510,3,))*$E150)</f>
        <v>10783.250486203622</v>
      </c>
      <c r="V150" s="45">
        <f>IF(VLOOKUP($D150,$C$5:$AT$510,3,)=0,0,(VLOOKUP($D150,$C$5:$AT$510,20,)/VLOOKUP($D150,$C$5:$AT$510,3,))*$E150)</f>
        <v>0</v>
      </c>
      <c r="W150" s="45">
        <f>IF(VLOOKUP($D150,$C$5:$AT$510,3,)=0,0,(VLOOKUP($D150,$C$5:$AT$510,21,)/VLOOKUP($D150,$C$5:$AT$510,3,))*$E150)</f>
        <v>0</v>
      </c>
      <c r="X150" s="45">
        <f>IF(VLOOKUP($D150,$C$5:$AT$510,3,)=0,0,(VLOOKUP($D150,$C$5:$AT$510,22,)/VLOOKUP($D150,$C$5:$AT$510,3,))*$E150)</f>
        <v>0</v>
      </c>
      <c r="Y150" s="45">
        <f>IF(VLOOKUP($D150,$C$5:$AT$510,3,)=0,0,(VLOOKUP($D150,$C$5:$AT$510,23,)/VLOOKUP($D150,$C$5:$AT$510,3,))*$E150)</f>
        <v>0</v>
      </c>
      <c r="Z150" s="45">
        <f>IF(VLOOKUP($D150,$C$5:$AT$510,3,)=0,0,(VLOOKUP($D150,$C$5:$AT$510,24,)/VLOOKUP($D150,$C$5:$AT$510,3,))*$E150)</f>
        <v>0</v>
      </c>
      <c r="AA150" s="45">
        <f>IF(VLOOKUP($D150,$C$5:$AT$510,3,)=0,0,(VLOOKUP($D150,$C$5:$AT$510,25,)/VLOOKUP($D150,$C$5:$AT$510,3,))*$E150)</f>
        <v>0</v>
      </c>
      <c r="AB150" s="45">
        <f>IF(VLOOKUP($D150,$C$5:$AT$510,3,)=0,0,(VLOOKUP($D150,$C$5:$AT$510,26,)/VLOOKUP($D150,$C$5:$AT$510,3,))*$E150)</f>
        <v>0</v>
      </c>
      <c r="AC150" s="45">
        <f>IF(VLOOKUP($D150,$C$5:$AT$510,3,)=0,0,(VLOOKUP($D150,$C$5:$AT$510,27,)/VLOOKUP($D150,$C$5:$AT$510,3,))*$E150)</f>
        <v>0</v>
      </c>
      <c r="AD150" s="45">
        <f>IF(VLOOKUP($D150,$C$5:$AT$510,3,)=0,0,(VLOOKUP($D150,$C$5:$AT$510,28,)/VLOOKUP($D150,$C$5:$AT$510,3,))*$E150)</f>
        <v>0</v>
      </c>
      <c r="AE150" s="45">
        <f>IF(VLOOKUP($D150,$C$5:$AT$510,3,)=0,0,(VLOOKUP($D150,$C$5:$AT$510,29,)/VLOOKUP($D150,$C$5:$AT$510,3,))*$E150)</f>
        <v>0</v>
      </c>
      <c r="AF150" s="45">
        <f>IF(VLOOKUP($D150,$C$5:$AT$510,3,)=0,0,(VLOOKUP($D150,$C$5:$AT$510,30,)/VLOOKUP($D150,$C$5:$AT$510,3,))*$E150)</f>
        <v>0</v>
      </c>
      <c r="AG150" s="69">
        <f>SUM(F150:AF150)</f>
        <v>2228625.7400639681</v>
      </c>
      <c r="AH150" s="14" t="str">
        <f>IF(ABS(E150-AG150)&lt;0.01,"ok","err")</f>
        <v>ok</v>
      </c>
    </row>
    <row r="151" spans="1:34" x14ac:dyDescent="0.2">
      <c r="E151" s="32"/>
    </row>
    <row r="152" spans="1:34" x14ac:dyDescent="0.2">
      <c r="A152" s="1" t="s">
        <v>470</v>
      </c>
      <c r="E152" s="32"/>
    </row>
    <row r="153" spans="1:34" x14ac:dyDescent="0.2">
      <c r="A153" s="72" t="s">
        <v>221</v>
      </c>
      <c r="C153" s="2" t="s">
        <v>269</v>
      </c>
      <c r="D153" s="2" t="s">
        <v>235</v>
      </c>
      <c r="E153" s="45">
        <f>'Func &amp; Classif'!AA296</f>
        <v>0</v>
      </c>
      <c r="F153" s="45">
        <f>IF(VLOOKUP($D153,$C$5:$AT$510,3,)=0,0,(VLOOKUP($D153,$C$5:$AT$510,4,)/VLOOKUP($D153,$C$5:$AT$510,3,))*$E153)</f>
        <v>0</v>
      </c>
      <c r="G153" s="45">
        <f>IF(VLOOKUP($D153,$C$5:$AT$510,3,)=0,0,(VLOOKUP($D153,$C$5:$AT$510,5,)/VLOOKUP($D153,$C$5:$AT$510,3,))*$E153)</f>
        <v>0</v>
      </c>
      <c r="H153" s="45">
        <f>IF(VLOOKUP($D153,$C$5:$AT$510,3,)=0,0,(VLOOKUP($D153,$C$5:$AT$510,6,)/VLOOKUP($D153,$C$5:$AT$510,3,))*$E153)</f>
        <v>0</v>
      </c>
      <c r="I153" s="45">
        <f>IF(VLOOKUP($D153,$C$5:$AT$510,3,)=0,0,(VLOOKUP($D153,$C$5:$AT$510,7,)/VLOOKUP($D153,$C$5:$AT$510,3,))*$E153)</f>
        <v>0</v>
      </c>
      <c r="J153" s="45">
        <f>IF(VLOOKUP($D153,$C$5:$AT$510,3,)=0,0,(VLOOKUP($D153,$C$5:$AT$510,8,)/VLOOKUP($D153,$C$5:$AT$510,3,))*$E153)</f>
        <v>0</v>
      </c>
      <c r="K153" s="45">
        <f>IF(VLOOKUP($D153,$C$5:$AT$510,3,)=0,0,(VLOOKUP($D153,$C$5:$AT$510,9,)/VLOOKUP($D153,$C$5:$AT$510,3,))*$E153)</f>
        <v>0</v>
      </c>
      <c r="L153" s="45">
        <f>IF(VLOOKUP($D153,$C$5:$AT$510,3,)=0,0,(VLOOKUP($D153,$C$5:$AT$510,10,)/VLOOKUP($D153,$C$5:$AT$510,3,))*$E153)</f>
        <v>0</v>
      </c>
      <c r="M153" s="45">
        <f>IF(VLOOKUP($D153,$C$5:$AT$510,3,)=0,0,(VLOOKUP($D153,$C$5:$AT$510,11,)/VLOOKUP($D153,$C$5:$AT$510,3,))*$E153)</f>
        <v>0</v>
      </c>
      <c r="N153" s="45">
        <f>IF(VLOOKUP($D153,$C$5:$AT$510,3,)=0,0,(VLOOKUP($D153,$C$5:$AT$510,12,)/VLOOKUP($D153,$C$5:$AT$510,3,))*$E153)</f>
        <v>0</v>
      </c>
      <c r="O153" s="45">
        <f>IF(VLOOKUP($D153,$C$5:$AT$510,3,)=0,0,(VLOOKUP($D153,$C$5:$AT$510,13,)/VLOOKUP($D153,$C$5:$AT$510,3,))*$E153)</f>
        <v>0</v>
      </c>
      <c r="P153" s="45">
        <f>IF(VLOOKUP($D153,$C$5:$AT$510,3,)=0,0,(VLOOKUP($D153,$C$5:$AT$510,14,)/VLOOKUP($D153,$C$5:$AT$510,3,))*$E153)</f>
        <v>0</v>
      </c>
      <c r="Q153" s="45">
        <f>IF(VLOOKUP($D153,$C$5:$AT$510,3,)=0,0,(VLOOKUP($D153,$C$5:$AT$510,15,)/VLOOKUP($D153,$C$5:$AT$510,3,))*$E153)</f>
        <v>0</v>
      </c>
      <c r="R153" s="45">
        <f>IF(VLOOKUP($D153,$C$5:$AT$510,3,)=0,0,(VLOOKUP($D153,$C$5:$AT$510,16,)/VLOOKUP($D153,$C$5:$AT$510,3,))*$E153)</f>
        <v>0</v>
      </c>
      <c r="S153" s="45">
        <f>IF(VLOOKUP($D153,$C$5:$AT$510,3,)=0,0,(VLOOKUP($D153,$C$5:$AT$510,17,)/VLOOKUP($D153,$C$5:$AT$510,3,))*$E153)</f>
        <v>0</v>
      </c>
      <c r="T153" s="45">
        <f>IF(VLOOKUP($D153,$C$5:$AT$510,3,)=0,0,(VLOOKUP($D153,$C$5:$AT$510,18,)/VLOOKUP($D153,$C$5:$AT$510,3,))*$E153)</f>
        <v>0</v>
      </c>
      <c r="U153" s="45">
        <f>IF(VLOOKUP($D153,$C$5:$AT$510,3,)=0,0,(VLOOKUP($D153,$C$5:$AT$510,19,)/VLOOKUP($D153,$C$5:$AT$510,3,))*$E153)</f>
        <v>0</v>
      </c>
      <c r="V153" s="45">
        <f>IF(VLOOKUP($D153,$C$5:$AT$510,3,)=0,0,(VLOOKUP($D153,$C$5:$AT$510,20,)/VLOOKUP($D153,$C$5:$AT$510,3,))*$E153)</f>
        <v>0</v>
      </c>
      <c r="W153" s="45">
        <f>IF(VLOOKUP($D153,$C$5:$AT$510,3,)=0,0,(VLOOKUP($D153,$C$5:$AT$510,21,)/VLOOKUP($D153,$C$5:$AT$510,3,))*$E153)</f>
        <v>0</v>
      </c>
      <c r="X153" s="45">
        <f>IF(VLOOKUP($D153,$C$5:$AT$510,3,)=0,0,(VLOOKUP($D153,$C$5:$AT$510,22,)/VLOOKUP($D153,$C$5:$AT$510,3,))*$E153)</f>
        <v>0</v>
      </c>
      <c r="Y153" s="45">
        <f>IF(VLOOKUP($D153,$C$5:$AT$510,3,)=0,0,(VLOOKUP($D153,$C$5:$AT$510,23,)/VLOOKUP($D153,$C$5:$AT$510,3,))*$E153)</f>
        <v>0</v>
      </c>
      <c r="Z153" s="45">
        <f>IF(VLOOKUP($D153,$C$5:$AT$510,3,)=0,0,(VLOOKUP($D153,$C$5:$AT$510,24,)/VLOOKUP($D153,$C$5:$AT$510,3,))*$E153)</f>
        <v>0</v>
      </c>
      <c r="AA153" s="45">
        <f>IF(VLOOKUP($D153,$C$5:$AT$510,3,)=0,0,(VLOOKUP($D153,$C$5:$AT$510,25,)/VLOOKUP($D153,$C$5:$AT$510,3,))*$E153)</f>
        <v>0</v>
      </c>
      <c r="AB153" s="45">
        <f>IF(VLOOKUP($D153,$C$5:$AT$510,3,)=0,0,(VLOOKUP($D153,$C$5:$AT$510,26,)/VLOOKUP($D153,$C$5:$AT$510,3,))*$E153)</f>
        <v>0</v>
      </c>
      <c r="AC153" s="45">
        <f>IF(VLOOKUP($D153,$C$5:$AT$510,3,)=0,0,(VLOOKUP($D153,$C$5:$AT$510,27,)/VLOOKUP($D153,$C$5:$AT$510,3,))*$E153)</f>
        <v>0</v>
      </c>
      <c r="AD153" s="45">
        <f>IF(VLOOKUP($D153,$C$5:$AT$510,3,)=0,0,(VLOOKUP($D153,$C$5:$AT$510,28,)/VLOOKUP($D153,$C$5:$AT$510,3,))*$E153)</f>
        <v>0</v>
      </c>
      <c r="AE153" s="45">
        <f>IF(VLOOKUP($D153,$C$5:$AT$510,3,)=0,0,(VLOOKUP($D153,$C$5:$AT$510,29,)/VLOOKUP($D153,$C$5:$AT$510,3,))*$E153)</f>
        <v>0</v>
      </c>
      <c r="AF153" s="45">
        <f>IF(VLOOKUP($D153,$C$5:$AT$510,3,)=0,0,(VLOOKUP($D153,$C$5:$AT$510,30,)/VLOOKUP($D153,$C$5:$AT$510,3,))*$E153)</f>
        <v>0</v>
      </c>
      <c r="AG153" s="69">
        <f>SUM(F153:AF153)</f>
        <v>0</v>
      </c>
      <c r="AH153" s="14" t="str">
        <f>IF(ABS(E153-AG153)&lt;0.01,"ok","err")</f>
        <v>ok</v>
      </c>
    </row>
    <row r="154" spans="1:34" x14ac:dyDescent="0.2">
      <c r="E154" s="32"/>
    </row>
    <row r="155" spans="1:34" x14ac:dyDescent="0.2">
      <c r="A155" s="2" t="s">
        <v>0</v>
      </c>
      <c r="C155" s="2" t="s">
        <v>273</v>
      </c>
      <c r="E155" s="45">
        <f>E125+E128+E131+E136+E141+E144+E147+E150+E153</f>
        <v>52570512.419999994</v>
      </c>
      <c r="F155" s="45">
        <f t="shared" ref="F155:R155" si="30">F125+F128+F131+F136+F141+F144+F147+F150+F153</f>
        <v>36861735.402011752</v>
      </c>
      <c r="G155" s="45">
        <f t="shared" si="30"/>
        <v>0</v>
      </c>
      <c r="H155" s="45">
        <f t="shared" si="30"/>
        <v>1197.38041418231</v>
      </c>
      <c r="I155" s="45">
        <f t="shared" si="30"/>
        <v>3644997.6769528347</v>
      </c>
      <c r="J155" s="45">
        <f t="shared" si="30"/>
        <v>4963747.2688207356</v>
      </c>
      <c r="K155" s="45">
        <f t="shared" si="30"/>
        <v>22018.991227891496</v>
      </c>
      <c r="L155" s="45">
        <f t="shared" si="30"/>
        <v>0</v>
      </c>
      <c r="M155" s="45">
        <f t="shared" si="30"/>
        <v>2026038.0356788959</v>
      </c>
      <c r="N155" s="45">
        <f t="shared" si="30"/>
        <v>2602552.4071613657</v>
      </c>
      <c r="O155" s="45">
        <f t="shared" si="30"/>
        <v>670159.20024275524</v>
      </c>
      <c r="P155" s="45">
        <f t="shared" si="30"/>
        <v>69062.135825260673</v>
      </c>
      <c r="Q155" s="45">
        <f t="shared" si="30"/>
        <v>174260.90931828509</v>
      </c>
      <c r="R155" s="45">
        <f t="shared" si="30"/>
        <v>1369583.7934651342</v>
      </c>
      <c r="S155" s="45">
        <f t="shared" ref="S155:AF155" si="31">S125+S131+S136+S141+S144+S147+S150+S153</f>
        <v>0</v>
      </c>
      <c r="T155" s="45">
        <f t="shared" si="31"/>
        <v>49719.337975927854</v>
      </c>
      <c r="U155" s="45">
        <f t="shared" si="31"/>
        <v>115439.88090498385</v>
      </c>
      <c r="V155" s="45">
        <f t="shared" si="31"/>
        <v>0</v>
      </c>
      <c r="W155" s="45">
        <f t="shared" si="31"/>
        <v>0</v>
      </c>
      <c r="X155" s="45">
        <f t="shared" si="31"/>
        <v>0</v>
      </c>
      <c r="Y155" s="45">
        <f t="shared" si="31"/>
        <v>0</v>
      </c>
      <c r="Z155" s="45">
        <f t="shared" si="31"/>
        <v>0</v>
      </c>
      <c r="AA155" s="45">
        <f t="shared" si="31"/>
        <v>0</v>
      </c>
      <c r="AB155" s="45">
        <f t="shared" si="31"/>
        <v>0</v>
      </c>
      <c r="AC155" s="45">
        <f t="shared" si="31"/>
        <v>0</v>
      </c>
      <c r="AD155" s="45">
        <f t="shared" si="31"/>
        <v>0</v>
      </c>
      <c r="AE155" s="45">
        <f t="shared" si="31"/>
        <v>0</v>
      </c>
      <c r="AF155" s="45">
        <f t="shared" si="31"/>
        <v>0</v>
      </c>
      <c r="AG155" s="69">
        <f>SUM(F155:AF155)</f>
        <v>52570512.420000002</v>
      </c>
      <c r="AH155" s="14" t="str">
        <f>IF(ABS(E155-AG155)&lt;0.01,"ok","err")</f>
        <v>ok</v>
      </c>
    </row>
    <row r="158" spans="1:34" x14ac:dyDescent="0.2">
      <c r="A158" s="12" t="s">
        <v>183</v>
      </c>
    </row>
    <row r="160" spans="1:34" x14ac:dyDescent="0.2">
      <c r="A160" s="1" t="s">
        <v>859</v>
      </c>
    </row>
    <row r="161" spans="1:34" x14ac:dyDescent="0.2">
      <c r="A161" s="72" t="s">
        <v>209</v>
      </c>
      <c r="C161" s="2" t="s">
        <v>274</v>
      </c>
      <c r="D161" s="2" t="s">
        <v>655</v>
      </c>
      <c r="E161" s="45">
        <f>'Func &amp; Classif'!H476</f>
        <v>0</v>
      </c>
      <c r="F161" s="45">
        <f>IF(VLOOKUP($D161,$C$5:$AT$510,3,)=0,0,(VLOOKUP($D161,$C$5:$AT$510,4,)/VLOOKUP($D161,$C$5:$AT$510,3,))*$E161)</f>
        <v>0</v>
      </c>
      <c r="G161" s="45">
        <f>IF(VLOOKUP($D161,$C$5:$AT$510,3,)=0,0,(VLOOKUP($D161,$C$5:$AT$510,5,)/VLOOKUP($D161,$C$5:$AT$510,3,))*$E161)</f>
        <v>0</v>
      </c>
      <c r="H161" s="45">
        <f>IF(VLOOKUP($D161,$C$5:$AT$510,3,)=0,0,(VLOOKUP($D161,$C$5:$AT$510,6,)/VLOOKUP($D161,$C$5:$AT$510,3,))*$E161)</f>
        <v>0</v>
      </c>
      <c r="I161" s="45">
        <f>IF(VLOOKUP($D161,$C$5:$AT$510,3,)=0,0,(VLOOKUP($D161,$C$5:$AT$510,7,)/VLOOKUP($D161,$C$5:$AT$510,3,))*$E161)</f>
        <v>0</v>
      </c>
      <c r="J161" s="45">
        <f>IF(VLOOKUP($D161,$C$5:$AT$510,3,)=0,0,(VLOOKUP($D161,$C$5:$AT$510,8,)/VLOOKUP($D161,$C$5:$AT$510,3,))*$E161)</f>
        <v>0</v>
      </c>
      <c r="K161" s="45">
        <f>IF(VLOOKUP($D161,$C$5:$AT$510,3,)=0,0,(VLOOKUP($D161,$C$5:$AT$510,9,)/VLOOKUP($D161,$C$5:$AT$510,3,))*$E161)</f>
        <v>0</v>
      </c>
      <c r="L161" s="45">
        <f>IF(VLOOKUP($D161,$C$5:$AT$510,3,)=0,0,(VLOOKUP($D161,$C$5:$AT$510,10,)/VLOOKUP($D161,$C$5:$AT$510,3,))*$E161)</f>
        <v>0</v>
      </c>
      <c r="M161" s="45">
        <f>IF(VLOOKUP($D161,$C$5:$AT$510,3,)=0,0,(VLOOKUP($D161,$C$5:$AT$510,11,)/VLOOKUP($D161,$C$5:$AT$510,3,))*$E161)</f>
        <v>0</v>
      </c>
      <c r="N161" s="45">
        <f>IF(VLOOKUP($D161,$C$5:$AT$510,3,)=0,0,(VLOOKUP($D161,$C$5:$AT$510,12,)/VLOOKUP($D161,$C$5:$AT$510,3,))*$E161)</f>
        <v>0</v>
      </c>
      <c r="O161" s="45">
        <f>IF(VLOOKUP($D161,$C$5:$AT$510,3,)=0,0,(VLOOKUP($D161,$C$5:$AT$510,13,)/VLOOKUP($D161,$C$5:$AT$510,3,))*$E161)</f>
        <v>0</v>
      </c>
      <c r="P161" s="45">
        <f>IF(VLOOKUP($D161,$C$5:$AT$510,3,)=0,0,(VLOOKUP($D161,$C$5:$AT$510,14,)/VLOOKUP($D161,$C$5:$AT$510,3,))*$E161)</f>
        <v>0</v>
      </c>
      <c r="Q161" s="45">
        <f>IF(VLOOKUP($D161,$C$5:$AT$510,3,)=0,0,(VLOOKUP($D161,$C$5:$AT$510,15,)/VLOOKUP($D161,$C$5:$AT$510,3,))*$E161)</f>
        <v>0</v>
      </c>
      <c r="R161" s="45">
        <f>IF(VLOOKUP($D161,$C$5:$AT$510,3,)=0,0,(VLOOKUP($D161,$C$5:$AT$510,16,)/VLOOKUP($D161,$C$5:$AT$510,3,))*$E161)</f>
        <v>0</v>
      </c>
      <c r="S161" s="45">
        <f>IF(VLOOKUP($D161,$C$5:$AT$510,3,)=0,0,(VLOOKUP($D161,$C$5:$AT$510,17,)/VLOOKUP($D161,$C$5:$AT$510,3,))*$E161)</f>
        <v>0</v>
      </c>
      <c r="T161" s="45">
        <f>IF(VLOOKUP($D161,$C$5:$AT$510,3,)=0,0,(VLOOKUP($D161,$C$5:$AT$510,18,)/VLOOKUP($D161,$C$5:$AT$510,3,))*$E161)</f>
        <v>0</v>
      </c>
      <c r="U161" s="45">
        <f>IF(VLOOKUP($D161,$C$5:$AT$510,3,)=0,0,(VLOOKUP($D161,$C$5:$AT$510,19,)/VLOOKUP($D161,$C$5:$AT$510,3,))*$E161)</f>
        <v>0</v>
      </c>
      <c r="V161" s="45">
        <f>IF(VLOOKUP($D161,$C$5:$AT$510,3,)=0,0,(VLOOKUP($D161,$C$5:$AT$510,20,)/VLOOKUP($D161,$C$5:$AT$510,3,))*$E161)</f>
        <v>0</v>
      </c>
      <c r="W161" s="45">
        <f>IF(VLOOKUP($D161,$C$5:$AT$510,3,)=0,0,(VLOOKUP($D161,$C$5:$AT$510,21,)/VLOOKUP($D161,$C$5:$AT$510,3,))*$E161)</f>
        <v>0</v>
      </c>
      <c r="X161" s="45">
        <f>IF(VLOOKUP($D161,$C$5:$AT$510,3,)=0,0,(VLOOKUP($D161,$C$5:$AT$510,22,)/VLOOKUP($D161,$C$5:$AT$510,3,))*$E161)</f>
        <v>0</v>
      </c>
      <c r="Y161" s="45">
        <f>IF(VLOOKUP($D161,$C$5:$AT$510,3,)=0,0,(VLOOKUP($D161,$C$5:$AT$510,23,)/VLOOKUP($D161,$C$5:$AT$510,3,))*$E161)</f>
        <v>0</v>
      </c>
      <c r="Z161" s="45">
        <f>IF(VLOOKUP($D161,$C$5:$AT$510,3,)=0,0,(VLOOKUP($D161,$C$5:$AT$510,24,)/VLOOKUP($D161,$C$5:$AT$510,3,))*$E161)</f>
        <v>0</v>
      </c>
      <c r="AA161" s="45">
        <f>IF(VLOOKUP($D161,$C$5:$AT$510,3,)=0,0,(VLOOKUP($D161,$C$5:$AT$510,25,)/VLOOKUP($D161,$C$5:$AT$510,3,))*$E161)</f>
        <v>0</v>
      </c>
      <c r="AB161" s="45">
        <f>IF(VLOOKUP($D161,$C$5:$AT$510,3,)=0,0,(VLOOKUP($D161,$C$5:$AT$510,26,)/VLOOKUP($D161,$C$5:$AT$510,3,))*$E161)</f>
        <v>0</v>
      </c>
      <c r="AC161" s="45">
        <f>IF(VLOOKUP($D161,$C$5:$AT$510,3,)=0,0,(VLOOKUP($D161,$C$5:$AT$510,27,)/VLOOKUP($D161,$C$5:$AT$510,3,))*$E161)</f>
        <v>0</v>
      </c>
      <c r="AD161" s="45">
        <f>IF(VLOOKUP($D161,$C$5:$AT$510,3,)=0,0,(VLOOKUP($D161,$C$5:$AT$510,28,)/VLOOKUP($D161,$C$5:$AT$510,3,))*$E161)</f>
        <v>0</v>
      </c>
      <c r="AE161" s="45">
        <f>IF(VLOOKUP($D161,$C$5:$AT$510,3,)=0,0,(VLOOKUP($D161,$C$5:$AT$510,29,)/VLOOKUP($D161,$C$5:$AT$510,3,))*$E161)</f>
        <v>0</v>
      </c>
      <c r="AF161" s="45">
        <f>IF(VLOOKUP($D161,$C$5:$AT$510,3,)=0,0,(VLOOKUP($D161,$C$5:$AT$510,30,)/VLOOKUP($D161,$C$5:$AT$510,3,))*$E161)</f>
        <v>0</v>
      </c>
      <c r="AG161" s="69">
        <f>SUM(F161:AF161)</f>
        <v>0</v>
      </c>
      <c r="AH161" s="14" t="str">
        <f>IF(ABS(E161-AG161)&lt;0.01,"ok","err")</f>
        <v>ok</v>
      </c>
    </row>
    <row r="162" spans="1:34" x14ac:dyDescent="0.2">
      <c r="A162" s="72" t="s">
        <v>212</v>
      </c>
      <c r="C162" s="2" t="s">
        <v>275</v>
      </c>
      <c r="D162" s="2" t="s">
        <v>664</v>
      </c>
      <c r="E162" s="32">
        <f>'Func &amp; Classif'!I476</f>
        <v>0</v>
      </c>
      <c r="F162" s="45">
        <f>IF(VLOOKUP($D162,$C$5:$AT$510,3,)=0,0,(VLOOKUP($D162,$C$5:$AT$510,4,)/VLOOKUP($D162,$C$5:$AT$510,3,))*$E162)</f>
        <v>0</v>
      </c>
      <c r="G162" s="45">
        <f>IF(VLOOKUP($D162,$C$5:$AT$510,3,)=0,0,(VLOOKUP($D162,$C$5:$AT$510,5,)/VLOOKUP($D162,$C$5:$AT$510,3,))*$E162)</f>
        <v>0</v>
      </c>
      <c r="H162" s="45">
        <f>IF(VLOOKUP($D162,$C$5:$AT$510,3,)=0,0,(VLOOKUP($D162,$C$5:$AT$510,6,)/VLOOKUP($D162,$C$5:$AT$510,3,))*$E162)</f>
        <v>0</v>
      </c>
      <c r="I162" s="45">
        <f>IF(VLOOKUP($D162,$C$5:$AT$510,3,)=0,0,(VLOOKUP($D162,$C$5:$AT$510,7,)/VLOOKUP($D162,$C$5:$AT$510,3,))*$E162)</f>
        <v>0</v>
      </c>
      <c r="J162" s="45">
        <f>IF(VLOOKUP($D162,$C$5:$AT$510,3,)=0,0,(VLOOKUP($D162,$C$5:$AT$510,8,)/VLOOKUP($D162,$C$5:$AT$510,3,))*$E162)</f>
        <v>0</v>
      </c>
      <c r="K162" s="45">
        <f>IF(VLOOKUP($D162,$C$5:$AT$510,3,)=0,0,(VLOOKUP($D162,$C$5:$AT$510,9,)/VLOOKUP($D162,$C$5:$AT$510,3,))*$E162)</f>
        <v>0</v>
      </c>
      <c r="L162" s="45">
        <f>IF(VLOOKUP($D162,$C$5:$AT$510,3,)=0,0,(VLOOKUP($D162,$C$5:$AT$510,10,)/VLOOKUP($D162,$C$5:$AT$510,3,))*$E162)</f>
        <v>0</v>
      </c>
      <c r="M162" s="45">
        <f>IF(VLOOKUP($D162,$C$5:$AT$510,3,)=0,0,(VLOOKUP($D162,$C$5:$AT$510,11,)/VLOOKUP($D162,$C$5:$AT$510,3,))*$E162)</f>
        <v>0</v>
      </c>
      <c r="N162" s="45">
        <f>IF(VLOOKUP($D162,$C$5:$AT$510,3,)=0,0,(VLOOKUP($D162,$C$5:$AT$510,12,)/VLOOKUP($D162,$C$5:$AT$510,3,))*$E162)</f>
        <v>0</v>
      </c>
      <c r="O162" s="45">
        <f>IF(VLOOKUP($D162,$C$5:$AT$510,3,)=0,0,(VLOOKUP($D162,$C$5:$AT$510,13,)/VLOOKUP($D162,$C$5:$AT$510,3,))*$E162)</f>
        <v>0</v>
      </c>
      <c r="P162" s="45">
        <f>IF(VLOOKUP($D162,$C$5:$AT$510,3,)=0,0,(VLOOKUP($D162,$C$5:$AT$510,14,)/VLOOKUP($D162,$C$5:$AT$510,3,))*$E162)</f>
        <v>0</v>
      </c>
      <c r="Q162" s="45">
        <f>IF(VLOOKUP($D162,$C$5:$AT$510,3,)=0,0,(VLOOKUP($D162,$C$5:$AT$510,15,)/VLOOKUP($D162,$C$5:$AT$510,3,))*$E162)</f>
        <v>0</v>
      </c>
      <c r="R162" s="45">
        <f>IF(VLOOKUP($D162,$C$5:$AT$510,3,)=0,0,(VLOOKUP($D162,$C$5:$AT$510,16,)/VLOOKUP($D162,$C$5:$AT$510,3,))*$E162)</f>
        <v>0</v>
      </c>
      <c r="S162" s="45">
        <f>IF(VLOOKUP($D162,$C$5:$AT$510,3,)=0,0,(VLOOKUP($D162,$C$5:$AT$510,17,)/VLOOKUP($D162,$C$5:$AT$510,3,))*$E162)</f>
        <v>0</v>
      </c>
      <c r="T162" s="45">
        <f>IF(VLOOKUP($D162,$C$5:$AT$510,3,)=0,0,(VLOOKUP($D162,$C$5:$AT$510,18,)/VLOOKUP($D162,$C$5:$AT$510,3,))*$E162)</f>
        <v>0</v>
      </c>
      <c r="U162" s="45">
        <f>IF(VLOOKUP($D162,$C$5:$AT$510,3,)=0,0,(VLOOKUP($D162,$C$5:$AT$510,19,)/VLOOKUP($D162,$C$5:$AT$510,3,))*$E162)</f>
        <v>0</v>
      </c>
      <c r="V162" s="45">
        <f>IF(VLOOKUP($D162,$C$5:$AT$510,3,)=0,0,(VLOOKUP($D162,$C$5:$AT$510,20,)/VLOOKUP($D162,$C$5:$AT$510,3,))*$E162)</f>
        <v>0</v>
      </c>
      <c r="W162" s="45">
        <f>IF(VLOOKUP($D162,$C$5:$AT$510,3,)=0,0,(VLOOKUP($D162,$C$5:$AT$510,21,)/VLOOKUP($D162,$C$5:$AT$510,3,))*$E162)</f>
        <v>0</v>
      </c>
      <c r="X162" s="45">
        <f>IF(VLOOKUP($D162,$C$5:$AT$510,3,)=0,0,(VLOOKUP($D162,$C$5:$AT$510,22,)/VLOOKUP($D162,$C$5:$AT$510,3,))*$E162)</f>
        <v>0</v>
      </c>
      <c r="Y162" s="45">
        <f>IF(VLOOKUP($D162,$C$5:$AT$510,3,)=0,0,(VLOOKUP($D162,$C$5:$AT$510,23,)/VLOOKUP($D162,$C$5:$AT$510,3,))*$E162)</f>
        <v>0</v>
      </c>
      <c r="Z162" s="45">
        <f>IF(VLOOKUP($D162,$C$5:$AT$510,3,)=0,0,(VLOOKUP($D162,$C$5:$AT$510,24,)/VLOOKUP($D162,$C$5:$AT$510,3,))*$E162)</f>
        <v>0</v>
      </c>
      <c r="AA162" s="45">
        <f>IF(VLOOKUP($D162,$C$5:$AT$510,3,)=0,0,(VLOOKUP($D162,$C$5:$AT$510,25,)/VLOOKUP($D162,$C$5:$AT$510,3,))*$E162)</f>
        <v>0</v>
      </c>
      <c r="AB162" s="45">
        <f>IF(VLOOKUP($D162,$C$5:$AT$510,3,)=0,0,(VLOOKUP($D162,$C$5:$AT$510,26,)/VLOOKUP($D162,$C$5:$AT$510,3,))*$E162)</f>
        <v>0</v>
      </c>
      <c r="AC162" s="45">
        <f>IF(VLOOKUP($D162,$C$5:$AT$510,3,)=0,0,(VLOOKUP($D162,$C$5:$AT$510,27,)/VLOOKUP($D162,$C$5:$AT$510,3,))*$E162)</f>
        <v>0</v>
      </c>
      <c r="AD162" s="45">
        <f>IF(VLOOKUP($D162,$C$5:$AT$510,3,)=0,0,(VLOOKUP($D162,$C$5:$AT$510,28,)/VLOOKUP($D162,$C$5:$AT$510,3,))*$E162)</f>
        <v>0</v>
      </c>
      <c r="AE162" s="45">
        <f>IF(VLOOKUP($D162,$C$5:$AT$510,3,)=0,0,(VLOOKUP($D162,$C$5:$AT$510,29,)/VLOOKUP($D162,$C$5:$AT$510,3,))*$E162)</f>
        <v>0</v>
      </c>
      <c r="AF162" s="45">
        <f>IF(VLOOKUP($D162,$C$5:$AT$510,3,)=0,0,(VLOOKUP($D162,$C$5:$AT$510,30,)/VLOOKUP($D162,$C$5:$AT$510,3,))*$E162)</f>
        <v>0</v>
      </c>
      <c r="AG162" s="69">
        <f>SUM(F162:AF162)</f>
        <v>0</v>
      </c>
      <c r="AH162" s="14" t="str">
        <f>IF(ABS(E162-AG162)&lt;0.01,"ok","err")</f>
        <v>ok</v>
      </c>
    </row>
    <row r="163" spans="1:34" x14ac:dyDescent="0.2">
      <c r="A163" s="2" t="s">
        <v>215</v>
      </c>
      <c r="C163" s="2" t="s">
        <v>276</v>
      </c>
      <c r="E163" s="32">
        <f t="shared" ref="E163:T163" si="32">E161+E162</f>
        <v>0</v>
      </c>
      <c r="F163" s="45">
        <f t="shared" si="32"/>
        <v>0</v>
      </c>
      <c r="G163" s="45">
        <f t="shared" si="32"/>
        <v>0</v>
      </c>
      <c r="H163" s="45">
        <f t="shared" si="32"/>
        <v>0</v>
      </c>
      <c r="I163" s="45">
        <f t="shared" si="32"/>
        <v>0</v>
      </c>
      <c r="J163" s="45">
        <f t="shared" si="32"/>
        <v>0</v>
      </c>
      <c r="K163" s="45">
        <f t="shared" si="32"/>
        <v>0</v>
      </c>
      <c r="L163" s="45">
        <f t="shared" si="32"/>
        <v>0</v>
      </c>
      <c r="M163" s="45">
        <f t="shared" si="32"/>
        <v>0</v>
      </c>
      <c r="N163" s="45">
        <f t="shared" si="32"/>
        <v>0</v>
      </c>
      <c r="O163" s="45">
        <f t="shared" si="32"/>
        <v>0</v>
      </c>
      <c r="P163" s="45">
        <f t="shared" si="32"/>
        <v>0</v>
      </c>
      <c r="Q163" s="45">
        <f t="shared" si="32"/>
        <v>0</v>
      </c>
      <c r="R163" s="45">
        <f t="shared" si="32"/>
        <v>0</v>
      </c>
      <c r="S163" s="45">
        <f t="shared" si="32"/>
        <v>0</v>
      </c>
      <c r="T163" s="45">
        <f t="shared" si="32"/>
        <v>0</v>
      </c>
      <c r="U163" s="45">
        <f t="shared" ref="U163:AF163" si="33">U161+U162</f>
        <v>0</v>
      </c>
      <c r="V163" s="45">
        <f t="shared" si="33"/>
        <v>0</v>
      </c>
      <c r="W163" s="45">
        <f t="shared" si="33"/>
        <v>0</v>
      </c>
      <c r="X163" s="45">
        <f t="shared" si="33"/>
        <v>0</v>
      </c>
      <c r="Y163" s="45">
        <f t="shared" si="33"/>
        <v>0</v>
      </c>
      <c r="Z163" s="45">
        <f t="shared" si="33"/>
        <v>0</v>
      </c>
      <c r="AA163" s="45">
        <f t="shared" si="33"/>
        <v>0</v>
      </c>
      <c r="AB163" s="45">
        <f t="shared" si="33"/>
        <v>0</v>
      </c>
      <c r="AC163" s="45">
        <f t="shared" si="33"/>
        <v>0</v>
      </c>
      <c r="AD163" s="45">
        <f t="shared" si="33"/>
        <v>0</v>
      </c>
      <c r="AE163" s="45">
        <f t="shared" si="33"/>
        <v>0</v>
      </c>
      <c r="AF163" s="45">
        <f t="shared" si="33"/>
        <v>0</v>
      </c>
      <c r="AG163" s="69">
        <f>SUM(F163:AF163)</f>
        <v>0</v>
      </c>
      <c r="AH163" s="14" t="str">
        <f>IF(ABS(E163-AG163)&lt;0.01,"ok","err")</f>
        <v>ok</v>
      </c>
    </row>
    <row r="164" spans="1:34" x14ac:dyDescent="0.2">
      <c r="E164" s="32"/>
      <c r="F164" s="32"/>
    </row>
    <row r="165" spans="1:34" x14ac:dyDescent="0.2">
      <c r="A165" s="1" t="s">
        <v>350</v>
      </c>
      <c r="E165" s="32"/>
      <c r="F165" s="32"/>
    </row>
    <row r="166" spans="1:34" x14ac:dyDescent="0.2">
      <c r="A166" s="72" t="s">
        <v>209</v>
      </c>
      <c r="C166" s="2" t="s">
        <v>852</v>
      </c>
      <c r="D166" s="2" t="s">
        <v>623</v>
      </c>
      <c r="E166" s="45">
        <f>'Func &amp; Classif'!K476</f>
        <v>0</v>
      </c>
      <c r="F166" s="45">
        <f>IF(VLOOKUP($D166,$C$5:$AT$510,3,)=0,0,(VLOOKUP($D166,$C$5:$AT$510,4,)/VLOOKUP($D166,$C$5:$AT$510,3,))*$E166)</f>
        <v>0</v>
      </c>
      <c r="G166" s="45">
        <f>IF(VLOOKUP($D166,$C$5:$AT$510,3,)=0,0,(VLOOKUP($D166,$C$5:$AT$510,5,)/VLOOKUP($D166,$C$5:$AT$510,3,))*$E166)</f>
        <v>0</v>
      </c>
      <c r="H166" s="45">
        <f>IF(VLOOKUP($D166,$C$5:$AT$510,3,)=0,0,(VLOOKUP($D166,$C$5:$AT$510,6,)/VLOOKUP($D166,$C$5:$AT$510,3,))*$E166)</f>
        <v>0</v>
      </c>
      <c r="I166" s="45">
        <f>IF(VLOOKUP($D166,$C$5:$AT$510,3,)=0,0,(VLOOKUP($D166,$C$5:$AT$510,7,)/VLOOKUP($D166,$C$5:$AT$510,3,))*$E166)</f>
        <v>0</v>
      </c>
      <c r="J166" s="45">
        <f>IF(VLOOKUP($D166,$C$5:$AT$510,3,)=0,0,(VLOOKUP($D166,$C$5:$AT$510,8,)/VLOOKUP($D166,$C$5:$AT$510,3,))*$E166)</f>
        <v>0</v>
      </c>
      <c r="K166" s="45">
        <f>IF(VLOOKUP($D166,$C$5:$AT$510,3,)=0,0,(VLOOKUP($D166,$C$5:$AT$510,9,)/VLOOKUP($D166,$C$5:$AT$510,3,))*$E166)</f>
        <v>0</v>
      </c>
      <c r="L166" s="45">
        <f>IF(VLOOKUP($D166,$C$5:$AT$510,3,)=0,0,(VLOOKUP($D166,$C$5:$AT$510,10,)/VLOOKUP($D166,$C$5:$AT$510,3,))*$E166)</f>
        <v>0</v>
      </c>
      <c r="M166" s="45">
        <f>IF(VLOOKUP($D166,$C$5:$AT$510,3,)=0,0,(VLOOKUP($D166,$C$5:$AT$510,11,)/VLOOKUP($D166,$C$5:$AT$510,3,))*$E166)</f>
        <v>0</v>
      </c>
      <c r="N166" s="45">
        <f>IF(VLOOKUP($D166,$C$5:$AT$510,3,)=0,0,(VLOOKUP($D166,$C$5:$AT$510,12,)/VLOOKUP($D166,$C$5:$AT$510,3,))*$E166)</f>
        <v>0</v>
      </c>
      <c r="O166" s="45">
        <f>IF(VLOOKUP($D166,$C$5:$AT$510,3,)=0,0,(VLOOKUP($D166,$C$5:$AT$510,13,)/VLOOKUP($D166,$C$5:$AT$510,3,))*$E166)</f>
        <v>0</v>
      </c>
      <c r="P166" s="45">
        <f>IF(VLOOKUP($D166,$C$5:$AT$510,3,)=0,0,(VLOOKUP($D166,$C$5:$AT$510,14,)/VLOOKUP($D166,$C$5:$AT$510,3,))*$E166)</f>
        <v>0</v>
      </c>
      <c r="Q166" s="45">
        <f>IF(VLOOKUP($D166,$C$5:$AT$510,3,)=0,0,(VLOOKUP($D166,$C$5:$AT$510,15,)/VLOOKUP($D166,$C$5:$AT$510,3,))*$E166)</f>
        <v>0</v>
      </c>
      <c r="R166" s="45">
        <f>IF(VLOOKUP($D166,$C$5:$AT$510,3,)=0,0,(VLOOKUP($D166,$C$5:$AT$510,16,)/VLOOKUP($D166,$C$5:$AT$510,3,))*$E166)</f>
        <v>0</v>
      </c>
      <c r="S166" s="45">
        <f>IF(VLOOKUP($D166,$C$5:$AT$510,3,)=0,0,(VLOOKUP($D166,$C$5:$AT$510,17,)/VLOOKUP($D166,$C$5:$AT$510,3,))*$E166)</f>
        <v>0</v>
      </c>
      <c r="T166" s="45">
        <f>IF(VLOOKUP($D166,$C$5:$AT$510,3,)=0,0,(VLOOKUP($D166,$C$5:$AT$510,18,)/VLOOKUP($D166,$C$5:$AT$510,3,))*$E166)</f>
        <v>0</v>
      </c>
      <c r="U166" s="45">
        <f>IF(VLOOKUP($D166,$C$5:$AT$510,3,)=0,0,(VLOOKUP($D166,$C$5:$AT$510,19,)/VLOOKUP($D166,$C$5:$AT$510,3,))*$E166)</f>
        <v>0</v>
      </c>
      <c r="V166" s="45">
        <f>IF(VLOOKUP($D166,$C$5:$AT$510,3,)=0,0,(VLOOKUP($D166,$C$5:$AT$510,20,)/VLOOKUP($D166,$C$5:$AT$510,3,))*$E166)</f>
        <v>0</v>
      </c>
      <c r="W166" s="45">
        <f>IF(VLOOKUP($D166,$C$5:$AT$510,3,)=0,0,(VLOOKUP($D166,$C$5:$AT$510,21,)/VLOOKUP($D166,$C$5:$AT$510,3,))*$E166)</f>
        <v>0</v>
      </c>
      <c r="X166" s="45">
        <f>IF(VLOOKUP($D166,$C$5:$AT$510,3,)=0,0,(VLOOKUP($D166,$C$5:$AT$510,22,)/VLOOKUP($D166,$C$5:$AT$510,3,))*$E166)</f>
        <v>0</v>
      </c>
      <c r="Y166" s="45">
        <f>IF(VLOOKUP($D166,$C$5:$AT$510,3,)=0,0,(VLOOKUP($D166,$C$5:$AT$510,23,)/VLOOKUP($D166,$C$5:$AT$510,3,))*$E166)</f>
        <v>0</v>
      </c>
      <c r="Z166" s="45">
        <f>IF(VLOOKUP($D166,$C$5:$AT$510,3,)=0,0,(VLOOKUP($D166,$C$5:$AT$510,24,)/VLOOKUP($D166,$C$5:$AT$510,3,))*$E166)</f>
        <v>0</v>
      </c>
      <c r="AA166" s="45">
        <f>IF(VLOOKUP($D166,$C$5:$AT$510,3,)=0,0,(VLOOKUP($D166,$C$5:$AT$510,25,)/VLOOKUP($D166,$C$5:$AT$510,3,))*$E166)</f>
        <v>0</v>
      </c>
      <c r="AB166" s="45">
        <f>IF(VLOOKUP($D166,$C$5:$AT$510,3,)=0,0,(VLOOKUP($D166,$C$5:$AT$510,26,)/VLOOKUP($D166,$C$5:$AT$510,3,))*$E166)</f>
        <v>0</v>
      </c>
      <c r="AC166" s="45">
        <f>IF(VLOOKUP($D166,$C$5:$AT$510,3,)=0,0,(VLOOKUP($D166,$C$5:$AT$510,27,)/VLOOKUP($D166,$C$5:$AT$510,3,))*$E166)</f>
        <v>0</v>
      </c>
      <c r="AD166" s="45">
        <f>IF(VLOOKUP($D166,$C$5:$AT$510,3,)=0,0,(VLOOKUP($D166,$C$5:$AT$510,28,)/VLOOKUP($D166,$C$5:$AT$510,3,))*$E166)</f>
        <v>0</v>
      </c>
      <c r="AE166" s="45">
        <f>IF(VLOOKUP($D166,$C$5:$AT$510,3,)=0,0,(VLOOKUP($D166,$C$5:$AT$510,29,)/VLOOKUP($D166,$C$5:$AT$510,3,))*$E166)</f>
        <v>0</v>
      </c>
      <c r="AF166" s="45">
        <f>IF(VLOOKUP($D166,$C$5:$AT$510,3,)=0,0,(VLOOKUP($D166,$C$5:$AT$510,30,)/VLOOKUP($D166,$C$5:$AT$510,3,))*$E166)</f>
        <v>0</v>
      </c>
      <c r="AG166" s="69">
        <f>SUM(F166:AF166)</f>
        <v>0</v>
      </c>
      <c r="AH166" s="14" t="str">
        <f>IF(ABS(E166-AG166)&lt;0.01,"ok","err")</f>
        <v>ok</v>
      </c>
    </row>
    <row r="167" spans="1:34" x14ac:dyDescent="0.2">
      <c r="E167" s="32"/>
    </row>
    <row r="168" spans="1:34" x14ac:dyDescent="0.2">
      <c r="A168" s="1" t="s">
        <v>1</v>
      </c>
      <c r="E168" s="32"/>
      <c r="F168" s="32"/>
    </row>
    <row r="169" spans="1:34" x14ac:dyDescent="0.2">
      <c r="A169" s="72" t="s">
        <v>209</v>
      </c>
      <c r="C169" s="2" t="s">
        <v>277</v>
      </c>
      <c r="D169" s="2" t="s">
        <v>630</v>
      </c>
      <c r="E169" s="45">
        <f>'Func &amp; Classif'!M476</f>
        <v>204.87155491214634</v>
      </c>
      <c r="F169" s="45">
        <f>IF(VLOOKUP($D169,$C$5:$AT$510,3,)=0,0,(VLOOKUP($D169,$C$5:$AT$510,4,)/VLOOKUP($D169,$C$5:$AT$510,3,))*$E169)</f>
        <v>149.14745713938024</v>
      </c>
      <c r="G169" s="45">
        <f>IF(VLOOKUP($D169,$C$5:$AT$510,3,)=0,0,(VLOOKUP($D169,$C$5:$AT$510,5,)/VLOOKUP($D169,$C$5:$AT$510,3,))*$E169)</f>
        <v>0</v>
      </c>
      <c r="H169" s="45">
        <f>IF(VLOOKUP($D169,$C$5:$AT$510,3,)=0,0,(VLOOKUP($D169,$C$5:$AT$510,6,)/VLOOKUP($D169,$C$5:$AT$510,3,))*$E169)</f>
        <v>2.8033562161677824E-3</v>
      </c>
      <c r="I169" s="45">
        <f>IF(VLOOKUP($D169,$C$5:$AT$510,3,)=0,0,(VLOOKUP($D169,$C$5:$AT$510,7,)/VLOOKUP($D169,$C$5:$AT$510,3,))*$E169)</f>
        <v>13.392899968141281</v>
      </c>
      <c r="J169" s="45">
        <f>IF(VLOOKUP($D169,$C$5:$AT$510,3,)=0,0,(VLOOKUP($D169,$C$5:$AT$510,8,)/VLOOKUP($D169,$C$5:$AT$510,3,))*$E169)</f>
        <v>21.353857326937216</v>
      </c>
      <c r="K169" s="45">
        <f>IF(VLOOKUP($D169,$C$5:$AT$510,3,)=0,0,(VLOOKUP($D169,$C$5:$AT$510,9,)/VLOOKUP($D169,$C$5:$AT$510,3,))*$E169)</f>
        <v>0</v>
      </c>
      <c r="L169" s="45">
        <f>IF(VLOOKUP($D169,$C$5:$AT$510,3,)=0,0,(VLOOKUP($D169,$C$5:$AT$510,10,)/VLOOKUP($D169,$C$5:$AT$510,3,))*$E169)</f>
        <v>0</v>
      </c>
      <c r="M169" s="45">
        <f>IF(VLOOKUP($D169,$C$5:$AT$510,3,)=0,0,(VLOOKUP($D169,$C$5:$AT$510,11,)/VLOOKUP($D169,$C$5:$AT$510,3,))*$E169)</f>
        <v>6.3464191737421523</v>
      </c>
      <c r="N169" s="45">
        <f>IF(VLOOKUP($D169,$C$5:$AT$510,3,)=0,0,(VLOOKUP($D169,$C$5:$AT$510,12,)/VLOOKUP($D169,$C$5:$AT$510,3,))*$E169)</f>
        <v>7.5322246980208298</v>
      </c>
      <c r="O169" s="45">
        <f>IF(VLOOKUP($D169,$C$5:$AT$510,3,)=0,0,(VLOOKUP($D169,$C$5:$AT$510,13,)/VLOOKUP($D169,$C$5:$AT$510,3,))*$E169)</f>
        <v>1.875493435991838</v>
      </c>
      <c r="P169" s="45">
        <f>IF(VLOOKUP($D169,$C$5:$AT$510,3,)=0,0,(VLOOKUP($D169,$C$5:$AT$510,14,)/VLOOKUP($D169,$C$5:$AT$510,3,))*$E169)</f>
        <v>0.19357973585531141</v>
      </c>
      <c r="Q169" s="45">
        <f>IF(VLOOKUP($D169,$C$5:$AT$510,3,)=0,0,(VLOOKUP($D169,$C$5:$AT$510,15,)/VLOOKUP($D169,$C$5:$AT$510,3,))*$E169)</f>
        <v>0.61835716948985531</v>
      </c>
      <c r="R169" s="45">
        <f>IF(VLOOKUP($D169,$C$5:$AT$510,3,)=0,0,(VLOOKUP($D169,$C$5:$AT$510,16,)/VLOOKUP($D169,$C$5:$AT$510,3,))*$E169)</f>
        <v>4.1638543462776312</v>
      </c>
      <c r="S169" s="45">
        <f>IF(VLOOKUP($D169,$C$5:$AT$510,3,)=0,0,(VLOOKUP($D169,$C$5:$AT$510,17,)/VLOOKUP($D169,$C$5:$AT$510,3,))*$E169)</f>
        <v>0</v>
      </c>
      <c r="T169" s="45">
        <f>IF(VLOOKUP($D169,$C$5:$AT$510,3,)=0,0,(VLOOKUP($D169,$C$5:$AT$510,18,)/VLOOKUP($D169,$C$5:$AT$510,3,))*$E169)</f>
        <v>0.13979741320149072</v>
      </c>
      <c r="U169" s="45">
        <f>IF(VLOOKUP($D169,$C$5:$AT$510,3,)=0,0,(VLOOKUP($D169,$C$5:$AT$510,19,)/VLOOKUP($D169,$C$5:$AT$510,3,))*$E169)</f>
        <v>0.1048111488922893</v>
      </c>
      <c r="V169" s="45">
        <f>IF(VLOOKUP($D169,$C$5:$AT$510,3,)=0,0,(VLOOKUP($D169,$C$5:$AT$510,20,)/VLOOKUP($D169,$C$5:$AT$510,3,))*$E169)</f>
        <v>0</v>
      </c>
      <c r="W169" s="45">
        <f>IF(VLOOKUP($D169,$C$5:$AT$510,3,)=0,0,(VLOOKUP($D169,$C$5:$AT$510,21,)/VLOOKUP($D169,$C$5:$AT$510,3,))*$E169)</f>
        <v>0</v>
      </c>
      <c r="X169" s="45">
        <f>IF(VLOOKUP($D169,$C$5:$AT$510,3,)=0,0,(VLOOKUP($D169,$C$5:$AT$510,22,)/VLOOKUP($D169,$C$5:$AT$510,3,))*$E169)</f>
        <v>0</v>
      </c>
      <c r="Y169" s="45">
        <f>IF(VLOOKUP($D169,$C$5:$AT$510,3,)=0,0,(VLOOKUP($D169,$C$5:$AT$510,23,)/VLOOKUP($D169,$C$5:$AT$510,3,))*$E169)</f>
        <v>0</v>
      </c>
      <c r="Z169" s="45">
        <f>IF(VLOOKUP($D169,$C$5:$AT$510,3,)=0,0,(VLOOKUP($D169,$C$5:$AT$510,24,)/VLOOKUP($D169,$C$5:$AT$510,3,))*$E169)</f>
        <v>0</v>
      </c>
      <c r="AA169" s="45">
        <f>IF(VLOOKUP($D169,$C$5:$AT$510,3,)=0,0,(VLOOKUP($D169,$C$5:$AT$510,25,)/VLOOKUP($D169,$C$5:$AT$510,3,))*$E169)</f>
        <v>0</v>
      </c>
      <c r="AB169" s="45">
        <f>IF(VLOOKUP($D169,$C$5:$AT$510,3,)=0,0,(VLOOKUP($D169,$C$5:$AT$510,26,)/VLOOKUP($D169,$C$5:$AT$510,3,))*$E169)</f>
        <v>0</v>
      </c>
      <c r="AC169" s="45">
        <f>IF(VLOOKUP($D169,$C$5:$AT$510,3,)=0,0,(VLOOKUP($D169,$C$5:$AT$510,27,)/VLOOKUP($D169,$C$5:$AT$510,3,))*$E169)</f>
        <v>0</v>
      </c>
      <c r="AD169" s="45">
        <f>IF(VLOOKUP($D169,$C$5:$AT$510,3,)=0,0,(VLOOKUP($D169,$C$5:$AT$510,28,)/VLOOKUP($D169,$C$5:$AT$510,3,))*$E169)</f>
        <v>0</v>
      </c>
      <c r="AE169" s="45">
        <f>IF(VLOOKUP($D169,$C$5:$AT$510,3,)=0,0,(VLOOKUP($D169,$C$5:$AT$510,29,)/VLOOKUP($D169,$C$5:$AT$510,3,))*$E169)</f>
        <v>0</v>
      </c>
      <c r="AF169" s="45">
        <f>IF(VLOOKUP($D169,$C$5:$AT$510,3,)=0,0,(VLOOKUP($D169,$C$5:$AT$510,30,)/VLOOKUP($D169,$C$5:$AT$510,3,))*$E169)</f>
        <v>0</v>
      </c>
      <c r="AG169" s="69">
        <f>SUM(F169:AF169)</f>
        <v>204.87155491214631</v>
      </c>
      <c r="AH169" s="14" t="str">
        <f>IF(ABS(E169-AG169)&lt;0.01,"ok","err")</f>
        <v>ok</v>
      </c>
    </row>
    <row r="170" spans="1:34" x14ac:dyDescent="0.2">
      <c r="E170" s="32"/>
    </row>
    <row r="171" spans="1:34" x14ac:dyDescent="0.2">
      <c r="A171" s="1" t="s">
        <v>2</v>
      </c>
      <c r="E171" s="32"/>
    </row>
    <row r="172" spans="1:34" x14ac:dyDescent="0.2">
      <c r="A172" s="72" t="s">
        <v>209</v>
      </c>
      <c r="C172" s="2" t="s">
        <v>278</v>
      </c>
      <c r="D172" s="2" t="s">
        <v>627</v>
      </c>
      <c r="E172" s="45">
        <f>'Func &amp; Classif'!O476</f>
        <v>1386437.8569099559</v>
      </c>
      <c r="F172" s="45">
        <f>IF(VLOOKUP($D172,$C$5:$AT$510,3,)=0,0,(VLOOKUP($D172,$C$5:$AT$510,4,)/VLOOKUP($D172,$C$5:$AT$510,3,))*$E172)</f>
        <v>1112762.867543462</v>
      </c>
      <c r="G172" s="45">
        <f>IF(VLOOKUP($D172,$C$5:$AT$510,3,)=0,0,(VLOOKUP($D172,$C$5:$AT$510,5,)/VLOOKUP($D172,$C$5:$AT$510,3,))*$E172)</f>
        <v>0</v>
      </c>
      <c r="H172" s="45">
        <f>IF(VLOOKUP($D172,$C$5:$AT$510,3,)=0,0,(VLOOKUP($D172,$C$5:$AT$510,6,)/VLOOKUP($D172,$C$5:$AT$510,3,))*$E172)</f>
        <v>40.090958578300196</v>
      </c>
      <c r="I172" s="45">
        <f>IF(VLOOKUP($D172,$C$5:$AT$510,3,)=0,0,(VLOOKUP($D172,$C$5:$AT$510,7,)/VLOOKUP($D172,$C$5:$AT$510,3,))*$E172)</f>
        <v>96446.238039619522</v>
      </c>
      <c r="J172" s="45">
        <f>IF(VLOOKUP($D172,$C$5:$AT$510,3,)=0,0,(VLOOKUP($D172,$C$5:$AT$510,8,)/VLOOKUP($D172,$C$5:$AT$510,3,))*$E172)</f>
        <v>83055.981827141659</v>
      </c>
      <c r="K172" s="45">
        <f>IF(VLOOKUP($D172,$C$5:$AT$510,3,)=0,0,(VLOOKUP($D172,$C$5:$AT$510,9,)/VLOOKUP($D172,$C$5:$AT$510,3,))*$E172)</f>
        <v>953.88135442683529</v>
      </c>
      <c r="L172" s="45">
        <f>IF(VLOOKUP($D172,$C$5:$AT$510,3,)=0,0,(VLOOKUP($D172,$C$5:$AT$510,10,)/VLOOKUP($D172,$C$5:$AT$510,3,))*$E172)</f>
        <v>0</v>
      </c>
      <c r="M172" s="45">
        <f>IF(VLOOKUP($D172,$C$5:$AT$510,3,)=0,0,(VLOOKUP($D172,$C$5:$AT$510,11,)/VLOOKUP($D172,$C$5:$AT$510,3,))*$E172)</f>
        <v>28150.540126950651</v>
      </c>
      <c r="N172" s="45">
        <f>IF(VLOOKUP($D172,$C$5:$AT$510,3,)=0,0,(VLOOKUP($D172,$C$5:$AT$510,12,)/VLOOKUP($D172,$C$5:$AT$510,3,))*$E172)</f>
        <v>30605.106182127955</v>
      </c>
      <c r="O172" s="45">
        <f>IF(VLOOKUP($D172,$C$5:$AT$510,3,)=0,0,(VLOOKUP($D172,$C$5:$AT$510,13,)/VLOOKUP($D172,$C$5:$AT$510,3,))*$E172)</f>
        <v>7626.4658617672712</v>
      </c>
      <c r="P172" s="45">
        <f>IF(VLOOKUP($D172,$C$5:$AT$510,3,)=0,0,(VLOOKUP($D172,$C$5:$AT$510,14,)/VLOOKUP($D172,$C$5:$AT$510,3,))*$E172)</f>
        <v>2239.6341090791848</v>
      </c>
      <c r="Q172" s="45">
        <f>IF(VLOOKUP($D172,$C$5:$AT$510,3,)=0,0,(VLOOKUP($D172,$C$5:$AT$510,15,)/VLOOKUP($D172,$C$5:$AT$510,3,))*$E172)</f>
        <v>5287.5530353238701</v>
      </c>
      <c r="R172" s="45">
        <f>IF(VLOOKUP($D172,$C$5:$AT$510,3,)=0,0,(VLOOKUP($D172,$C$5:$AT$510,16,)/VLOOKUP($D172,$C$5:$AT$510,3,))*$E172)</f>
        <v>17864.256189770716</v>
      </c>
      <c r="S172" s="45">
        <f>IF(VLOOKUP($D172,$C$5:$AT$510,3,)=0,0,(VLOOKUP($D172,$C$5:$AT$510,17,)/VLOOKUP($D172,$C$5:$AT$510,3,))*$E172)</f>
        <v>0</v>
      </c>
      <c r="T172" s="45">
        <f>IF(VLOOKUP($D172,$C$5:$AT$510,3,)=0,0,(VLOOKUP($D172,$C$5:$AT$510,18,)/VLOOKUP($D172,$C$5:$AT$510,3,))*$E172)</f>
        <v>858.58902490547882</v>
      </c>
      <c r="U172" s="45">
        <f>IF(VLOOKUP($D172,$C$5:$AT$510,3,)=0,0,(VLOOKUP($D172,$C$5:$AT$510,19,)/VLOOKUP($D172,$C$5:$AT$510,3,))*$E172)</f>
        <v>546.6526568024226</v>
      </c>
      <c r="V172" s="45">
        <f>IF(VLOOKUP($D172,$C$5:$AT$510,3,)=0,0,(VLOOKUP($D172,$C$5:$AT$510,20,)/VLOOKUP($D172,$C$5:$AT$510,3,))*$E172)</f>
        <v>0</v>
      </c>
      <c r="W172" s="45">
        <f>IF(VLOOKUP($D172,$C$5:$AT$510,3,)=0,0,(VLOOKUP($D172,$C$5:$AT$510,21,)/VLOOKUP($D172,$C$5:$AT$510,3,))*$E172)</f>
        <v>0</v>
      </c>
      <c r="X172" s="45">
        <f>IF(VLOOKUP($D172,$C$5:$AT$510,3,)=0,0,(VLOOKUP($D172,$C$5:$AT$510,22,)/VLOOKUP($D172,$C$5:$AT$510,3,))*$E172)</f>
        <v>0</v>
      </c>
      <c r="Y172" s="45">
        <f>IF(VLOOKUP($D172,$C$5:$AT$510,3,)=0,0,(VLOOKUP($D172,$C$5:$AT$510,23,)/VLOOKUP($D172,$C$5:$AT$510,3,))*$E172)</f>
        <v>0</v>
      </c>
      <c r="Z172" s="45">
        <f>IF(VLOOKUP($D172,$C$5:$AT$510,3,)=0,0,(VLOOKUP($D172,$C$5:$AT$510,24,)/VLOOKUP($D172,$C$5:$AT$510,3,))*$E172)</f>
        <v>0</v>
      </c>
      <c r="AA172" s="45">
        <f>IF(VLOOKUP($D172,$C$5:$AT$510,3,)=0,0,(VLOOKUP($D172,$C$5:$AT$510,25,)/VLOOKUP($D172,$C$5:$AT$510,3,))*$E172)</f>
        <v>0</v>
      </c>
      <c r="AB172" s="45">
        <f>IF(VLOOKUP($D172,$C$5:$AT$510,3,)=0,0,(VLOOKUP($D172,$C$5:$AT$510,26,)/VLOOKUP($D172,$C$5:$AT$510,3,))*$E172)</f>
        <v>0</v>
      </c>
      <c r="AC172" s="45">
        <f>IF(VLOOKUP($D172,$C$5:$AT$510,3,)=0,0,(VLOOKUP($D172,$C$5:$AT$510,27,)/VLOOKUP($D172,$C$5:$AT$510,3,))*$E172)</f>
        <v>0</v>
      </c>
      <c r="AD172" s="45">
        <f>IF(VLOOKUP($D172,$C$5:$AT$510,3,)=0,0,(VLOOKUP($D172,$C$5:$AT$510,28,)/VLOOKUP($D172,$C$5:$AT$510,3,))*$E172)</f>
        <v>0</v>
      </c>
      <c r="AE172" s="45">
        <f>IF(VLOOKUP($D172,$C$5:$AT$510,3,)=0,0,(VLOOKUP($D172,$C$5:$AT$510,29,)/VLOOKUP($D172,$C$5:$AT$510,3,))*$E172)</f>
        <v>0</v>
      </c>
      <c r="AF172" s="45">
        <f>IF(VLOOKUP($D172,$C$5:$AT$510,3,)=0,0,(VLOOKUP($D172,$C$5:$AT$510,30,)/VLOOKUP($D172,$C$5:$AT$510,3,))*$E172)</f>
        <v>0</v>
      </c>
      <c r="AG172" s="69">
        <f>SUM(F172:AF172)</f>
        <v>1386437.8569099561</v>
      </c>
      <c r="AH172" s="14" t="str">
        <f>IF(ABS(E172-AG172)&lt;0.01,"ok","err")</f>
        <v>ok</v>
      </c>
    </row>
    <row r="173" spans="1:34" x14ac:dyDescent="0.2">
      <c r="A173" s="72" t="s">
        <v>221</v>
      </c>
      <c r="C173" s="2" t="s">
        <v>279</v>
      </c>
      <c r="D173" s="2" t="s">
        <v>223</v>
      </c>
      <c r="E173" s="32">
        <f>'Func &amp; Classif'!P476</f>
        <v>470109.43765122304</v>
      </c>
      <c r="F173" s="45">
        <f>IF(VLOOKUP($D173,$C$5:$AT$510,3,)=0,0,(VLOOKUP($D173,$C$5:$AT$510,4,)/VLOOKUP($D173,$C$5:$AT$510,3,))*$E173)</f>
        <v>433308.95550299523</v>
      </c>
      <c r="G173" s="45">
        <f>IF(VLOOKUP($D173,$C$5:$AT$510,3,)=0,0,(VLOOKUP($D173,$C$5:$AT$510,5,)/VLOOKUP($D173,$C$5:$AT$510,3,))*$E173)</f>
        <v>0</v>
      </c>
      <c r="H173" s="45">
        <f>IF(VLOOKUP($D173,$C$5:$AT$510,3,)=0,0,(VLOOKUP($D173,$C$5:$AT$510,6,)/VLOOKUP($D173,$C$5:$AT$510,3,))*$E173)</f>
        <v>17.632821498453456</v>
      </c>
      <c r="I173" s="45">
        <f>IF(VLOOKUP($D173,$C$5:$AT$510,3,)=0,0,(VLOOKUP($D173,$C$5:$AT$510,7,)/VLOOKUP($D173,$C$5:$AT$510,3,))*$E173)</f>
        <v>31174.828409265712</v>
      </c>
      <c r="J173" s="45">
        <f>IF(VLOOKUP($D173,$C$5:$AT$510,3,)=0,0,(VLOOKUP($D173,$C$5:$AT$510,8,)/VLOOKUP($D173,$C$5:$AT$510,3,))*$E173)</f>
        <v>1745.6493283468922</v>
      </c>
      <c r="K173" s="45">
        <f>IF(VLOOKUP($D173,$C$5:$AT$510,3,)=0,0,(VLOOKUP($D173,$C$5:$AT$510,9,)/VLOOKUP($D173,$C$5:$AT$510,3,))*$E173)</f>
        <v>32.130919174959629</v>
      </c>
      <c r="L173" s="45">
        <f>IF(VLOOKUP($D173,$C$5:$AT$510,3,)=0,0,(VLOOKUP($D173,$C$5:$AT$510,10,)/VLOOKUP($D173,$C$5:$AT$510,3,))*$E173)</f>
        <v>0</v>
      </c>
      <c r="M173" s="45">
        <f>IF(VLOOKUP($D173,$C$5:$AT$510,3,)=0,0,(VLOOKUP($D173,$C$5:$AT$510,11,)/VLOOKUP($D173,$C$5:$AT$510,3,))*$E173)</f>
        <v>1.5673619109736407</v>
      </c>
      <c r="N173" s="45">
        <f>IF(VLOOKUP($D173,$C$5:$AT$510,3,)=0,0,(VLOOKUP($D173,$C$5:$AT$510,12,)/VLOOKUP($D173,$C$5:$AT$510,3,))*$E173)</f>
        <v>0.39184047774341019</v>
      </c>
      <c r="O173" s="45">
        <f>IF(VLOOKUP($D173,$C$5:$AT$510,3,)=0,0,(VLOOKUP($D173,$C$5:$AT$510,13,)/VLOOKUP($D173,$C$5:$AT$510,3,))*$E173)</f>
        <v>0.39184047774341019</v>
      </c>
      <c r="P173" s="45">
        <f>IF(VLOOKUP($D173,$C$5:$AT$510,3,)=0,0,(VLOOKUP($D173,$C$5:$AT$510,14,)/VLOOKUP($D173,$C$5:$AT$510,3,))*$E173)</f>
        <v>1.5673619109736407</v>
      </c>
      <c r="Q173" s="45">
        <f>IF(VLOOKUP($D173,$C$5:$AT$510,3,)=0,0,(VLOOKUP($D173,$C$5:$AT$510,15,)/VLOOKUP($D173,$C$5:$AT$510,3,))*$E173)</f>
        <v>1410.6257198762764</v>
      </c>
      <c r="R173" s="45">
        <f>IF(VLOOKUP($D173,$C$5:$AT$510,3,)=0,0,(VLOOKUP($D173,$C$5:$AT$510,16,)/VLOOKUP($D173,$C$5:$AT$510,3,))*$E173)</f>
        <v>17.632821498453456</v>
      </c>
      <c r="S173" s="45">
        <f>IF(VLOOKUP($D173,$C$5:$AT$510,3,)=0,0,(VLOOKUP($D173,$C$5:$AT$510,17,)/VLOOKUP($D173,$C$5:$AT$510,3,))*$E173)</f>
        <v>0</v>
      </c>
      <c r="T173" s="45">
        <f>IF(VLOOKUP($D173,$C$5:$AT$510,3,)=0,0,(VLOOKUP($D173,$C$5:$AT$510,18,)/VLOOKUP($D173,$C$5:$AT$510,3,))*$E173)</f>
        <v>123.42975048917421</v>
      </c>
      <c r="U173" s="45">
        <f>IF(VLOOKUP($D173,$C$5:$AT$510,3,)=0,0,(VLOOKUP($D173,$C$5:$AT$510,19,)/VLOOKUP($D173,$C$5:$AT$510,3,))*$E173)</f>
        <v>2274.6339733004961</v>
      </c>
      <c r="V173" s="45">
        <f>IF(VLOOKUP($D173,$C$5:$AT$510,3,)=0,0,(VLOOKUP($D173,$C$5:$AT$510,20,)/VLOOKUP($D173,$C$5:$AT$510,3,))*$E173)</f>
        <v>0</v>
      </c>
      <c r="W173" s="45">
        <f>IF(VLOOKUP($D173,$C$5:$AT$510,3,)=0,0,(VLOOKUP($D173,$C$5:$AT$510,21,)/VLOOKUP($D173,$C$5:$AT$510,3,))*$E173)</f>
        <v>0</v>
      </c>
      <c r="X173" s="45">
        <f>IF(VLOOKUP($D173,$C$5:$AT$510,3,)=0,0,(VLOOKUP($D173,$C$5:$AT$510,22,)/VLOOKUP($D173,$C$5:$AT$510,3,))*$E173)</f>
        <v>0</v>
      </c>
      <c r="Y173" s="45">
        <f>IF(VLOOKUP($D173,$C$5:$AT$510,3,)=0,0,(VLOOKUP($D173,$C$5:$AT$510,23,)/VLOOKUP($D173,$C$5:$AT$510,3,))*$E173)</f>
        <v>0</v>
      </c>
      <c r="Z173" s="45">
        <f>IF(VLOOKUP($D173,$C$5:$AT$510,3,)=0,0,(VLOOKUP($D173,$C$5:$AT$510,24,)/VLOOKUP($D173,$C$5:$AT$510,3,))*$E173)</f>
        <v>0</v>
      </c>
      <c r="AA173" s="45">
        <f>IF(VLOOKUP($D173,$C$5:$AT$510,3,)=0,0,(VLOOKUP($D173,$C$5:$AT$510,25,)/VLOOKUP($D173,$C$5:$AT$510,3,))*$E173)</f>
        <v>0</v>
      </c>
      <c r="AB173" s="45">
        <f>IF(VLOOKUP($D173,$C$5:$AT$510,3,)=0,0,(VLOOKUP($D173,$C$5:$AT$510,26,)/VLOOKUP($D173,$C$5:$AT$510,3,))*$E173)</f>
        <v>0</v>
      </c>
      <c r="AC173" s="45">
        <f>IF(VLOOKUP($D173,$C$5:$AT$510,3,)=0,0,(VLOOKUP($D173,$C$5:$AT$510,27,)/VLOOKUP($D173,$C$5:$AT$510,3,))*$E173)</f>
        <v>0</v>
      </c>
      <c r="AD173" s="45">
        <f>IF(VLOOKUP($D173,$C$5:$AT$510,3,)=0,0,(VLOOKUP($D173,$C$5:$AT$510,28,)/VLOOKUP($D173,$C$5:$AT$510,3,))*$E173)</f>
        <v>0</v>
      </c>
      <c r="AE173" s="45">
        <f>IF(VLOOKUP($D173,$C$5:$AT$510,3,)=0,0,(VLOOKUP($D173,$C$5:$AT$510,29,)/VLOOKUP($D173,$C$5:$AT$510,3,))*$E173)</f>
        <v>0</v>
      </c>
      <c r="AF173" s="45">
        <f>IF(VLOOKUP($D173,$C$5:$AT$510,3,)=0,0,(VLOOKUP($D173,$C$5:$AT$510,30,)/VLOOKUP($D173,$C$5:$AT$510,3,))*$E173)</f>
        <v>0</v>
      </c>
      <c r="AG173" s="69">
        <f>SUM(F173:AF173)</f>
        <v>470109.43765122315</v>
      </c>
      <c r="AH173" s="14" t="str">
        <f>IF(ABS(E173-AG173)&lt;0.01,"ok","err")</f>
        <v>ok</v>
      </c>
    </row>
    <row r="174" spans="1:34" x14ac:dyDescent="0.2">
      <c r="A174" s="2" t="s">
        <v>224</v>
      </c>
      <c r="E174" s="45">
        <f t="shared" ref="E174:T174" si="34">E172+E173</f>
        <v>1856547.2945611789</v>
      </c>
      <c r="F174" s="45">
        <f t="shared" si="34"/>
        <v>1546071.8230464573</v>
      </c>
      <c r="G174" s="45">
        <f t="shared" si="34"/>
        <v>0</v>
      </c>
      <c r="H174" s="45">
        <f t="shared" si="34"/>
        <v>57.723780076753656</v>
      </c>
      <c r="I174" s="45">
        <f t="shared" si="34"/>
        <v>127621.06644888523</v>
      </c>
      <c r="J174" s="45">
        <f t="shared" si="34"/>
        <v>84801.631155488547</v>
      </c>
      <c r="K174" s="45">
        <f t="shared" si="34"/>
        <v>986.01227360179496</v>
      </c>
      <c r="L174" s="45">
        <f t="shared" si="34"/>
        <v>0</v>
      </c>
      <c r="M174" s="45">
        <f t="shared" si="34"/>
        <v>28152.107488861624</v>
      </c>
      <c r="N174" s="45">
        <f t="shared" si="34"/>
        <v>30605.498022605698</v>
      </c>
      <c r="O174" s="45">
        <f t="shared" si="34"/>
        <v>7626.8577022450145</v>
      </c>
      <c r="P174" s="45">
        <f t="shared" si="34"/>
        <v>2241.2014709901582</v>
      </c>
      <c r="Q174" s="45">
        <f t="shared" si="34"/>
        <v>6698.178755200146</v>
      </c>
      <c r="R174" s="45">
        <f t="shared" si="34"/>
        <v>17881.88901126917</v>
      </c>
      <c r="S174" s="45">
        <f t="shared" si="34"/>
        <v>0</v>
      </c>
      <c r="T174" s="45">
        <f t="shared" si="34"/>
        <v>982.01877539465306</v>
      </c>
      <c r="U174" s="45">
        <f t="shared" ref="U174:AF174" si="35">U172+U173</f>
        <v>2821.2866301029189</v>
      </c>
      <c r="V174" s="45">
        <f t="shared" si="35"/>
        <v>0</v>
      </c>
      <c r="W174" s="45">
        <f t="shared" si="35"/>
        <v>0</v>
      </c>
      <c r="X174" s="45">
        <f t="shared" si="35"/>
        <v>0</v>
      </c>
      <c r="Y174" s="45">
        <f t="shared" si="35"/>
        <v>0</v>
      </c>
      <c r="Z174" s="45">
        <f t="shared" si="35"/>
        <v>0</v>
      </c>
      <c r="AA174" s="45">
        <f t="shared" si="35"/>
        <v>0</v>
      </c>
      <c r="AB174" s="45">
        <f t="shared" si="35"/>
        <v>0</v>
      </c>
      <c r="AC174" s="45">
        <f t="shared" si="35"/>
        <v>0</v>
      </c>
      <c r="AD174" s="45">
        <f t="shared" si="35"/>
        <v>0</v>
      </c>
      <c r="AE174" s="45">
        <f t="shared" si="35"/>
        <v>0</v>
      </c>
      <c r="AF174" s="45">
        <f t="shared" si="35"/>
        <v>0</v>
      </c>
      <c r="AG174" s="69">
        <f>SUM(F174:AF174)</f>
        <v>1856547.2945611789</v>
      </c>
      <c r="AH174" s="14" t="str">
        <f>IF(ABS(E174-AG174)&lt;0.01,"ok","err")</f>
        <v>ok</v>
      </c>
    </row>
    <row r="175" spans="1:34" x14ac:dyDescent="0.2">
      <c r="E175" s="32"/>
    </row>
    <row r="176" spans="1:34" x14ac:dyDescent="0.2">
      <c r="A176" s="1" t="s">
        <v>3</v>
      </c>
      <c r="E176" s="32"/>
    </row>
    <row r="177" spans="1:34" x14ac:dyDescent="0.2">
      <c r="A177" s="72" t="s">
        <v>209</v>
      </c>
      <c r="C177" s="2" t="s">
        <v>280</v>
      </c>
      <c r="D177" s="2" t="s">
        <v>699</v>
      </c>
      <c r="E177" s="45">
        <f>'Func &amp; Classif'!R476</f>
        <v>0</v>
      </c>
      <c r="F177" s="45">
        <f>IF(VLOOKUP($D177,$C$5:$AT$510,3,)=0,0,(VLOOKUP($D177,$C$5:$AT$510,4,)/VLOOKUP($D177,$C$5:$AT$510,3,))*$E177)</f>
        <v>0</v>
      </c>
      <c r="G177" s="45">
        <f>IF(VLOOKUP($D177,$C$5:$AT$510,3,)=0,0,(VLOOKUP($D177,$C$5:$AT$510,5,)/VLOOKUP($D177,$C$5:$AT$510,3,))*$E177)</f>
        <v>0</v>
      </c>
      <c r="H177" s="45">
        <f>IF(VLOOKUP($D177,$C$5:$AT$510,3,)=0,0,(VLOOKUP($D177,$C$5:$AT$510,6,)/VLOOKUP($D177,$C$5:$AT$510,3,))*$E177)</f>
        <v>0</v>
      </c>
      <c r="I177" s="45">
        <f>IF(VLOOKUP($D177,$C$5:$AT$510,3,)=0,0,(VLOOKUP($D177,$C$5:$AT$510,7,)/VLOOKUP($D177,$C$5:$AT$510,3,))*$E177)</f>
        <v>0</v>
      </c>
      <c r="J177" s="45">
        <f>IF(VLOOKUP($D177,$C$5:$AT$510,3,)=0,0,(VLOOKUP($D177,$C$5:$AT$510,8,)/VLOOKUP($D177,$C$5:$AT$510,3,))*$E177)</f>
        <v>0</v>
      </c>
      <c r="K177" s="45">
        <f>IF(VLOOKUP($D177,$C$5:$AT$510,3,)=0,0,(VLOOKUP($D177,$C$5:$AT$510,9,)/VLOOKUP($D177,$C$5:$AT$510,3,))*$E177)</f>
        <v>0</v>
      </c>
      <c r="L177" s="45">
        <f>IF(VLOOKUP($D177,$C$5:$AT$510,3,)=0,0,(VLOOKUP($D177,$C$5:$AT$510,10,)/VLOOKUP($D177,$C$5:$AT$510,3,))*$E177)</f>
        <v>0</v>
      </c>
      <c r="M177" s="45">
        <f>IF(VLOOKUP($D177,$C$5:$AT$510,3,)=0,0,(VLOOKUP($D177,$C$5:$AT$510,11,)/VLOOKUP($D177,$C$5:$AT$510,3,))*$E177)</f>
        <v>0</v>
      </c>
      <c r="N177" s="45">
        <f>IF(VLOOKUP($D177,$C$5:$AT$510,3,)=0,0,(VLOOKUP($D177,$C$5:$AT$510,12,)/VLOOKUP($D177,$C$5:$AT$510,3,))*$E177)</f>
        <v>0</v>
      </c>
      <c r="O177" s="45">
        <f>IF(VLOOKUP($D177,$C$5:$AT$510,3,)=0,0,(VLOOKUP($D177,$C$5:$AT$510,13,)/VLOOKUP($D177,$C$5:$AT$510,3,))*$E177)</f>
        <v>0</v>
      </c>
      <c r="P177" s="45">
        <f>IF(VLOOKUP($D177,$C$5:$AT$510,3,)=0,0,(VLOOKUP($D177,$C$5:$AT$510,14,)/VLOOKUP($D177,$C$5:$AT$510,3,))*$E177)</f>
        <v>0</v>
      </c>
      <c r="Q177" s="45">
        <f>IF(VLOOKUP($D177,$C$5:$AT$510,3,)=0,0,(VLOOKUP($D177,$C$5:$AT$510,15,)/VLOOKUP($D177,$C$5:$AT$510,3,))*$E177)</f>
        <v>0</v>
      </c>
      <c r="R177" s="45">
        <f>IF(VLOOKUP($D177,$C$5:$AT$510,3,)=0,0,(VLOOKUP($D177,$C$5:$AT$510,16,)/VLOOKUP($D177,$C$5:$AT$510,3,))*$E177)</f>
        <v>0</v>
      </c>
      <c r="S177" s="45">
        <f>IF(VLOOKUP($D177,$C$5:$AT$510,3,)=0,0,(VLOOKUP($D177,$C$5:$AT$510,17,)/VLOOKUP($D177,$C$5:$AT$510,3,))*$E177)</f>
        <v>0</v>
      </c>
      <c r="T177" s="45">
        <f>IF(VLOOKUP($D177,$C$5:$AT$510,3,)=0,0,(VLOOKUP($D177,$C$5:$AT$510,18,)/VLOOKUP($D177,$C$5:$AT$510,3,))*$E177)</f>
        <v>0</v>
      </c>
      <c r="U177" s="45">
        <f>IF(VLOOKUP($D177,$C$5:$AT$510,3,)=0,0,(VLOOKUP($D177,$C$5:$AT$510,19,)/VLOOKUP($D177,$C$5:$AT$510,3,))*$E177)</f>
        <v>0</v>
      </c>
      <c r="V177" s="45">
        <f>IF(VLOOKUP($D177,$C$5:$AT$510,3,)=0,0,(VLOOKUP($D177,$C$5:$AT$510,20,)/VLOOKUP($D177,$C$5:$AT$510,3,))*$E177)</f>
        <v>0</v>
      </c>
      <c r="W177" s="45">
        <f>IF(VLOOKUP($D177,$C$5:$AT$510,3,)=0,0,(VLOOKUP($D177,$C$5:$AT$510,21,)/VLOOKUP($D177,$C$5:$AT$510,3,))*$E177)</f>
        <v>0</v>
      </c>
      <c r="X177" s="45">
        <f>IF(VLOOKUP($D177,$C$5:$AT$510,3,)=0,0,(VLOOKUP($D177,$C$5:$AT$510,22,)/VLOOKUP($D177,$C$5:$AT$510,3,))*$E177)</f>
        <v>0</v>
      </c>
      <c r="Y177" s="45">
        <f>IF(VLOOKUP($D177,$C$5:$AT$510,3,)=0,0,(VLOOKUP($D177,$C$5:$AT$510,23,)/VLOOKUP($D177,$C$5:$AT$510,3,))*$E177)</f>
        <v>0</v>
      </c>
      <c r="Z177" s="45">
        <f>IF(VLOOKUP($D177,$C$5:$AT$510,3,)=0,0,(VLOOKUP($D177,$C$5:$AT$510,24,)/VLOOKUP($D177,$C$5:$AT$510,3,))*$E177)</f>
        <v>0</v>
      </c>
      <c r="AA177" s="45">
        <f>IF(VLOOKUP($D177,$C$5:$AT$510,3,)=0,0,(VLOOKUP($D177,$C$5:$AT$510,25,)/VLOOKUP($D177,$C$5:$AT$510,3,))*$E177)</f>
        <v>0</v>
      </c>
      <c r="AB177" s="45">
        <f>IF(VLOOKUP($D177,$C$5:$AT$510,3,)=0,0,(VLOOKUP($D177,$C$5:$AT$510,26,)/VLOOKUP($D177,$C$5:$AT$510,3,))*$E177)</f>
        <v>0</v>
      </c>
      <c r="AC177" s="45">
        <f>IF(VLOOKUP($D177,$C$5:$AT$510,3,)=0,0,(VLOOKUP($D177,$C$5:$AT$510,27,)/VLOOKUP($D177,$C$5:$AT$510,3,))*$E177)</f>
        <v>0</v>
      </c>
      <c r="AD177" s="45">
        <f>IF(VLOOKUP($D177,$C$5:$AT$510,3,)=0,0,(VLOOKUP($D177,$C$5:$AT$510,28,)/VLOOKUP($D177,$C$5:$AT$510,3,))*$E177)</f>
        <v>0</v>
      </c>
      <c r="AE177" s="45">
        <f>IF(VLOOKUP($D177,$C$5:$AT$510,3,)=0,0,(VLOOKUP($D177,$C$5:$AT$510,29,)/VLOOKUP($D177,$C$5:$AT$510,3,))*$E177)</f>
        <v>0</v>
      </c>
      <c r="AF177" s="45">
        <f>IF(VLOOKUP($D177,$C$5:$AT$510,3,)=0,0,(VLOOKUP($D177,$C$5:$AT$510,30,)/VLOOKUP($D177,$C$5:$AT$510,3,))*$E177)</f>
        <v>0</v>
      </c>
      <c r="AG177" s="69">
        <f>SUM(F177:AF177)</f>
        <v>0</v>
      </c>
      <c r="AH177" s="14" t="str">
        <f>IF(ABS(E177-AG177)&lt;0.01,"ok","err")</f>
        <v>ok</v>
      </c>
    </row>
    <row r="178" spans="1:34" x14ac:dyDescent="0.2">
      <c r="A178" s="72" t="s">
        <v>221</v>
      </c>
      <c r="C178" s="2" t="s">
        <v>281</v>
      </c>
      <c r="D178" s="2" t="s">
        <v>699</v>
      </c>
      <c r="E178" s="32">
        <f>'Func &amp; Classif'!S476</f>
        <v>89824.258792749344</v>
      </c>
      <c r="F178" s="45">
        <f>IF(VLOOKUP($D178,$C$5:$AT$510,3,)=0,0,(VLOOKUP($D178,$C$5:$AT$510,4,)/VLOOKUP($D178,$C$5:$AT$510,3,))*$E178)</f>
        <v>78295.333758879511</v>
      </c>
      <c r="G178" s="45">
        <f>IF(VLOOKUP($D178,$C$5:$AT$510,3,)=0,0,(VLOOKUP($D178,$C$5:$AT$510,5,)/VLOOKUP($D178,$C$5:$AT$510,3,))*$E178)</f>
        <v>0</v>
      </c>
      <c r="H178" s="45">
        <f>IF(VLOOKUP($D178,$C$5:$AT$510,3,)=0,0,(VLOOKUP($D178,$C$5:$AT$510,6,)/VLOOKUP($D178,$C$5:$AT$510,3,))*$E178)</f>
        <v>3.1861045722666033</v>
      </c>
      <c r="I178" s="45">
        <f>IF(VLOOKUP($D178,$C$5:$AT$510,3,)=0,0,(VLOOKUP($D178,$C$5:$AT$510,7,)/VLOOKUP($D178,$C$5:$AT$510,3,))*$E178)</f>
        <v>7882.2580493919822</v>
      </c>
      <c r="J178" s="45">
        <f>IF(VLOOKUP($D178,$C$5:$AT$510,3,)=0,0,(VLOOKUP($D178,$C$5:$AT$510,8,)/VLOOKUP($D178,$C$5:$AT$510,3,))*$E178)</f>
        <v>2628.1268717802191</v>
      </c>
      <c r="K178" s="45">
        <f>IF(VLOOKUP($D178,$C$5:$AT$510,3,)=0,0,(VLOOKUP($D178,$C$5:$AT$510,9,)/VLOOKUP($D178,$C$5:$AT$510,3,))*$E178)</f>
        <v>18.403842269113781</v>
      </c>
      <c r="L178" s="45">
        <f>IF(VLOOKUP($D178,$C$5:$AT$510,3,)=0,0,(VLOOKUP($D178,$C$5:$AT$510,10,)/VLOOKUP($D178,$C$5:$AT$510,3,))*$E178)</f>
        <v>0</v>
      </c>
      <c r="M178" s="45">
        <f>IF(VLOOKUP($D178,$C$5:$AT$510,3,)=0,0,(VLOOKUP($D178,$C$5:$AT$510,11,)/VLOOKUP($D178,$C$5:$AT$510,3,))*$E178)</f>
        <v>39.070100740693682</v>
      </c>
      <c r="N178" s="45">
        <f>IF(VLOOKUP($D178,$C$5:$AT$510,3,)=0,0,(VLOOKUP($D178,$C$5:$AT$510,12,)/VLOOKUP($D178,$C$5:$AT$510,3,))*$E178)</f>
        <v>369.35918198357365</v>
      </c>
      <c r="O178" s="45">
        <f>IF(VLOOKUP($D178,$C$5:$AT$510,3,)=0,0,(VLOOKUP($D178,$C$5:$AT$510,13,)/VLOOKUP($D178,$C$5:$AT$510,3,))*$E178)</f>
        <v>66.27492248934108</v>
      </c>
      <c r="P178" s="45">
        <f>IF(VLOOKUP($D178,$C$5:$AT$510,3,)=0,0,(VLOOKUP($D178,$C$5:$AT$510,14,)/VLOOKUP($D178,$C$5:$AT$510,3,))*$E178)</f>
        <v>52.624297112198121</v>
      </c>
      <c r="Q178" s="45">
        <f>IF(VLOOKUP($D178,$C$5:$AT$510,3,)=0,0,(VLOOKUP($D178,$C$5:$AT$510,15,)/VLOOKUP($D178,$C$5:$AT$510,3,))*$E178)</f>
        <v>270.76813653443048</v>
      </c>
      <c r="R178" s="45">
        <f>IF(VLOOKUP($D178,$C$5:$AT$510,3,)=0,0,(VLOOKUP($D178,$C$5:$AT$510,16,)/VLOOKUP($D178,$C$5:$AT$510,3,))*$E178)</f>
        <v>0</v>
      </c>
      <c r="S178" s="45">
        <f>IF(VLOOKUP($D178,$C$5:$AT$510,3,)=0,0,(VLOOKUP($D178,$C$5:$AT$510,17,)/VLOOKUP($D178,$C$5:$AT$510,3,))*$E178)</f>
        <v>0</v>
      </c>
      <c r="T178" s="45">
        <f>IF(VLOOKUP($D178,$C$5:$AT$510,3,)=0,0,(VLOOKUP($D178,$C$5:$AT$510,18,)/VLOOKUP($D178,$C$5:$AT$510,3,))*$E178)</f>
        <v>198.85352699602066</v>
      </c>
      <c r="U178" s="45">
        <f>IF(VLOOKUP($D178,$C$5:$AT$510,3,)=0,0,(VLOOKUP($D178,$C$5:$AT$510,19,)/VLOOKUP($D178,$C$5:$AT$510,3,))*$E178)</f>
        <v>0</v>
      </c>
      <c r="V178" s="45">
        <f>IF(VLOOKUP($D178,$C$5:$AT$510,3,)=0,0,(VLOOKUP($D178,$C$5:$AT$510,20,)/VLOOKUP($D178,$C$5:$AT$510,3,))*$E178)</f>
        <v>0</v>
      </c>
      <c r="W178" s="45">
        <f>IF(VLOOKUP($D178,$C$5:$AT$510,3,)=0,0,(VLOOKUP($D178,$C$5:$AT$510,21,)/VLOOKUP($D178,$C$5:$AT$510,3,))*$E178)</f>
        <v>0</v>
      </c>
      <c r="X178" s="45">
        <f>IF(VLOOKUP($D178,$C$5:$AT$510,3,)=0,0,(VLOOKUP($D178,$C$5:$AT$510,22,)/VLOOKUP($D178,$C$5:$AT$510,3,))*$E178)</f>
        <v>0</v>
      </c>
      <c r="Y178" s="45">
        <f>IF(VLOOKUP($D178,$C$5:$AT$510,3,)=0,0,(VLOOKUP($D178,$C$5:$AT$510,23,)/VLOOKUP($D178,$C$5:$AT$510,3,))*$E178)</f>
        <v>0</v>
      </c>
      <c r="Z178" s="45">
        <f>IF(VLOOKUP($D178,$C$5:$AT$510,3,)=0,0,(VLOOKUP($D178,$C$5:$AT$510,24,)/VLOOKUP($D178,$C$5:$AT$510,3,))*$E178)</f>
        <v>0</v>
      </c>
      <c r="AA178" s="45">
        <f>IF(VLOOKUP($D178,$C$5:$AT$510,3,)=0,0,(VLOOKUP($D178,$C$5:$AT$510,25,)/VLOOKUP($D178,$C$5:$AT$510,3,))*$E178)</f>
        <v>0</v>
      </c>
      <c r="AB178" s="45">
        <f>IF(VLOOKUP($D178,$C$5:$AT$510,3,)=0,0,(VLOOKUP($D178,$C$5:$AT$510,26,)/VLOOKUP($D178,$C$5:$AT$510,3,))*$E178)</f>
        <v>0</v>
      </c>
      <c r="AC178" s="45">
        <f>IF(VLOOKUP($D178,$C$5:$AT$510,3,)=0,0,(VLOOKUP($D178,$C$5:$AT$510,27,)/VLOOKUP($D178,$C$5:$AT$510,3,))*$E178)</f>
        <v>0</v>
      </c>
      <c r="AD178" s="45">
        <f>IF(VLOOKUP($D178,$C$5:$AT$510,3,)=0,0,(VLOOKUP($D178,$C$5:$AT$510,28,)/VLOOKUP($D178,$C$5:$AT$510,3,))*$E178)</f>
        <v>0</v>
      </c>
      <c r="AE178" s="45">
        <f>IF(VLOOKUP($D178,$C$5:$AT$510,3,)=0,0,(VLOOKUP($D178,$C$5:$AT$510,29,)/VLOOKUP($D178,$C$5:$AT$510,3,))*$E178)</f>
        <v>0</v>
      </c>
      <c r="AF178" s="45">
        <f>IF(VLOOKUP($D178,$C$5:$AT$510,3,)=0,0,(VLOOKUP($D178,$C$5:$AT$510,30,)/VLOOKUP($D178,$C$5:$AT$510,3,))*$E178)</f>
        <v>0</v>
      </c>
      <c r="AG178" s="69">
        <f>SUM(F178:AF178)</f>
        <v>89824.25879274933</v>
      </c>
      <c r="AH178" s="14" t="str">
        <f>IF(ABS(E178-AG178)&lt;0.01,"ok","err")</f>
        <v>ok</v>
      </c>
    </row>
    <row r="179" spans="1:34" x14ac:dyDescent="0.2">
      <c r="A179" s="2" t="s">
        <v>228</v>
      </c>
      <c r="E179" s="45">
        <f t="shared" ref="E179:T179" si="36">E177+E178</f>
        <v>89824.258792749344</v>
      </c>
      <c r="F179" s="45">
        <f t="shared" si="36"/>
        <v>78295.333758879511</v>
      </c>
      <c r="G179" s="45">
        <f t="shared" si="36"/>
        <v>0</v>
      </c>
      <c r="H179" s="45">
        <f t="shared" si="36"/>
        <v>3.1861045722666033</v>
      </c>
      <c r="I179" s="45">
        <f t="shared" si="36"/>
        <v>7882.2580493919822</v>
      </c>
      <c r="J179" s="45">
        <f t="shared" si="36"/>
        <v>2628.1268717802191</v>
      </c>
      <c r="K179" s="45">
        <f t="shared" si="36"/>
        <v>18.403842269113781</v>
      </c>
      <c r="L179" s="45">
        <f t="shared" si="36"/>
        <v>0</v>
      </c>
      <c r="M179" s="45">
        <f t="shared" si="36"/>
        <v>39.070100740693682</v>
      </c>
      <c r="N179" s="45">
        <f t="shared" si="36"/>
        <v>369.35918198357365</v>
      </c>
      <c r="O179" s="45">
        <f t="shared" si="36"/>
        <v>66.27492248934108</v>
      </c>
      <c r="P179" s="45">
        <f t="shared" si="36"/>
        <v>52.624297112198121</v>
      </c>
      <c r="Q179" s="45">
        <f t="shared" si="36"/>
        <v>270.76813653443048</v>
      </c>
      <c r="R179" s="45">
        <f t="shared" si="36"/>
        <v>0</v>
      </c>
      <c r="S179" s="45">
        <f t="shared" si="36"/>
        <v>0</v>
      </c>
      <c r="T179" s="45">
        <f t="shared" si="36"/>
        <v>198.85352699602066</v>
      </c>
      <c r="U179" s="45">
        <f t="shared" ref="U179:AF179" si="37">U177+U178</f>
        <v>0</v>
      </c>
      <c r="V179" s="45">
        <f t="shared" si="37"/>
        <v>0</v>
      </c>
      <c r="W179" s="45">
        <f t="shared" si="37"/>
        <v>0</v>
      </c>
      <c r="X179" s="45">
        <f t="shared" si="37"/>
        <v>0</v>
      </c>
      <c r="Y179" s="45">
        <f t="shared" si="37"/>
        <v>0</v>
      </c>
      <c r="Z179" s="45">
        <f t="shared" si="37"/>
        <v>0</v>
      </c>
      <c r="AA179" s="45">
        <f t="shared" si="37"/>
        <v>0</v>
      </c>
      <c r="AB179" s="45">
        <f t="shared" si="37"/>
        <v>0</v>
      </c>
      <c r="AC179" s="45">
        <f t="shared" si="37"/>
        <v>0</v>
      </c>
      <c r="AD179" s="45">
        <f t="shared" si="37"/>
        <v>0</v>
      </c>
      <c r="AE179" s="45">
        <f t="shared" si="37"/>
        <v>0</v>
      </c>
      <c r="AF179" s="45">
        <f t="shared" si="37"/>
        <v>0</v>
      </c>
      <c r="AG179" s="69">
        <f>SUM(F179:AF179)</f>
        <v>89824.25879274933</v>
      </c>
      <c r="AH179" s="14" t="str">
        <f>IF(ABS(E179-AG179)&lt;0.01,"ok","err")</f>
        <v>ok</v>
      </c>
    </row>
    <row r="180" spans="1:34" x14ac:dyDescent="0.2">
      <c r="E180" s="32"/>
    </row>
    <row r="181" spans="1:34" x14ac:dyDescent="0.2">
      <c r="A181" s="1" t="s">
        <v>4</v>
      </c>
      <c r="E181" s="32"/>
    </row>
    <row r="182" spans="1:34" x14ac:dyDescent="0.2">
      <c r="A182" s="72" t="s">
        <v>221</v>
      </c>
      <c r="C182" s="2" t="s">
        <v>282</v>
      </c>
      <c r="D182" s="2" t="s">
        <v>230</v>
      </c>
      <c r="E182" s="45">
        <f>'Func &amp; Classif'!U476</f>
        <v>165904.95650150065</v>
      </c>
      <c r="F182" s="45">
        <f>IF(VLOOKUP($D182,$C$5:$AT$510,3,)=0,0,(VLOOKUP($D182,$C$5:$AT$510,4,)/VLOOKUP($D182,$C$5:$AT$510,3,))*$E182)</f>
        <v>146369.90680002439</v>
      </c>
      <c r="G182" s="45">
        <f>IF(VLOOKUP($D182,$C$5:$AT$510,3,)=0,0,(VLOOKUP($D182,$C$5:$AT$510,5,)/VLOOKUP($D182,$C$5:$AT$510,3,))*$E182)</f>
        <v>0</v>
      </c>
      <c r="H182" s="45">
        <f>IF(VLOOKUP($D182,$C$5:$AT$510,3,)=0,0,(VLOOKUP($D182,$C$5:$AT$510,6,)/VLOOKUP($D182,$C$5:$AT$510,3,))*$E182)</f>
        <v>5.9562914787997228</v>
      </c>
      <c r="I182" s="45">
        <f>IF(VLOOKUP($D182,$C$5:$AT$510,3,)=0,0,(VLOOKUP($D182,$C$5:$AT$510,7,)/VLOOKUP($D182,$C$5:$AT$510,3,))*$E182)</f>
        <v>10530.723334517908</v>
      </c>
      <c r="J182" s="45">
        <f>IF(VLOOKUP($D182,$C$5:$AT$510,3,)=0,0,(VLOOKUP($D182,$C$5:$AT$510,8,)/VLOOKUP($D182,$C$5:$AT$510,3,))*$E182)</f>
        <v>6098.2248164503171</v>
      </c>
      <c r="K182" s="45">
        <f>IF(VLOOKUP($D182,$C$5:$AT$510,3,)=0,0,(VLOOKUP($D182,$C$5:$AT$510,9,)/VLOOKUP($D182,$C$5:$AT$510,3,))*$E182)</f>
        <v>488.41590126157723</v>
      </c>
      <c r="L182" s="45">
        <f>IF(VLOOKUP($D182,$C$5:$AT$510,3,)=0,0,(VLOOKUP($D182,$C$5:$AT$510,10,)/VLOOKUP($D182,$C$5:$AT$510,3,))*$E182)</f>
        <v>0</v>
      </c>
      <c r="M182" s="45">
        <f>IF(VLOOKUP($D182,$C$5:$AT$510,3,)=0,0,(VLOOKUP($D182,$C$5:$AT$510,11,)/VLOOKUP($D182,$C$5:$AT$510,3,))*$E182)</f>
        <v>770.06767420381539</v>
      </c>
      <c r="N182" s="45">
        <f>IF(VLOOKUP($D182,$C$5:$AT$510,3,)=0,0,(VLOOKUP($D182,$C$5:$AT$510,12,)/VLOOKUP($D182,$C$5:$AT$510,3,))*$E182)</f>
        <v>200.98742351829216</v>
      </c>
      <c r="O182" s="45">
        <f>IF(VLOOKUP($D182,$C$5:$AT$510,3,)=0,0,(VLOOKUP($D182,$C$5:$AT$510,13,)/VLOOKUP($D182,$C$5:$AT$510,3,))*$E182)</f>
        <v>192.51691855095385</v>
      </c>
      <c r="P182" s="45">
        <f>IF(VLOOKUP($D182,$C$5:$AT$510,3,)=0,0,(VLOOKUP($D182,$C$5:$AT$510,14,)/VLOOKUP($D182,$C$5:$AT$510,3,))*$E182)</f>
        <v>139.47898638797341</v>
      </c>
      <c r="Q182" s="45">
        <f>IF(VLOOKUP($D182,$C$5:$AT$510,3,)=0,0,(VLOOKUP($D182,$C$5:$AT$510,15,)/VLOOKUP($D182,$C$5:$AT$510,3,))*$E182)</f>
        <v>476.50331830397778</v>
      </c>
      <c r="R182" s="45">
        <f>IF(VLOOKUP($D182,$C$5:$AT$510,3,)=0,0,(VLOOKUP($D182,$C$5:$AT$510,16,)/VLOOKUP($D182,$C$5:$AT$510,3,))*$E182)</f>
        <v>200.98742351829216</v>
      </c>
      <c r="S182" s="45">
        <f>IF(VLOOKUP($D182,$C$5:$AT$510,3,)=0,0,(VLOOKUP($D182,$C$5:$AT$510,17,)/VLOOKUP($D182,$C$5:$AT$510,3,))*$E182)</f>
        <v>0</v>
      </c>
      <c r="T182" s="45">
        <f>IF(VLOOKUP($D182,$C$5:$AT$510,3,)=0,0,(VLOOKUP($D182,$C$5:$AT$510,18,)/VLOOKUP($D182,$C$5:$AT$510,3,))*$E182)</f>
        <v>431.18761328436585</v>
      </c>
      <c r="U182" s="45">
        <f>IF(VLOOKUP($D182,$C$5:$AT$510,3,)=0,0,(VLOOKUP($D182,$C$5:$AT$510,19,)/VLOOKUP($D182,$C$5:$AT$510,3,))*$E182)</f>
        <v>0</v>
      </c>
      <c r="V182" s="45">
        <f>IF(VLOOKUP($D182,$C$5:$AT$510,3,)=0,0,(VLOOKUP($D182,$C$5:$AT$510,20,)/VLOOKUP($D182,$C$5:$AT$510,3,))*$E182)</f>
        <v>0</v>
      </c>
      <c r="W182" s="45">
        <f>IF(VLOOKUP($D182,$C$5:$AT$510,3,)=0,0,(VLOOKUP($D182,$C$5:$AT$510,21,)/VLOOKUP($D182,$C$5:$AT$510,3,))*$E182)</f>
        <v>0</v>
      </c>
      <c r="X182" s="45">
        <f>IF(VLOOKUP($D182,$C$5:$AT$510,3,)=0,0,(VLOOKUP($D182,$C$5:$AT$510,22,)/VLOOKUP($D182,$C$5:$AT$510,3,))*$E182)</f>
        <v>0</v>
      </c>
      <c r="Y182" s="45">
        <f>IF(VLOOKUP($D182,$C$5:$AT$510,3,)=0,0,(VLOOKUP($D182,$C$5:$AT$510,23,)/VLOOKUP($D182,$C$5:$AT$510,3,))*$E182)</f>
        <v>0</v>
      </c>
      <c r="Z182" s="45">
        <f>IF(VLOOKUP($D182,$C$5:$AT$510,3,)=0,0,(VLOOKUP($D182,$C$5:$AT$510,24,)/VLOOKUP($D182,$C$5:$AT$510,3,))*$E182)</f>
        <v>0</v>
      </c>
      <c r="AA182" s="45">
        <f>IF(VLOOKUP($D182,$C$5:$AT$510,3,)=0,0,(VLOOKUP($D182,$C$5:$AT$510,25,)/VLOOKUP($D182,$C$5:$AT$510,3,))*$E182)</f>
        <v>0</v>
      </c>
      <c r="AB182" s="45">
        <f>IF(VLOOKUP($D182,$C$5:$AT$510,3,)=0,0,(VLOOKUP($D182,$C$5:$AT$510,26,)/VLOOKUP($D182,$C$5:$AT$510,3,))*$E182)</f>
        <v>0</v>
      </c>
      <c r="AC182" s="45">
        <f>IF(VLOOKUP($D182,$C$5:$AT$510,3,)=0,0,(VLOOKUP($D182,$C$5:$AT$510,27,)/VLOOKUP($D182,$C$5:$AT$510,3,))*$E182)</f>
        <v>0</v>
      </c>
      <c r="AD182" s="45">
        <f>IF(VLOOKUP($D182,$C$5:$AT$510,3,)=0,0,(VLOOKUP($D182,$C$5:$AT$510,28,)/VLOOKUP($D182,$C$5:$AT$510,3,))*$E182)</f>
        <v>0</v>
      </c>
      <c r="AE182" s="45">
        <f>IF(VLOOKUP($D182,$C$5:$AT$510,3,)=0,0,(VLOOKUP($D182,$C$5:$AT$510,29,)/VLOOKUP($D182,$C$5:$AT$510,3,))*$E182)</f>
        <v>0</v>
      </c>
      <c r="AF182" s="45">
        <f>IF(VLOOKUP($D182,$C$5:$AT$510,3,)=0,0,(VLOOKUP($D182,$C$5:$AT$510,30,)/VLOOKUP($D182,$C$5:$AT$510,3,))*$E182)</f>
        <v>0</v>
      </c>
      <c r="AG182" s="69">
        <f>SUM(F182:AF182)</f>
        <v>165904.95650150068</v>
      </c>
      <c r="AH182" s="14" t="str">
        <f>IF(ABS(E182-AG182)&lt;0.01,"ok","err")</f>
        <v>ok</v>
      </c>
    </row>
    <row r="183" spans="1:34" x14ac:dyDescent="0.2">
      <c r="E183" s="32"/>
    </row>
    <row r="184" spans="1:34" x14ac:dyDescent="0.2">
      <c r="A184" s="1" t="s">
        <v>5</v>
      </c>
      <c r="E184" s="32"/>
    </row>
    <row r="185" spans="1:34" x14ac:dyDescent="0.2">
      <c r="A185" s="72" t="s">
        <v>221</v>
      </c>
      <c r="C185" s="2" t="s">
        <v>283</v>
      </c>
      <c r="D185" s="2" t="s">
        <v>232</v>
      </c>
      <c r="E185" s="45">
        <f>'Func &amp; Classif'!W476</f>
        <v>21733.36206741698</v>
      </c>
      <c r="F185" s="45">
        <f>IF(VLOOKUP($D185,$C$5:$AT$510,3,)=0,0,(VLOOKUP($D185,$C$5:$AT$510,4,)/VLOOKUP($D185,$C$5:$AT$510,3,))*$E185)</f>
        <v>0</v>
      </c>
      <c r="G185" s="45">
        <f>IF(VLOOKUP($D185,$C$5:$AT$510,3,)=0,0,(VLOOKUP($D185,$C$5:$AT$510,5,)/VLOOKUP($D185,$C$5:$AT$510,3,))*$E185)</f>
        <v>0</v>
      </c>
      <c r="H185" s="45">
        <f>IF(VLOOKUP($D185,$C$5:$AT$510,3,)=0,0,(VLOOKUP($D185,$C$5:$AT$510,6,)/VLOOKUP($D185,$C$5:$AT$510,3,))*$E185)</f>
        <v>0</v>
      </c>
      <c r="I185" s="45">
        <f>IF(VLOOKUP($D185,$C$5:$AT$510,3,)=0,0,(VLOOKUP($D185,$C$5:$AT$510,7,)/VLOOKUP($D185,$C$5:$AT$510,3,))*$E185)</f>
        <v>0</v>
      </c>
      <c r="J185" s="45">
        <f>IF(VLOOKUP($D185,$C$5:$AT$510,3,)=0,0,(VLOOKUP($D185,$C$5:$AT$510,8,)/VLOOKUP($D185,$C$5:$AT$510,3,))*$E185)</f>
        <v>0</v>
      </c>
      <c r="K185" s="45">
        <f>IF(VLOOKUP($D185,$C$5:$AT$510,3,)=0,0,(VLOOKUP($D185,$C$5:$AT$510,9,)/VLOOKUP($D185,$C$5:$AT$510,3,))*$E185)</f>
        <v>0</v>
      </c>
      <c r="L185" s="45">
        <f>IF(VLOOKUP($D185,$C$5:$AT$510,3,)=0,0,(VLOOKUP($D185,$C$5:$AT$510,10,)/VLOOKUP($D185,$C$5:$AT$510,3,))*$E185)</f>
        <v>0</v>
      </c>
      <c r="M185" s="45">
        <f>IF(VLOOKUP($D185,$C$5:$AT$510,3,)=0,0,(VLOOKUP($D185,$C$5:$AT$510,11,)/VLOOKUP($D185,$C$5:$AT$510,3,))*$E185)</f>
        <v>0</v>
      </c>
      <c r="N185" s="45">
        <f>IF(VLOOKUP($D185,$C$5:$AT$510,3,)=0,0,(VLOOKUP($D185,$C$5:$AT$510,12,)/VLOOKUP($D185,$C$5:$AT$510,3,))*$E185)</f>
        <v>0</v>
      </c>
      <c r="O185" s="45">
        <f>IF(VLOOKUP($D185,$C$5:$AT$510,3,)=0,0,(VLOOKUP($D185,$C$5:$AT$510,13,)/VLOOKUP($D185,$C$5:$AT$510,3,))*$E185)</f>
        <v>0</v>
      </c>
      <c r="P185" s="45">
        <f>IF(VLOOKUP($D185,$C$5:$AT$510,3,)=0,0,(VLOOKUP($D185,$C$5:$AT$510,14,)/VLOOKUP($D185,$C$5:$AT$510,3,))*$E185)</f>
        <v>0</v>
      </c>
      <c r="Q185" s="45">
        <f>IF(VLOOKUP($D185,$C$5:$AT$510,3,)=0,0,(VLOOKUP($D185,$C$5:$AT$510,15,)/VLOOKUP($D185,$C$5:$AT$510,3,))*$E185)</f>
        <v>0</v>
      </c>
      <c r="R185" s="45">
        <f>IF(VLOOKUP($D185,$C$5:$AT$510,3,)=0,0,(VLOOKUP($D185,$C$5:$AT$510,16,)/VLOOKUP($D185,$C$5:$AT$510,3,))*$E185)</f>
        <v>0</v>
      </c>
      <c r="S185" s="45">
        <f>IF(VLOOKUP($D185,$C$5:$AT$510,3,)=0,0,(VLOOKUP($D185,$C$5:$AT$510,17,)/VLOOKUP($D185,$C$5:$AT$510,3,))*$E185)</f>
        <v>0</v>
      </c>
      <c r="T185" s="45">
        <f>IF(VLOOKUP($D185,$C$5:$AT$510,3,)=0,0,(VLOOKUP($D185,$C$5:$AT$510,18,)/VLOOKUP($D185,$C$5:$AT$510,3,))*$E185)</f>
        <v>0</v>
      </c>
      <c r="U185" s="45">
        <f>IF(VLOOKUP($D185,$C$5:$AT$510,3,)=0,0,(VLOOKUP($D185,$C$5:$AT$510,19,)/VLOOKUP($D185,$C$5:$AT$510,3,))*$E185)</f>
        <v>21733.36206741698</v>
      </c>
      <c r="V185" s="45">
        <f>IF(VLOOKUP($D185,$C$5:$AT$510,3,)=0,0,(VLOOKUP($D185,$C$5:$AT$510,20,)/VLOOKUP($D185,$C$5:$AT$510,3,))*$E185)</f>
        <v>0</v>
      </c>
      <c r="W185" s="45">
        <f>IF(VLOOKUP($D185,$C$5:$AT$510,3,)=0,0,(VLOOKUP($D185,$C$5:$AT$510,21,)/VLOOKUP($D185,$C$5:$AT$510,3,))*$E185)</f>
        <v>0</v>
      </c>
      <c r="X185" s="45">
        <f>IF(VLOOKUP($D185,$C$5:$AT$510,3,)=0,0,(VLOOKUP($D185,$C$5:$AT$510,22,)/VLOOKUP($D185,$C$5:$AT$510,3,))*$E185)</f>
        <v>0</v>
      </c>
      <c r="Y185" s="45">
        <f>IF(VLOOKUP($D185,$C$5:$AT$510,3,)=0,0,(VLOOKUP($D185,$C$5:$AT$510,23,)/VLOOKUP($D185,$C$5:$AT$510,3,))*$E185)</f>
        <v>0</v>
      </c>
      <c r="Z185" s="45">
        <f>IF(VLOOKUP($D185,$C$5:$AT$510,3,)=0,0,(VLOOKUP($D185,$C$5:$AT$510,24,)/VLOOKUP($D185,$C$5:$AT$510,3,))*$E185)</f>
        <v>0</v>
      </c>
      <c r="AA185" s="45">
        <f>IF(VLOOKUP($D185,$C$5:$AT$510,3,)=0,0,(VLOOKUP($D185,$C$5:$AT$510,25,)/VLOOKUP($D185,$C$5:$AT$510,3,))*$E185)</f>
        <v>0</v>
      </c>
      <c r="AB185" s="45">
        <f>IF(VLOOKUP($D185,$C$5:$AT$510,3,)=0,0,(VLOOKUP($D185,$C$5:$AT$510,26,)/VLOOKUP($D185,$C$5:$AT$510,3,))*$E185)</f>
        <v>0</v>
      </c>
      <c r="AC185" s="45">
        <f>IF(VLOOKUP($D185,$C$5:$AT$510,3,)=0,0,(VLOOKUP($D185,$C$5:$AT$510,27,)/VLOOKUP($D185,$C$5:$AT$510,3,))*$E185)</f>
        <v>0</v>
      </c>
      <c r="AD185" s="45">
        <f>IF(VLOOKUP($D185,$C$5:$AT$510,3,)=0,0,(VLOOKUP($D185,$C$5:$AT$510,28,)/VLOOKUP($D185,$C$5:$AT$510,3,))*$E185)</f>
        <v>0</v>
      </c>
      <c r="AE185" s="45">
        <f>IF(VLOOKUP($D185,$C$5:$AT$510,3,)=0,0,(VLOOKUP($D185,$C$5:$AT$510,29,)/VLOOKUP($D185,$C$5:$AT$510,3,))*$E185)</f>
        <v>0</v>
      </c>
      <c r="AF185" s="45">
        <f>IF(VLOOKUP($D185,$C$5:$AT$510,3,)=0,0,(VLOOKUP($D185,$C$5:$AT$510,30,)/VLOOKUP($D185,$C$5:$AT$510,3,))*$E185)</f>
        <v>0</v>
      </c>
      <c r="AG185" s="69">
        <f>SUM(F185:AF185)</f>
        <v>21733.36206741698</v>
      </c>
      <c r="AH185" s="14" t="str">
        <f>IF(ABS(E185-AG185)&lt;0.01,"ok","err")</f>
        <v>ok</v>
      </c>
    </row>
    <row r="186" spans="1:34" x14ac:dyDescent="0.2">
      <c r="E186" s="32"/>
    </row>
    <row r="187" spans="1:34" x14ac:dyDescent="0.2">
      <c r="A187" s="1" t="s">
        <v>545</v>
      </c>
      <c r="E187" s="32"/>
    </row>
    <row r="188" spans="1:34" x14ac:dyDescent="0.2">
      <c r="A188" s="72" t="s">
        <v>221</v>
      </c>
      <c r="C188" s="2" t="s">
        <v>284</v>
      </c>
      <c r="D188" s="2" t="s">
        <v>234</v>
      </c>
      <c r="E188" s="45">
        <f>'Func &amp; Classif'!Y476</f>
        <v>753933.25652224198</v>
      </c>
      <c r="F188" s="45">
        <f>IF(VLOOKUP($D188,$C$5:$AT$510,3,)=0,0,(VLOOKUP($D188,$C$5:$AT$510,4,)/VLOOKUP($D188,$C$5:$AT$510,3,))*$E188)</f>
        <v>694914.8554320127</v>
      </c>
      <c r="G188" s="45">
        <f>IF(VLOOKUP($D188,$C$5:$AT$510,3,)=0,0,(VLOOKUP($D188,$C$5:$AT$510,5,)/VLOOKUP($D188,$C$5:$AT$510,3,))*$E188)</f>
        <v>0</v>
      </c>
      <c r="H188" s="45">
        <f>IF(VLOOKUP($D188,$C$5:$AT$510,3,)=0,0,(VLOOKUP($D188,$C$5:$AT$510,6,)/VLOOKUP($D188,$C$5:$AT$510,3,))*$E188)</f>
        <v>28.278459161390607</v>
      </c>
      <c r="I188" s="45">
        <f>IF(VLOOKUP($D188,$C$5:$AT$510,3,)=0,0,(VLOOKUP($D188,$C$5:$AT$510,7,)/VLOOKUP($D188,$C$5:$AT$510,3,))*$E188)</f>
        <v>49996.31579733859</v>
      </c>
      <c r="J188" s="45">
        <f>IF(VLOOKUP($D188,$C$5:$AT$510,3,)=0,0,(VLOOKUP($D188,$C$5:$AT$510,8,)/VLOOKUP($D188,$C$5:$AT$510,3,))*$E188)</f>
        <v>2799.5674569776697</v>
      </c>
      <c r="K188" s="45">
        <f>IF(VLOOKUP($D188,$C$5:$AT$510,3,)=0,0,(VLOOKUP($D188,$C$5:$AT$510,9,)/VLOOKUP($D188,$C$5:$AT$510,3,))*$E188)</f>
        <v>51.529636694089547</v>
      </c>
      <c r="L188" s="45">
        <f>IF(VLOOKUP($D188,$C$5:$AT$510,3,)=0,0,(VLOOKUP($D188,$C$5:$AT$510,10,)/VLOOKUP($D188,$C$5:$AT$510,3,))*$E188)</f>
        <v>0</v>
      </c>
      <c r="M188" s="45">
        <f>IF(VLOOKUP($D188,$C$5:$AT$510,3,)=0,0,(VLOOKUP($D188,$C$5:$AT$510,11,)/VLOOKUP($D188,$C$5:$AT$510,3,))*$E188)</f>
        <v>2.5136408143458318</v>
      </c>
      <c r="N188" s="45">
        <f>IF(VLOOKUP($D188,$C$5:$AT$510,3,)=0,0,(VLOOKUP($D188,$C$5:$AT$510,12,)/VLOOKUP($D188,$C$5:$AT$510,3,))*$E188)</f>
        <v>0.62841020358645794</v>
      </c>
      <c r="O188" s="45">
        <f>IF(VLOOKUP($D188,$C$5:$AT$510,3,)=0,0,(VLOOKUP($D188,$C$5:$AT$510,13,)/VLOOKUP($D188,$C$5:$AT$510,3,))*$E188)</f>
        <v>0.62841020358645794</v>
      </c>
      <c r="P188" s="45">
        <f>IF(VLOOKUP($D188,$C$5:$AT$510,3,)=0,0,(VLOOKUP($D188,$C$5:$AT$510,14,)/VLOOKUP($D188,$C$5:$AT$510,3,))*$E188)</f>
        <v>2.5136408143458318</v>
      </c>
      <c r="Q188" s="45">
        <f>IF(VLOOKUP($D188,$C$5:$AT$510,3,)=0,0,(VLOOKUP($D188,$C$5:$AT$510,15,)/VLOOKUP($D188,$C$5:$AT$510,3,))*$E188)</f>
        <v>2262.2767329112485</v>
      </c>
      <c r="R188" s="45">
        <f>IF(VLOOKUP($D188,$C$5:$AT$510,3,)=0,0,(VLOOKUP($D188,$C$5:$AT$510,16,)/VLOOKUP($D188,$C$5:$AT$510,3,))*$E188)</f>
        <v>28.278459161390607</v>
      </c>
      <c r="S188" s="45">
        <f>IF(VLOOKUP($D188,$C$5:$AT$510,3,)=0,0,(VLOOKUP($D188,$C$5:$AT$510,17,)/VLOOKUP($D188,$C$5:$AT$510,3,))*$E188)</f>
        <v>0</v>
      </c>
      <c r="T188" s="45">
        <f>IF(VLOOKUP($D188,$C$5:$AT$510,3,)=0,0,(VLOOKUP($D188,$C$5:$AT$510,18,)/VLOOKUP($D188,$C$5:$AT$510,3,))*$E188)</f>
        <v>197.94921412973426</v>
      </c>
      <c r="U188" s="45">
        <f>IF(VLOOKUP($D188,$C$5:$AT$510,3,)=0,0,(VLOOKUP($D188,$C$5:$AT$510,19,)/VLOOKUP($D188,$C$5:$AT$510,3,))*$E188)</f>
        <v>3647.9212318193881</v>
      </c>
      <c r="V188" s="45">
        <f>IF(VLOOKUP($D188,$C$5:$AT$510,3,)=0,0,(VLOOKUP($D188,$C$5:$AT$510,20,)/VLOOKUP($D188,$C$5:$AT$510,3,))*$E188)</f>
        <v>0</v>
      </c>
      <c r="W188" s="45">
        <f>IF(VLOOKUP($D188,$C$5:$AT$510,3,)=0,0,(VLOOKUP($D188,$C$5:$AT$510,21,)/VLOOKUP($D188,$C$5:$AT$510,3,))*$E188)</f>
        <v>0</v>
      </c>
      <c r="X188" s="45">
        <f>IF(VLOOKUP($D188,$C$5:$AT$510,3,)=0,0,(VLOOKUP($D188,$C$5:$AT$510,22,)/VLOOKUP($D188,$C$5:$AT$510,3,))*$E188)</f>
        <v>0</v>
      </c>
      <c r="Y188" s="45">
        <f>IF(VLOOKUP($D188,$C$5:$AT$510,3,)=0,0,(VLOOKUP($D188,$C$5:$AT$510,23,)/VLOOKUP($D188,$C$5:$AT$510,3,))*$E188)</f>
        <v>0</v>
      </c>
      <c r="Z188" s="45">
        <f>IF(VLOOKUP($D188,$C$5:$AT$510,3,)=0,0,(VLOOKUP($D188,$C$5:$AT$510,24,)/VLOOKUP($D188,$C$5:$AT$510,3,))*$E188)</f>
        <v>0</v>
      </c>
      <c r="AA188" s="45">
        <f>IF(VLOOKUP($D188,$C$5:$AT$510,3,)=0,0,(VLOOKUP($D188,$C$5:$AT$510,25,)/VLOOKUP($D188,$C$5:$AT$510,3,))*$E188)</f>
        <v>0</v>
      </c>
      <c r="AB188" s="45">
        <f>IF(VLOOKUP($D188,$C$5:$AT$510,3,)=0,0,(VLOOKUP($D188,$C$5:$AT$510,26,)/VLOOKUP($D188,$C$5:$AT$510,3,))*$E188)</f>
        <v>0</v>
      </c>
      <c r="AC188" s="45">
        <f>IF(VLOOKUP($D188,$C$5:$AT$510,3,)=0,0,(VLOOKUP($D188,$C$5:$AT$510,27,)/VLOOKUP($D188,$C$5:$AT$510,3,))*$E188)</f>
        <v>0</v>
      </c>
      <c r="AD188" s="45">
        <f>IF(VLOOKUP($D188,$C$5:$AT$510,3,)=0,0,(VLOOKUP($D188,$C$5:$AT$510,28,)/VLOOKUP($D188,$C$5:$AT$510,3,))*$E188)</f>
        <v>0</v>
      </c>
      <c r="AE188" s="45">
        <f>IF(VLOOKUP($D188,$C$5:$AT$510,3,)=0,0,(VLOOKUP($D188,$C$5:$AT$510,29,)/VLOOKUP($D188,$C$5:$AT$510,3,))*$E188)</f>
        <v>0</v>
      </c>
      <c r="AF188" s="45">
        <f>IF(VLOOKUP($D188,$C$5:$AT$510,3,)=0,0,(VLOOKUP($D188,$C$5:$AT$510,30,)/VLOOKUP($D188,$C$5:$AT$510,3,))*$E188)</f>
        <v>0</v>
      </c>
      <c r="AG188" s="69">
        <f>SUM(F188:AF188)</f>
        <v>753933.25652224221</v>
      </c>
      <c r="AH188" s="14" t="str">
        <f>IF(ABS(E188-AG188)&lt;0.01,"ok","err")</f>
        <v>ok</v>
      </c>
    </row>
    <row r="189" spans="1:34" x14ac:dyDescent="0.2">
      <c r="E189" s="32"/>
    </row>
    <row r="190" spans="1:34" x14ac:dyDescent="0.2">
      <c r="A190" s="1" t="s">
        <v>470</v>
      </c>
      <c r="E190" s="32"/>
    </row>
    <row r="191" spans="1:34" x14ac:dyDescent="0.2">
      <c r="A191" s="72" t="s">
        <v>221</v>
      </c>
      <c r="C191" s="2" t="s">
        <v>281</v>
      </c>
      <c r="D191" s="2" t="s">
        <v>235</v>
      </c>
      <c r="E191" s="45">
        <f>'Func &amp; Classif'!AA476</f>
        <v>0</v>
      </c>
      <c r="F191" s="45">
        <f>IF(VLOOKUP($D191,$C$5:$AT$510,3,)=0,0,(VLOOKUP($D191,$C$5:$AT$510,4,)/VLOOKUP($D191,$C$5:$AT$510,3,))*$E191)</f>
        <v>0</v>
      </c>
      <c r="G191" s="45">
        <f>IF(VLOOKUP($D191,$C$5:$AT$510,3,)=0,0,(VLOOKUP($D191,$C$5:$AT$510,5,)/VLOOKUP($D191,$C$5:$AT$510,3,))*$E191)</f>
        <v>0</v>
      </c>
      <c r="H191" s="45">
        <f>IF(VLOOKUP($D191,$C$5:$AT$510,3,)=0,0,(VLOOKUP($D191,$C$5:$AT$510,6,)/VLOOKUP($D191,$C$5:$AT$510,3,))*$E191)</f>
        <v>0</v>
      </c>
      <c r="I191" s="45">
        <f>IF(VLOOKUP($D191,$C$5:$AT$510,3,)=0,0,(VLOOKUP($D191,$C$5:$AT$510,7,)/VLOOKUP($D191,$C$5:$AT$510,3,))*$E191)</f>
        <v>0</v>
      </c>
      <c r="J191" s="45">
        <f>IF(VLOOKUP($D191,$C$5:$AT$510,3,)=0,0,(VLOOKUP($D191,$C$5:$AT$510,8,)/VLOOKUP($D191,$C$5:$AT$510,3,))*$E191)</f>
        <v>0</v>
      </c>
      <c r="K191" s="45">
        <f>IF(VLOOKUP($D191,$C$5:$AT$510,3,)=0,0,(VLOOKUP($D191,$C$5:$AT$510,9,)/VLOOKUP($D191,$C$5:$AT$510,3,))*$E191)</f>
        <v>0</v>
      </c>
      <c r="L191" s="45">
        <f>IF(VLOOKUP($D191,$C$5:$AT$510,3,)=0,0,(VLOOKUP($D191,$C$5:$AT$510,10,)/VLOOKUP($D191,$C$5:$AT$510,3,))*$E191)</f>
        <v>0</v>
      </c>
      <c r="M191" s="45">
        <f>IF(VLOOKUP($D191,$C$5:$AT$510,3,)=0,0,(VLOOKUP($D191,$C$5:$AT$510,11,)/VLOOKUP($D191,$C$5:$AT$510,3,))*$E191)</f>
        <v>0</v>
      </c>
      <c r="N191" s="45">
        <f>IF(VLOOKUP($D191,$C$5:$AT$510,3,)=0,0,(VLOOKUP($D191,$C$5:$AT$510,12,)/VLOOKUP($D191,$C$5:$AT$510,3,))*$E191)</f>
        <v>0</v>
      </c>
      <c r="O191" s="45">
        <f>IF(VLOOKUP($D191,$C$5:$AT$510,3,)=0,0,(VLOOKUP($D191,$C$5:$AT$510,13,)/VLOOKUP($D191,$C$5:$AT$510,3,))*$E191)</f>
        <v>0</v>
      </c>
      <c r="P191" s="45">
        <f>IF(VLOOKUP($D191,$C$5:$AT$510,3,)=0,0,(VLOOKUP($D191,$C$5:$AT$510,14,)/VLOOKUP($D191,$C$5:$AT$510,3,))*$E191)</f>
        <v>0</v>
      </c>
      <c r="Q191" s="45">
        <f>IF(VLOOKUP($D191,$C$5:$AT$510,3,)=0,0,(VLOOKUP($D191,$C$5:$AT$510,15,)/VLOOKUP($D191,$C$5:$AT$510,3,))*$E191)</f>
        <v>0</v>
      </c>
      <c r="R191" s="45">
        <f>IF(VLOOKUP($D191,$C$5:$AT$510,3,)=0,0,(VLOOKUP($D191,$C$5:$AT$510,16,)/VLOOKUP($D191,$C$5:$AT$510,3,))*$E191)</f>
        <v>0</v>
      </c>
      <c r="S191" s="45">
        <f>IF(VLOOKUP($D191,$C$5:$AT$510,3,)=0,0,(VLOOKUP($D191,$C$5:$AT$510,17,)/VLOOKUP($D191,$C$5:$AT$510,3,))*$E191)</f>
        <v>0</v>
      </c>
      <c r="T191" s="45">
        <f>IF(VLOOKUP($D191,$C$5:$AT$510,3,)=0,0,(VLOOKUP($D191,$C$5:$AT$510,18,)/VLOOKUP($D191,$C$5:$AT$510,3,))*$E191)</f>
        <v>0</v>
      </c>
      <c r="U191" s="45">
        <f>IF(VLOOKUP($D191,$C$5:$AT$510,3,)=0,0,(VLOOKUP($D191,$C$5:$AT$510,19,)/VLOOKUP($D191,$C$5:$AT$510,3,))*$E191)</f>
        <v>0</v>
      </c>
      <c r="V191" s="45">
        <f>IF(VLOOKUP($D191,$C$5:$AT$510,3,)=0,0,(VLOOKUP($D191,$C$5:$AT$510,20,)/VLOOKUP($D191,$C$5:$AT$510,3,))*$E191)</f>
        <v>0</v>
      </c>
      <c r="W191" s="45">
        <f>IF(VLOOKUP($D191,$C$5:$AT$510,3,)=0,0,(VLOOKUP($D191,$C$5:$AT$510,21,)/VLOOKUP($D191,$C$5:$AT$510,3,))*$E191)</f>
        <v>0</v>
      </c>
      <c r="X191" s="45">
        <f>IF(VLOOKUP($D191,$C$5:$AT$510,3,)=0,0,(VLOOKUP($D191,$C$5:$AT$510,22,)/VLOOKUP($D191,$C$5:$AT$510,3,))*$E191)</f>
        <v>0</v>
      </c>
      <c r="Y191" s="45">
        <f>IF(VLOOKUP($D191,$C$5:$AT$510,3,)=0,0,(VLOOKUP($D191,$C$5:$AT$510,23,)/VLOOKUP($D191,$C$5:$AT$510,3,))*$E191)</f>
        <v>0</v>
      </c>
      <c r="Z191" s="45">
        <f>IF(VLOOKUP($D191,$C$5:$AT$510,3,)=0,0,(VLOOKUP($D191,$C$5:$AT$510,24,)/VLOOKUP($D191,$C$5:$AT$510,3,))*$E191)</f>
        <v>0</v>
      </c>
      <c r="AA191" s="45">
        <f>IF(VLOOKUP($D191,$C$5:$AT$510,3,)=0,0,(VLOOKUP($D191,$C$5:$AT$510,25,)/VLOOKUP($D191,$C$5:$AT$510,3,))*$E191)</f>
        <v>0</v>
      </c>
      <c r="AB191" s="45">
        <f>IF(VLOOKUP($D191,$C$5:$AT$510,3,)=0,0,(VLOOKUP($D191,$C$5:$AT$510,26,)/VLOOKUP($D191,$C$5:$AT$510,3,))*$E191)</f>
        <v>0</v>
      </c>
      <c r="AC191" s="45">
        <f>IF(VLOOKUP($D191,$C$5:$AT$510,3,)=0,0,(VLOOKUP($D191,$C$5:$AT$510,27,)/VLOOKUP($D191,$C$5:$AT$510,3,))*$E191)</f>
        <v>0</v>
      </c>
      <c r="AD191" s="45">
        <f>IF(VLOOKUP($D191,$C$5:$AT$510,3,)=0,0,(VLOOKUP($D191,$C$5:$AT$510,28,)/VLOOKUP($D191,$C$5:$AT$510,3,))*$E191)</f>
        <v>0</v>
      </c>
      <c r="AE191" s="45">
        <f>IF(VLOOKUP($D191,$C$5:$AT$510,3,)=0,0,(VLOOKUP($D191,$C$5:$AT$510,29,)/VLOOKUP($D191,$C$5:$AT$510,3,))*$E191)</f>
        <v>0</v>
      </c>
      <c r="AF191" s="45">
        <f>IF(VLOOKUP($D191,$C$5:$AT$510,3,)=0,0,(VLOOKUP($D191,$C$5:$AT$510,30,)/VLOOKUP($D191,$C$5:$AT$510,3,))*$E191)</f>
        <v>0</v>
      </c>
      <c r="AG191" s="69">
        <f>SUM(F191:AF191)</f>
        <v>0</v>
      </c>
      <c r="AH191" s="14" t="str">
        <f>IF(ABS(E191-AG191)&lt;0.01,"ok","err")</f>
        <v>ok</v>
      </c>
    </row>
    <row r="192" spans="1:34" x14ac:dyDescent="0.2">
      <c r="E192" s="32"/>
    </row>
    <row r="193" spans="1:34" x14ac:dyDescent="0.2">
      <c r="A193" s="2" t="s">
        <v>0</v>
      </c>
      <c r="C193" s="2" t="s">
        <v>285</v>
      </c>
      <c r="E193" s="45">
        <f>E163+E166+E169+E174+E179+E182+E185+E188+E191</f>
        <v>2888147.9999999995</v>
      </c>
      <c r="F193" s="45">
        <f t="shared" ref="F193:R193" si="38">F163+F166+F169+F174+F179+F182+F185+F188+F191</f>
        <v>2465801.0664945133</v>
      </c>
      <c r="G193" s="45">
        <f t="shared" si="38"/>
        <v>0</v>
      </c>
      <c r="H193" s="45">
        <f t="shared" si="38"/>
        <v>95.147438645426746</v>
      </c>
      <c r="I193" s="45">
        <f t="shared" si="38"/>
        <v>196043.75653010185</v>
      </c>
      <c r="J193" s="45">
        <f t="shared" si="38"/>
        <v>96348.904158023681</v>
      </c>
      <c r="K193" s="45">
        <f t="shared" si="38"/>
        <v>1544.3616538265753</v>
      </c>
      <c r="L193" s="45">
        <f t="shared" si="38"/>
        <v>0</v>
      </c>
      <c r="M193" s="45">
        <f t="shared" si="38"/>
        <v>28970.105323794221</v>
      </c>
      <c r="N193" s="45">
        <f t="shared" si="38"/>
        <v>31184.00526300917</v>
      </c>
      <c r="O193" s="45">
        <f t="shared" si="38"/>
        <v>7888.1534469248882</v>
      </c>
      <c r="P193" s="45">
        <f t="shared" si="38"/>
        <v>2436.0119750405306</v>
      </c>
      <c r="Q193" s="45">
        <f t="shared" si="38"/>
        <v>9708.3453001192938</v>
      </c>
      <c r="R193" s="45">
        <f t="shared" si="38"/>
        <v>18115.318748295125</v>
      </c>
      <c r="S193" s="45">
        <f t="shared" ref="S193:AF193" si="39">S163+S169+S174+S179+S182+S185+S188+S191</f>
        <v>0</v>
      </c>
      <c r="T193" s="45">
        <f t="shared" si="39"/>
        <v>1810.1489272179751</v>
      </c>
      <c r="U193" s="45">
        <f t="shared" si="39"/>
        <v>28202.674740488179</v>
      </c>
      <c r="V193" s="45">
        <f t="shared" si="39"/>
        <v>0</v>
      </c>
      <c r="W193" s="45">
        <f t="shared" si="39"/>
        <v>0</v>
      </c>
      <c r="X193" s="45">
        <f t="shared" si="39"/>
        <v>0</v>
      </c>
      <c r="Y193" s="45">
        <f t="shared" si="39"/>
        <v>0</v>
      </c>
      <c r="Z193" s="45">
        <f t="shared" si="39"/>
        <v>0</v>
      </c>
      <c r="AA193" s="45">
        <f t="shared" si="39"/>
        <v>0</v>
      </c>
      <c r="AB193" s="45">
        <f t="shared" si="39"/>
        <v>0</v>
      </c>
      <c r="AC193" s="45">
        <f t="shared" si="39"/>
        <v>0</v>
      </c>
      <c r="AD193" s="45">
        <f t="shared" si="39"/>
        <v>0</v>
      </c>
      <c r="AE193" s="45">
        <f t="shared" si="39"/>
        <v>0</v>
      </c>
      <c r="AF193" s="45">
        <f t="shared" si="39"/>
        <v>0</v>
      </c>
      <c r="AG193" s="69">
        <f>SUM(F193:AF193)</f>
        <v>2888148.0000000005</v>
      </c>
      <c r="AH193" s="14" t="str">
        <f>IF(ABS(E193-AG193)&lt;0.01,"ok","err")</f>
        <v>ok</v>
      </c>
    </row>
    <row r="194" spans="1:34" x14ac:dyDescent="0.2">
      <c r="F194" s="131">
        <f>F193/$E193</f>
        <v>0.85376548102608096</v>
      </c>
      <c r="G194" s="131">
        <f t="shared" ref="G194:J194" si="40">G193/$E193</f>
        <v>0</v>
      </c>
      <c r="H194" s="131">
        <f t="shared" si="40"/>
        <v>3.2944100733558934E-5</v>
      </c>
      <c r="I194" s="131">
        <f t="shared" si="40"/>
        <v>6.787870861538324E-2</v>
      </c>
      <c r="J194" s="131">
        <f t="shared" si="40"/>
        <v>3.3360099329405452E-2</v>
      </c>
    </row>
    <row r="196" spans="1:34" x14ac:dyDescent="0.2">
      <c r="A196" s="12" t="s">
        <v>185</v>
      </c>
    </row>
    <row r="198" spans="1:34" x14ac:dyDescent="0.2">
      <c r="A198" s="1" t="s">
        <v>859</v>
      </c>
    </row>
    <row r="199" spans="1:34" x14ac:dyDescent="0.2">
      <c r="A199" s="72" t="s">
        <v>209</v>
      </c>
      <c r="C199" s="2" t="s">
        <v>286</v>
      </c>
      <c r="D199" s="2" t="s">
        <v>655</v>
      </c>
      <c r="E199" s="45">
        <f>'Func &amp; Classif'!H323</f>
        <v>0</v>
      </c>
      <c r="F199" s="45">
        <f>IF(VLOOKUP($D199,$C$5:$AT$510,3,)=0,0,(VLOOKUP($D199,$C$5:$AT$510,4,)/VLOOKUP($D199,$C$5:$AT$510,3,))*$E199)</f>
        <v>0</v>
      </c>
      <c r="G199" s="45">
        <f>IF(VLOOKUP($D199,$C$5:$AT$510,3,)=0,0,(VLOOKUP($D199,$C$5:$AT$510,5,)/VLOOKUP($D199,$C$5:$AT$510,3,))*$E199)</f>
        <v>0</v>
      </c>
      <c r="H199" s="45">
        <f>IF(VLOOKUP($D199,$C$5:$AT$510,3,)=0,0,(VLOOKUP($D199,$C$5:$AT$510,6,)/VLOOKUP($D199,$C$5:$AT$510,3,))*$E199)</f>
        <v>0</v>
      </c>
      <c r="I199" s="45">
        <f>IF(VLOOKUP($D199,$C$5:$AT$510,3,)=0,0,(VLOOKUP($D199,$C$5:$AT$510,7,)/VLOOKUP($D199,$C$5:$AT$510,3,))*$E199)</f>
        <v>0</v>
      </c>
      <c r="J199" s="45">
        <f>IF(VLOOKUP($D199,$C$5:$AT$510,3,)=0,0,(VLOOKUP($D199,$C$5:$AT$510,8,)/VLOOKUP($D199,$C$5:$AT$510,3,))*$E199)</f>
        <v>0</v>
      </c>
      <c r="K199" s="45">
        <f>IF(VLOOKUP($D199,$C$5:$AT$510,3,)=0,0,(VLOOKUP($D199,$C$5:$AT$510,9,)/VLOOKUP($D199,$C$5:$AT$510,3,))*$E199)</f>
        <v>0</v>
      </c>
      <c r="L199" s="45">
        <f>IF(VLOOKUP($D199,$C$5:$AT$510,3,)=0,0,(VLOOKUP($D199,$C$5:$AT$510,10,)/VLOOKUP($D199,$C$5:$AT$510,3,))*$E199)</f>
        <v>0</v>
      </c>
      <c r="M199" s="45">
        <f>IF(VLOOKUP($D199,$C$5:$AT$510,3,)=0,0,(VLOOKUP($D199,$C$5:$AT$510,11,)/VLOOKUP($D199,$C$5:$AT$510,3,))*$E199)</f>
        <v>0</v>
      </c>
      <c r="N199" s="45">
        <f>IF(VLOOKUP($D199,$C$5:$AT$510,3,)=0,0,(VLOOKUP($D199,$C$5:$AT$510,12,)/VLOOKUP($D199,$C$5:$AT$510,3,))*$E199)</f>
        <v>0</v>
      </c>
      <c r="O199" s="45">
        <f>IF(VLOOKUP($D199,$C$5:$AT$510,3,)=0,0,(VLOOKUP($D199,$C$5:$AT$510,13,)/VLOOKUP($D199,$C$5:$AT$510,3,))*$E199)</f>
        <v>0</v>
      </c>
      <c r="P199" s="45">
        <f>IF(VLOOKUP($D199,$C$5:$AT$510,3,)=0,0,(VLOOKUP($D199,$C$5:$AT$510,14,)/VLOOKUP($D199,$C$5:$AT$510,3,))*$E199)</f>
        <v>0</v>
      </c>
      <c r="Q199" s="45">
        <f>IF(VLOOKUP($D199,$C$5:$AT$510,3,)=0,0,(VLOOKUP($D199,$C$5:$AT$510,15,)/VLOOKUP($D199,$C$5:$AT$510,3,))*$E199)</f>
        <v>0</v>
      </c>
      <c r="R199" s="45">
        <f>IF(VLOOKUP($D199,$C$5:$AT$510,3,)=0,0,(VLOOKUP($D199,$C$5:$AT$510,16,)/VLOOKUP($D199,$C$5:$AT$510,3,))*$E199)</f>
        <v>0</v>
      </c>
      <c r="S199" s="45">
        <f>IF(VLOOKUP($D199,$C$5:$AT$510,3,)=0,0,(VLOOKUP($D199,$C$5:$AT$510,17,)/VLOOKUP($D199,$C$5:$AT$510,3,))*$E199)</f>
        <v>0</v>
      </c>
      <c r="T199" s="45">
        <f>IF(VLOOKUP($D199,$C$5:$AT$510,3,)=0,0,(VLOOKUP($D199,$C$5:$AT$510,18,)/VLOOKUP($D199,$C$5:$AT$510,3,))*$E199)</f>
        <v>0</v>
      </c>
      <c r="U199" s="45">
        <f>IF(VLOOKUP($D199,$C$5:$AT$510,3,)=0,0,(VLOOKUP($D199,$C$5:$AT$510,19,)/VLOOKUP($D199,$C$5:$AT$510,3,))*$E199)</f>
        <v>0</v>
      </c>
      <c r="V199" s="45">
        <f>IF(VLOOKUP($D199,$C$5:$AT$510,3,)=0,0,(VLOOKUP($D199,$C$5:$AT$510,20,)/VLOOKUP($D199,$C$5:$AT$510,3,))*$E199)</f>
        <v>0</v>
      </c>
      <c r="W199" s="45">
        <f>IF(VLOOKUP($D199,$C$5:$AT$510,3,)=0,0,(VLOOKUP($D199,$C$5:$AT$510,21,)/VLOOKUP($D199,$C$5:$AT$510,3,))*$E199)</f>
        <v>0</v>
      </c>
      <c r="X199" s="45">
        <f>IF(VLOOKUP($D199,$C$5:$AT$510,3,)=0,0,(VLOOKUP($D199,$C$5:$AT$510,22,)/VLOOKUP($D199,$C$5:$AT$510,3,))*$E199)</f>
        <v>0</v>
      </c>
      <c r="Y199" s="45">
        <f>IF(VLOOKUP($D199,$C$5:$AT$510,3,)=0,0,(VLOOKUP($D199,$C$5:$AT$510,23,)/VLOOKUP($D199,$C$5:$AT$510,3,))*$E199)</f>
        <v>0</v>
      </c>
      <c r="Z199" s="45">
        <f>IF(VLOOKUP($D199,$C$5:$AT$510,3,)=0,0,(VLOOKUP($D199,$C$5:$AT$510,24,)/VLOOKUP($D199,$C$5:$AT$510,3,))*$E199)</f>
        <v>0</v>
      </c>
      <c r="AA199" s="45">
        <f>IF(VLOOKUP($D199,$C$5:$AT$510,3,)=0,0,(VLOOKUP($D199,$C$5:$AT$510,25,)/VLOOKUP($D199,$C$5:$AT$510,3,))*$E199)</f>
        <v>0</v>
      </c>
      <c r="AB199" s="45">
        <f>IF(VLOOKUP($D199,$C$5:$AT$510,3,)=0,0,(VLOOKUP($D199,$C$5:$AT$510,26,)/VLOOKUP($D199,$C$5:$AT$510,3,))*$E199)</f>
        <v>0</v>
      </c>
      <c r="AC199" s="45">
        <f>IF(VLOOKUP($D199,$C$5:$AT$510,3,)=0,0,(VLOOKUP($D199,$C$5:$AT$510,27,)/VLOOKUP($D199,$C$5:$AT$510,3,))*$E199)</f>
        <v>0</v>
      </c>
      <c r="AD199" s="45">
        <f>IF(VLOOKUP($D199,$C$5:$AT$510,3,)=0,0,(VLOOKUP($D199,$C$5:$AT$510,28,)/VLOOKUP($D199,$C$5:$AT$510,3,))*$E199)</f>
        <v>0</v>
      </c>
      <c r="AE199" s="45">
        <f>IF(VLOOKUP($D199,$C$5:$AT$510,3,)=0,0,(VLOOKUP($D199,$C$5:$AT$510,29,)/VLOOKUP($D199,$C$5:$AT$510,3,))*$E199)</f>
        <v>0</v>
      </c>
      <c r="AF199" s="45">
        <f>IF(VLOOKUP($D199,$C$5:$AT$510,3,)=0,0,(VLOOKUP($D199,$C$5:$AT$510,30,)/VLOOKUP($D199,$C$5:$AT$510,3,))*$E199)</f>
        <v>0</v>
      </c>
      <c r="AG199" s="69">
        <f>SUM(F199:AF199)</f>
        <v>0</v>
      </c>
      <c r="AH199" s="14" t="str">
        <f>IF(ABS(E199-AG199)&lt;0.01,"ok","err")</f>
        <v>ok</v>
      </c>
    </row>
    <row r="200" spans="1:34" x14ac:dyDescent="0.2">
      <c r="A200" s="72" t="s">
        <v>212</v>
      </c>
      <c r="C200" s="2" t="s">
        <v>287</v>
      </c>
      <c r="D200" s="2" t="s">
        <v>664</v>
      </c>
      <c r="E200" s="32">
        <f>'Func &amp; Classif'!I323</f>
        <v>0</v>
      </c>
      <c r="F200" s="45">
        <f>IF(VLOOKUP($D200,$C$5:$AT$510,3,)=0,0,(VLOOKUP($D200,$C$5:$AT$510,4,)/VLOOKUP($D200,$C$5:$AT$510,3,))*$E200)</f>
        <v>0</v>
      </c>
      <c r="G200" s="45">
        <f>IF(VLOOKUP($D200,$C$5:$AT$510,3,)=0,0,(VLOOKUP($D200,$C$5:$AT$510,5,)/VLOOKUP($D200,$C$5:$AT$510,3,))*$E200)</f>
        <v>0</v>
      </c>
      <c r="H200" s="45">
        <f>IF(VLOOKUP($D200,$C$5:$AT$510,3,)=0,0,(VLOOKUP($D200,$C$5:$AT$510,6,)/VLOOKUP($D200,$C$5:$AT$510,3,))*$E200)</f>
        <v>0</v>
      </c>
      <c r="I200" s="45">
        <f>IF(VLOOKUP($D200,$C$5:$AT$510,3,)=0,0,(VLOOKUP($D200,$C$5:$AT$510,7,)/VLOOKUP($D200,$C$5:$AT$510,3,))*$E200)</f>
        <v>0</v>
      </c>
      <c r="J200" s="45">
        <f>IF(VLOOKUP($D200,$C$5:$AT$510,3,)=0,0,(VLOOKUP($D200,$C$5:$AT$510,8,)/VLOOKUP($D200,$C$5:$AT$510,3,))*$E200)</f>
        <v>0</v>
      </c>
      <c r="K200" s="45">
        <f>IF(VLOOKUP($D200,$C$5:$AT$510,3,)=0,0,(VLOOKUP($D200,$C$5:$AT$510,9,)/VLOOKUP($D200,$C$5:$AT$510,3,))*$E200)</f>
        <v>0</v>
      </c>
      <c r="L200" s="45">
        <f>IF(VLOOKUP($D200,$C$5:$AT$510,3,)=0,0,(VLOOKUP($D200,$C$5:$AT$510,10,)/VLOOKUP($D200,$C$5:$AT$510,3,))*$E200)</f>
        <v>0</v>
      </c>
      <c r="M200" s="45">
        <f>IF(VLOOKUP($D200,$C$5:$AT$510,3,)=0,0,(VLOOKUP($D200,$C$5:$AT$510,11,)/VLOOKUP($D200,$C$5:$AT$510,3,))*$E200)</f>
        <v>0</v>
      </c>
      <c r="N200" s="45">
        <f>IF(VLOOKUP($D200,$C$5:$AT$510,3,)=0,0,(VLOOKUP($D200,$C$5:$AT$510,12,)/VLOOKUP($D200,$C$5:$AT$510,3,))*$E200)</f>
        <v>0</v>
      </c>
      <c r="O200" s="45">
        <f>IF(VLOOKUP($D200,$C$5:$AT$510,3,)=0,0,(VLOOKUP($D200,$C$5:$AT$510,13,)/VLOOKUP($D200,$C$5:$AT$510,3,))*$E200)</f>
        <v>0</v>
      </c>
      <c r="P200" s="45">
        <f>IF(VLOOKUP($D200,$C$5:$AT$510,3,)=0,0,(VLOOKUP($D200,$C$5:$AT$510,14,)/VLOOKUP($D200,$C$5:$AT$510,3,))*$E200)</f>
        <v>0</v>
      </c>
      <c r="Q200" s="45">
        <f>IF(VLOOKUP($D200,$C$5:$AT$510,3,)=0,0,(VLOOKUP($D200,$C$5:$AT$510,15,)/VLOOKUP($D200,$C$5:$AT$510,3,))*$E200)</f>
        <v>0</v>
      </c>
      <c r="R200" s="45">
        <f>IF(VLOOKUP($D200,$C$5:$AT$510,3,)=0,0,(VLOOKUP($D200,$C$5:$AT$510,16,)/VLOOKUP($D200,$C$5:$AT$510,3,))*$E200)</f>
        <v>0</v>
      </c>
      <c r="S200" s="45">
        <f>IF(VLOOKUP($D200,$C$5:$AT$510,3,)=0,0,(VLOOKUP($D200,$C$5:$AT$510,17,)/VLOOKUP($D200,$C$5:$AT$510,3,))*$E200)</f>
        <v>0</v>
      </c>
      <c r="T200" s="45">
        <f>IF(VLOOKUP($D200,$C$5:$AT$510,3,)=0,0,(VLOOKUP($D200,$C$5:$AT$510,18,)/VLOOKUP($D200,$C$5:$AT$510,3,))*$E200)</f>
        <v>0</v>
      </c>
      <c r="U200" s="45">
        <f>IF(VLOOKUP($D200,$C$5:$AT$510,3,)=0,0,(VLOOKUP($D200,$C$5:$AT$510,19,)/VLOOKUP($D200,$C$5:$AT$510,3,))*$E200)</f>
        <v>0</v>
      </c>
      <c r="V200" s="45">
        <f>IF(VLOOKUP($D200,$C$5:$AT$510,3,)=0,0,(VLOOKUP($D200,$C$5:$AT$510,20,)/VLOOKUP($D200,$C$5:$AT$510,3,))*$E200)</f>
        <v>0</v>
      </c>
      <c r="W200" s="45">
        <f>IF(VLOOKUP($D200,$C$5:$AT$510,3,)=0,0,(VLOOKUP($D200,$C$5:$AT$510,21,)/VLOOKUP($D200,$C$5:$AT$510,3,))*$E200)</f>
        <v>0</v>
      </c>
      <c r="X200" s="45">
        <f>IF(VLOOKUP($D200,$C$5:$AT$510,3,)=0,0,(VLOOKUP($D200,$C$5:$AT$510,22,)/VLOOKUP($D200,$C$5:$AT$510,3,))*$E200)</f>
        <v>0</v>
      </c>
      <c r="Y200" s="45">
        <f>IF(VLOOKUP($D200,$C$5:$AT$510,3,)=0,0,(VLOOKUP($D200,$C$5:$AT$510,23,)/VLOOKUP($D200,$C$5:$AT$510,3,))*$E200)</f>
        <v>0</v>
      </c>
      <c r="Z200" s="45">
        <f>IF(VLOOKUP($D200,$C$5:$AT$510,3,)=0,0,(VLOOKUP($D200,$C$5:$AT$510,24,)/VLOOKUP($D200,$C$5:$AT$510,3,))*$E200)</f>
        <v>0</v>
      </c>
      <c r="AA200" s="45">
        <f>IF(VLOOKUP($D200,$C$5:$AT$510,3,)=0,0,(VLOOKUP($D200,$C$5:$AT$510,25,)/VLOOKUP($D200,$C$5:$AT$510,3,))*$E200)</f>
        <v>0</v>
      </c>
      <c r="AB200" s="45">
        <f>IF(VLOOKUP($D200,$C$5:$AT$510,3,)=0,0,(VLOOKUP($D200,$C$5:$AT$510,26,)/VLOOKUP($D200,$C$5:$AT$510,3,))*$E200)</f>
        <v>0</v>
      </c>
      <c r="AC200" s="45">
        <f>IF(VLOOKUP($D200,$C$5:$AT$510,3,)=0,0,(VLOOKUP($D200,$C$5:$AT$510,27,)/VLOOKUP($D200,$C$5:$AT$510,3,))*$E200)</f>
        <v>0</v>
      </c>
      <c r="AD200" s="45">
        <f>IF(VLOOKUP($D200,$C$5:$AT$510,3,)=0,0,(VLOOKUP($D200,$C$5:$AT$510,28,)/VLOOKUP($D200,$C$5:$AT$510,3,))*$E200)</f>
        <v>0</v>
      </c>
      <c r="AE200" s="45">
        <f>IF(VLOOKUP($D200,$C$5:$AT$510,3,)=0,0,(VLOOKUP($D200,$C$5:$AT$510,29,)/VLOOKUP($D200,$C$5:$AT$510,3,))*$E200)</f>
        <v>0</v>
      </c>
      <c r="AF200" s="45">
        <f>IF(VLOOKUP($D200,$C$5:$AT$510,3,)=0,0,(VLOOKUP($D200,$C$5:$AT$510,30,)/VLOOKUP($D200,$C$5:$AT$510,3,))*$E200)</f>
        <v>0</v>
      </c>
      <c r="AG200" s="69">
        <f>SUM(F200:AF200)</f>
        <v>0</v>
      </c>
      <c r="AH200" s="14" t="str">
        <f>IF(ABS(E200-AG200)&lt;0.01,"ok","err")</f>
        <v>ok</v>
      </c>
    </row>
    <row r="201" spans="1:34" x14ac:dyDescent="0.2">
      <c r="A201" s="2" t="s">
        <v>215</v>
      </c>
      <c r="C201" s="2" t="s">
        <v>288</v>
      </c>
      <c r="E201" s="32">
        <f t="shared" ref="E201:T201" si="41">E199+E200</f>
        <v>0</v>
      </c>
      <c r="F201" s="45">
        <f t="shared" si="41"/>
        <v>0</v>
      </c>
      <c r="G201" s="45">
        <f t="shared" si="41"/>
        <v>0</v>
      </c>
      <c r="H201" s="45">
        <f t="shared" si="41"/>
        <v>0</v>
      </c>
      <c r="I201" s="45">
        <f t="shared" si="41"/>
        <v>0</v>
      </c>
      <c r="J201" s="45">
        <f t="shared" si="41"/>
        <v>0</v>
      </c>
      <c r="K201" s="45">
        <f t="shared" si="41"/>
        <v>0</v>
      </c>
      <c r="L201" s="45">
        <f t="shared" si="41"/>
        <v>0</v>
      </c>
      <c r="M201" s="45">
        <f t="shared" si="41"/>
        <v>0</v>
      </c>
      <c r="N201" s="45">
        <f t="shared" si="41"/>
        <v>0</v>
      </c>
      <c r="O201" s="45">
        <f t="shared" si="41"/>
        <v>0</v>
      </c>
      <c r="P201" s="45">
        <f t="shared" si="41"/>
        <v>0</v>
      </c>
      <c r="Q201" s="45">
        <f t="shared" si="41"/>
        <v>0</v>
      </c>
      <c r="R201" s="45">
        <f t="shared" si="41"/>
        <v>0</v>
      </c>
      <c r="S201" s="45">
        <f t="shared" si="41"/>
        <v>0</v>
      </c>
      <c r="T201" s="45">
        <f t="shared" si="41"/>
        <v>0</v>
      </c>
      <c r="U201" s="45">
        <f t="shared" ref="U201:AF201" si="42">U199+U200</f>
        <v>0</v>
      </c>
      <c r="V201" s="45">
        <f t="shared" si="42"/>
        <v>0</v>
      </c>
      <c r="W201" s="45">
        <f t="shared" si="42"/>
        <v>0</v>
      </c>
      <c r="X201" s="45">
        <f t="shared" si="42"/>
        <v>0</v>
      </c>
      <c r="Y201" s="45">
        <f t="shared" si="42"/>
        <v>0</v>
      </c>
      <c r="Z201" s="45">
        <f t="shared" si="42"/>
        <v>0</v>
      </c>
      <c r="AA201" s="45">
        <f t="shared" si="42"/>
        <v>0</v>
      </c>
      <c r="AB201" s="45">
        <f t="shared" si="42"/>
        <v>0</v>
      </c>
      <c r="AC201" s="45">
        <f t="shared" si="42"/>
        <v>0</v>
      </c>
      <c r="AD201" s="45">
        <f t="shared" si="42"/>
        <v>0</v>
      </c>
      <c r="AE201" s="45">
        <f t="shared" si="42"/>
        <v>0</v>
      </c>
      <c r="AF201" s="45">
        <f t="shared" si="42"/>
        <v>0</v>
      </c>
      <c r="AG201" s="69">
        <f>SUM(F201:AF201)</f>
        <v>0</v>
      </c>
      <c r="AH201" s="14" t="str">
        <f>IF(ABS(E201-AG201)&lt;0.01,"ok","err")</f>
        <v>ok</v>
      </c>
    </row>
    <row r="202" spans="1:34" x14ac:dyDescent="0.2">
      <c r="E202" s="32"/>
      <c r="F202" s="32"/>
    </row>
    <row r="203" spans="1:34" x14ac:dyDescent="0.2">
      <c r="A203" s="1" t="s">
        <v>350</v>
      </c>
      <c r="E203" s="32"/>
      <c r="F203" s="32"/>
    </row>
    <row r="204" spans="1:34" x14ac:dyDescent="0.2">
      <c r="A204" s="72" t="s">
        <v>209</v>
      </c>
      <c r="C204" s="2" t="s">
        <v>853</v>
      </c>
      <c r="D204" s="2" t="s">
        <v>597</v>
      </c>
      <c r="E204" s="45">
        <f>'Func &amp; Classif'!K323</f>
        <v>0</v>
      </c>
      <c r="F204" s="45">
        <f>IF(VLOOKUP($D204,$C$5:$AT$510,3,)=0,0,(VLOOKUP($D204,$C$5:$AT$510,4,)/VLOOKUP($D204,$C$5:$AT$510,3,))*$E204)</f>
        <v>0</v>
      </c>
      <c r="G204" s="45">
        <f>IF(VLOOKUP($D204,$C$5:$AT$510,3,)=0,0,(VLOOKUP($D204,$C$5:$AT$510,5,)/VLOOKUP($D204,$C$5:$AT$510,3,))*$E204)</f>
        <v>0</v>
      </c>
      <c r="H204" s="45">
        <f>IF(VLOOKUP($D204,$C$5:$AT$510,3,)=0,0,(VLOOKUP($D204,$C$5:$AT$510,6,)/VLOOKUP($D204,$C$5:$AT$510,3,))*$E204)</f>
        <v>0</v>
      </c>
      <c r="I204" s="45">
        <f>IF(VLOOKUP($D204,$C$5:$AT$510,3,)=0,0,(VLOOKUP($D204,$C$5:$AT$510,7,)/VLOOKUP($D204,$C$5:$AT$510,3,))*$E204)</f>
        <v>0</v>
      </c>
      <c r="J204" s="45">
        <f>IF(VLOOKUP($D204,$C$5:$AT$510,3,)=0,0,(VLOOKUP($D204,$C$5:$AT$510,8,)/VLOOKUP($D204,$C$5:$AT$510,3,))*$E204)</f>
        <v>0</v>
      </c>
      <c r="K204" s="45">
        <f>IF(VLOOKUP($D204,$C$5:$AT$510,3,)=0,0,(VLOOKUP($D204,$C$5:$AT$510,9,)/VLOOKUP($D204,$C$5:$AT$510,3,))*$E204)</f>
        <v>0</v>
      </c>
      <c r="L204" s="45">
        <f>IF(VLOOKUP($D204,$C$5:$AT$510,3,)=0,0,(VLOOKUP($D204,$C$5:$AT$510,10,)/VLOOKUP($D204,$C$5:$AT$510,3,))*$E204)</f>
        <v>0</v>
      </c>
      <c r="M204" s="45">
        <f>IF(VLOOKUP($D204,$C$5:$AT$510,3,)=0,0,(VLOOKUP($D204,$C$5:$AT$510,11,)/VLOOKUP($D204,$C$5:$AT$510,3,))*$E204)</f>
        <v>0</v>
      </c>
      <c r="N204" s="45">
        <f>IF(VLOOKUP($D204,$C$5:$AT$510,3,)=0,0,(VLOOKUP($D204,$C$5:$AT$510,12,)/VLOOKUP($D204,$C$5:$AT$510,3,))*$E204)</f>
        <v>0</v>
      </c>
      <c r="O204" s="45">
        <f>IF(VLOOKUP($D204,$C$5:$AT$510,3,)=0,0,(VLOOKUP($D204,$C$5:$AT$510,13,)/VLOOKUP($D204,$C$5:$AT$510,3,))*$E204)</f>
        <v>0</v>
      </c>
      <c r="P204" s="45">
        <f>IF(VLOOKUP($D204,$C$5:$AT$510,3,)=0,0,(VLOOKUP($D204,$C$5:$AT$510,14,)/VLOOKUP($D204,$C$5:$AT$510,3,))*$E204)</f>
        <v>0</v>
      </c>
      <c r="Q204" s="45">
        <f>IF(VLOOKUP($D204,$C$5:$AT$510,3,)=0,0,(VLOOKUP($D204,$C$5:$AT$510,15,)/VLOOKUP($D204,$C$5:$AT$510,3,))*$E204)</f>
        <v>0</v>
      </c>
      <c r="R204" s="45">
        <f>IF(VLOOKUP($D204,$C$5:$AT$510,3,)=0,0,(VLOOKUP($D204,$C$5:$AT$510,16,)/VLOOKUP($D204,$C$5:$AT$510,3,))*$E204)</f>
        <v>0</v>
      </c>
      <c r="S204" s="45">
        <f>IF(VLOOKUP($D204,$C$5:$AT$510,3,)=0,0,(VLOOKUP($D204,$C$5:$AT$510,17,)/VLOOKUP($D204,$C$5:$AT$510,3,))*$E204)</f>
        <v>0</v>
      </c>
      <c r="T204" s="45">
        <f>IF(VLOOKUP($D204,$C$5:$AT$510,3,)=0,0,(VLOOKUP($D204,$C$5:$AT$510,18,)/VLOOKUP($D204,$C$5:$AT$510,3,))*$E204)</f>
        <v>0</v>
      </c>
      <c r="U204" s="45">
        <f>IF(VLOOKUP($D204,$C$5:$AT$510,3,)=0,0,(VLOOKUP($D204,$C$5:$AT$510,19,)/VLOOKUP($D204,$C$5:$AT$510,3,))*$E204)</f>
        <v>0</v>
      </c>
      <c r="V204" s="45">
        <f>IF(VLOOKUP($D204,$C$5:$AT$510,3,)=0,0,(VLOOKUP($D204,$C$5:$AT$510,20,)/VLOOKUP($D204,$C$5:$AT$510,3,))*$E204)</f>
        <v>0</v>
      </c>
      <c r="W204" s="45">
        <f>IF(VLOOKUP($D204,$C$5:$AT$510,3,)=0,0,(VLOOKUP($D204,$C$5:$AT$510,21,)/VLOOKUP($D204,$C$5:$AT$510,3,))*$E204)</f>
        <v>0</v>
      </c>
      <c r="X204" s="45">
        <f>IF(VLOOKUP($D204,$C$5:$AT$510,3,)=0,0,(VLOOKUP($D204,$C$5:$AT$510,22,)/VLOOKUP($D204,$C$5:$AT$510,3,))*$E204)</f>
        <v>0</v>
      </c>
      <c r="Y204" s="45">
        <f>IF(VLOOKUP($D204,$C$5:$AT$510,3,)=0,0,(VLOOKUP($D204,$C$5:$AT$510,23,)/VLOOKUP($D204,$C$5:$AT$510,3,))*$E204)</f>
        <v>0</v>
      </c>
      <c r="Z204" s="45">
        <f>IF(VLOOKUP($D204,$C$5:$AT$510,3,)=0,0,(VLOOKUP($D204,$C$5:$AT$510,24,)/VLOOKUP($D204,$C$5:$AT$510,3,))*$E204)</f>
        <v>0</v>
      </c>
      <c r="AA204" s="45">
        <f>IF(VLOOKUP($D204,$C$5:$AT$510,3,)=0,0,(VLOOKUP($D204,$C$5:$AT$510,25,)/VLOOKUP($D204,$C$5:$AT$510,3,))*$E204)</f>
        <v>0</v>
      </c>
      <c r="AB204" s="45">
        <f>IF(VLOOKUP($D204,$C$5:$AT$510,3,)=0,0,(VLOOKUP($D204,$C$5:$AT$510,26,)/VLOOKUP($D204,$C$5:$AT$510,3,))*$E204)</f>
        <v>0</v>
      </c>
      <c r="AC204" s="45">
        <f>IF(VLOOKUP($D204,$C$5:$AT$510,3,)=0,0,(VLOOKUP($D204,$C$5:$AT$510,27,)/VLOOKUP($D204,$C$5:$AT$510,3,))*$E204)</f>
        <v>0</v>
      </c>
      <c r="AD204" s="45">
        <f>IF(VLOOKUP($D204,$C$5:$AT$510,3,)=0,0,(VLOOKUP($D204,$C$5:$AT$510,28,)/VLOOKUP($D204,$C$5:$AT$510,3,))*$E204)</f>
        <v>0</v>
      </c>
      <c r="AE204" s="45">
        <f>IF(VLOOKUP($D204,$C$5:$AT$510,3,)=0,0,(VLOOKUP($D204,$C$5:$AT$510,29,)/VLOOKUP($D204,$C$5:$AT$510,3,))*$E204)</f>
        <v>0</v>
      </c>
      <c r="AF204" s="45">
        <f>IF(VLOOKUP($D204,$C$5:$AT$510,3,)=0,0,(VLOOKUP($D204,$C$5:$AT$510,30,)/VLOOKUP($D204,$C$5:$AT$510,3,))*$E204)</f>
        <v>0</v>
      </c>
      <c r="AG204" s="69">
        <f>SUM(F204:AF204)</f>
        <v>0</v>
      </c>
      <c r="AH204" s="14" t="str">
        <f>IF(ABS(E204-AG204)&lt;0.01,"ok","err")</f>
        <v>ok</v>
      </c>
    </row>
    <row r="205" spans="1:34" x14ac:dyDescent="0.2">
      <c r="E205" s="32"/>
    </row>
    <row r="206" spans="1:34" x14ac:dyDescent="0.2">
      <c r="A206" s="1" t="s">
        <v>1</v>
      </c>
      <c r="E206" s="32"/>
      <c r="F206" s="32"/>
    </row>
    <row r="207" spans="1:34" x14ac:dyDescent="0.2">
      <c r="A207" s="72" t="s">
        <v>209</v>
      </c>
      <c r="C207" s="2" t="s">
        <v>289</v>
      </c>
      <c r="D207" s="2" t="s">
        <v>613</v>
      </c>
      <c r="E207" s="45">
        <f>'Func &amp; Classif'!M323</f>
        <v>1489.6208191623473</v>
      </c>
      <c r="F207" s="45">
        <f>IF(VLOOKUP($D207,$C$5:$AT$510,3,)=0,0,(VLOOKUP($D207,$C$5:$AT$510,4,)/VLOOKUP($D207,$C$5:$AT$510,3,))*$E207)</f>
        <v>1084.4509740516085</v>
      </c>
      <c r="G207" s="45">
        <f>IF(VLOOKUP($D207,$C$5:$AT$510,3,)=0,0,(VLOOKUP($D207,$C$5:$AT$510,5,)/VLOOKUP($D207,$C$5:$AT$510,3,))*$E207)</f>
        <v>0</v>
      </c>
      <c r="H207" s="45">
        <f>IF(VLOOKUP($D207,$C$5:$AT$510,3,)=0,0,(VLOOKUP($D207,$C$5:$AT$510,6,)/VLOOKUP($D207,$C$5:$AT$510,3,))*$E207)</f>
        <v>2.0383199536521551E-2</v>
      </c>
      <c r="I207" s="45">
        <f>IF(VLOOKUP($D207,$C$5:$AT$510,3,)=0,0,(VLOOKUP($D207,$C$5:$AT$510,7,)/VLOOKUP($D207,$C$5:$AT$510,3,))*$E207)</f>
        <v>97.379758893601206</v>
      </c>
      <c r="J207" s="45">
        <f>IF(VLOOKUP($D207,$C$5:$AT$510,3,)=0,0,(VLOOKUP($D207,$C$5:$AT$510,8,)/VLOOKUP($D207,$C$5:$AT$510,3,))*$E207)</f>
        <v>155.26386987822008</v>
      </c>
      <c r="K207" s="45">
        <f>IF(VLOOKUP($D207,$C$5:$AT$510,3,)=0,0,(VLOOKUP($D207,$C$5:$AT$510,9,)/VLOOKUP($D207,$C$5:$AT$510,3,))*$E207)</f>
        <v>0</v>
      </c>
      <c r="L207" s="45">
        <f>IF(VLOOKUP($D207,$C$5:$AT$510,3,)=0,0,(VLOOKUP($D207,$C$5:$AT$510,10,)/VLOOKUP($D207,$C$5:$AT$510,3,))*$E207)</f>
        <v>0</v>
      </c>
      <c r="M207" s="45">
        <f>IF(VLOOKUP($D207,$C$5:$AT$510,3,)=0,0,(VLOOKUP($D207,$C$5:$AT$510,11,)/VLOOKUP($D207,$C$5:$AT$510,3,))*$E207)</f>
        <v>46.14480586331959</v>
      </c>
      <c r="N207" s="45">
        <f>IF(VLOOKUP($D207,$C$5:$AT$510,3,)=0,0,(VLOOKUP($D207,$C$5:$AT$510,12,)/VLOOKUP($D207,$C$5:$AT$510,3,))*$E207)</f>
        <v>54.766796345115438</v>
      </c>
      <c r="O207" s="45">
        <f>IF(VLOOKUP($D207,$C$5:$AT$510,3,)=0,0,(VLOOKUP($D207,$C$5:$AT$510,13,)/VLOOKUP($D207,$C$5:$AT$510,3,))*$E207)</f>
        <v>13.636710424020563</v>
      </c>
      <c r="P207" s="45">
        <f>IF(VLOOKUP($D207,$C$5:$AT$510,3,)=0,0,(VLOOKUP($D207,$C$5:$AT$510,14,)/VLOOKUP($D207,$C$5:$AT$510,3,))*$E207)</f>
        <v>1.4075180169432278</v>
      </c>
      <c r="Q207" s="45">
        <f>IF(VLOOKUP($D207,$C$5:$AT$510,3,)=0,0,(VLOOKUP($D207,$C$5:$AT$510,15,)/VLOOKUP($D207,$C$5:$AT$510,3,))*$E207)</f>
        <v>4.4960742048616034</v>
      </c>
      <c r="R207" s="45">
        <f>IF(VLOOKUP($D207,$C$5:$AT$510,3,)=0,0,(VLOOKUP($D207,$C$5:$AT$510,16,)/VLOOKUP($D207,$C$5:$AT$510,3,))*$E207)</f>
        <v>30.275379736511432</v>
      </c>
      <c r="S207" s="45">
        <f>IF(VLOOKUP($D207,$C$5:$AT$510,3,)=0,0,(VLOOKUP($D207,$C$5:$AT$510,17,)/VLOOKUP($D207,$C$5:$AT$510,3,))*$E207)</f>
        <v>0</v>
      </c>
      <c r="T207" s="45">
        <f>IF(VLOOKUP($D207,$C$5:$AT$510,3,)=0,0,(VLOOKUP($D207,$C$5:$AT$510,18,)/VLOOKUP($D207,$C$5:$AT$510,3,))*$E207)</f>
        <v>1.0164668162902462</v>
      </c>
      <c r="U207" s="45">
        <f>IF(VLOOKUP($D207,$C$5:$AT$510,3,)=0,0,(VLOOKUP($D207,$C$5:$AT$510,19,)/VLOOKUP($D207,$C$5:$AT$510,3,))*$E207)</f>
        <v>0.76208173231872234</v>
      </c>
      <c r="V207" s="45">
        <f>IF(VLOOKUP($D207,$C$5:$AT$510,3,)=0,0,(VLOOKUP($D207,$C$5:$AT$510,20,)/VLOOKUP($D207,$C$5:$AT$510,3,))*$E207)</f>
        <v>0</v>
      </c>
      <c r="W207" s="45">
        <f>IF(VLOOKUP($D207,$C$5:$AT$510,3,)=0,0,(VLOOKUP($D207,$C$5:$AT$510,21,)/VLOOKUP($D207,$C$5:$AT$510,3,))*$E207)</f>
        <v>0</v>
      </c>
      <c r="X207" s="45">
        <f>IF(VLOOKUP($D207,$C$5:$AT$510,3,)=0,0,(VLOOKUP($D207,$C$5:$AT$510,22,)/VLOOKUP($D207,$C$5:$AT$510,3,))*$E207)</f>
        <v>0</v>
      </c>
      <c r="Y207" s="45">
        <f>IF(VLOOKUP($D207,$C$5:$AT$510,3,)=0,0,(VLOOKUP($D207,$C$5:$AT$510,23,)/VLOOKUP($D207,$C$5:$AT$510,3,))*$E207)</f>
        <v>0</v>
      </c>
      <c r="Z207" s="45">
        <f>IF(VLOOKUP($D207,$C$5:$AT$510,3,)=0,0,(VLOOKUP($D207,$C$5:$AT$510,24,)/VLOOKUP($D207,$C$5:$AT$510,3,))*$E207)</f>
        <v>0</v>
      </c>
      <c r="AA207" s="45">
        <f>IF(VLOOKUP($D207,$C$5:$AT$510,3,)=0,0,(VLOOKUP($D207,$C$5:$AT$510,25,)/VLOOKUP($D207,$C$5:$AT$510,3,))*$E207)</f>
        <v>0</v>
      </c>
      <c r="AB207" s="45">
        <f>IF(VLOOKUP($D207,$C$5:$AT$510,3,)=0,0,(VLOOKUP($D207,$C$5:$AT$510,26,)/VLOOKUP($D207,$C$5:$AT$510,3,))*$E207)</f>
        <v>0</v>
      </c>
      <c r="AC207" s="45">
        <f>IF(VLOOKUP($D207,$C$5:$AT$510,3,)=0,0,(VLOOKUP($D207,$C$5:$AT$510,27,)/VLOOKUP($D207,$C$5:$AT$510,3,))*$E207)</f>
        <v>0</v>
      </c>
      <c r="AD207" s="45">
        <f>IF(VLOOKUP($D207,$C$5:$AT$510,3,)=0,0,(VLOOKUP($D207,$C$5:$AT$510,28,)/VLOOKUP($D207,$C$5:$AT$510,3,))*$E207)</f>
        <v>0</v>
      </c>
      <c r="AE207" s="45">
        <f>IF(VLOOKUP($D207,$C$5:$AT$510,3,)=0,0,(VLOOKUP($D207,$C$5:$AT$510,29,)/VLOOKUP($D207,$C$5:$AT$510,3,))*$E207)</f>
        <v>0</v>
      </c>
      <c r="AF207" s="45">
        <f>IF(VLOOKUP($D207,$C$5:$AT$510,3,)=0,0,(VLOOKUP($D207,$C$5:$AT$510,30,)/VLOOKUP($D207,$C$5:$AT$510,3,))*$E207)</f>
        <v>0</v>
      </c>
      <c r="AG207" s="69">
        <f>SUM(F207:AF207)</f>
        <v>1489.6208191623468</v>
      </c>
      <c r="AH207" s="14" t="str">
        <f>IF(ABS(E207-AG207)&lt;0.01,"ok","err")</f>
        <v>ok</v>
      </c>
    </row>
    <row r="208" spans="1:34" x14ac:dyDescent="0.2">
      <c r="E208" s="32"/>
    </row>
    <row r="209" spans="1:34" x14ac:dyDescent="0.2">
      <c r="A209" s="1" t="s">
        <v>2</v>
      </c>
      <c r="E209" s="32"/>
    </row>
    <row r="210" spans="1:34" x14ac:dyDescent="0.2">
      <c r="A210" s="72" t="s">
        <v>209</v>
      </c>
      <c r="C210" s="2" t="s">
        <v>290</v>
      </c>
      <c r="D210" s="2" t="s">
        <v>605</v>
      </c>
      <c r="E210" s="45">
        <f>'Func &amp; Classif'!O323</f>
        <v>2168880.6560543664</v>
      </c>
      <c r="F210" s="45">
        <f>IF(VLOOKUP($D210,$C$5:$AT$510,3,)=0,0,(VLOOKUP($D210,$C$5:$AT$510,4,)/VLOOKUP($D210,$C$5:$AT$510,3,))*$E210)</f>
        <v>1740755.8847026972</v>
      </c>
      <c r="G210" s="45">
        <f>IF(VLOOKUP($D210,$C$5:$AT$510,3,)=0,0,(VLOOKUP($D210,$C$5:$AT$510,5,)/VLOOKUP($D210,$C$5:$AT$510,3,))*$E210)</f>
        <v>0</v>
      </c>
      <c r="H210" s="45">
        <f>IF(VLOOKUP($D210,$C$5:$AT$510,3,)=0,0,(VLOOKUP($D210,$C$5:$AT$510,6,)/VLOOKUP($D210,$C$5:$AT$510,3,))*$E210)</f>
        <v>62.716481744770626</v>
      </c>
      <c r="I210" s="45">
        <f>IF(VLOOKUP($D210,$C$5:$AT$510,3,)=0,0,(VLOOKUP($D210,$C$5:$AT$510,7,)/VLOOKUP($D210,$C$5:$AT$510,3,))*$E210)</f>
        <v>150876.13122420033</v>
      </c>
      <c r="J210" s="45">
        <f>IF(VLOOKUP($D210,$C$5:$AT$510,3,)=0,0,(VLOOKUP($D210,$C$5:$AT$510,8,)/VLOOKUP($D210,$C$5:$AT$510,3,))*$E210)</f>
        <v>129929.02022740273</v>
      </c>
      <c r="K210" s="45">
        <f>IF(VLOOKUP($D210,$C$5:$AT$510,3,)=0,0,(VLOOKUP($D210,$C$5:$AT$510,9,)/VLOOKUP($D210,$C$5:$AT$510,3,))*$E210)</f>
        <v>1492.2088339381423</v>
      </c>
      <c r="L210" s="45">
        <f>IF(VLOOKUP($D210,$C$5:$AT$510,3,)=0,0,(VLOOKUP($D210,$C$5:$AT$510,10,)/VLOOKUP($D210,$C$5:$AT$510,3,))*$E210)</f>
        <v>0</v>
      </c>
      <c r="M210" s="45">
        <f>IF(VLOOKUP($D210,$C$5:$AT$510,3,)=0,0,(VLOOKUP($D210,$C$5:$AT$510,11,)/VLOOKUP($D210,$C$5:$AT$510,3,))*$E210)</f>
        <v>44037.431345753284</v>
      </c>
      <c r="N210" s="45">
        <f>IF(VLOOKUP($D210,$C$5:$AT$510,3,)=0,0,(VLOOKUP($D210,$C$5:$AT$510,12,)/VLOOKUP($D210,$C$5:$AT$510,3,))*$E210)</f>
        <v>47877.243429323273</v>
      </c>
      <c r="O210" s="45">
        <f>IF(VLOOKUP($D210,$C$5:$AT$510,3,)=0,0,(VLOOKUP($D210,$C$5:$AT$510,13,)/VLOOKUP($D210,$C$5:$AT$510,3,))*$E210)</f>
        <v>11930.498146171365</v>
      </c>
      <c r="P210" s="45">
        <f>IF(VLOOKUP($D210,$C$5:$AT$510,3,)=0,0,(VLOOKUP($D210,$C$5:$AT$510,14,)/VLOOKUP($D210,$C$5:$AT$510,3,))*$E210)</f>
        <v>3503.5822713667262</v>
      </c>
      <c r="Q210" s="45">
        <f>IF(VLOOKUP($D210,$C$5:$AT$510,3,)=0,0,(VLOOKUP($D210,$C$5:$AT$510,15,)/VLOOKUP($D210,$C$5:$AT$510,3,))*$E210)</f>
        <v>8271.6087410763066</v>
      </c>
      <c r="R210" s="45">
        <f>IF(VLOOKUP($D210,$C$5:$AT$510,3,)=0,0,(VLOOKUP($D210,$C$5:$AT$510,16,)/VLOOKUP($D210,$C$5:$AT$510,3,))*$E210)</f>
        <v>27946.034141874679</v>
      </c>
      <c r="S210" s="45">
        <f>IF(VLOOKUP($D210,$C$5:$AT$510,3,)=0,0,(VLOOKUP($D210,$C$5:$AT$510,17,)/VLOOKUP($D210,$C$5:$AT$510,3,))*$E210)</f>
        <v>0</v>
      </c>
      <c r="T210" s="45">
        <f>IF(VLOOKUP($D210,$C$5:$AT$510,3,)=0,0,(VLOOKUP($D210,$C$5:$AT$510,18,)/VLOOKUP($D210,$C$5:$AT$510,3,))*$E210)</f>
        <v>1343.1378249930572</v>
      </c>
      <c r="U210" s="45">
        <f>IF(VLOOKUP($D210,$C$5:$AT$510,3,)=0,0,(VLOOKUP($D210,$C$5:$AT$510,19,)/VLOOKUP($D210,$C$5:$AT$510,3,))*$E210)</f>
        <v>855.1586838244441</v>
      </c>
      <c r="V210" s="45">
        <f>IF(VLOOKUP($D210,$C$5:$AT$510,3,)=0,0,(VLOOKUP($D210,$C$5:$AT$510,20,)/VLOOKUP($D210,$C$5:$AT$510,3,))*$E210)</f>
        <v>0</v>
      </c>
      <c r="W210" s="45">
        <f>IF(VLOOKUP($D210,$C$5:$AT$510,3,)=0,0,(VLOOKUP($D210,$C$5:$AT$510,21,)/VLOOKUP($D210,$C$5:$AT$510,3,))*$E210)</f>
        <v>0</v>
      </c>
      <c r="X210" s="45">
        <f>IF(VLOOKUP($D210,$C$5:$AT$510,3,)=0,0,(VLOOKUP($D210,$C$5:$AT$510,22,)/VLOOKUP($D210,$C$5:$AT$510,3,))*$E210)</f>
        <v>0</v>
      </c>
      <c r="Y210" s="45">
        <f>IF(VLOOKUP($D210,$C$5:$AT$510,3,)=0,0,(VLOOKUP($D210,$C$5:$AT$510,23,)/VLOOKUP($D210,$C$5:$AT$510,3,))*$E210)</f>
        <v>0</v>
      </c>
      <c r="Z210" s="45">
        <f>IF(VLOOKUP($D210,$C$5:$AT$510,3,)=0,0,(VLOOKUP($D210,$C$5:$AT$510,24,)/VLOOKUP($D210,$C$5:$AT$510,3,))*$E210)</f>
        <v>0</v>
      </c>
      <c r="AA210" s="45">
        <f>IF(VLOOKUP($D210,$C$5:$AT$510,3,)=0,0,(VLOOKUP($D210,$C$5:$AT$510,25,)/VLOOKUP($D210,$C$5:$AT$510,3,))*$E210)</f>
        <v>0</v>
      </c>
      <c r="AB210" s="45">
        <f>IF(VLOOKUP($D210,$C$5:$AT$510,3,)=0,0,(VLOOKUP($D210,$C$5:$AT$510,26,)/VLOOKUP($D210,$C$5:$AT$510,3,))*$E210)</f>
        <v>0</v>
      </c>
      <c r="AC210" s="45">
        <f>IF(VLOOKUP($D210,$C$5:$AT$510,3,)=0,0,(VLOOKUP($D210,$C$5:$AT$510,27,)/VLOOKUP($D210,$C$5:$AT$510,3,))*$E210)</f>
        <v>0</v>
      </c>
      <c r="AD210" s="45">
        <f>IF(VLOOKUP($D210,$C$5:$AT$510,3,)=0,0,(VLOOKUP($D210,$C$5:$AT$510,28,)/VLOOKUP($D210,$C$5:$AT$510,3,))*$E210)</f>
        <v>0</v>
      </c>
      <c r="AE210" s="45">
        <f>IF(VLOOKUP($D210,$C$5:$AT$510,3,)=0,0,(VLOOKUP($D210,$C$5:$AT$510,29,)/VLOOKUP($D210,$C$5:$AT$510,3,))*$E210)</f>
        <v>0</v>
      </c>
      <c r="AF210" s="45">
        <f>IF(VLOOKUP($D210,$C$5:$AT$510,3,)=0,0,(VLOOKUP($D210,$C$5:$AT$510,30,)/VLOOKUP($D210,$C$5:$AT$510,3,))*$E210)</f>
        <v>0</v>
      </c>
      <c r="AG210" s="69">
        <f>SUM(F210:AF210)</f>
        <v>2168880.6560543664</v>
      </c>
      <c r="AH210" s="14" t="str">
        <f>IF(ABS(E210-AG210)&lt;0.01,"ok","err")</f>
        <v>ok</v>
      </c>
    </row>
    <row r="211" spans="1:34" x14ac:dyDescent="0.2">
      <c r="A211" s="72" t="s">
        <v>221</v>
      </c>
      <c r="C211" s="2" t="s">
        <v>291</v>
      </c>
      <c r="D211" s="2" t="s">
        <v>223</v>
      </c>
      <c r="E211" s="32">
        <f>'Func &amp; Classif'!P323</f>
        <v>1117725.2174200609</v>
      </c>
      <c r="F211" s="45">
        <f>IF(VLOOKUP($D211,$C$5:$AT$510,3,)=0,0,(VLOOKUP($D211,$C$5:$AT$510,4,)/VLOOKUP($D211,$C$5:$AT$510,3,))*$E211)</f>
        <v>1030228.937584029</v>
      </c>
      <c r="G211" s="45">
        <f>IF(VLOOKUP($D211,$C$5:$AT$510,3,)=0,0,(VLOOKUP($D211,$C$5:$AT$510,5,)/VLOOKUP($D211,$C$5:$AT$510,3,))*$E211)</f>
        <v>0</v>
      </c>
      <c r="H211" s="45">
        <f>IF(VLOOKUP($D211,$C$5:$AT$510,3,)=0,0,(VLOOKUP($D211,$C$5:$AT$510,6,)/VLOOKUP($D211,$C$5:$AT$510,3,))*$E211)</f>
        <v>41.923534531782742</v>
      </c>
      <c r="I211" s="45">
        <f>IF(VLOOKUP($D211,$C$5:$AT$510,3,)=0,0,(VLOOKUP($D211,$C$5:$AT$510,7,)/VLOOKUP($D211,$C$5:$AT$510,3,))*$E211)</f>
        <v>74120.809052191893</v>
      </c>
      <c r="J211" s="45">
        <f>IF(VLOOKUP($D211,$C$5:$AT$510,3,)=0,0,(VLOOKUP($D211,$C$5:$AT$510,8,)/VLOOKUP($D211,$C$5:$AT$510,3,))*$E211)</f>
        <v>4150.4299186464914</v>
      </c>
      <c r="K211" s="45">
        <f>IF(VLOOKUP($D211,$C$5:$AT$510,3,)=0,0,(VLOOKUP($D211,$C$5:$AT$510,9,)/VLOOKUP($D211,$C$5:$AT$510,3,))*$E211)</f>
        <v>76.393996257915205</v>
      </c>
      <c r="L211" s="45">
        <f>IF(VLOOKUP($D211,$C$5:$AT$510,3,)=0,0,(VLOOKUP($D211,$C$5:$AT$510,10,)/VLOOKUP($D211,$C$5:$AT$510,3,))*$E211)</f>
        <v>0</v>
      </c>
      <c r="M211" s="45">
        <f>IF(VLOOKUP($D211,$C$5:$AT$510,3,)=0,0,(VLOOKUP($D211,$C$5:$AT$510,11,)/VLOOKUP($D211,$C$5:$AT$510,3,))*$E211)</f>
        <v>3.7265364028251327</v>
      </c>
      <c r="N211" s="45">
        <f>IF(VLOOKUP($D211,$C$5:$AT$510,3,)=0,0,(VLOOKUP($D211,$C$5:$AT$510,12,)/VLOOKUP($D211,$C$5:$AT$510,3,))*$E211)</f>
        <v>0.93163410070628316</v>
      </c>
      <c r="O211" s="45">
        <f>IF(VLOOKUP($D211,$C$5:$AT$510,3,)=0,0,(VLOOKUP($D211,$C$5:$AT$510,13,)/VLOOKUP($D211,$C$5:$AT$510,3,))*$E211)</f>
        <v>0.93163410070628316</v>
      </c>
      <c r="P211" s="45">
        <f>IF(VLOOKUP($D211,$C$5:$AT$510,3,)=0,0,(VLOOKUP($D211,$C$5:$AT$510,14,)/VLOOKUP($D211,$C$5:$AT$510,3,))*$E211)</f>
        <v>3.7265364028251327</v>
      </c>
      <c r="Q211" s="45">
        <f>IF(VLOOKUP($D211,$C$5:$AT$510,3,)=0,0,(VLOOKUP($D211,$C$5:$AT$510,15,)/VLOOKUP($D211,$C$5:$AT$510,3,))*$E211)</f>
        <v>3353.8827625426193</v>
      </c>
      <c r="R211" s="45">
        <f>IF(VLOOKUP($D211,$C$5:$AT$510,3,)=0,0,(VLOOKUP($D211,$C$5:$AT$510,16,)/VLOOKUP($D211,$C$5:$AT$510,3,))*$E211)</f>
        <v>41.923534531782742</v>
      </c>
      <c r="S211" s="45">
        <f>IF(VLOOKUP($D211,$C$5:$AT$510,3,)=0,0,(VLOOKUP($D211,$C$5:$AT$510,17,)/VLOOKUP($D211,$C$5:$AT$510,3,))*$E211)</f>
        <v>0</v>
      </c>
      <c r="T211" s="45">
        <f>IF(VLOOKUP($D211,$C$5:$AT$510,3,)=0,0,(VLOOKUP($D211,$C$5:$AT$510,18,)/VLOOKUP($D211,$C$5:$AT$510,3,))*$E211)</f>
        <v>293.46474172247923</v>
      </c>
      <c r="U211" s="45">
        <f>IF(VLOOKUP($D211,$C$5:$AT$510,3,)=0,0,(VLOOKUP($D211,$C$5:$AT$510,19,)/VLOOKUP($D211,$C$5:$AT$510,3,))*$E211)</f>
        <v>5408.135954599974</v>
      </c>
      <c r="V211" s="45">
        <f>IF(VLOOKUP($D211,$C$5:$AT$510,3,)=0,0,(VLOOKUP($D211,$C$5:$AT$510,20,)/VLOOKUP($D211,$C$5:$AT$510,3,))*$E211)</f>
        <v>0</v>
      </c>
      <c r="W211" s="45">
        <f>IF(VLOOKUP($D211,$C$5:$AT$510,3,)=0,0,(VLOOKUP($D211,$C$5:$AT$510,21,)/VLOOKUP($D211,$C$5:$AT$510,3,))*$E211)</f>
        <v>0</v>
      </c>
      <c r="X211" s="45">
        <f>IF(VLOOKUP($D211,$C$5:$AT$510,3,)=0,0,(VLOOKUP($D211,$C$5:$AT$510,22,)/VLOOKUP($D211,$C$5:$AT$510,3,))*$E211)</f>
        <v>0</v>
      </c>
      <c r="Y211" s="45">
        <f>IF(VLOOKUP($D211,$C$5:$AT$510,3,)=0,0,(VLOOKUP($D211,$C$5:$AT$510,23,)/VLOOKUP($D211,$C$5:$AT$510,3,))*$E211)</f>
        <v>0</v>
      </c>
      <c r="Z211" s="45">
        <f>IF(VLOOKUP($D211,$C$5:$AT$510,3,)=0,0,(VLOOKUP($D211,$C$5:$AT$510,24,)/VLOOKUP($D211,$C$5:$AT$510,3,))*$E211)</f>
        <v>0</v>
      </c>
      <c r="AA211" s="45">
        <f>IF(VLOOKUP($D211,$C$5:$AT$510,3,)=0,0,(VLOOKUP($D211,$C$5:$AT$510,25,)/VLOOKUP($D211,$C$5:$AT$510,3,))*$E211)</f>
        <v>0</v>
      </c>
      <c r="AB211" s="45">
        <f>IF(VLOOKUP($D211,$C$5:$AT$510,3,)=0,0,(VLOOKUP($D211,$C$5:$AT$510,26,)/VLOOKUP($D211,$C$5:$AT$510,3,))*$E211)</f>
        <v>0</v>
      </c>
      <c r="AC211" s="45">
        <f>IF(VLOOKUP($D211,$C$5:$AT$510,3,)=0,0,(VLOOKUP($D211,$C$5:$AT$510,27,)/VLOOKUP($D211,$C$5:$AT$510,3,))*$E211)</f>
        <v>0</v>
      </c>
      <c r="AD211" s="45">
        <f>IF(VLOOKUP($D211,$C$5:$AT$510,3,)=0,0,(VLOOKUP($D211,$C$5:$AT$510,28,)/VLOOKUP($D211,$C$5:$AT$510,3,))*$E211)</f>
        <v>0</v>
      </c>
      <c r="AE211" s="45">
        <f>IF(VLOOKUP($D211,$C$5:$AT$510,3,)=0,0,(VLOOKUP($D211,$C$5:$AT$510,29,)/VLOOKUP($D211,$C$5:$AT$510,3,))*$E211)</f>
        <v>0</v>
      </c>
      <c r="AF211" s="45">
        <f>IF(VLOOKUP($D211,$C$5:$AT$510,3,)=0,0,(VLOOKUP($D211,$C$5:$AT$510,30,)/VLOOKUP($D211,$C$5:$AT$510,3,))*$E211)</f>
        <v>0</v>
      </c>
      <c r="AG211" s="69">
        <f>SUM(F211:AF211)</f>
        <v>1117725.2174200607</v>
      </c>
      <c r="AH211" s="14" t="str">
        <f>IF(ABS(E211-AG211)&lt;0.01,"ok","err")</f>
        <v>ok</v>
      </c>
    </row>
    <row r="212" spans="1:34" x14ac:dyDescent="0.2">
      <c r="A212" s="2" t="s">
        <v>224</v>
      </c>
      <c r="E212" s="45">
        <f t="shared" ref="E212:T212" si="43">E210+E211</f>
        <v>3286605.8734744275</v>
      </c>
      <c r="F212" s="45">
        <f t="shared" si="43"/>
        <v>2770984.822286726</v>
      </c>
      <c r="G212" s="45">
        <f t="shared" si="43"/>
        <v>0</v>
      </c>
      <c r="H212" s="45">
        <f t="shared" si="43"/>
        <v>104.64001627655337</v>
      </c>
      <c r="I212" s="45">
        <f t="shared" si="43"/>
        <v>224996.94027639221</v>
      </c>
      <c r="J212" s="45">
        <f t="shared" si="43"/>
        <v>134079.4501460492</v>
      </c>
      <c r="K212" s="45">
        <f t="shared" si="43"/>
        <v>1568.6028301960575</v>
      </c>
      <c r="L212" s="45">
        <f t="shared" si="43"/>
        <v>0</v>
      </c>
      <c r="M212" s="45">
        <f t="shared" si="43"/>
        <v>44041.157882156112</v>
      </c>
      <c r="N212" s="45">
        <f t="shared" si="43"/>
        <v>47878.17506342398</v>
      </c>
      <c r="O212" s="45">
        <f t="shared" si="43"/>
        <v>11931.429780272072</v>
      </c>
      <c r="P212" s="45">
        <f t="shared" si="43"/>
        <v>3507.3088077695515</v>
      </c>
      <c r="Q212" s="45">
        <f t="shared" si="43"/>
        <v>11625.491503618927</v>
      </c>
      <c r="R212" s="45">
        <f t="shared" si="43"/>
        <v>27987.957676406462</v>
      </c>
      <c r="S212" s="45">
        <f t="shared" si="43"/>
        <v>0</v>
      </c>
      <c r="T212" s="45">
        <f t="shared" si="43"/>
        <v>1636.6025667155363</v>
      </c>
      <c r="U212" s="45">
        <f t="shared" ref="U212:AF212" si="44">U210+U211</f>
        <v>6263.2946384244178</v>
      </c>
      <c r="V212" s="45">
        <f t="shared" si="44"/>
        <v>0</v>
      </c>
      <c r="W212" s="45">
        <f t="shared" si="44"/>
        <v>0</v>
      </c>
      <c r="X212" s="45">
        <f t="shared" si="44"/>
        <v>0</v>
      </c>
      <c r="Y212" s="45">
        <f t="shared" si="44"/>
        <v>0</v>
      </c>
      <c r="Z212" s="45">
        <f t="shared" si="44"/>
        <v>0</v>
      </c>
      <c r="AA212" s="45">
        <f t="shared" si="44"/>
        <v>0</v>
      </c>
      <c r="AB212" s="45">
        <f t="shared" si="44"/>
        <v>0</v>
      </c>
      <c r="AC212" s="45">
        <f t="shared" si="44"/>
        <v>0</v>
      </c>
      <c r="AD212" s="45">
        <f t="shared" si="44"/>
        <v>0</v>
      </c>
      <c r="AE212" s="45">
        <f t="shared" si="44"/>
        <v>0</v>
      </c>
      <c r="AF212" s="45">
        <f t="shared" si="44"/>
        <v>0</v>
      </c>
      <c r="AG212" s="69">
        <f>SUM(F212:AF212)</f>
        <v>3286605.8734744275</v>
      </c>
      <c r="AH212" s="14" t="str">
        <f>IF(ABS(E212-AG212)&lt;0.01,"ok","err")</f>
        <v>ok</v>
      </c>
    </row>
    <row r="213" spans="1:34" x14ac:dyDescent="0.2">
      <c r="E213" s="32"/>
    </row>
    <row r="214" spans="1:34" x14ac:dyDescent="0.2">
      <c r="A214" s="1" t="s">
        <v>3</v>
      </c>
      <c r="E214" s="32"/>
    </row>
    <row r="215" spans="1:34" x14ac:dyDescent="0.2">
      <c r="A215" s="72" t="s">
        <v>209</v>
      </c>
      <c r="C215" s="2" t="s">
        <v>292</v>
      </c>
      <c r="D215" s="2" t="s">
        <v>699</v>
      </c>
      <c r="E215" s="45">
        <f>'Func &amp; Classif'!R323</f>
        <v>0</v>
      </c>
      <c r="F215" s="45">
        <f>IF(VLOOKUP($D215,$C$5:$AT$510,3,)=0,0,(VLOOKUP($D215,$C$5:$AT$510,4,)/VLOOKUP($D215,$C$5:$AT$510,3,))*$E215)</f>
        <v>0</v>
      </c>
      <c r="G215" s="45">
        <f>IF(VLOOKUP($D215,$C$5:$AT$510,3,)=0,0,(VLOOKUP($D215,$C$5:$AT$510,5,)/VLOOKUP($D215,$C$5:$AT$510,3,))*$E215)</f>
        <v>0</v>
      </c>
      <c r="H215" s="45">
        <f>IF(VLOOKUP($D215,$C$5:$AT$510,3,)=0,0,(VLOOKUP($D215,$C$5:$AT$510,6,)/VLOOKUP($D215,$C$5:$AT$510,3,))*$E215)</f>
        <v>0</v>
      </c>
      <c r="I215" s="45">
        <f>IF(VLOOKUP($D215,$C$5:$AT$510,3,)=0,0,(VLOOKUP($D215,$C$5:$AT$510,7,)/VLOOKUP($D215,$C$5:$AT$510,3,))*$E215)</f>
        <v>0</v>
      </c>
      <c r="J215" s="45">
        <f>IF(VLOOKUP($D215,$C$5:$AT$510,3,)=0,0,(VLOOKUP($D215,$C$5:$AT$510,8,)/VLOOKUP($D215,$C$5:$AT$510,3,))*$E215)</f>
        <v>0</v>
      </c>
      <c r="K215" s="45">
        <f>IF(VLOOKUP($D215,$C$5:$AT$510,3,)=0,0,(VLOOKUP($D215,$C$5:$AT$510,9,)/VLOOKUP($D215,$C$5:$AT$510,3,))*$E215)</f>
        <v>0</v>
      </c>
      <c r="L215" s="45">
        <f>IF(VLOOKUP($D215,$C$5:$AT$510,3,)=0,0,(VLOOKUP($D215,$C$5:$AT$510,10,)/VLOOKUP($D215,$C$5:$AT$510,3,))*$E215)</f>
        <v>0</v>
      </c>
      <c r="M215" s="45">
        <f>IF(VLOOKUP($D215,$C$5:$AT$510,3,)=0,0,(VLOOKUP($D215,$C$5:$AT$510,11,)/VLOOKUP($D215,$C$5:$AT$510,3,))*$E215)</f>
        <v>0</v>
      </c>
      <c r="N215" s="45">
        <f>IF(VLOOKUP($D215,$C$5:$AT$510,3,)=0,0,(VLOOKUP($D215,$C$5:$AT$510,12,)/VLOOKUP($D215,$C$5:$AT$510,3,))*$E215)</f>
        <v>0</v>
      </c>
      <c r="O215" s="45">
        <f>IF(VLOOKUP($D215,$C$5:$AT$510,3,)=0,0,(VLOOKUP($D215,$C$5:$AT$510,13,)/VLOOKUP($D215,$C$5:$AT$510,3,))*$E215)</f>
        <v>0</v>
      </c>
      <c r="P215" s="45">
        <f>IF(VLOOKUP($D215,$C$5:$AT$510,3,)=0,0,(VLOOKUP($D215,$C$5:$AT$510,14,)/VLOOKUP($D215,$C$5:$AT$510,3,))*$E215)</f>
        <v>0</v>
      </c>
      <c r="Q215" s="45">
        <f>IF(VLOOKUP($D215,$C$5:$AT$510,3,)=0,0,(VLOOKUP($D215,$C$5:$AT$510,15,)/VLOOKUP($D215,$C$5:$AT$510,3,))*$E215)</f>
        <v>0</v>
      </c>
      <c r="R215" s="45">
        <f>IF(VLOOKUP($D215,$C$5:$AT$510,3,)=0,0,(VLOOKUP($D215,$C$5:$AT$510,16,)/VLOOKUP($D215,$C$5:$AT$510,3,))*$E215)</f>
        <v>0</v>
      </c>
      <c r="S215" s="45">
        <f>IF(VLOOKUP($D215,$C$5:$AT$510,3,)=0,0,(VLOOKUP($D215,$C$5:$AT$510,17,)/VLOOKUP($D215,$C$5:$AT$510,3,))*$E215)</f>
        <v>0</v>
      </c>
      <c r="T215" s="45">
        <f>IF(VLOOKUP($D215,$C$5:$AT$510,3,)=0,0,(VLOOKUP($D215,$C$5:$AT$510,18,)/VLOOKUP($D215,$C$5:$AT$510,3,))*$E215)</f>
        <v>0</v>
      </c>
      <c r="U215" s="45">
        <f>IF(VLOOKUP($D215,$C$5:$AT$510,3,)=0,0,(VLOOKUP($D215,$C$5:$AT$510,19,)/VLOOKUP($D215,$C$5:$AT$510,3,))*$E215)</f>
        <v>0</v>
      </c>
      <c r="V215" s="45">
        <f>IF(VLOOKUP($D215,$C$5:$AT$510,3,)=0,0,(VLOOKUP($D215,$C$5:$AT$510,20,)/VLOOKUP($D215,$C$5:$AT$510,3,))*$E215)</f>
        <v>0</v>
      </c>
      <c r="W215" s="45">
        <f>IF(VLOOKUP($D215,$C$5:$AT$510,3,)=0,0,(VLOOKUP($D215,$C$5:$AT$510,21,)/VLOOKUP($D215,$C$5:$AT$510,3,))*$E215)</f>
        <v>0</v>
      </c>
      <c r="X215" s="45">
        <f>IF(VLOOKUP($D215,$C$5:$AT$510,3,)=0,0,(VLOOKUP($D215,$C$5:$AT$510,22,)/VLOOKUP($D215,$C$5:$AT$510,3,))*$E215)</f>
        <v>0</v>
      </c>
      <c r="Y215" s="45">
        <f>IF(VLOOKUP($D215,$C$5:$AT$510,3,)=0,0,(VLOOKUP($D215,$C$5:$AT$510,23,)/VLOOKUP($D215,$C$5:$AT$510,3,))*$E215)</f>
        <v>0</v>
      </c>
      <c r="Z215" s="45">
        <f>IF(VLOOKUP($D215,$C$5:$AT$510,3,)=0,0,(VLOOKUP($D215,$C$5:$AT$510,24,)/VLOOKUP($D215,$C$5:$AT$510,3,))*$E215)</f>
        <v>0</v>
      </c>
      <c r="AA215" s="45">
        <f>IF(VLOOKUP($D215,$C$5:$AT$510,3,)=0,0,(VLOOKUP($D215,$C$5:$AT$510,25,)/VLOOKUP($D215,$C$5:$AT$510,3,))*$E215)</f>
        <v>0</v>
      </c>
      <c r="AB215" s="45">
        <f>IF(VLOOKUP($D215,$C$5:$AT$510,3,)=0,0,(VLOOKUP($D215,$C$5:$AT$510,26,)/VLOOKUP($D215,$C$5:$AT$510,3,))*$E215)</f>
        <v>0</v>
      </c>
      <c r="AC215" s="45">
        <f>IF(VLOOKUP($D215,$C$5:$AT$510,3,)=0,0,(VLOOKUP($D215,$C$5:$AT$510,27,)/VLOOKUP($D215,$C$5:$AT$510,3,))*$E215)</f>
        <v>0</v>
      </c>
      <c r="AD215" s="45">
        <f>IF(VLOOKUP($D215,$C$5:$AT$510,3,)=0,0,(VLOOKUP($D215,$C$5:$AT$510,28,)/VLOOKUP($D215,$C$5:$AT$510,3,))*$E215)</f>
        <v>0</v>
      </c>
      <c r="AE215" s="45">
        <f>IF(VLOOKUP($D215,$C$5:$AT$510,3,)=0,0,(VLOOKUP($D215,$C$5:$AT$510,29,)/VLOOKUP($D215,$C$5:$AT$510,3,))*$E215)</f>
        <v>0</v>
      </c>
      <c r="AF215" s="45">
        <f>IF(VLOOKUP($D215,$C$5:$AT$510,3,)=0,0,(VLOOKUP($D215,$C$5:$AT$510,30,)/VLOOKUP($D215,$C$5:$AT$510,3,))*$E215)</f>
        <v>0</v>
      </c>
      <c r="AG215" s="69">
        <f>SUM(F215:AF215)</f>
        <v>0</v>
      </c>
      <c r="AH215" s="14" t="str">
        <f>IF(ABS(E215-AG215)&lt;0.01,"ok","err")</f>
        <v>ok</v>
      </c>
    </row>
    <row r="216" spans="1:34" x14ac:dyDescent="0.2">
      <c r="A216" s="72" t="s">
        <v>221</v>
      </c>
      <c r="C216" s="2" t="s">
        <v>293</v>
      </c>
      <c r="D216" s="2" t="s">
        <v>699</v>
      </c>
      <c r="E216" s="32">
        <f>'Func &amp; Classif'!S323</f>
        <v>405850.01264631294</v>
      </c>
      <c r="F216" s="45">
        <f>IF(VLOOKUP($D216,$C$5:$AT$510,3,)=0,0,(VLOOKUP($D216,$C$5:$AT$510,4,)/VLOOKUP($D216,$C$5:$AT$510,3,))*$E216)</f>
        <v>353759.24748241314</v>
      </c>
      <c r="G216" s="45">
        <f>IF(VLOOKUP($D216,$C$5:$AT$510,3,)=0,0,(VLOOKUP($D216,$C$5:$AT$510,5,)/VLOOKUP($D216,$C$5:$AT$510,3,))*$E216)</f>
        <v>0</v>
      </c>
      <c r="H216" s="45">
        <f>IF(VLOOKUP($D216,$C$5:$AT$510,3,)=0,0,(VLOOKUP($D216,$C$5:$AT$510,6,)/VLOOKUP($D216,$C$5:$AT$510,3,))*$E216)</f>
        <v>14.395672152779897</v>
      </c>
      <c r="I216" s="45">
        <f>IF(VLOOKUP($D216,$C$5:$AT$510,3,)=0,0,(VLOOKUP($D216,$C$5:$AT$510,7,)/VLOOKUP($D216,$C$5:$AT$510,3,))*$E216)</f>
        <v>35614.148917257349</v>
      </c>
      <c r="J216" s="45">
        <f>IF(VLOOKUP($D216,$C$5:$AT$510,3,)=0,0,(VLOOKUP($D216,$C$5:$AT$510,8,)/VLOOKUP($D216,$C$5:$AT$510,3,))*$E216)</f>
        <v>11874.579745869447</v>
      </c>
      <c r="K216" s="45">
        <f>IF(VLOOKUP($D216,$C$5:$AT$510,3,)=0,0,(VLOOKUP($D216,$C$5:$AT$510,9,)/VLOOKUP($D216,$C$5:$AT$510,3,))*$E216)</f>
        <v>83.153479004977811</v>
      </c>
      <c r="L216" s="45">
        <f>IF(VLOOKUP($D216,$C$5:$AT$510,3,)=0,0,(VLOOKUP($D216,$C$5:$AT$510,10,)/VLOOKUP($D216,$C$5:$AT$510,3,))*$E216)</f>
        <v>0</v>
      </c>
      <c r="M216" s="45">
        <f>IF(VLOOKUP($D216,$C$5:$AT$510,3,)=0,0,(VLOOKUP($D216,$C$5:$AT$510,11,)/VLOOKUP($D216,$C$5:$AT$510,3,))*$E216)</f>
        <v>176.52915919171721</v>
      </c>
      <c r="N216" s="45">
        <f>IF(VLOOKUP($D216,$C$5:$AT$510,3,)=0,0,(VLOOKUP($D216,$C$5:$AT$510,12,)/VLOOKUP($D216,$C$5:$AT$510,3,))*$E216)</f>
        <v>1668.8635196527282</v>
      </c>
      <c r="O216" s="45">
        <f>IF(VLOOKUP($D216,$C$5:$AT$510,3,)=0,0,(VLOOKUP($D216,$C$5:$AT$510,13,)/VLOOKUP($D216,$C$5:$AT$510,3,))*$E216)</f>
        <v>299.44781612385185</v>
      </c>
      <c r="P216" s="45">
        <f>IF(VLOOKUP($D216,$C$5:$AT$510,3,)=0,0,(VLOOKUP($D216,$C$5:$AT$510,14,)/VLOOKUP($D216,$C$5:$AT$510,3,))*$E216)</f>
        <v>237.77064164556103</v>
      </c>
      <c r="Q216" s="45">
        <f>IF(VLOOKUP($D216,$C$5:$AT$510,3,)=0,0,(VLOOKUP($D216,$C$5:$AT$510,15,)/VLOOKUP($D216,$C$5:$AT$510,3,))*$E216)</f>
        <v>1223.4028213944769</v>
      </c>
      <c r="R216" s="45">
        <f>IF(VLOOKUP($D216,$C$5:$AT$510,3,)=0,0,(VLOOKUP($D216,$C$5:$AT$510,16,)/VLOOKUP($D216,$C$5:$AT$510,3,))*$E216)</f>
        <v>0</v>
      </c>
      <c r="S216" s="45">
        <f>IF(VLOOKUP($D216,$C$5:$AT$510,3,)=0,0,(VLOOKUP($D216,$C$5:$AT$510,17,)/VLOOKUP($D216,$C$5:$AT$510,3,))*$E216)</f>
        <v>0</v>
      </c>
      <c r="T216" s="45">
        <f>IF(VLOOKUP($D216,$C$5:$AT$510,3,)=0,0,(VLOOKUP($D216,$C$5:$AT$510,18,)/VLOOKUP($D216,$C$5:$AT$510,3,))*$E216)</f>
        <v>898.47339160691683</v>
      </c>
      <c r="U216" s="45">
        <f>IF(VLOOKUP($D216,$C$5:$AT$510,3,)=0,0,(VLOOKUP($D216,$C$5:$AT$510,19,)/VLOOKUP($D216,$C$5:$AT$510,3,))*$E216)</f>
        <v>0</v>
      </c>
      <c r="V216" s="45">
        <f>IF(VLOOKUP($D216,$C$5:$AT$510,3,)=0,0,(VLOOKUP($D216,$C$5:$AT$510,20,)/VLOOKUP($D216,$C$5:$AT$510,3,))*$E216)</f>
        <v>0</v>
      </c>
      <c r="W216" s="45">
        <f>IF(VLOOKUP($D216,$C$5:$AT$510,3,)=0,0,(VLOOKUP($D216,$C$5:$AT$510,21,)/VLOOKUP($D216,$C$5:$AT$510,3,))*$E216)</f>
        <v>0</v>
      </c>
      <c r="X216" s="45">
        <f>IF(VLOOKUP($D216,$C$5:$AT$510,3,)=0,0,(VLOOKUP($D216,$C$5:$AT$510,22,)/VLOOKUP($D216,$C$5:$AT$510,3,))*$E216)</f>
        <v>0</v>
      </c>
      <c r="Y216" s="45">
        <f>IF(VLOOKUP($D216,$C$5:$AT$510,3,)=0,0,(VLOOKUP($D216,$C$5:$AT$510,23,)/VLOOKUP($D216,$C$5:$AT$510,3,))*$E216)</f>
        <v>0</v>
      </c>
      <c r="Z216" s="45">
        <f>IF(VLOOKUP($D216,$C$5:$AT$510,3,)=0,0,(VLOOKUP($D216,$C$5:$AT$510,24,)/VLOOKUP($D216,$C$5:$AT$510,3,))*$E216)</f>
        <v>0</v>
      </c>
      <c r="AA216" s="45">
        <f>IF(VLOOKUP($D216,$C$5:$AT$510,3,)=0,0,(VLOOKUP($D216,$C$5:$AT$510,25,)/VLOOKUP($D216,$C$5:$AT$510,3,))*$E216)</f>
        <v>0</v>
      </c>
      <c r="AB216" s="45">
        <f>IF(VLOOKUP($D216,$C$5:$AT$510,3,)=0,0,(VLOOKUP($D216,$C$5:$AT$510,26,)/VLOOKUP($D216,$C$5:$AT$510,3,))*$E216)</f>
        <v>0</v>
      </c>
      <c r="AC216" s="45">
        <f>IF(VLOOKUP($D216,$C$5:$AT$510,3,)=0,0,(VLOOKUP($D216,$C$5:$AT$510,27,)/VLOOKUP($D216,$C$5:$AT$510,3,))*$E216)</f>
        <v>0</v>
      </c>
      <c r="AD216" s="45">
        <f>IF(VLOOKUP($D216,$C$5:$AT$510,3,)=0,0,(VLOOKUP($D216,$C$5:$AT$510,28,)/VLOOKUP($D216,$C$5:$AT$510,3,))*$E216)</f>
        <v>0</v>
      </c>
      <c r="AE216" s="45">
        <f>IF(VLOOKUP($D216,$C$5:$AT$510,3,)=0,0,(VLOOKUP($D216,$C$5:$AT$510,29,)/VLOOKUP($D216,$C$5:$AT$510,3,))*$E216)</f>
        <v>0</v>
      </c>
      <c r="AF216" s="45">
        <f>IF(VLOOKUP($D216,$C$5:$AT$510,3,)=0,0,(VLOOKUP($D216,$C$5:$AT$510,30,)/VLOOKUP($D216,$C$5:$AT$510,3,))*$E216)</f>
        <v>0</v>
      </c>
      <c r="AG216" s="69">
        <f>SUM(F216:AF216)</f>
        <v>405850.01264631294</v>
      </c>
      <c r="AH216" s="14" t="str">
        <f>IF(ABS(E216-AG216)&lt;0.01,"ok","err")</f>
        <v>ok</v>
      </c>
    </row>
    <row r="217" spans="1:34" x14ac:dyDescent="0.2">
      <c r="A217" s="2" t="s">
        <v>228</v>
      </c>
      <c r="E217" s="45">
        <f t="shared" ref="E217:T217" si="45">E215+E216</f>
        <v>405850.01264631294</v>
      </c>
      <c r="F217" s="45">
        <f t="shared" si="45"/>
        <v>353759.24748241314</v>
      </c>
      <c r="G217" s="45">
        <f t="shared" si="45"/>
        <v>0</v>
      </c>
      <c r="H217" s="45">
        <f t="shared" si="45"/>
        <v>14.395672152779897</v>
      </c>
      <c r="I217" s="45">
        <f t="shared" si="45"/>
        <v>35614.148917257349</v>
      </c>
      <c r="J217" s="45">
        <f t="shared" si="45"/>
        <v>11874.579745869447</v>
      </c>
      <c r="K217" s="45">
        <f t="shared" si="45"/>
        <v>83.153479004977811</v>
      </c>
      <c r="L217" s="45">
        <f t="shared" si="45"/>
        <v>0</v>
      </c>
      <c r="M217" s="45">
        <f t="shared" si="45"/>
        <v>176.52915919171721</v>
      </c>
      <c r="N217" s="45">
        <f t="shared" si="45"/>
        <v>1668.8635196527282</v>
      </c>
      <c r="O217" s="45">
        <f t="shared" si="45"/>
        <v>299.44781612385185</v>
      </c>
      <c r="P217" s="45">
        <f t="shared" si="45"/>
        <v>237.77064164556103</v>
      </c>
      <c r="Q217" s="45">
        <f t="shared" si="45"/>
        <v>1223.4028213944769</v>
      </c>
      <c r="R217" s="45">
        <f t="shared" si="45"/>
        <v>0</v>
      </c>
      <c r="S217" s="45">
        <f t="shared" si="45"/>
        <v>0</v>
      </c>
      <c r="T217" s="45">
        <f t="shared" si="45"/>
        <v>898.47339160691683</v>
      </c>
      <c r="U217" s="45">
        <f t="shared" ref="U217:AF217" si="46">U215+U216</f>
        <v>0</v>
      </c>
      <c r="V217" s="45">
        <f t="shared" si="46"/>
        <v>0</v>
      </c>
      <c r="W217" s="45">
        <f t="shared" si="46"/>
        <v>0</v>
      </c>
      <c r="X217" s="45">
        <f t="shared" si="46"/>
        <v>0</v>
      </c>
      <c r="Y217" s="45">
        <f t="shared" si="46"/>
        <v>0</v>
      </c>
      <c r="Z217" s="45">
        <f t="shared" si="46"/>
        <v>0</v>
      </c>
      <c r="AA217" s="45">
        <f t="shared" si="46"/>
        <v>0</v>
      </c>
      <c r="AB217" s="45">
        <f t="shared" si="46"/>
        <v>0</v>
      </c>
      <c r="AC217" s="45">
        <f t="shared" si="46"/>
        <v>0</v>
      </c>
      <c r="AD217" s="45">
        <f t="shared" si="46"/>
        <v>0</v>
      </c>
      <c r="AE217" s="45">
        <f t="shared" si="46"/>
        <v>0</v>
      </c>
      <c r="AF217" s="45">
        <f t="shared" si="46"/>
        <v>0</v>
      </c>
      <c r="AG217" s="69">
        <f>SUM(F217:AF217)</f>
        <v>405850.01264631294</v>
      </c>
      <c r="AH217" s="14" t="str">
        <f>IF(ABS(E217-AG217)&lt;0.01,"ok","err")</f>
        <v>ok</v>
      </c>
    </row>
    <row r="218" spans="1:34" x14ac:dyDescent="0.2">
      <c r="E218" s="32"/>
    </row>
    <row r="219" spans="1:34" x14ac:dyDescent="0.2">
      <c r="A219" s="1" t="s">
        <v>4</v>
      </c>
      <c r="E219" s="32"/>
    </row>
    <row r="220" spans="1:34" x14ac:dyDescent="0.2">
      <c r="A220" s="72" t="s">
        <v>221</v>
      </c>
      <c r="C220" s="2" t="s">
        <v>294</v>
      </c>
      <c r="D220" s="2" t="s">
        <v>230</v>
      </c>
      <c r="E220" s="45">
        <f>'Func &amp; Classif'!U323</f>
        <v>228734.41468918303</v>
      </c>
      <c r="F220" s="45">
        <f>IF(VLOOKUP($D220,$C$5:$AT$510,3,)=0,0,(VLOOKUP($D220,$C$5:$AT$510,4,)/VLOOKUP($D220,$C$5:$AT$510,3,))*$E220)</f>
        <v>201801.29434355395</v>
      </c>
      <c r="G220" s="45">
        <f>IF(VLOOKUP($D220,$C$5:$AT$510,3,)=0,0,(VLOOKUP($D220,$C$5:$AT$510,5,)/VLOOKUP($D220,$C$5:$AT$510,3,))*$E220)</f>
        <v>0</v>
      </c>
      <c r="H220" s="45">
        <f>IF(VLOOKUP($D220,$C$5:$AT$510,3,)=0,0,(VLOOKUP($D220,$C$5:$AT$510,6,)/VLOOKUP($D220,$C$5:$AT$510,3,))*$E220)</f>
        <v>8.2119839807745567</v>
      </c>
      <c r="I220" s="45">
        <f>IF(VLOOKUP($D220,$C$5:$AT$510,3,)=0,0,(VLOOKUP($D220,$C$5:$AT$510,7,)/VLOOKUP($D220,$C$5:$AT$510,3,))*$E220)</f>
        <v>14518.787678009416</v>
      </c>
      <c r="J220" s="45">
        <f>IF(VLOOKUP($D220,$C$5:$AT$510,3,)=0,0,(VLOOKUP($D220,$C$5:$AT$510,8,)/VLOOKUP($D220,$C$5:$AT$510,3,))*$E220)</f>
        <v>8407.668543773716</v>
      </c>
      <c r="K220" s="45">
        <f>IF(VLOOKUP($D220,$C$5:$AT$510,3,)=0,0,(VLOOKUP($D220,$C$5:$AT$510,9,)/VLOOKUP($D220,$C$5:$AT$510,3,))*$E220)</f>
        <v>673.38268642351363</v>
      </c>
      <c r="L220" s="45">
        <f>IF(VLOOKUP($D220,$C$5:$AT$510,3,)=0,0,(VLOOKUP($D220,$C$5:$AT$510,10,)/VLOOKUP($D220,$C$5:$AT$510,3,))*$E220)</f>
        <v>0</v>
      </c>
      <c r="M220" s="45">
        <f>IF(VLOOKUP($D220,$C$5:$AT$510,3,)=0,0,(VLOOKUP($D220,$C$5:$AT$510,11,)/VLOOKUP($D220,$C$5:$AT$510,3,))*$E220)</f>
        <v>1061.6981098360191</v>
      </c>
      <c r="N220" s="45">
        <f>IF(VLOOKUP($D220,$C$5:$AT$510,3,)=0,0,(VLOOKUP($D220,$C$5:$AT$510,12,)/VLOOKUP($D220,$C$5:$AT$510,3,))*$E220)</f>
        <v>277.10287653719172</v>
      </c>
      <c r="O220" s="45">
        <f>IF(VLOOKUP($D220,$C$5:$AT$510,3,)=0,0,(VLOOKUP($D220,$C$5:$AT$510,13,)/VLOOKUP($D220,$C$5:$AT$510,3,))*$E220)</f>
        <v>265.42452745900476</v>
      </c>
      <c r="P220" s="45">
        <f>IF(VLOOKUP($D220,$C$5:$AT$510,3,)=0,0,(VLOOKUP($D220,$C$5:$AT$510,14,)/VLOOKUP($D220,$C$5:$AT$510,3,))*$E220)</f>
        <v>192.30073040406751</v>
      </c>
      <c r="Q220" s="45">
        <f>IF(VLOOKUP($D220,$C$5:$AT$510,3,)=0,0,(VLOOKUP($D220,$C$5:$AT$510,15,)/VLOOKUP($D220,$C$5:$AT$510,3,))*$E220)</f>
        <v>656.95871846196451</v>
      </c>
      <c r="R220" s="45">
        <f>IF(VLOOKUP($D220,$C$5:$AT$510,3,)=0,0,(VLOOKUP($D220,$C$5:$AT$510,16,)/VLOOKUP($D220,$C$5:$AT$510,3,))*$E220)</f>
        <v>277.10287653719172</v>
      </c>
      <c r="S220" s="45">
        <f>IF(VLOOKUP($D220,$C$5:$AT$510,3,)=0,0,(VLOOKUP($D220,$C$5:$AT$510,17,)/VLOOKUP($D220,$C$5:$AT$510,3,))*$E220)</f>
        <v>0</v>
      </c>
      <c r="T220" s="45">
        <f>IF(VLOOKUP($D220,$C$5:$AT$510,3,)=0,0,(VLOOKUP($D220,$C$5:$AT$510,18,)/VLOOKUP($D220,$C$5:$AT$510,3,))*$E220)</f>
        <v>594.4816142062225</v>
      </c>
      <c r="U220" s="45">
        <f>IF(VLOOKUP($D220,$C$5:$AT$510,3,)=0,0,(VLOOKUP($D220,$C$5:$AT$510,19,)/VLOOKUP($D220,$C$5:$AT$510,3,))*$E220)</f>
        <v>0</v>
      </c>
      <c r="V220" s="45">
        <f>IF(VLOOKUP($D220,$C$5:$AT$510,3,)=0,0,(VLOOKUP($D220,$C$5:$AT$510,20,)/VLOOKUP($D220,$C$5:$AT$510,3,))*$E220)</f>
        <v>0</v>
      </c>
      <c r="W220" s="45">
        <f>IF(VLOOKUP($D220,$C$5:$AT$510,3,)=0,0,(VLOOKUP($D220,$C$5:$AT$510,21,)/VLOOKUP($D220,$C$5:$AT$510,3,))*$E220)</f>
        <v>0</v>
      </c>
      <c r="X220" s="45">
        <f>IF(VLOOKUP($D220,$C$5:$AT$510,3,)=0,0,(VLOOKUP($D220,$C$5:$AT$510,22,)/VLOOKUP($D220,$C$5:$AT$510,3,))*$E220)</f>
        <v>0</v>
      </c>
      <c r="Y220" s="45">
        <f>IF(VLOOKUP($D220,$C$5:$AT$510,3,)=0,0,(VLOOKUP($D220,$C$5:$AT$510,23,)/VLOOKUP($D220,$C$5:$AT$510,3,))*$E220)</f>
        <v>0</v>
      </c>
      <c r="Z220" s="45">
        <f>IF(VLOOKUP($D220,$C$5:$AT$510,3,)=0,0,(VLOOKUP($D220,$C$5:$AT$510,24,)/VLOOKUP($D220,$C$5:$AT$510,3,))*$E220)</f>
        <v>0</v>
      </c>
      <c r="AA220" s="45">
        <f>IF(VLOOKUP($D220,$C$5:$AT$510,3,)=0,0,(VLOOKUP($D220,$C$5:$AT$510,25,)/VLOOKUP($D220,$C$5:$AT$510,3,))*$E220)</f>
        <v>0</v>
      </c>
      <c r="AB220" s="45">
        <f>IF(VLOOKUP($D220,$C$5:$AT$510,3,)=0,0,(VLOOKUP($D220,$C$5:$AT$510,26,)/VLOOKUP($D220,$C$5:$AT$510,3,))*$E220)</f>
        <v>0</v>
      </c>
      <c r="AC220" s="45">
        <f>IF(VLOOKUP($D220,$C$5:$AT$510,3,)=0,0,(VLOOKUP($D220,$C$5:$AT$510,27,)/VLOOKUP($D220,$C$5:$AT$510,3,))*$E220)</f>
        <v>0</v>
      </c>
      <c r="AD220" s="45">
        <f>IF(VLOOKUP($D220,$C$5:$AT$510,3,)=0,0,(VLOOKUP($D220,$C$5:$AT$510,28,)/VLOOKUP($D220,$C$5:$AT$510,3,))*$E220)</f>
        <v>0</v>
      </c>
      <c r="AE220" s="45">
        <f>IF(VLOOKUP($D220,$C$5:$AT$510,3,)=0,0,(VLOOKUP($D220,$C$5:$AT$510,29,)/VLOOKUP($D220,$C$5:$AT$510,3,))*$E220)</f>
        <v>0</v>
      </c>
      <c r="AF220" s="45">
        <f>IF(VLOOKUP($D220,$C$5:$AT$510,3,)=0,0,(VLOOKUP($D220,$C$5:$AT$510,30,)/VLOOKUP($D220,$C$5:$AT$510,3,))*$E220)</f>
        <v>0</v>
      </c>
      <c r="AG220" s="69">
        <f>SUM(F220:AF220)</f>
        <v>228734.41468918303</v>
      </c>
      <c r="AH220" s="14" t="str">
        <f>IF(ABS(E220-AG220)&lt;0.01,"ok","err")</f>
        <v>ok</v>
      </c>
    </row>
    <row r="221" spans="1:34" x14ac:dyDescent="0.2">
      <c r="E221" s="32"/>
    </row>
    <row r="222" spans="1:34" x14ac:dyDescent="0.2">
      <c r="A222" s="1" t="s">
        <v>5</v>
      </c>
      <c r="E222" s="32"/>
    </row>
    <row r="223" spans="1:34" x14ac:dyDescent="0.2">
      <c r="A223" s="72" t="s">
        <v>221</v>
      </c>
      <c r="C223" s="2" t="s">
        <v>295</v>
      </c>
      <c r="D223" s="2" t="s">
        <v>232</v>
      </c>
      <c r="E223" s="45">
        <f>'Func &amp; Classif'!W323</f>
        <v>158023.24837091457</v>
      </c>
      <c r="F223" s="45">
        <f>IF(VLOOKUP($D223,$C$5:$AT$510,3,)=0,0,(VLOOKUP($D223,$C$5:$AT$510,4,)/VLOOKUP($D223,$C$5:$AT$510,3,))*$E223)</f>
        <v>0</v>
      </c>
      <c r="G223" s="45">
        <f>IF(VLOOKUP($D223,$C$5:$AT$510,3,)=0,0,(VLOOKUP($D223,$C$5:$AT$510,5,)/VLOOKUP($D223,$C$5:$AT$510,3,))*$E223)</f>
        <v>0</v>
      </c>
      <c r="H223" s="45">
        <f>IF(VLOOKUP($D223,$C$5:$AT$510,3,)=0,0,(VLOOKUP($D223,$C$5:$AT$510,6,)/VLOOKUP($D223,$C$5:$AT$510,3,))*$E223)</f>
        <v>0</v>
      </c>
      <c r="I223" s="45">
        <f>IF(VLOOKUP($D223,$C$5:$AT$510,3,)=0,0,(VLOOKUP($D223,$C$5:$AT$510,7,)/VLOOKUP($D223,$C$5:$AT$510,3,))*$E223)</f>
        <v>0</v>
      </c>
      <c r="J223" s="45">
        <f>IF(VLOOKUP($D223,$C$5:$AT$510,3,)=0,0,(VLOOKUP($D223,$C$5:$AT$510,8,)/VLOOKUP($D223,$C$5:$AT$510,3,))*$E223)</f>
        <v>0</v>
      </c>
      <c r="K223" s="45">
        <f>IF(VLOOKUP($D223,$C$5:$AT$510,3,)=0,0,(VLOOKUP($D223,$C$5:$AT$510,9,)/VLOOKUP($D223,$C$5:$AT$510,3,))*$E223)</f>
        <v>0</v>
      </c>
      <c r="L223" s="45">
        <f>IF(VLOOKUP($D223,$C$5:$AT$510,3,)=0,0,(VLOOKUP($D223,$C$5:$AT$510,10,)/VLOOKUP($D223,$C$5:$AT$510,3,))*$E223)</f>
        <v>0</v>
      </c>
      <c r="M223" s="45">
        <f>IF(VLOOKUP($D223,$C$5:$AT$510,3,)=0,0,(VLOOKUP($D223,$C$5:$AT$510,11,)/VLOOKUP($D223,$C$5:$AT$510,3,))*$E223)</f>
        <v>0</v>
      </c>
      <c r="N223" s="45">
        <f>IF(VLOOKUP($D223,$C$5:$AT$510,3,)=0,0,(VLOOKUP($D223,$C$5:$AT$510,12,)/VLOOKUP($D223,$C$5:$AT$510,3,))*$E223)</f>
        <v>0</v>
      </c>
      <c r="O223" s="45">
        <f>IF(VLOOKUP($D223,$C$5:$AT$510,3,)=0,0,(VLOOKUP($D223,$C$5:$AT$510,13,)/VLOOKUP($D223,$C$5:$AT$510,3,))*$E223)</f>
        <v>0</v>
      </c>
      <c r="P223" s="45">
        <f>IF(VLOOKUP($D223,$C$5:$AT$510,3,)=0,0,(VLOOKUP($D223,$C$5:$AT$510,14,)/VLOOKUP($D223,$C$5:$AT$510,3,))*$E223)</f>
        <v>0</v>
      </c>
      <c r="Q223" s="45">
        <f>IF(VLOOKUP($D223,$C$5:$AT$510,3,)=0,0,(VLOOKUP($D223,$C$5:$AT$510,15,)/VLOOKUP($D223,$C$5:$AT$510,3,))*$E223)</f>
        <v>0</v>
      </c>
      <c r="R223" s="45">
        <f>IF(VLOOKUP($D223,$C$5:$AT$510,3,)=0,0,(VLOOKUP($D223,$C$5:$AT$510,16,)/VLOOKUP($D223,$C$5:$AT$510,3,))*$E223)</f>
        <v>0</v>
      </c>
      <c r="S223" s="45">
        <f>IF(VLOOKUP($D223,$C$5:$AT$510,3,)=0,0,(VLOOKUP($D223,$C$5:$AT$510,17,)/VLOOKUP($D223,$C$5:$AT$510,3,))*$E223)</f>
        <v>0</v>
      </c>
      <c r="T223" s="45">
        <f>IF(VLOOKUP($D223,$C$5:$AT$510,3,)=0,0,(VLOOKUP($D223,$C$5:$AT$510,18,)/VLOOKUP($D223,$C$5:$AT$510,3,))*$E223)</f>
        <v>0</v>
      </c>
      <c r="U223" s="45">
        <f>IF(VLOOKUP($D223,$C$5:$AT$510,3,)=0,0,(VLOOKUP($D223,$C$5:$AT$510,19,)/VLOOKUP($D223,$C$5:$AT$510,3,))*$E223)</f>
        <v>158023.24837091457</v>
      </c>
      <c r="V223" s="45">
        <f>IF(VLOOKUP($D223,$C$5:$AT$510,3,)=0,0,(VLOOKUP($D223,$C$5:$AT$510,20,)/VLOOKUP($D223,$C$5:$AT$510,3,))*$E223)</f>
        <v>0</v>
      </c>
      <c r="W223" s="45">
        <f>IF(VLOOKUP($D223,$C$5:$AT$510,3,)=0,0,(VLOOKUP($D223,$C$5:$AT$510,21,)/VLOOKUP($D223,$C$5:$AT$510,3,))*$E223)</f>
        <v>0</v>
      </c>
      <c r="X223" s="45">
        <f>IF(VLOOKUP($D223,$C$5:$AT$510,3,)=0,0,(VLOOKUP($D223,$C$5:$AT$510,22,)/VLOOKUP($D223,$C$5:$AT$510,3,))*$E223)</f>
        <v>0</v>
      </c>
      <c r="Y223" s="45">
        <f>IF(VLOOKUP($D223,$C$5:$AT$510,3,)=0,0,(VLOOKUP($D223,$C$5:$AT$510,23,)/VLOOKUP($D223,$C$5:$AT$510,3,))*$E223)</f>
        <v>0</v>
      </c>
      <c r="Z223" s="45">
        <f>IF(VLOOKUP($D223,$C$5:$AT$510,3,)=0,0,(VLOOKUP($D223,$C$5:$AT$510,24,)/VLOOKUP($D223,$C$5:$AT$510,3,))*$E223)</f>
        <v>0</v>
      </c>
      <c r="AA223" s="45">
        <f>IF(VLOOKUP($D223,$C$5:$AT$510,3,)=0,0,(VLOOKUP($D223,$C$5:$AT$510,25,)/VLOOKUP($D223,$C$5:$AT$510,3,))*$E223)</f>
        <v>0</v>
      </c>
      <c r="AB223" s="45">
        <f>IF(VLOOKUP($D223,$C$5:$AT$510,3,)=0,0,(VLOOKUP($D223,$C$5:$AT$510,26,)/VLOOKUP($D223,$C$5:$AT$510,3,))*$E223)</f>
        <v>0</v>
      </c>
      <c r="AC223" s="45">
        <f>IF(VLOOKUP($D223,$C$5:$AT$510,3,)=0,0,(VLOOKUP($D223,$C$5:$AT$510,27,)/VLOOKUP($D223,$C$5:$AT$510,3,))*$E223)</f>
        <v>0</v>
      </c>
      <c r="AD223" s="45">
        <f>IF(VLOOKUP($D223,$C$5:$AT$510,3,)=0,0,(VLOOKUP($D223,$C$5:$AT$510,28,)/VLOOKUP($D223,$C$5:$AT$510,3,))*$E223)</f>
        <v>0</v>
      </c>
      <c r="AE223" s="45">
        <f>IF(VLOOKUP($D223,$C$5:$AT$510,3,)=0,0,(VLOOKUP($D223,$C$5:$AT$510,29,)/VLOOKUP($D223,$C$5:$AT$510,3,))*$E223)</f>
        <v>0</v>
      </c>
      <c r="AF223" s="45">
        <f>IF(VLOOKUP($D223,$C$5:$AT$510,3,)=0,0,(VLOOKUP($D223,$C$5:$AT$510,30,)/VLOOKUP($D223,$C$5:$AT$510,3,))*$E223)</f>
        <v>0</v>
      </c>
      <c r="AG223" s="69">
        <f>SUM(F223:AF223)</f>
        <v>158023.24837091457</v>
      </c>
      <c r="AH223" s="14" t="str">
        <f>IF(ABS(E223-AG223)&lt;0.01,"ok","err")</f>
        <v>ok</v>
      </c>
    </row>
    <row r="224" spans="1:34" x14ac:dyDescent="0.2">
      <c r="E224" s="32"/>
    </row>
    <row r="225" spans="1:34" x14ac:dyDescent="0.2">
      <c r="A225" s="1" t="s">
        <v>545</v>
      </c>
      <c r="E225" s="32"/>
    </row>
    <row r="226" spans="1:34" x14ac:dyDescent="0.2">
      <c r="A226" s="72" t="s">
        <v>221</v>
      </c>
      <c r="C226" s="2" t="s">
        <v>296</v>
      </c>
      <c r="D226" s="2" t="s">
        <v>234</v>
      </c>
      <c r="E226" s="45">
        <f>'Func &amp; Classif'!Y323</f>
        <v>0</v>
      </c>
      <c r="F226" s="45">
        <f>IF(VLOOKUP($D226,$C$5:$AT$510,3,)=0,0,(VLOOKUP($D226,$C$5:$AT$510,4,)/VLOOKUP($D226,$C$5:$AT$510,3,))*$E226)</f>
        <v>0</v>
      </c>
      <c r="G226" s="45">
        <f>IF(VLOOKUP($D226,$C$5:$AT$510,3,)=0,0,(VLOOKUP($D226,$C$5:$AT$510,5,)/VLOOKUP($D226,$C$5:$AT$510,3,))*$E226)</f>
        <v>0</v>
      </c>
      <c r="H226" s="45">
        <f>IF(VLOOKUP($D226,$C$5:$AT$510,3,)=0,0,(VLOOKUP($D226,$C$5:$AT$510,6,)/VLOOKUP($D226,$C$5:$AT$510,3,))*$E226)</f>
        <v>0</v>
      </c>
      <c r="I226" s="45">
        <f>IF(VLOOKUP($D226,$C$5:$AT$510,3,)=0,0,(VLOOKUP($D226,$C$5:$AT$510,7,)/VLOOKUP($D226,$C$5:$AT$510,3,))*$E226)</f>
        <v>0</v>
      </c>
      <c r="J226" s="45">
        <f>IF(VLOOKUP($D226,$C$5:$AT$510,3,)=0,0,(VLOOKUP($D226,$C$5:$AT$510,8,)/VLOOKUP($D226,$C$5:$AT$510,3,))*$E226)</f>
        <v>0</v>
      </c>
      <c r="K226" s="45">
        <f>IF(VLOOKUP($D226,$C$5:$AT$510,3,)=0,0,(VLOOKUP($D226,$C$5:$AT$510,9,)/VLOOKUP($D226,$C$5:$AT$510,3,))*$E226)</f>
        <v>0</v>
      </c>
      <c r="L226" s="45">
        <f>IF(VLOOKUP($D226,$C$5:$AT$510,3,)=0,0,(VLOOKUP($D226,$C$5:$AT$510,10,)/VLOOKUP($D226,$C$5:$AT$510,3,))*$E226)</f>
        <v>0</v>
      </c>
      <c r="M226" s="45">
        <f>IF(VLOOKUP($D226,$C$5:$AT$510,3,)=0,0,(VLOOKUP($D226,$C$5:$AT$510,11,)/VLOOKUP($D226,$C$5:$AT$510,3,))*$E226)</f>
        <v>0</v>
      </c>
      <c r="N226" s="45">
        <f>IF(VLOOKUP($D226,$C$5:$AT$510,3,)=0,0,(VLOOKUP($D226,$C$5:$AT$510,12,)/VLOOKUP($D226,$C$5:$AT$510,3,))*$E226)</f>
        <v>0</v>
      </c>
      <c r="O226" s="45">
        <f>IF(VLOOKUP($D226,$C$5:$AT$510,3,)=0,0,(VLOOKUP($D226,$C$5:$AT$510,13,)/VLOOKUP($D226,$C$5:$AT$510,3,))*$E226)</f>
        <v>0</v>
      </c>
      <c r="P226" s="45">
        <f>IF(VLOOKUP($D226,$C$5:$AT$510,3,)=0,0,(VLOOKUP($D226,$C$5:$AT$510,14,)/VLOOKUP($D226,$C$5:$AT$510,3,))*$E226)</f>
        <v>0</v>
      </c>
      <c r="Q226" s="45">
        <f>IF(VLOOKUP($D226,$C$5:$AT$510,3,)=0,0,(VLOOKUP($D226,$C$5:$AT$510,15,)/VLOOKUP($D226,$C$5:$AT$510,3,))*$E226)</f>
        <v>0</v>
      </c>
      <c r="R226" s="45">
        <f>IF(VLOOKUP($D226,$C$5:$AT$510,3,)=0,0,(VLOOKUP($D226,$C$5:$AT$510,16,)/VLOOKUP($D226,$C$5:$AT$510,3,))*$E226)</f>
        <v>0</v>
      </c>
      <c r="S226" s="45">
        <f>IF(VLOOKUP($D226,$C$5:$AT$510,3,)=0,0,(VLOOKUP($D226,$C$5:$AT$510,17,)/VLOOKUP($D226,$C$5:$AT$510,3,))*$E226)</f>
        <v>0</v>
      </c>
      <c r="T226" s="45">
        <f>IF(VLOOKUP($D226,$C$5:$AT$510,3,)=0,0,(VLOOKUP($D226,$C$5:$AT$510,18,)/VLOOKUP($D226,$C$5:$AT$510,3,))*$E226)</f>
        <v>0</v>
      </c>
      <c r="U226" s="45">
        <f>IF(VLOOKUP($D226,$C$5:$AT$510,3,)=0,0,(VLOOKUP($D226,$C$5:$AT$510,19,)/VLOOKUP($D226,$C$5:$AT$510,3,))*$E226)</f>
        <v>0</v>
      </c>
      <c r="V226" s="45">
        <f>IF(VLOOKUP($D226,$C$5:$AT$510,3,)=0,0,(VLOOKUP($D226,$C$5:$AT$510,20,)/VLOOKUP($D226,$C$5:$AT$510,3,))*$E226)</f>
        <v>0</v>
      </c>
      <c r="W226" s="45">
        <f>IF(VLOOKUP($D226,$C$5:$AT$510,3,)=0,0,(VLOOKUP($D226,$C$5:$AT$510,21,)/VLOOKUP($D226,$C$5:$AT$510,3,))*$E226)</f>
        <v>0</v>
      </c>
      <c r="X226" s="45">
        <f>IF(VLOOKUP($D226,$C$5:$AT$510,3,)=0,0,(VLOOKUP($D226,$C$5:$AT$510,22,)/VLOOKUP($D226,$C$5:$AT$510,3,))*$E226)</f>
        <v>0</v>
      </c>
      <c r="Y226" s="45">
        <f>IF(VLOOKUP($D226,$C$5:$AT$510,3,)=0,0,(VLOOKUP($D226,$C$5:$AT$510,23,)/VLOOKUP($D226,$C$5:$AT$510,3,))*$E226)</f>
        <v>0</v>
      </c>
      <c r="Z226" s="45">
        <f>IF(VLOOKUP($D226,$C$5:$AT$510,3,)=0,0,(VLOOKUP($D226,$C$5:$AT$510,24,)/VLOOKUP($D226,$C$5:$AT$510,3,))*$E226)</f>
        <v>0</v>
      </c>
      <c r="AA226" s="45">
        <f>IF(VLOOKUP($D226,$C$5:$AT$510,3,)=0,0,(VLOOKUP($D226,$C$5:$AT$510,25,)/VLOOKUP($D226,$C$5:$AT$510,3,))*$E226)</f>
        <v>0</v>
      </c>
      <c r="AB226" s="45">
        <f>IF(VLOOKUP($D226,$C$5:$AT$510,3,)=0,0,(VLOOKUP($D226,$C$5:$AT$510,26,)/VLOOKUP($D226,$C$5:$AT$510,3,))*$E226)</f>
        <v>0</v>
      </c>
      <c r="AC226" s="45">
        <f>IF(VLOOKUP($D226,$C$5:$AT$510,3,)=0,0,(VLOOKUP($D226,$C$5:$AT$510,27,)/VLOOKUP($D226,$C$5:$AT$510,3,))*$E226)</f>
        <v>0</v>
      </c>
      <c r="AD226" s="45">
        <f>IF(VLOOKUP($D226,$C$5:$AT$510,3,)=0,0,(VLOOKUP($D226,$C$5:$AT$510,28,)/VLOOKUP($D226,$C$5:$AT$510,3,))*$E226)</f>
        <v>0</v>
      </c>
      <c r="AE226" s="45">
        <f>IF(VLOOKUP($D226,$C$5:$AT$510,3,)=0,0,(VLOOKUP($D226,$C$5:$AT$510,29,)/VLOOKUP($D226,$C$5:$AT$510,3,))*$E226)</f>
        <v>0</v>
      </c>
      <c r="AF226" s="45">
        <f>IF(VLOOKUP($D226,$C$5:$AT$510,3,)=0,0,(VLOOKUP($D226,$C$5:$AT$510,30,)/VLOOKUP($D226,$C$5:$AT$510,3,))*$E226)</f>
        <v>0</v>
      </c>
      <c r="AG226" s="69">
        <f>SUM(F226:AF226)</f>
        <v>0</v>
      </c>
      <c r="AH226" s="14" t="str">
        <f>IF(ABS(E226-AG226)&lt;0.01,"ok","err")</f>
        <v>ok</v>
      </c>
    </row>
    <row r="227" spans="1:34" x14ac:dyDescent="0.2">
      <c r="E227" s="32"/>
    </row>
    <row r="228" spans="1:34" x14ac:dyDescent="0.2">
      <c r="A228" s="1" t="s">
        <v>470</v>
      </c>
      <c r="E228" s="32"/>
    </row>
    <row r="229" spans="1:34" x14ac:dyDescent="0.2">
      <c r="A229" s="72" t="s">
        <v>221</v>
      </c>
      <c r="C229" s="2" t="s">
        <v>293</v>
      </c>
      <c r="D229" s="2" t="s">
        <v>235</v>
      </c>
      <c r="E229" s="45">
        <f>'Func &amp; Classif'!AA323</f>
        <v>0</v>
      </c>
      <c r="F229" s="45">
        <f>IF(VLOOKUP($D229,$C$5:$AT$510,3,)=0,0,(VLOOKUP($D229,$C$5:$AT$510,4,)/VLOOKUP($D229,$C$5:$AT$510,3,))*$E229)</f>
        <v>0</v>
      </c>
      <c r="G229" s="45">
        <f>IF(VLOOKUP($D229,$C$5:$AT$510,3,)=0,0,(VLOOKUP($D229,$C$5:$AT$510,5,)/VLOOKUP($D229,$C$5:$AT$510,3,))*$E229)</f>
        <v>0</v>
      </c>
      <c r="H229" s="45">
        <f>IF(VLOOKUP($D229,$C$5:$AT$510,3,)=0,0,(VLOOKUP($D229,$C$5:$AT$510,6,)/VLOOKUP($D229,$C$5:$AT$510,3,))*$E229)</f>
        <v>0</v>
      </c>
      <c r="I229" s="45">
        <f>IF(VLOOKUP($D229,$C$5:$AT$510,3,)=0,0,(VLOOKUP($D229,$C$5:$AT$510,7,)/VLOOKUP($D229,$C$5:$AT$510,3,))*$E229)</f>
        <v>0</v>
      </c>
      <c r="J229" s="45">
        <f>IF(VLOOKUP($D229,$C$5:$AT$510,3,)=0,0,(VLOOKUP($D229,$C$5:$AT$510,8,)/VLOOKUP($D229,$C$5:$AT$510,3,))*$E229)</f>
        <v>0</v>
      </c>
      <c r="K229" s="45">
        <f>IF(VLOOKUP($D229,$C$5:$AT$510,3,)=0,0,(VLOOKUP($D229,$C$5:$AT$510,9,)/VLOOKUP($D229,$C$5:$AT$510,3,))*$E229)</f>
        <v>0</v>
      </c>
      <c r="L229" s="45">
        <f>IF(VLOOKUP($D229,$C$5:$AT$510,3,)=0,0,(VLOOKUP($D229,$C$5:$AT$510,10,)/VLOOKUP($D229,$C$5:$AT$510,3,))*$E229)</f>
        <v>0</v>
      </c>
      <c r="M229" s="45">
        <f>IF(VLOOKUP($D229,$C$5:$AT$510,3,)=0,0,(VLOOKUP($D229,$C$5:$AT$510,11,)/VLOOKUP($D229,$C$5:$AT$510,3,))*$E229)</f>
        <v>0</v>
      </c>
      <c r="N229" s="45">
        <f>IF(VLOOKUP($D229,$C$5:$AT$510,3,)=0,0,(VLOOKUP($D229,$C$5:$AT$510,12,)/VLOOKUP($D229,$C$5:$AT$510,3,))*$E229)</f>
        <v>0</v>
      </c>
      <c r="O229" s="45">
        <f>IF(VLOOKUP($D229,$C$5:$AT$510,3,)=0,0,(VLOOKUP($D229,$C$5:$AT$510,13,)/VLOOKUP($D229,$C$5:$AT$510,3,))*$E229)</f>
        <v>0</v>
      </c>
      <c r="P229" s="45">
        <f>IF(VLOOKUP($D229,$C$5:$AT$510,3,)=0,0,(VLOOKUP($D229,$C$5:$AT$510,14,)/VLOOKUP($D229,$C$5:$AT$510,3,))*$E229)</f>
        <v>0</v>
      </c>
      <c r="Q229" s="45">
        <f>IF(VLOOKUP($D229,$C$5:$AT$510,3,)=0,0,(VLOOKUP($D229,$C$5:$AT$510,15,)/VLOOKUP($D229,$C$5:$AT$510,3,))*$E229)</f>
        <v>0</v>
      </c>
      <c r="R229" s="45">
        <f>IF(VLOOKUP($D229,$C$5:$AT$510,3,)=0,0,(VLOOKUP($D229,$C$5:$AT$510,16,)/VLOOKUP($D229,$C$5:$AT$510,3,))*$E229)</f>
        <v>0</v>
      </c>
      <c r="S229" s="45">
        <f>IF(VLOOKUP($D229,$C$5:$AT$510,3,)=0,0,(VLOOKUP($D229,$C$5:$AT$510,17,)/VLOOKUP($D229,$C$5:$AT$510,3,))*$E229)</f>
        <v>0</v>
      </c>
      <c r="T229" s="45">
        <f>IF(VLOOKUP($D229,$C$5:$AT$510,3,)=0,0,(VLOOKUP($D229,$C$5:$AT$510,18,)/VLOOKUP($D229,$C$5:$AT$510,3,))*$E229)</f>
        <v>0</v>
      </c>
      <c r="U229" s="45">
        <f>IF(VLOOKUP($D229,$C$5:$AT$510,3,)=0,0,(VLOOKUP($D229,$C$5:$AT$510,19,)/VLOOKUP($D229,$C$5:$AT$510,3,))*$E229)</f>
        <v>0</v>
      </c>
      <c r="V229" s="45">
        <f>IF(VLOOKUP($D229,$C$5:$AT$510,3,)=0,0,(VLOOKUP($D229,$C$5:$AT$510,20,)/VLOOKUP($D229,$C$5:$AT$510,3,))*$E229)</f>
        <v>0</v>
      </c>
      <c r="W229" s="45">
        <f>IF(VLOOKUP($D229,$C$5:$AT$510,3,)=0,0,(VLOOKUP($D229,$C$5:$AT$510,21,)/VLOOKUP($D229,$C$5:$AT$510,3,))*$E229)</f>
        <v>0</v>
      </c>
      <c r="X229" s="45">
        <f>IF(VLOOKUP($D229,$C$5:$AT$510,3,)=0,0,(VLOOKUP($D229,$C$5:$AT$510,22,)/VLOOKUP($D229,$C$5:$AT$510,3,))*$E229)</f>
        <v>0</v>
      </c>
      <c r="Y229" s="45">
        <f>IF(VLOOKUP($D229,$C$5:$AT$510,3,)=0,0,(VLOOKUP($D229,$C$5:$AT$510,23,)/VLOOKUP($D229,$C$5:$AT$510,3,))*$E229)</f>
        <v>0</v>
      </c>
      <c r="Z229" s="45">
        <f>IF(VLOOKUP($D229,$C$5:$AT$510,3,)=0,0,(VLOOKUP($D229,$C$5:$AT$510,24,)/VLOOKUP($D229,$C$5:$AT$510,3,))*$E229)</f>
        <v>0</v>
      </c>
      <c r="AA229" s="45">
        <f>IF(VLOOKUP($D229,$C$5:$AT$510,3,)=0,0,(VLOOKUP($D229,$C$5:$AT$510,25,)/VLOOKUP($D229,$C$5:$AT$510,3,))*$E229)</f>
        <v>0</v>
      </c>
      <c r="AB229" s="45">
        <f>IF(VLOOKUP($D229,$C$5:$AT$510,3,)=0,0,(VLOOKUP($D229,$C$5:$AT$510,26,)/VLOOKUP($D229,$C$5:$AT$510,3,))*$E229)</f>
        <v>0</v>
      </c>
      <c r="AC229" s="45">
        <f>IF(VLOOKUP($D229,$C$5:$AT$510,3,)=0,0,(VLOOKUP($D229,$C$5:$AT$510,27,)/VLOOKUP($D229,$C$5:$AT$510,3,))*$E229)</f>
        <v>0</v>
      </c>
      <c r="AD229" s="45">
        <f>IF(VLOOKUP($D229,$C$5:$AT$510,3,)=0,0,(VLOOKUP($D229,$C$5:$AT$510,28,)/VLOOKUP($D229,$C$5:$AT$510,3,))*$E229)</f>
        <v>0</v>
      </c>
      <c r="AE229" s="45">
        <f>IF(VLOOKUP($D229,$C$5:$AT$510,3,)=0,0,(VLOOKUP($D229,$C$5:$AT$510,29,)/VLOOKUP($D229,$C$5:$AT$510,3,))*$E229)</f>
        <v>0</v>
      </c>
      <c r="AF229" s="45">
        <f>IF(VLOOKUP($D229,$C$5:$AT$510,3,)=0,0,(VLOOKUP($D229,$C$5:$AT$510,30,)/VLOOKUP($D229,$C$5:$AT$510,3,))*$E229)</f>
        <v>0</v>
      </c>
      <c r="AG229" s="69">
        <f>SUM(F229:AF229)</f>
        <v>0</v>
      </c>
      <c r="AH229" s="14" t="str">
        <f>IF(ABS(E229-AG229)&lt;0.01,"ok","err")</f>
        <v>ok</v>
      </c>
    </row>
    <row r="230" spans="1:34" x14ac:dyDescent="0.2">
      <c r="E230" s="32"/>
    </row>
    <row r="231" spans="1:34" x14ac:dyDescent="0.2">
      <c r="A231" s="2" t="s">
        <v>0</v>
      </c>
      <c r="C231" s="2" t="s">
        <v>297</v>
      </c>
      <c r="E231" s="45">
        <f>E201+E204+E207+E212+E217+E220+E223+E226+E229</f>
        <v>4080703.1700000009</v>
      </c>
      <c r="F231" s="45">
        <f t="shared" ref="F231:R231" si="47">F201+F204+F207+F212+F217+F220+F223+F226+F229</f>
        <v>3327629.8150867447</v>
      </c>
      <c r="G231" s="45">
        <f t="shared" si="47"/>
        <v>0</v>
      </c>
      <c r="H231" s="45">
        <f t="shared" si="47"/>
        <v>127.26805560964435</v>
      </c>
      <c r="I231" s="45">
        <f t="shared" si="47"/>
        <v>275227.25663055258</v>
      </c>
      <c r="J231" s="45">
        <f t="shared" si="47"/>
        <v>154516.96230557057</v>
      </c>
      <c r="K231" s="45">
        <f t="shared" si="47"/>
        <v>2325.1389956245489</v>
      </c>
      <c r="L231" s="45">
        <f t="shared" si="47"/>
        <v>0</v>
      </c>
      <c r="M231" s="45">
        <f t="shared" si="47"/>
        <v>45325.529957047169</v>
      </c>
      <c r="N231" s="45">
        <f t="shared" si="47"/>
        <v>49878.90825595901</v>
      </c>
      <c r="O231" s="45">
        <f t="shared" si="47"/>
        <v>12509.938834278948</v>
      </c>
      <c r="P231" s="45">
        <f t="shared" si="47"/>
        <v>3938.7876978361237</v>
      </c>
      <c r="Q231" s="45">
        <f t="shared" si="47"/>
        <v>13510.349117680231</v>
      </c>
      <c r="R231" s="45">
        <f t="shared" si="47"/>
        <v>28295.335932680166</v>
      </c>
      <c r="S231" s="45">
        <f t="shared" ref="S231:AF231" si="48">S201+S207+S212+S217+S220+S223+S226+S229</f>
        <v>0</v>
      </c>
      <c r="T231" s="45">
        <f t="shared" si="48"/>
        <v>3130.574039344966</v>
      </c>
      <c r="U231" s="45">
        <f t="shared" si="48"/>
        <v>164287.30509107132</v>
      </c>
      <c r="V231" s="45">
        <f t="shared" si="48"/>
        <v>0</v>
      </c>
      <c r="W231" s="45">
        <f t="shared" si="48"/>
        <v>0</v>
      </c>
      <c r="X231" s="45">
        <f t="shared" si="48"/>
        <v>0</v>
      </c>
      <c r="Y231" s="45">
        <f t="shared" si="48"/>
        <v>0</v>
      </c>
      <c r="Z231" s="45">
        <f t="shared" si="48"/>
        <v>0</v>
      </c>
      <c r="AA231" s="45">
        <f t="shared" si="48"/>
        <v>0</v>
      </c>
      <c r="AB231" s="45">
        <f t="shared" si="48"/>
        <v>0</v>
      </c>
      <c r="AC231" s="45">
        <f t="shared" si="48"/>
        <v>0</v>
      </c>
      <c r="AD231" s="45">
        <f t="shared" si="48"/>
        <v>0</v>
      </c>
      <c r="AE231" s="45">
        <f t="shared" si="48"/>
        <v>0</v>
      </c>
      <c r="AF231" s="45">
        <f t="shared" si="48"/>
        <v>0</v>
      </c>
      <c r="AG231" s="69">
        <f>SUM(F231:AF231)</f>
        <v>4080703.17</v>
      </c>
      <c r="AH231" s="14" t="str">
        <f>IF(ABS(E231-AG231)&lt;0.01,"ok","err")</f>
        <v>ok</v>
      </c>
    </row>
    <row r="234" spans="1:34" x14ac:dyDescent="0.2">
      <c r="A234" s="12" t="s">
        <v>188</v>
      </c>
    </row>
    <row r="236" spans="1:34" x14ac:dyDescent="0.2">
      <c r="A236" s="1" t="s">
        <v>859</v>
      </c>
    </row>
    <row r="237" spans="1:34" x14ac:dyDescent="0.2">
      <c r="A237" s="72" t="s">
        <v>209</v>
      </c>
      <c r="C237" s="2" t="s">
        <v>298</v>
      </c>
      <c r="D237" s="2" t="s">
        <v>655</v>
      </c>
      <c r="E237" s="45">
        <f>'Func &amp; Classif'!H325</f>
        <v>14696.237398439023</v>
      </c>
      <c r="F237" s="45">
        <f>IF(VLOOKUP($D237,$C$5:$AT$510,3,)=0,0,(VLOOKUP($D237,$C$5:$AT$510,4,)/VLOOKUP($D237,$C$5:$AT$510,3,))*$E237)</f>
        <v>10328.473035117393</v>
      </c>
      <c r="G237" s="45">
        <f>IF(VLOOKUP($D237,$C$5:$AT$510,3,)=0,0,(VLOOKUP($D237,$C$5:$AT$510,5,)/VLOOKUP($D237,$C$5:$AT$510,3,))*$E237)</f>
        <v>0</v>
      </c>
      <c r="H237" s="45">
        <f>IF(VLOOKUP($D237,$C$5:$AT$510,3,)=0,0,(VLOOKUP($D237,$C$5:$AT$510,6,)/VLOOKUP($D237,$C$5:$AT$510,3,))*$E237)</f>
        <v>0.19413263653204232</v>
      </c>
      <c r="I237" s="45">
        <f>IF(VLOOKUP($D237,$C$5:$AT$510,3,)=0,0,(VLOOKUP($D237,$C$5:$AT$510,7,)/VLOOKUP($D237,$C$5:$AT$510,3,))*$E237)</f>
        <v>927.45936696528645</v>
      </c>
      <c r="J237" s="45">
        <f>IF(VLOOKUP($D237,$C$5:$AT$510,3,)=0,0,(VLOOKUP($D237,$C$5:$AT$510,8,)/VLOOKUP($D237,$C$5:$AT$510,3,))*$E237)</f>
        <v>1478.7562847344127</v>
      </c>
      <c r="K237" s="45">
        <f>IF(VLOOKUP($D237,$C$5:$AT$510,3,)=0,0,(VLOOKUP($D237,$C$5:$AT$510,9,)/VLOOKUP($D237,$C$5:$AT$510,3,))*$E237)</f>
        <v>0</v>
      </c>
      <c r="L237" s="45">
        <f>IF(VLOOKUP($D237,$C$5:$AT$510,3,)=0,0,(VLOOKUP($D237,$C$5:$AT$510,10,)/VLOOKUP($D237,$C$5:$AT$510,3,))*$E237)</f>
        <v>0</v>
      </c>
      <c r="M237" s="45">
        <f>IF(VLOOKUP($D237,$C$5:$AT$510,3,)=0,0,(VLOOKUP($D237,$C$5:$AT$510,11,)/VLOOKUP($D237,$C$5:$AT$510,3,))*$E237)</f>
        <v>439.49002257739863</v>
      </c>
      <c r="N237" s="45">
        <f>IF(VLOOKUP($D237,$C$5:$AT$510,3,)=0,0,(VLOOKUP($D237,$C$5:$AT$510,12,)/VLOOKUP($D237,$C$5:$AT$510,3,))*$E237)</f>
        <v>1030.4733956375233</v>
      </c>
      <c r="O237" s="45">
        <f>IF(VLOOKUP($D237,$C$5:$AT$510,3,)=0,0,(VLOOKUP($D237,$C$5:$AT$510,13,)/VLOOKUP($D237,$C$5:$AT$510,3,))*$E237)</f>
        <v>129.87806666444826</v>
      </c>
      <c r="P237" s="45">
        <f>IF(VLOOKUP($D237,$C$5:$AT$510,3,)=0,0,(VLOOKUP($D237,$C$5:$AT$510,14,)/VLOOKUP($D237,$C$5:$AT$510,3,))*$E237)</f>
        <v>13.405411800338518</v>
      </c>
      <c r="Q237" s="45">
        <f>IF(VLOOKUP($D237,$C$5:$AT$510,3,)=0,0,(VLOOKUP($D237,$C$5:$AT$510,15,)/VLOOKUP($D237,$C$5:$AT$510,3,))*$E237)</f>
        <v>42.821282197114797</v>
      </c>
      <c r="R237" s="45">
        <f>IF(VLOOKUP($D237,$C$5:$AT$510,3,)=0,0,(VLOOKUP($D237,$C$5:$AT$510,16,)/VLOOKUP($D237,$C$5:$AT$510,3,))*$E237)</f>
        <v>288.34723811278235</v>
      </c>
      <c r="S237" s="45">
        <f>IF(VLOOKUP($D237,$C$5:$AT$510,3,)=0,0,(VLOOKUP($D237,$C$5:$AT$510,17,)/VLOOKUP($D237,$C$5:$AT$510,3,))*$E237)</f>
        <v>0</v>
      </c>
      <c r="T237" s="45">
        <f>IF(VLOOKUP($D237,$C$5:$AT$510,3,)=0,0,(VLOOKUP($D237,$C$5:$AT$510,18,)/VLOOKUP($D237,$C$5:$AT$510,3,))*$E237)</f>
        <v>9.6809817634465158</v>
      </c>
      <c r="U237" s="45">
        <f>IF(VLOOKUP($D237,$C$5:$AT$510,3,)=0,0,(VLOOKUP($D237,$C$5:$AT$510,19,)/VLOOKUP($D237,$C$5:$AT$510,3,))*$E237)</f>
        <v>7.2581802323457474</v>
      </c>
      <c r="V237" s="45">
        <f>IF(VLOOKUP($D237,$C$5:$AT$510,3,)=0,0,(VLOOKUP($D237,$C$5:$AT$510,20,)/VLOOKUP($D237,$C$5:$AT$510,3,))*$E237)</f>
        <v>0</v>
      </c>
      <c r="W237" s="45">
        <f>IF(VLOOKUP($D237,$C$5:$AT$510,3,)=0,0,(VLOOKUP($D237,$C$5:$AT$510,21,)/VLOOKUP($D237,$C$5:$AT$510,3,))*$E237)</f>
        <v>0</v>
      </c>
      <c r="X237" s="45">
        <f>IF(VLOOKUP($D237,$C$5:$AT$510,3,)=0,0,(VLOOKUP($D237,$C$5:$AT$510,22,)/VLOOKUP($D237,$C$5:$AT$510,3,))*$E237)</f>
        <v>0</v>
      </c>
      <c r="Y237" s="45">
        <f>IF(VLOOKUP($D237,$C$5:$AT$510,3,)=0,0,(VLOOKUP($D237,$C$5:$AT$510,23,)/VLOOKUP($D237,$C$5:$AT$510,3,))*$E237)</f>
        <v>0</v>
      </c>
      <c r="Z237" s="45">
        <f>IF(VLOOKUP($D237,$C$5:$AT$510,3,)=0,0,(VLOOKUP($D237,$C$5:$AT$510,24,)/VLOOKUP($D237,$C$5:$AT$510,3,))*$E237)</f>
        <v>0</v>
      </c>
      <c r="AA237" s="45">
        <f>IF(VLOOKUP($D237,$C$5:$AT$510,3,)=0,0,(VLOOKUP($D237,$C$5:$AT$510,25,)/VLOOKUP($D237,$C$5:$AT$510,3,))*$E237)</f>
        <v>0</v>
      </c>
      <c r="AB237" s="45">
        <f>IF(VLOOKUP($D237,$C$5:$AT$510,3,)=0,0,(VLOOKUP($D237,$C$5:$AT$510,26,)/VLOOKUP($D237,$C$5:$AT$510,3,))*$E237)</f>
        <v>0</v>
      </c>
      <c r="AC237" s="45">
        <f>IF(VLOOKUP($D237,$C$5:$AT$510,3,)=0,0,(VLOOKUP($D237,$C$5:$AT$510,27,)/VLOOKUP($D237,$C$5:$AT$510,3,))*$E237)</f>
        <v>0</v>
      </c>
      <c r="AD237" s="45">
        <f>IF(VLOOKUP($D237,$C$5:$AT$510,3,)=0,0,(VLOOKUP($D237,$C$5:$AT$510,28,)/VLOOKUP($D237,$C$5:$AT$510,3,))*$E237)</f>
        <v>0</v>
      </c>
      <c r="AE237" s="45">
        <f>IF(VLOOKUP($D237,$C$5:$AT$510,3,)=0,0,(VLOOKUP($D237,$C$5:$AT$510,29,)/VLOOKUP($D237,$C$5:$AT$510,3,))*$E237)</f>
        <v>0</v>
      </c>
      <c r="AF237" s="45">
        <f>IF(VLOOKUP($D237,$C$5:$AT$510,3,)=0,0,(VLOOKUP($D237,$C$5:$AT$510,30,)/VLOOKUP($D237,$C$5:$AT$510,3,))*$E237)</f>
        <v>0</v>
      </c>
      <c r="AG237" s="69">
        <f>SUM(F237:AF237)</f>
        <v>14696.237398439023</v>
      </c>
      <c r="AH237" s="14" t="str">
        <f>IF(ABS(E237-AG237)&lt;0.01,"ok","err")</f>
        <v>ok</v>
      </c>
    </row>
    <row r="238" spans="1:34" x14ac:dyDescent="0.2">
      <c r="A238" s="72" t="s">
        <v>212</v>
      </c>
      <c r="C238" s="2" t="s">
        <v>299</v>
      </c>
      <c r="D238" s="2" t="s">
        <v>664</v>
      </c>
      <c r="E238" s="32">
        <f>'Func &amp; Classif'!I325</f>
        <v>0</v>
      </c>
      <c r="F238" s="45">
        <f>IF(VLOOKUP($D238,$C$5:$AT$510,3,)=0,0,(VLOOKUP($D238,$C$5:$AT$510,4,)/VLOOKUP($D238,$C$5:$AT$510,3,))*$E238)</f>
        <v>0</v>
      </c>
      <c r="G238" s="45">
        <f>IF(VLOOKUP($D238,$C$5:$AT$510,3,)=0,0,(VLOOKUP($D238,$C$5:$AT$510,5,)/VLOOKUP($D238,$C$5:$AT$510,3,))*$E238)</f>
        <v>0</v>
      </c>
      <c r="H238" s="45">
        <f>IF(VLOOKUP($D238,$C$5:$AT$510,3,)=0,0,(VLOOKUP($D238,$C$5:$AT$510,6,)/VLOOKUP($D238,$C$5:$AT$510,3,))*$E238)</f>
        <v>0</v>
      </c>
      <c r="I238" s="45">
        <f>IF(VLOOKUP($D238,$C$5:$AT$510,3,)=0,0,(VLOOKUP($D238,$C$5:$AT$510,7,)/VLOOKUP($D238,$C$5:$AT$510,3,))*$E238)</f>
        <v>0</v>
      </c>
      <c r="J238" s="45">
        <f>IF(VLOOKUP($D238,$C$5:$AT$510,3,)=0,0,(VLOOKUP($D238,$C$5:$AT$510,8,)/VLOOKUP($D238,$C$5:$AT$510,3,))*$E238)</f>
        <v>0</v>
      </c>
      <c r="K238" s="45">
        <f>IF(VLOOKUP($D238,$C$5:$AT$510,3,)=0,0,(VLOOKUP($D238,$C$5:$AT$510,9,)/VLOOKUP($D238,$C$5:$AT$510,3,))*$E238)</f>
        <v>0</v>
      </c>
      <c r="L238" s="45">
        <f>IF(VLOOKUP($D238,$C$5:$AT$510,3,)=0,0,(VLOOKUP($D238,$C$5:$AT$510,10,)/VLOOKUP($D238,$C$5:$AT$510,3,))*$E238)</f>
        <v>0</v>
      </c>
      <c r="M238" s="45">
        <f>IF(VLOOKUP($D238,$C$5:$AT$510,3,)=0,0,(VLOOKUP($D238,$C$5:$AT$510,11,)/VLOOKUP($D238,$C$5:$AT$510,3,))*$E238)</f>
        <v>0</v>
      </c>
      <c r="N238" s="45">
        <f>IF(VLOOKUP($D238,$C$5:$AT$510,3,)=0,0,(VLOOKUP($D238,$C$5:$AT$510,12,)/VLOOKUP($D238,$C$5:$AT$510,3,))*$E238)</f>
        <v>0</v>
      </c>
      <c r="O238" s="45">
        <f>IF(VLOOKUP($D238,$C$5:$AT$510,3,)=0,0,(VLOOKUP($D238,$C$5:$AT$510,13,)/VLOOKUP($D238,$C$5:$AT$510,3,))*$E238)</f>
        <v>0</v>
      </c>
      <c r="P238" s="45">
        <f>IF(VLOOKUP($D238,$C$5:$AT$510,3,)=0,0,(VLOOKUP($D238,$C$5:$AT$510,14,)/VLOOKUP($D238,$C$5:$AT$510,3,))*$E238)</f>
        <v>0</v>
      </c>
      <c r="Q238" s="45">
        <f>IF(VLOOKUP($D238,$C$5:$AT$510,3,)=0,0,(VLOOKUP($D238,$C$5:$AT$510,15,)/VLOOKUP($D238,$C$5:$AT$510,3,))*$E238)</f>
        <v>0</v>
      </c>
      <c r="R238" s="45">
        <f>IF(VLOOKUP($D238,$C$5:$AT$510,3,)=0,0,(VLOOKUP($D238,$C$5:$AT$510,16,)/VLOOKUP($D238,$C$5:$AT$510,3,))*$E238)</f>
        <v>0</v>
      </c>
      <c r="S238" s="45">
        <f>IF(VLOOKUP($D238,$C$5:$AT$510,3,)=0,0,(VLOOKUP($D238,$C$5:$AT$510,17,)/VLOOKUP($D238,$C$5:$AT$510,3,))*$E238)</f>
        <v>0</v>
      </c>
      <c r="T238" s="45">
        <f>IF(VLOOKUP($D238,$C$5:$AT$510,3,)=0,0,(VLOOKUP($D238,$C$5:$AT$510,18,)/VLOOKUP($D238,$C$5:$AT$510,3,))*$E238)</f>
        <v>0</v>
      </c>
      <c r="U238" s="45">
        <f>IF(VLOOKUP($D238,$C$5:$AT$510,3,)=0,0,(VLOOKUP($D238,$C$5:$AT$510,19,)/VLOOKUP($D238,$C$5:$AT$510,3,))*$E238)</f>
        <v>0</v>
      </c>
      <c r="V238" s="45">
        <f>IF(VLOOKUP($D238,$C$5:$AT$510,3,)=0,0,(VLOOKUP($D238,$C$5:$AT$510,20,)/VLOOKUP($D238,$C$5:$AT$510,3,))*$E238)</f>
        <v>0</v>
      </c>
      <c r="W238" s="45">
        <f>IF(VLOOKUP($D238,$C$5:$AT$510,3,)=0,0,(VLOOKUP($D238,$C$5:$AT$510,21,)/VLOOKUP($D238,$C$5:$AT$510,3,))*$E238)</f>
        <v>0</v>
      </c>
      <c r="X238" s="45">
        <f>IF(VLOOKUP($D238,$C$5:$AT$510,3,)=0,0,(VLOOKUP($D238,$C$5:$AT$510,22,)/VLOOKUP($D238,$C$5:$AT$510,3,))*$E238)</f>
        <v>0</v>
      </c>
      <c r="Y238" s="45">
        <f>IF(VLOOKUP($D238,$C$5:$AT$510,3,)=0,0,(VLOOKUP($D238,$C$5:$AT$510,23,)/VLOOKUP($D238,$C$5:$AT$510,3,))*$E238)</f>
        <v>0</v>
      </c>
      <c r="Z238" s="45">
        <f>IF(VLOOKUP($D238,$C$5:$AT$510,3,)=0,0,(VLOOKUP($D238,$C$5:$AT$510,24,)/VLOOKUP($D238,$C$5:$AT$510,3,))*$E238)</f>
        <v>0</v>
      </c>
      <c r="AA238" s="45">
        <f>IF(VLOOKUP($D238,$C$5:$AT$510,3,)=0,0,(VLOOKUP($D238,$C$5:$AT$510,25,)/VLOOKUP($D238,$C$5:$AT$510,3,))*$E238)</f>
        <v>0</v>
      </c>
      <c r="AB238" s="45">
        <f>IF(VLOOKUP($D238,$C$5:$AT$510,3,)=0,0,(VLOOKUP($D238,$C$5:$AT$510,26,)/VLOOKUP($D238,$C$5:$AT$510,3,))*$E238)</f>
        <v>0</v>
      </c>
      <c r="AC238" s="45">
        <f>IF(VLOOKUP($D238,$C$5:$AT$510,3,)=0,0,(VLOOKUP($D238,$C$5:$AT$510,27,)/VLOOKUP($D238,$C$5:$AT$510,3,))*$E238)</f>
        <v>0</v>
      </c>
      <c r="AD238" s="45">
        <f>IF(VLOOKUP($D238,$C$5:$AT$510,3,)=0,0,(VLOOKUP($D238,$C$5:$AT$510,28,)/VLOOKUP($D238,$C$5:$AT$510,3,))*$E238)</f>
        <v>0</v>
      </c>
      <c r="AE238" s="45">
        <f>IF(VLOOKUP($D238,$C$5:$AT$510,3,)=0,0,(VLOOKUP($D238,$C$5:$AT$510,29,)/VLOOKUP($D238,$C$5:$AT$510,3,))*$E238)</f>
        <v>0</v>
      </c>
      <c r="AF238" s="45">
        <f>IF(VLOOKUP($D238,$C$5:$AT$510,3,)=0,0,(VLOOKUP($D238,$C$5:$AT$510,30,)/VLOOKUP($D238,$C$5:$AT$510,3,))*$E238)</f>
        <v>0</v>
      </c>
      <c r="AG238" s="69">
        <f>SUM(F238:AF238)</f>
        <v>0</v>
      </c>
      <c r="AH238" s="14" t="str">
        <f>IF(ABS(E238-AG238)&lt;0.01,"ok","err")</f>
        <v>ok</v>
      </c>
    </row>
    <row r="239" spans="1:34" x14ac:dyDescent="0.2">
      <c r="A239" s="2" t="s">
        <v>215</v>
      </c>
      <c r="C239" s="2" t="s">
        <v>300</v>
      </c>
      <c r="E239" s="32">
        <f t="shared" ref="E239:T239" si="49">E237+E238</f>
        <v>14696.237398439023</v>
      </c>
      <c r="F239" s="45">
        <f t="shared" si="49"/>
        <v>10328.473035117393</v>
      </c>
      <c r="G239" s="45">
        <f t="shared" si="49"/>
        <v>0</v>
      </c>
      <c r="H239" s="45">
        <f t="shared" si="49"/>
        <v>0.19413263653204232</v>
      </c>
      <c r="I239" s="45">
        <f t="shared" si="49"/>
        <v>927.45936696528645</v>
      </c>
      <c r="J239" s="45">
        <f t="shared" si="49"/>
        <v>1478.7562847344127</v>
      </c>
      <c r="K239" s="45">
        <f t="shared" si="49"/>
        <v>0</v>
      </c>
      <c r="L239" s="45">
        <f t="shared" si="49"/>
        <v>0</v>
      </c>
      <c r="M239" s="45">
        <f t="shared" si="49"/>
        <v>439.49002257739863</v>
      </c>
      <c r="N239" s="45">
        <f t="shared" si="49"/>
        <v>1030.4733956375233</v>
      </c>
      <c r="O239" s="45">
        <f t="shared" si="49"/>
        <v>129.87806666444826</v>
      </c>
      <c r="P239" s="45">
        <f t="shared" si="49"/>
        <v>13.405411800338518</v>
      </c>
      <c r="Q239" s="45">
        <f t="shared" si="49"/>
        <v>42.821282197114797</v>
      </c>
      <c r="R239" s="45">
        <f t="shared" si="49"/>
        <v>288.34723811278235</v>
      </c>
      <c r="S239" s="45">
        <f t="shared" si="49"/>
        <v>0</v>
      </c>
      <c r="T239" s="45">
        <f t="shared" si="49"/>
        <v>9.6809817634465158</v>
      </c>
      <c r="U239" s="45">
        <f t="shared" ref="U239:AF239" si="50">U237+U238</f>
        <v>7.2581802323457474</v>
      </c>
      <c r="V239" s="45">
        <f t="shared" si="50"/>
        <v>0</v>
      </c>
      <c r="W239" s="45">
        <f t="shared" si="50"/>
        <v>0</v>
      </c>
      <c r="X239" s="45">
        <f t="shared" si="50"/>
        <v>0</v>
      </c>
      <c r="Y239" s="45">
        <f t="shared" si="50"/>
        <v>0</v>
      </c>
      <c r="Z239" s="45">
        <f t="shared" si="50"/>
        <v>0</v>
      </c>
      <c r="AA239" s="45">
        <f t="shared" si="50"/>
        <v>0</v>
      </c>
      <c r="AB239" s="45">
        <f t="shared" si="50"/>
        <v>0</v>
      </c>
      <c r="AC239" s="45">
        <f t="shared" si="50"/>
        <v>0</v>
      </c>
      <c r="AD239" s="45">
        <f t="shared" si="50"/>
        <v>0</v>
      </c>
      <c r="AE239" s="45">
        <f t="shared" si="50"/>
        <v>0</v>
      </c>
      <c r="AF239" s="45">
        <f t="shared" si="50"/>
        <v>0</v>
      </c>
      <c r="AG239" s="69">
        <f>SUM(F239:AF239)</f>
        <v>14696.237398439023</v>
      </c>
      <c r="AH239" s="14" t="str">
        <f>IF(ABS(E239-AG239)&lt;0.01,"ok","err")</f>
        <v>ok</v>
      </c>
    </row>
    <row r="240" spans="1:34" x14ac:dyDescent="0.2">
      <c r="E240" s="32"/>
      <c r="F240" s="32"/>
    </row>
    <row r="241" spans="1:34" x14ac:dyDescent="0.2">
      <c r="A241" s="1" t="s">
        <v>350</v>
      </c>
      <c r="E241" s="32"/>
      <c r="F241" s="32"/>
    </row>
    <row r="242" spans="1:34" x14ac:dyDescent="0.2">
      <c r="A242" s="72" t="s">
        <v>209</v>
      </c>
      <c r="C242" s="2" t="s">
        <v>854</v>
      </c>
      <c r="D242" s="2" t="s">
        <v>623</v>
      </c>
      <c r="E242" s="45">
        <f>'Func &amp; Classif'!K325</f>
        <v>0</v>
      </c>
      <c r="F242" s="45">
        <f>IF(VLOOKUP($D242,$C$5:$AT$510,3,)=0,0,(VLOOKUP($D242,$C$5:$AT$510,4,)/VLOOKUP($D242,$C$5:$AT$510,3,))*$E242)</f>
        <v>0</v>
      </c>
      <c r="G242" s="45">
        <f>IF(VLOOKUP($D242,$C$5:$AT$510,3,)=0,0,(VLOOKUP($D242,$C$5:$AT$510,5,)/VLOOKUP($D242,$C$5:$AT$510,3,))*$E242)</f>
        <v>0</v>
      </c>
      <c r="H242" s="45">
        <f>IF(VLOOKUP($D242,$C$5:$AT$510,3,)=0,0,(VLOOKUP($D242,$C$5:$AT$510,6,)/VLOOKUP($D242,$C$5:$AT$510,3,))*$E242)</f>
        <v>0</v>
      </c>
      <c r="I242" s="45">
        <f>IF(VLOOKUP($D242,$C$5:$AT$510,3,)=0,0,(VLOOKUP($D242,$C$5:$AT$510,7,)/VLOOKUP($D242,$C$5:$AT$510,3,))*$E242)</f>
        <v>0</v>
      </c>
      <c r="J242" s="45">
        <f>IF(VLOOKUP($D242,$C$5:$AT$510,3,)=0,0,(VLOOKUP($D242,$C$5:$AT$510,8,)/VLOOKUP($D242,$C$5:$AT$510,3,))*$E242)</f>
        <v>0</v>
      </c>
      <c r="K242" s="45">
        <f>IF(VLOOKUP($D242,$C$5:$AT$510,3,)=0,0,(VLOOKUP($D242,$C$5:$AT$510,9,)/VLOOKUP($D242,$C$5:$AT$510,3,))*$E242)</f>
        <v>0</v>
      </c>
      <c r="L242" s="45">
        <f>IF(VLOOKUP($D242,$C$5:$AT$510,3,)=0,0,(VLOOKUP($D242,$C$5:$AT$510,10,)/VLOOKUP($D242,$C$5:$AT$510,3,))*$E242)</f>
        <v>0</v>
      </c>
      <c r="M242" s="45">
        <f>IF(VLOOKUP($D242,$C$5:$AT$510,3,)=0,0,(VLOOKUP($D242,$C$5:$AT$510,11,)/VLOOKUP($D242,$C$5:$AT$510,3,))*$E242)</f>
        <v>0</v>
      </c>
      <c r="N242" s="45">
        <f>IF(VLOOKUP($D242,$C$5:$AT$510,3,)=0,0,(VLOOKUP($D242,$C$5:$AT$510,12,)/VLOOKUP($D242,$C$5:$AT$510,3,))*$E242)</f>
        <v>0</v>
      </c>
      <c r="O242" s="45">
        <f>IF(VLOOKUP($D242,$C$5:$AT$510,3,)=0,0,(VLOOKUP($D242,$C$5:$AT$510,13,)/VLOOKUP($D242,$C$5:$AT$510,3,))*$E242)</f>
        <v>0</v>
      </c>
      <c r="P242" s="45">
        <f>IF(VLOOKUP($D242,$C$5:$AT$510,3,)=0,0,(VLOOKUP($D242,$C$5:$AT$510,14,)/VLOOKUP($D242,$C$5:$AT$510,3,))*$E242)</f>
        <v>0</v>
      </c>
      <c r="Q242" s="45">
        <f>IF(VLOOKUP($D242,$C$5:$AT$510,3,)=0,0,(VLOOKUP($D242,$C$5:$AT$510,15,)/VLOOKUP($D242,$C$5:$AT$510,3,))*$E242)</f>
        <v>0</v>
      </c>
      <c r="R242" s="45">
        <f>IF(VLOOKUP($D242,$C$5:$AT$510,3,)=0,0,(VLOOKUP($D242,$C$5:$AT$510,16,)/VLOOKUP($D242,$C$5:$AT$510,3,))*$E242)</f>
        <v>0</v>
      </c>
      <c r="S242" s="45">
        <f>IF(VLOOKUP($D242,$C$5:$AT$510,3,)=0,0,(VLOOKUP($D242,$C$5:$AT$510,17,)/VLOOKUP($D242,$C$5:$AT$510,3,))*$E242)</f>
        <v>0</v>
      </c>
      <c r="T242" s="45">
        <f>IF(VLOOKUP($D242,$C$5:$AT$510,3,)=0,0,(VLOOKUP($D242,$C$5:$AT$510,18,)/VLOOKUP($D242,$C$5:$AT$510,3,))*$E242)</f>
        <v>0</v>
      </c>
      <c r="U242" s="45">
        <f>IF(VLOOKUP($D242,$C$5:$AT$510,3,)=0,0,(VLOOKUP($D242,$C$5:$AT$510,19,)/VLOOKUP($D242,$C$5:$AT$510,3,))*$E242)</f>
        <v>0</v>
      </c>
      <c r="V242" s="45">
        <f>IF(VLOOKUP($D242,$C$5:$AT$510,3,)=0,0,(VLOOKUP($D242,$C$5:$AT$510,20,)/VLOOKUP($D242,$C$5:$AT$510,3,))*$E242)</f>
        <v>0</v>
      </c>
      <c r="W242" s="45">
        <f>IF(VLOOKUP($D242,$C$5:$AT$510,3,)=0,0,(VLOOKUP($D242,$C$5:$AT$510,21,)/VLOOKUP($D242,$C$5:$AT$510,3,))*$E242)</f>
        <v>0</v>
      </c>
      <c r="X242" s="45">
        <f>IF(VLOOKUP($D242,$C$5:$AT$510,3,)=0,0,(VLOOKUP($D242,$C$5:$AT$510,22,)/VLOOKUP($D242,$C$5:$AT$510,3,))*$E242)</f>
        <v>0</v>
      </c>
      <c r="Y242" s="45">
        <f>IF(VLOOKUP($D242,$C$5:$AT$510,3,)=0,0,(VLOOKUP($D242,$C$5:$AT$510,23,)/VLOOKUP($D242,$C$5:$AT$510,3,))*$E242)</f>
        <v>0</v>
      </c>
      <c r="Z242" s="45">
        <f>IF(VLOOKUP($D242,$C$5:$AT$510,3,)=0,0,(VLOOKUP($D242,$C$5:$AT$510,24,)/VLOOKUP($D242,$C$5:$AT$510,3,))*$E242)</f>
        <v>0</v>
      </c>
      <c r="AA242" s="45">
        <f>IF(VLOOKUP($D242,$C$5:$AT$510,3,)=0,0,(VLOOKUP($D242,$C$5:$AT$510,25,)/VLOOKUP($D242,$C$5:$AT$510,3,))*$E242)</f>
        <v>0</v>
      </c>
      <c r="AB242" s="45">
        <f>IF(VLOOKUP($D242,$C$5:$AT$510,3,)=0,0,(VLOOKUP($D242,$C$5:$AT$510,26,)/VLOOKUP($D242,$C$5:$AT$510,3,))*$E242)</f>
        <v>0</v>
      </c>
      <c r="AC242" s="45">
        <f>IF(VLOOKUP($D242,$C$5:$AT$510,3,)=0,0,(VLOOKUP($D242,$C$5:$AT$510,27,)/VLOOKUP($D242,$C$5:$AT$510,3,))*$E242)</f>
        <v>0</v>
      </c>
      <c r="AD242" s="45">
        <f>IF(VLOOKUP($D242,$C$5:$AT$510,3,)=0,0,(VLOOKUP($D242,$C$5:$AT$510,28,)/VLOOKUP($D242,$C$5:$AT$510,3,))*$E242)</f>
        <v>0</v>
      </c>
      <c r="AE242" s="45">
        <f>IF(VLOOKUP($D242,$C$5:$AT$510,3,)=0,0,(VLOOKUP($D242,$C$5:$AT$510,29,)/VLOOKUP($D242,$C$5:$AT$510,3,))*$E242)</f>
        <v>0</v>
      </c>
      <c r="AF242" s="45">
        <f>IF(VLOOKUP($D242,$C$5:$AT$510,3,)=0,0,(VLOOKUP($D242,$C$5:$AT$510,30,)/VLOOKUP($D242,$C$5:$AT$510,3,))*$E242)</f>
        <v>0</v>
      </c>
      <c r="AG242" s="69">
        <f>SUM(F242:AF242)</f>
        <v>0</v>
      </c>
      <c r="AH242" s="14" t="str">
        <f>IF(ABS(E242-AG242)&lt;0.01,"ok","err")</f>
        <v>ok</v>
      </c>
    </row>
    <row r="243" spans="1:34" x14ac:dyDescent="0.2">
      <c r="E243" s="32"/>
    </row>
    <row r="244" spans="1:34" x14ac:dyDescent="0.2">
      <c r="A244" s="1" t="s">
        <v>1</v>
      </c>
      <c r="E244" s="32"/>
      <c r="F244" s="32"/>
    </row>
    <row r="245" spans="1:34" x14ac:dyDescent="0.2">
      <c r="A245" s="72" t="s">
        <v>209</v>
      </c>
      <c r="C245" s="2" t="s">
        <v>301</v>
      </c>
      <c r="D245" s="2" t="s">
        <v>630</v>
      </c>
      <c r="E245" s="45">
        <f>'Func &amp; Classif'!M325</f>
        <v>304.79061748241872</v>
      </c>
      <c r="F245" s="45">
        <f>IF(VLOOKUP($D245,$C$5:$AT$510,3,)=0,0,(VLOOKUP($D245,$C$5:$AT$510,4,)/VLOOKUP($D245,$C$5:$AT$510,3,))*$E245)</f>
        <v>221.88900541579844</v>
      </c>
      <c r="G245" s="45">
        <f>IF(VLOOKUP($D245,$C$5:$AT$510,3,)=0,0,(VLOOKUP($D245,$C$5:$AT$510,5,)/VLOOKUP($D245,$C$5:$AT$510,3,))*$E245)</f>
        <v>0</v>
      </c>
      <c r="H245" s="45">
        <f>IF(VLOOKUP($D245,$C$5:$AT$510,3,)=0,0,(VLOOKUP($D245,$C$5:$AT$510,6,)/VLOOKUP($D245,$C$5:$AT$510,3,))*$E245)</f>
        <v>4.170596901631159E-3</v>
      </c>
      <c r="I245" s="45">
        <f>IF(VLOOKUP($D245,$C$5:$AT$510,3,)=0,0,(VLOOKUP($D245,$C$5:$AT$510,7,)/VLOOKUP($D245,$C$5:$AT$510,3,))*$E245)</f>
        <v>19.924826816102001</v>
      </c>
      <c r="J245" s="45">
        <f>IF(VLOOKUP($D245,$C$5:$AT$510,3,)=0,0,(VLOOKUP($D245,$C$5:$AT$510,8,)/VLOOKUP($D245,$C$5:$AT$510,3,))*$E245)</f>
        <v>31.768467628898708</v>
      </c>
      <c r="K245" s="45">
        <f>IF(VLOOKUP($D245,$C$5:$AT$510,3,)=0,0,(VLOOKUP($D245,$C$5:$AT$510,9,)/VLOOKUP($D245,$C$5:$AT$510,3,))*$E245)</f>
        <v>0</v>
      </c>
      <c r="L245" s="45">
        <f>IF(VLOOKUP($D245,$C$5:$AT$510,3,)=0,0,(VLOOKUP($D245,$C$5:$AT$510,10,)/VLOOKUP($D245,$C$5:$AT$510,3,))*$E245)</f>
        <v>0</v>
      </c>
      <c r="M245" s="45">
        <f>IF(VLOOKUP($D245,$C$5:$AT$510,3,)=0,0,(VLOOKUP($D245,$C$5:$AT$510,11,)/VLOOKUP($D245,$C$5:$AT$510,3,))*$E245)</f>
        <v>9.4416670952520327</v>
      </c>
      <c r="N245" s="45">
        <f>IF(VLOOKUP($D245,$C$5:$AT$510,3,)=0,0,(VLOOKUP($D245,$C$5:$AT$510,12,)/VLOOKUP($D245,$C$5:$AT$510,3,))*$E245)</f>
        <v>11.205808525788585</v>
      </c>
      <c r="O245" s="45">
        <f>IF(VLOOKUP($D245,$C$5:$AT$510,3,)=0,0,(VLOOKUP($D245,$C$5:$AT$510,13,)/VLOOKUP($D245,$C$5:$AT$510,3,))*$E245)</f>
        <v>2.7902009270408712</v>
      </c>
      <c r="P245" s="45">
        <f>IF(VLOOKUP($D245,$C$5:$AT$510,3,)=0,0,(VLOOKUP($D245,$C$5:$AT$510,14,)/VLOOKUP($D245,$C$5:$AT$510,3,))*$E245)</f>
        <v>0.28799160160972564</v>
      </c>
      <c r="Q245" s="45">
        <f>IF(VLOOKUP($D245,$C$5:$AT$510,3,)=0,0,(VLOOKUP($D245,$C$5:$AT$510,15,)/VLOOKUP($D245,$C$5:$AT$510,3,))*$E245)</f>
        <v>0.91993963532084144</v>
      </c>
      <c r="R245" s="45">
        <f>IF(VLOOKUP($D245,$C$5:$AT$510,3,)=0,0,(VLOOKUP($D245,$C$5:$AT$510,16,)/VLOOKUP($D245,$C$5:$AT$510,3,))*$E245)</f>
        <v>6.1946312549491465</v>
      </c>
      <c r="S245" s="45">
        <f>IF(VLOOKUP($D245,$C$5:$AT$510,3,)=0,0,(VLOOKUP($D245,$C$5:$AT$510,17,)/VLOOKUP($D245,$C$5:$AT$510,3,))*$E245)</f>
        <v>0</v>
      </c>
      <c r="T245" s="45">
        <f>IF(VLOOKUP($D245,$C$5:$AT$510,3,)=0,0,(VLOOKUP($D245,$C$5:$AT$510,18,)/VLOOKUP($D245,$C$5:$AT$510,3,))*$E245)</f>
        <v>0.20797879876686096</v>
      </c>
      <c r="U245" s="45">
        <f>IF(VLOOKUP($D245,$C$5:$AT$510,3,)=0,0,(VLOOKUP($D245,$C$5:$AT$510,19,)/VLOOKUP($D245,$C$5:$AT$510,3,))*$E245)</f>
        <v>0.15592918598983413</v>
      </c>
      <c r="V245" s="45">
        <f>IF(VLOOKUP($D245,$C$5:$AT$510,3,)=0,0,(VLOOKUP($D245,$C$5:$AT$510,20,)/VLOOKUP($D245,$C$5:$AT$510,3,))*$E245)</f>
        <v>0</v>
      </c>
      <c r="W245" s="45">
        <f>IF(VLOOKUP($D245,$C$5:$AT$510,3,)=0,0,(VLOOKUP($D245,$C$5:$AT$510,21,)/VLOOKUP($D245,$C$5:$AT$510,3,))*$E245)</f>
        <v>0</v>
      </c>
      <c r="X245" s="45">
        <f>IF(VLOOKUP($D245,$C$5:$AT$510,3,)=0,0,(VLOOKUP($D245,$C$5:$AT$510,22,)/VLOOKUP($D245,$C$5:$AT$510,3,))*$E245)</f>
        <v>0</v>
      </c>
      <c r="Y245" s="45">
        <f>IF(VLOOKUP($D245,$C$5:$AT$510,3,)=0,0,(VLOOKUP($D245,$C$5:$AT$510,23,)/VLOOKUP($D245,$C$5:$AT$510,3,))*$E245)</f>
        <v>0</v>
      </c>
      <c r="Z245" s="45">
        <f>IF(VLOOKUP($D245,$C$5:$AT$510,3,)=0,0,(VLOOKUP($D245,$C$5:$AT$510,24,)/VLOOKUP($D245,$C$5:$AT$510,3,))*$E245)</f>
        <v>0</v>
      </c>
      <c r="AA245" s="45">
        <f>IF(VLOOKUP($D245,$C$5:$AT$510,3,)=0,0,(VLOOKUP($D245,$C$5:$AT$510,25,)/VLOOKUP($D245,$C$5:$AT$510,3,))*$E245)</f>
        <v>0</v>
      </c>
      <c r="AB245" s="45">
        <f>IF(VLOOKUP($D245,$C$5:$AT$510,3,)=0,0,(VLOOKUP($D245,$C$5:$AT$510,26,)/VLOOKUP($D245,$C$5:$AT$510,3,))*$E245)</f>
        <v>0</v>
      </c>
      <c r="AC245" s="45">
        <f>IF(VLOOKUP($D245,$C$5:$AT$510,3,)=0,0,(VLOOKUP($D245,$C$5:$AT$510,27,)/VLOOKUP($D245,$C$5:$AT$510,3,))*$E245)</f>
        <v>0</v>
      </c>
      <c r="AD245" s="45">
        <f>IF(VLOOKUP($D245,$C$5:$AT$510,3,)=0,0,(VLOOKUP($D245,$C$5:$AT$510,28,)/VLOOKUP($D245,$C$5:$AT$510,3,))*$E245)</f>
        <v>0</v>
      </c>
      <c r="AE245" s="45">
        <f>IF(VLOOKUP($D245,$C$5:$AT$510,3,)=0,0,(VLOOKUP($D245,$C$5:$AT$510,29,)/VLOOKUP($D245,$C$5:$AT$510,3,))*$E245)</f>
        <v>0</v>
      </c>
      <c r="AF245" s="45">
        <f>IF(VLOOKUP($D245,$C$5:$AT$510,3,)=0,0,(VLOOKUP($D245,$C$5:$AT$510,30,)/VLOOKUP($D245,$C$5:$AT$510,3,))*$E245)</f>
        <v>0</v>
      </c>
      <c r="AG245" s="69">
        <f>SUM(F245:AF245)</f>
        <v>304.79061748241878</v>
      </c>
      <c r="AH245" s="14" t="str">
        <f>IF(ABS(E245-AG245)&lt;0.01,"ok","err")</f>
        <v>ok</v>
      </c>
    </row>
    <row r="246" spans="1:34" x14ac:dyDescent="0.2">
      <c r="E246" s="32"/>
    </row>
    <row r="247" spans="1:34" x14ac:dyDescent="0.2">
      <c r="A247" s="1" t="s">
        <v>2</v>
      </c>
      <c r="E247" s="32"/>
    </row>
    <row r="248" spans="1:34" x14ac:dyDescent="0.2">
      <c r="A248" s="72" t="s">
        <v>209</v>
      </c>
      <c r="C248" s="2" t="s">
        <v>302</v>
      </c>
      <c r="D248" s="2" t="s">
        <v>627</v>
      </c>
      <c r="E248" s="45">
        <f>'Func &amp; Classif'!O325</f>
        <v>443773.6542754632</v>
      </c>
      <c r="F248" s="45">
        <f>IF(VLOOKUP($D248,$C$5:$AT$510,3,)=0,0,(VLOOKUP($D248,$C$5:$AT$510,4,)/VLOOKUP($D248,$C$5:$AT$510,3,))*$E248)</f>
        <v>356175.24551183457</v>
      </c>
      <c r="G248" s="45">
        <f>IF(VLOOKUP($D248,$C$5:$AT$510,3,)=0,0,(VLOOKUP($D248,$C$5:$AT$510,5,)/VLOOKUP($D248,$C$5:$AT$510,3,))*$E248)</f>
        <v>0</v>
      </c>
      <c r="H248" s="45">
        <f>IF(VLOOKUP($D248,$C$5:$AT$510,3,)=0,0,(VLOOKUP($D248,$C$5:$AT$510,6,)/VLOOKUP($D248,$C$5:$AT$510,3,))*$E248)</f>
        <v>12.832389928641417</v>
      </c>
      <c r="I248" s="45">
        <f>IF(VLOOKUP($D248,$C$5:$AT$510,3,)=0,0,(VLOOKUP($D248,$C$5:$AT$510,7,)/VLOOKUP($D248,$C$5:$AT$510,3,))*$E248)</f>
        <v>30870.694479848491</v>
      </c>
      <c r="J248" s="45">
        <f>IF(VLOOKUP($D248,$C$5:$AT$510,3,)=0,0,(VLOOKUP($D248,$C$5:$AT$510,8,)/VLOOKUP($D248,$C$5:$AT$510,3,))*$E248)</f>
        <v>26584.715918688966</v>
      </c>
      <c r="K248" s="45">
        <f>IF(VLOOKUP($D248,$C$5:$AT$510,3,)=0,0,(VLOOKUP($D248,$C$5:$AT$510,9,)/VLOOKUP($D248,$C$5:$AT$510,3,))*$E248)</f>
        <v>305.32014997244647</v>
      </c>
      <c r="L248" s="45">
        <f>IF(VLOOKUP($D248,$C$5:$AT$510,3,)=0,0,(VLOOKUP($D248,$C$5:$AT$510,10,)/VLOOKUP($D248,$C$5:$AT$510,3,))*$E248)</f>
        <v>0</v>
      </c>
      <c r="M248" s="45">
        <f>IF(VLOOKUP($D248,$C$5:$AT$510,3,)=0,0,(VLOOKUP($D248,$C$5:$AT$510,11,)/VLOOKUP($D248,$C$5:$AT$510,3,))*$E248)</f>
        <v>9010.4781831388591</v>
      </c>
      <c r="N248" s="45">
        <f>IF(VLOOKUP($D248,$C$5:$AT$510,3,)=0,0,(VLOOKUP($D248,$C$5:$AT$510,12,)/VLOOKUP($D248,$C$5:$AT$510,3,))*$E248)</f>
        <v>9796.1403334744464</v>
      </c>
      <c r="O248" s="45">
        <f>IF(VLOOKUP($D248,$C$5:$AT$510,3,)=0,0,(VLOOKUP($D248,$C$5:$AT$510,13,)/VLOOKUP($D248,$C$5:$AT$510,3,))*$E248)</f>
        <v>2441.0936327334703</v>
      </c>
      <c r="P248" s="45">
        <f>IF(VLOOKUP($D248,$C$5:$AT$510,3,)=0,0,(VLOOKUP($D248,$C$5:$AT$510,14,)/VLOOKUP($D248,$C$5:$AT$510,3,))*$E248)</f>
        <v>716.86632608344223</v>
      </c>
      <c r="Q248" s="45">
        <f>IF(VLOOKUP($D248,$C$5:$AT$510,3,)=0,0,(VLOOKUP($D248,$C$5:$AT$510,15,)/VLOOKUP($D248,$C$5:$AT$510,3,))*$E248)</f>
        <v>1692.4499868250398</v>
      </c>
      <c r="R248" s="45">
        <f>IF(VLOOKUP($D248,$C$5:$AT$510,3,)=0,0,(VLOOKUP($D248,$C$5:$AT$510,16,)/VLOOKUP($D248,$C$5:$AT$510,3,))*$E248)</f>
        <v>5718.0249448154582</v>
      </c>
      <c r="S248" s="45">
        <f>IF(VLOOKUP($D248,$C$5:$AT$510,3,)=0,0,(VLOOKUP($D248,$C$5:$AT$510,17,)/VLOOKUP($D248,$C$5:$AT$510,3,))*$E248)</f>
        <v>0</v>
      </c>
      <c r="T248" s="45">
        <f>IF(VLOOKUP($D248,$C$5:$AT$510,3,)=0,0,(VLOOKUP($D248,$C$5:$AT$510,18,)/VLOOKUP($D248,$C$5:$AT$510,3,))*$E248)</f>
        <v>274.81880071589592</v>
      </c>
      <c r="U248" s="45">
        <f>IF(VLOOKUP($D248,$C$5:$AT$510,3,)=0,0,(VLOOKUP($D248,$C$5:$AT$510,19,)/VLOOKUP($D248,$C$5:$AT$510,3,))*$E248)</f>
        <v>174.97361740343555</v>
      </c>
      <c r="V248" s="45">
        <f>IF(VLOOKUP($D248,$C$5:$AT$510,3,)=0,0,(VLOOKUP($D248,$C$5:$AT$510,20,)/VLOOKUP($D248,$C$5:$AT$510,3,))*$E248)</f>
        <v>0</v>
      </c>
      <c r="W248" s="45">
        <f>IF(VLOOKUP($D248,$C$5:$AT$510,3,)=0,0,(VLOOKUP($D248,$C$5:$AT$510,21,)/VLOOKUP($D248,$C$5:$AT$510,3,))*$E248)</f>
        <v>0</v>
      </c>
      <c r="X248" s="45">
        <f>IF(VLOOKUP($D248,$C$5:$AT$510,3,)=0,0,(VLOOKUP($D248,$C$5:$AT$510,22,)/VLOOKUP($D248,$C$5:$AT$510,3,))*$E248)</f>
        <v>0</v>
      </c>
      <c r="Y248" s="45">
        <f>IF(VLOOKUP($D248,$C$5:$AT$510,3,)=0,0,(VLOOKUP($D248,$C$5:$AT$510,23,)/VLOOKUP($D248,$C$5:$AT$510,3,))*$E248)</f>
        <v>0</v>
      </c>
      <c r="Z248" s="45">
        <f>IF(VLOOKUP($D248,$C$5:$AT$510,3,)=0,0,(VLOOKUP($D248,$C$5:$AT$510,24,)/VLOOKUP($D248,$C$5:$AT$510,3,))*$E248)</f>
        <v>0</v>
      </c>
      <c r="AA248" s="45">
        <f>IF(VLOOKUP($D248,$C$5:$AT$510,3,)=0,0,(VLOOKUP($D248,$C$5:$AT$510,25,)/VLOOKUP($D248,$C$5:$AT$510,3,))*$E248)</f>
        <v>0</v>
      </c>
      <c r="AB248" s="45">
        <f>IF(VLOOKUP($D248,$C$5:$AT$510,3,)=0,0,(VLOOKUP($D248,$C$5:$AT$510,26,)/VLOOKUP($D248,$C$5:$AT$510,3,))*$E248)</f>
        <v>0</v>
      </c>
      <c r="AC248" s="45">
        <f>IF(VLOOKUP($D248,$C$5:$AT$510,3,)=0,0,(VLOOKUP($D248,$C$5:$AT$510,27,)/VLOOKUP($D248,$C$5:$AT$510,3,))*$E248)</f>
        <v>0</v>
      </c>
      <c r="AD248" s="45">
        <f>IF(VLOOKUP($D248,$C$5:$AT$510,3,)=0,0,(VLOOKUP($D248,$C$5:$AT$510,28,)/VLOOKUP($D248,$C$5:$AT$510,3,))*$E248)</f>
        <v>0</v>
      </c>
      <c r="AE248" s="45">
        <f>IF(VLOOKUP($D248,$C$5:$AT$510,3,)=0,0,(VLOOKUP($D248,$C$5:$AT$510,29,)/VLOOKUP($D248,$C$5:$AT$510,3,))*$E248)</f>
        <v>0</v>
      </c>
      <c r="AF248" s="45">
        <f>IF(VLOOKUP($D248,$C$5:$AT$510,3,)=0,0,(VLOOKUP($D248,$C$5:$AT$510,30,)/VLOOKUP($D248,$C$5:$AT$510,3,))*$E248)</f>
        <v>0</v>
      </c>
      <c r="AG248" s="69">
        <f>SUM(F248:AF248)</f>
        <v>443773.65427546314</v>
      </c>
      <c r="AH248" s="14" t="str">
        <f>IF(ABS(E248-AG248)&lt;0.01,"ok","err")</f>
        <v>ok</v>
      </c>
    </row>
    <row r="249" spans="1:34" x14ac:dyDescent="0.2">
      <c r="A249" s="72" t="s">
        <v>221</v>
      </c>
      <c r="C249" s="2" t="s">
        <v>303</v>
      </c>
      <c r="D249" s="2" t="s">
        <v>223</v>
      </c>
      <c r="E249" s="32">
        <f>'Func &amp; Classif'!P325</f>
        <v>228697.23275262763</v>
      </c>
      <c r="F249" s="45">
        <f>IF(VLOOKUP($D249,$C$5:$AT$510,3,)=0,0,(VLOOKUP($D249,$C$5:$AT$510,4,)/VLOOKUP($D249,$C$5:$AT$510,3,))*$E249)</f>
        <v>210794.659953172</v>
      </c>
      <c r="G249" s="45">
        <f>IF(VLOOKUP($D249,$C$5:$AT$510,3,)=0,0,(VLOOKUP($D249,$C$5:$AT$510,5,)/VLOOKUP($D249,$C$5:$AT$510,3,))*$E249)</f>
        <v>0</v>
      </c>
      <c r="H249" s="45">
        <f>IF(VLOOKUP($D249,$C$5:$AT$510,3,)=0,0,(VLOOKUP($D249,$C$5:$AT$510,6,)/VLOOKUP($D249,$C$5:$AT$510,3,))*$E249)</f>
        <v>8.5779547470160331</v>
      </c>
      <c r="I249" s="45">
        <f>IF(VLOOKUP($D249,$C$5:$AT$510,3,)=0,0,(VLOOKUP($D249,$C$5:$AT$510,7,)/VLOOKUP($D249,$C$5:$AT$510,3,))*$E249)</f>
        <v>15165.823992724348</v>
      </c>
      <c r="J249" s="45">
        <f>IF(VLOOKUP($D249,$C$5:$AT$510,3,)=0,0,(VLOOKUP($D249,$C$5:$AT$510,8,)/VLOOKUP($D249,$C$5:$AT$510,3,))*$E249)</f>
        <v>849.21751995458726</v>
      </c>
      <c r="K249" s="45">
        <f>IF(VLOOKUP($D249,$C$5:$AT$510,3,)=0,0,(VLOOKUP($D249,$C$5:$AT$510,9,)/VLOOKUP($D249,$C$5:$AT$510,3,))*$E249)</f>
        <v>15.630939761229216</v>
      </c>
      <c r="L249" s="45">
        <f>IF(VLOOKUP($D249,$C$5:$AT$510,3,)=0,0,(VLOOKUP($D249,$C$5:$AT$510,10,)/VLOOKUP($D249,$C$5:$AT$510,3,))*$E249)</f>
        <v>0</v>
      </c>
      <c r="M249" s="45">
        <f>IF(VLOOKUP($D249,$C$5:$AT$510,3,)=0,0,(VLOOKUP($D249,$C$5:$AT$510,11,)/VLOOKUP($D249,$C$5:$AT$510,3,))*$E249)</f>
        <v>0.76248486640142521</v>
      </c>
      <c r="N249" s="45">
        <f>IF(VLOOKUP($D249,$C$5:$AT$510,3,)=0,0,(VLOOKUP($D249,$C$5:$AT$510,12,)/VLOOKUP($D249,$C$5:$AT$510,3,))*$E249)</f>
        <v>0.1906212166003563</v>
      </c>
      <c r="O249" s="45">
        <f>IF(VLOOKUP($D249,$C$5:$AT$510,3,)=0,0,(VLOOKUP($D249,$C$5:$AT$510,13,)/VLOOKUP($D249,$C$5:$AT$510,3,))*$E249)</f>
        <v>0.1906212166003563</v>
      </c>
      <c r="P249" s="45">
        <f>IF(VLOOKUP($D249,$C$5:$AT$510,3,)=0,0,(VLOOKUP($D249,$C$5:$AT$510,14,)/VLOOKUP($D249,$C$5:$AT$510,3,))*$E249)</f>
        <v>0.76248486640142521</v>
      </c>
      <c r="Q249" s="45">
        <f>IF(VLOOKUP($D249,$C$5:$AT$510,3,)=0,0,(VLOOKUP($D249,$C$5:$AT$510,15,)/VLOOKUP($D249,$C$5:$AT$510,3,))*$E249)</f>
        <v>686.23637976128271</v>
      </c>
      <c r="R249" s="45">
        <f>IF(VLOOKUP($D249,$C$5:$AT$510,3,)=0,0,(VLOOKUP($D249,$C$5:$AT$510,16,)/VLOOKUP($D249,$C$5:$AT$510,3,))*$E249)</f>
        <v>8.5779547470160331</v>
      </c>
      <c r="S249" s="45">
        <f>IF(VLOOKUP($D249,$C$5:$AT$510,3,)=0,0,(VLOOKUP($D249,$C$5:$AT$510,17,)/VLOOKUP($D249,$C$5:$AT$510,3,))*$E249)</f>
        <v>0</v>
      </c>
      <c r="T249" s="45">
        <f>IF(VLOOKUP($D249,$C$5:$AT$510,3,)=0,0,(VLOOKUP($D249,$C$5:$AT$510,18,)/VLOOKUP($D249,$C$5:$AT$510,3,))*$E249)</f>
        <v>60.045683229112242</v>
      </c>
      <c r="U249" s="45">
        <f>IF(VLOOKUP($D249,$C$5:$AT$510,3,)=0,0,(VLOOKUP($D249,$C$5:$AT$510,19,)/VLOOKUP($D249,$C$5:$AT$510,3,))*$E249)</f>
        <v>1106.5561623650683</v>
      </c>
      <c r="V249" s="45">
        <f>IF(VLOOKUP($D249,$C$5:$AT$510,3,)=0,0,(VLOOKUP($D249,$C$5:$AT$510,20,)/VLOOKUP($D249,$C$5:$AT$510,3,))*$E249)</f>
        <v>0</v>
      </c>
      <c r="W249" s="45">
        <f>IF(VLOOKUP($D249,$C$5:$AT$510,3,)=0,0,(VLOOKUP($D249,$C$5:$AT$510,21,)/VLOOKUP($D249,$C$5:$AT$510,3,))*$E249)</f>
        <v>0</v>
      </c>
      <c r="X249" s="45">
        <f>IF(VLOOKUP($D249,$C$5:$AT$510,3,)=0,0,(VLOOKUP($D249,$C$5:$AT$510,22,)/VLOOKUP($D249,$C$5:$AT$510,3,))*$E249)</f>
        <v>0</v>
      </c>
      <c r="Y249" s="45">
        <f>IF(VLOOKUP($D249,$C$5:$AT$510,3,)=0,0,(VLOOKUP($D249,$C$5:$AT$510,23,)/VLOOKUP($D249,$C$5:$AT$510,3,))*$E249)</f>
        <v>0</v>
      </c>
      <c r="Z249" s="45">
        <f>IF(VLOOKUP($D249,$C$5:$AT$510,3,)=0,0,(VLOOKUP($D249,$C$5:$AT$510,24,)/VLOOKUP($D249,$C$5:$AT$510,3,))*$E249)</f>
        <v>0</v>
      </c>
      <c r="AA249" s="45">
        <f>IF(VLOOKUP($D249,$C$5:$AT$510,3,)=0,0,(VLOOKUP($D249,$C$5:$AT$510,25,)/VLOOKUP($D249,$C$5:$AT$510,3,))*$E249)</f>
        <v>0</v>
      </c>
      <c r="AB249" s="45">
        <f>IF(VLOOKUP($D249,$C$5:$AT$510,3,)=0,0,(VLOOKUP($D249,$C$5:$AT$510,26,)/VLOOKUP($D249,$C$5:$AT$510,3,))*$E249)</f>
        <v>0</v>
      </c>
      <c r="AC249" s="45">
        <f>IF(VLOOKUP($D249,$C$5:$AT$510,3,)=0,0,(VLOOKUP($D249,$C$5:$AT$510,27,)/VLOOKUP($D249,$C$5:$AT$510,3,))*$E249)</f>
        <v>0</v>
      </c>
      <c r="AD249" s="45">
        <f>IF(VLOOKUP($D249,$C$5:$AT$510,3,)=0,0,(VLOOKUP($D249,$C$5:$AT$510,28,)/VLOOKUP($D249,$C$5:$AT$510,3,))*$E249)</f>
        <v>0</v>
      </c>
      <c r="AE249" s="45">
        <f>IF(VLOOKUP($D249,$C$5:$AT$510,3,)=0,0,(VLOOKUP($D249,$C$5:$AT$510,29,)/VLOOKUP($D249,$C$5:$AT$510,3,))*$E249)</f>
        <v>0</v>
      </c>
      <c r="AF249" s="45">
        <f>IF(VLOOKUP($D249,$C$5:$AT$510,3,)=0,0,(VLOOKUP($D249,$C$5:$AT$510,30,)/VLOOKUP($D249,$C$5:$AT$510,3,))*$E249)</f>
        <v>0</v>
      </c>
      <c r="AG249" s="69">
        <f>SUM(F249:AF249)</f>
        <v>228697.23275262766</v>
      </c>
      <c r="AH249" s="14" t="str">
        <f>IF(ABS(E249-AG249)&lt;0.01,"ok","err")</f>
        <v>ok</v>
      </c>
    </row>
    <row r="250" spans="1:34" x14ac:dyDescent="0.2">
      <c r="A250" s="2" t="s">
        <v>224</v>
      </c>
      <c r="E250" s="45">
        <f t="shared" ref="E250:T250" si="51">E248+E249</f>
        <v>672470.88702809089</v>
      </c>
      <c r="F250" s="45">
        <f t="shared" si="51"/>
        <v>566969.9054650066</v>
      </c>
      <c r="G250" s="45">
        <f t="shared" si="51"/>
        <v>0</v>
      </c>
      <c r="H250" s="45">
        <f t="shared" si="51"/>
        <v>21.410344675657448</v>
      </c>
      <c r="I250" s="45">
        <f t="shared" si="51"/>
        <v>46036.51847257284</v>
      </c>
      <c r="J250" s="45">
        <f t="shared" si="51"/>
        <v>27433.933438643551</v>
      </c>
      <c r="K250" s="45">
        <f t="shared" si="51"/>
        <v>320.9510897336757</v>
      </c>
      <c r="L250" s="45">
        <f t="shared" si="51"/>
        <v>0</v>
      </c>
      <c r="M250" s="45">
        <f t="shared" si="51"/>
        <v>9011.2406680052609</v>
      </c>
      <c r="N250" s="45">
        <f t="shared" si="51"/>
        <v>9796.3309546910459</v>
      </c>
      <c r="O250" s="45">
        <f t="shared" si="51"/>
        <v>2441.2842539500707</v>
      </c>
      <c r="P250" s="45">
        <f t="shared" si="51"/>
        <v>717.62881094984368</v>
      </c>
      <c r="Q250" s="45">
        <f t="shared" si="51"/>
        <v>2378.6863665863225</v>
      </c>
      <c r="R250" s="45">
        <f t="shared" si="51"/>
        <v>5726.6028995624738</v>
      </c>
      <c r="S250" s="45">
        <f t="shared" si="51"/>
        <v>0</v>
      </c>
      <c r="T250" s="45">
        <f t="shared" si="51"/>
        <v>334.86448394500815</v>
      </c>
      <c r="U250" s="45">
        <f t="shared" ref="U250:AF250" si="52">U248+U249</f>
        <v>1281.5297797685039</v>
      </c>
      <c r="V250" s="45">
        <f t="shared" si="52"/>
        <v>0</v>
      </c>
      <c r="W250" s="45">
        <f t="shared" si="52"/>
        <v>0</v>
      </c>
      <c r="X250" s="45">
        <f t="shared" si="52"/>
        <v>0</v>
      </c>
      <c r="Y250" s="45">
        <f t="shared" si="52"/>
        <v>0</v>
      </c>
      <c r="Z250" s="45">
        <f t="shared" si="52"/>
        <v>0</v>
      </c>
      <c r="AA250" s="45">
        <f t="shared" si="52"/>
        <v>0</v>
      </c>
      <c r="AB250" s="45">
        <f t="shared" si="52"/>
        <v>0</v>
      </c>
      <c r="AC250" s="45">
        <f t="shared" si="52"/>
        <v>0</v>
      </c>
      <c r="AD250" s="45">
        <f t="shared" si="52"/>
        <v>0</v>
      </c>
      <c r="AE250" s="45">
        <f t="shared" si="52"/>
        <v>0</v>
      </c>
      <c r="AF250" s="45">
        <f t="shared" si="52"/>
        <v>0</v>
      </c>
      <c r="AG250" s="69">
        <f>SUM(F250:AF250)</f>
        <v>672470.88702809089</v>
      </c>
      <c r="AH250" s="14" t="str">
        <f>IF(ABS(E250-AG250)&lt;0.01,"ok","err")</f>
        <v>ok</v>
      </c>
    </row>
    <row r="251" spans="1:34" x14ac:dyDescent="0.2">
      <c r="E251" s="32"/>
    </row>
    <row r="252" spans="1:34" x14ac:dyDescent="0.2">
      <c r="A252" s="1" t="s">
        <v>3</v>
      </c>
      <c r="E252" s="32"/>
    </row>
    <row r="253" spans="1:34" x14ac:dyDescent="0.2">
      <c r="A253" s="72" t="s">
        <v>209</v>
      </c>
      <c r="C253" s="2" t="s">
        <v>304</v>
      </c>
      <c r="D253" s="2" t="s">
        <v>699</v>
      </c>
      <c r="E253" s="45">
        <f>'Func &amp; Classif'!R325</f>
        <v>0</v>
      </c>
      <c r="F253" s="45">
        <f>IF(VLOOKUP($D253,$C$5:$AT$510,3,)=0,0,(VLOOKUP($D253,$C$5:$AT$510,4,)/VLOOKUP($D253,$C$5:$AT$510,3,))*$E253)</f>
        <v>0</v>
      </c>
      <c r="G253" s="45">
        <f>IF(VLOOKUP($D253,$C$5:$AT$510,3,)=0,0,(VLOOKUP($D253,$C$5:$AT$510,5,)/VLOOKUP($D253,$C$5:$AT$510,3,))*$E253)</f>
        <v>0</v>
      </c>
      <c r="H253" s="45">
        <f>IF(VLOOKUP($D253,$C$5:$AT$510,3,)=0,0,(VLOOKUP($D253,$C$5:$AT$510,6,)/VLOOKUP($D253,$C$5:$AT$510,3,))*$E253)</f>
        <v>0</v>
      </c>
      <c r="I253" s="45">
        <f>IF(VLOOKUP($D253,$C$5:$AT$510,3,)=0,0,(VLOOKUP($D253,$C$5:$AT$510,7,)/VLOOKUP($D253,$C$5:$AT$510,3,))*$E253)</f>
        <v>0</v>
      </c>
      <c r="J253" s="45">
        <f>IF(VLOOKUP($D253,$C$5:$AT$510,3,)=0,0,(VLOOKUP($D253,$C$5:$AT$510,8,)/VLOOKUP($D253,$C$5:$AT$510,3,))*$E253)</f>
        <v>0</v>
      </c>
      <c r="K253" s="45">
        <f>IF(VLOOKUP($D253,$C$5:$AT$510,3,)=0,0,(VLOOKUP($D253,$C$5:$AT$510,9,)/VLOOKUP($D253,$C$5:$AT$510,3,))*$E253)</f>
        <v>0</v>
      </c>
      <c r="L253" s="45">
        <f>IF(VLOOKUP($D253,$C$5:$AT$510,3,)=0,0,(VLOOKUP($D253,$C$5:$AT$510,10,)/VLOOKUP($D253,$C$5:$AT$510,3,))*$E253)</f>
        <v>0</v>
      </c>
      <c r="M253" s="45">
        <f>IF(VLOOKUP($D253,$C$5:$AT$510,3,)=0,0,(VLOOKUP($D253,$C$5:$AT$510,11,)/VLOOKUP($D253,$C$5:$AT$510,3,))*$E253)</f>
        <v>0</v>
      </c>
      <c r="N253" s="45">
        <f>IF(VLOOKUP($D253,$C$5:$AT$510,3,)=0,0,(VLOOKUP($D253,$C$5:$AT$510,12,)/VLOOKUP($D253,$C$5:$AT$510,3,))*$E253)</f>
        <v>0</v>
      </c>
      <c r="O253" s="45">
        <f>IF(VLOOKUP($D253,$C$5:$AT$510,3,)=0,0,(VLOOKUP($D253,$C$5:$AT$510,13,)/VLOOKUP($D253,$C$5:$AT$510,3,))*$E253)</f>
        <v>0</v>
      </c>
      <c r="P253" s="45">
        <f>IF(VLOOKUP($D253,$C$5:$AT$510,3,)=0,0,(VLOOKUP($D253,$C$5:$AT$510,14,)/VLOOKUP($D253,$C$5:$AT$510,3,))*$E253)</f>
        <v>0</v>
      </c>
      <c r="Q253" s="45">
        <f>IF(VLOOKUP($D253,$C$5:$AT$510,3,)=0,0,(VLOOKUP($D253,$C$5:$AT$510,15,)/VLOOKUP($D253,$C$5:$AT$510,3,))*$E253)</f>
        <v>0</v>
      </c>
      <c r="R253" s="45">
        <f>IF(VLOOKUP($D253,$C$5:$AT$510,3,)=0,0,(VLOOKUP($D253,$C$5:$AT$510,16,)/VLOOKUP($D253,$C$5:$AT$510,3,))*$E253)</f>
        <v>0</v>
      </c>
      <c r="S253" s="45">
        <f>IF(VLOOKUP($D253,$C$5:$AT$510,3,)=0,0,(VLOOKUP($D253,$C$5:$AT$510,17,)/VLOOKUP($D253,$C$5:$AT$510,3,))*$E253)</f>
        <v>0</v>
      </c>
      <c r="T253" s="45">
        <f>IF(VLOOKUP($D253,$C$5:$AT$510,3,)=0,0,(VLOOKUP($D253,$C$5:$AT$510,18,)/VLOOKUP($D253,$C$5:$AT$510,3,))*$E253)</f>
        <v>0</v>
      </c>
      <c r="U253" s="45">
        <f>IF(VLOOKUP($D253,$C$5:$AT$510,3,)=0,0,(VLOOKUP($D253,$C$5:$AT$510,19,)/VLOOKUP($D253,$C$5:$AT$510,3,))*$E253)</f>
        <v>0</v>
      </c>
      <c r="V253" s="45">
        <f>IF(VLOOKUP($D253,$C$5:$AT$510,3,)=0,0,(VLOOKUP($D253,$C$5:$AT$510,20,)/VLOOKUP($D253,$C$5:$AT$510,3,))*$E253)</f>
        <v>0</v>
      </c>
      <c r="W253" s="45">
        <f>IF(VLOOKUP($D253,$C$5:$AT$510,3,)=0,0,(VLOOKUP($D253,$C$5:$AT$510,21,)/VLOOKUP($D253,$C$5:$AT$510,3,))*$E253)</f>
        <v>0</v>
      </c>
      <c r="X253" s="45">
        <f>IF(VLOOKUP($D253,$C$5:$AT$510,3,)=0,0,(VLOOKUP($D253,$C$5:$AT$510,22,)/VLOOKUP($D253,$C$5:$AT$510,3,))*$E253)</f>
        <v>0</v>
      </c>
      <c r="Y253" s="45">
        <f>IF(VLOOKUP($D253,$C$5:$AT$510,3,)=0,0,(VLOOKUP($D253,$C$5:$AT$510,23,)/VLOOKUP($D253,$C$5:$AT$510,3,))*$E253)</f>
        <v>0</v>
      </c>
      <c r="Z253" s="45">
        <f>IF(VLOOKUP($D253,$C$5:$AT$510,3,)=0,0,(VLOOKUP($D253,$C$5:$AT$510,24,)/VLOOKUP($D253,$C$5:$AT$510,3,))*$E253)</f>
        <v>0</v>
      </c>
      <c r="AA253" s="45">
        <f>IF(VLOOKUP($D253,$C$5:$AT$510,3,)=0,0,(VLOOKUP($D253,$C$5:$AT$510,25,)/VLOOKUP($D253,$C$5:$AT$510,3,))*$E253)</f>
        <v>0</v>
      </c>
      <c r="AB253" s="45">
        <f>IF(VLOOKUP($D253,$C$5:$AT$510,3,)=0,0,(VLOOKUP($D253,$C$5:$AT$510,26,)/VLOOKUP($D253,$C$5:$AT$510,3,))*$E253)</f>
        <v>0</v>
      </c>
      <c r="AC253" s="45">
        <f>IF(VLOOKUP($D253,$C$5:$AT$510,3,)=0,0,(VLOOKUP($D253,$C$5:$AT$510,27,)/VLOOKUP($D253,$C$5:$AT$510,3,))*$E253)</f>
        <v>0</v>
      </c>
      <c r="AD253" s="45">
        <f>IF(VLOOKUP($D253,$C$5:$AT$510,3,)=0,0,(VLOOKUP($D253,$C$5:$AT$510,28,)/VLOOKUP($D253,$C$5:$AT$510,3,))*$E253)</f>
        <v>0</v>
      </c>
      <c r="AE253" s="45">
        <f>IF(VLOOKUP($D253,$C$5:$AT$510,3,)=0,0,(VLOOKUP($D253,$C$5:$AT$510,29,)/VLOOKUP($D253,$C$5:$AT$510,3,))*$E253)</f>
        <v>0</v>
      </c>
      <c r="AF253" s="45">
        <f>IF(VLOOKUP($D253,$C$5:$AT$510,3,)=0,0,(VLOOKUP($D253,$C$5:$AT$510,30,)/VLOOKUP($D253,$C$5:$AT$510,3,))*$E253)</f>
        <v>0</v>
      </c>
      <c r="AG253" s="69">
        <f>SUM(F253:AF253)</f>
        <v>0</v>
      </c>
      <c r="AH253" s="14" t="str">
        <f>IF(ABS(E253-AG253)&lt;0.01,"ok","err")</f>
        <v>ok</v>
      </c>
    </row>
    <row r="254" spans="1:34" x14ac:dyDescent="0.2">
      <c r="A254" s="72" t="s">
        <v>221</v>
      </c>
      <c r="C254" s="2" t="s">
        <v>305</v>
      </c>
      <c r="D254" s="2" t="s">
        <v>699</v>
      </c>
      <c r="E254" s="32">
        <f>'Func &amp; Classif'!S325</f>
        <v>83040.780827215174</v>
      </c>
      <c r="F254" s="45">
        <f>IF(VLOOKUP($D254,$C$5:$AT$510,3,)=0,0,(VLOOKUP($D254,$C$5:$AT$510,4,)/VLOOKUP($D254,$C$5:$AT$510,3,))*$E254)</f>
        <v>72382.513786905809</v>
      </c>
      <c r="G254" s="45">
        <f>IF(VLOOKUP($D254,$C$5:$AT$510,3,)=0,0,(VLOOKUP($D254,$C$5:$AT$510,5,)/VLOOKUP($D254,$C$5:$AT$510,3,))*$E254)</f>
        <v>0</v>
      </c>
      <c r="H254" s="45">
        <f>IF(VLOOKUP($D254,$C$5:$AT$510,3,)=0,0,(VLOOKUP($D254,$C$5:$AT$510,6,)/VLOOKUP($D254,$C$5:$AT$510,3,))*$E254)</f>
        <v>2.945491730565061</v>
      </c>
      <c r="I254" s="45">
        <f>IF(VLOOKUP($D254,$C$5:$AT$510,3,)=0,0,(VLOOKUP($D254,$C$5:$AT$510,7,)/VLOOKUP($D254,$C$5:$AT$510,3,))*$E254)</f>
        <v>7286.9943142347165</v>
      </c>
      <c r="J254" s="45">
        <f>IF(VLOOKUP($D254,$C$5:$AT$510,3,)=0,0,(VLOOKUP($D254,$C$5:$AT$510,8,)/VLOOKUP($D254,$C$5:$AT$510,3,))*$E254)</f>
        <v>2429.6521950619467</v>
      </c>
      <c r="K254" s="45">
        <f>IF(VLOOKUP($D254,$C$5:$AT$510,3,)=0,0,(VLOOKUP($D254,$C$5:$AT$510,9,)/VLOOKUP($D254,$C$5:$AT$510,3,))*$E254)</f>
        <v>17.013994357295807</v>
      </c>
      <c r="L254" s="45">
        <f>IF(VLOOKUP($D254,$C$5:$AT$510,3,)=0,0,(VLOOKUP($D254,$C$5:$AT$510,10,)/VLOOKUP($D254,$C$5:$AT$510,3,))*$E254)</f>
        <v>0</v>
      </c>
      <c r="M254" s="45">
        <f>IF(VLOOKUP($D254,$C$5:$AT$510,3,)=0,0,(VLOOKUP($D254,$C$5:$AT$510,11,)/VLOOKUP($D254,$C$5:$AT$510,3,))*$E254)</f>
        <v>36.119548506277816</v>
      </c>
      <c r="N254" s="45">
        <f>IF(VLOOKUP($D254,$C$5:$AT$510,3,)=0,0,(VLOOKUP($D254,$C$5:$AT$510,12,)/VLOOKUP($D254,$C$5:$AT$510,3,))*$E254)</f>
        <v>341.46538240172237</v>
      </c>
      <c r="O254" s="45">
        <f>IF(VLOOKUP($D254,$C$5:$AT$510,3,)=0,0,(VLOOKUP($D254,$C$5:$AT$510,13,)/VLOOKUP($D254,$C$5:$AT$510,3,))*$E254)</f>
        <v>61.269877277543344</v>
      </c>
      <c r="P254" s="45">
        <f>IF(VLOOKUP($D254,$C$5:$AT$510,3,)=0,0,(VLOOKUP($D254,$C$5:$AT$510,14,)/VLOOKUP($D254,$C$5:$AT$510,3,))*$E254)</f>
        <v>48.650139521474593</v>
      </c>
      <c r="Q254" s="45">
        <f>IF(VLOOKUP($D254,$C$5:$AT$510,3,)=0,0,(VLOOKUP($D254,$C$5:$AT$510,15,)/VLOOKUP($D254,$C$5:$AT$510,3,))*$E254)</f>
        <v>250.31987776072913</v>
      </c>
      <c r="R254" s="45">
        <f>IF(VLOOKUP($D254,$C$5:$AT$510,3,)=0,0,(VLOOKUP($D254,$C$5:$AT$510,16,)/VLOOKUP($D254,$C$5:$AT$510,3,))*$E254)</f>
        <v>0</v>
      </c>
      <c r="S254" s="45">
        <f>IF(VLOOKUP($D254,$C$5:$AT$510,3,)=0,0,(VLOOKUP($D254,$C$5:$AT$510,17,)/VLOOKUP($D254,$C$5:$AT$510,3,))*$E254)</f>
        <v>0</v>
      </c>
      <c r="T254" s="45">
        <f>IF(VLOOKUP($D254,$C$5:$AT$510,3,)=0,0,(VLOOKUP($D254,$C$5:$AT$510,18,)/VLOOKUP($D254,$C$5:$AT$510,3,))*$E254)</f>
        <v>183.83621945710061</v>
      </c>
      <c r="U254" s="45">
        <f>IF(VLOOKUP($D254,$C$5:$AT$510,3,)=0,0,(VLOOKUP($D254,$C$5:$AT$510,19,)/VLOOKUP($D254,$C$5:$AT$510,3,))*$E254)</f>
        <v>0</v>
      </c>
      <c r="V254" s="45">
        <f>IF(VLOOKUP($D254,$C$5:$AT$510,3,)=0,0,(VLOOKUP($D254,$C$5:$AT$510,20,)/VLOOKUP($D254,$C$5:$AT$510,3,))*$E254)</f>
        <v>0</v>
      </c>
      <c r="W254" s="45">
        <f>IF(VLOOKUP($D254,$C$5:$AT$510,3,)=0,0,(VLOOKUP($D254,$C$5:$AT$510,21,)/VLOOKUP($D254,$C$5:$AT$510,3,))*$E254)</f>
        <v>0</v>
      </c>
      <c r="X254" s="45">
        <f>IF(VLOOKUP($D254,$C$5:$AT$510,3,)=0,0,(VLOOKUP($D254,$C$5:$AT$510,22,)/VLOOKUP($D254,$C$5:$AT$510,3,))*$E254)</f>
        <v>0</v>
      </c>
      <c r="Y254" s="45">
        <f>IF(VLOOKUP($D254,$C$5:$AT$510,3,)=0,0,(VLOOKUP($D254,$C$5:$AT$510,23,)/VLOOKUP($D254,$C$5:$AT$510,3,))*$E254)</f>
        <v>0</v>
      </c>
      <c r="Z254" s="45">
        <f>IF(VLOOKUP($D254,$C$5:$AT$510,3,)=0,0,(VLOOKUP($D254,$C$5:$AT$510,24,)/VLOOKUP($D254,$C$5:$AT$510,3,))*$E254)</f>
        <v>0</v>
      </c>
      <c r="AA254" s="45">
        <f>IF(VLOOKUP($D254,$C$5:$AT$510,3,)=0,0,(VLOOKUP($D254,$C$5:$AT$510,25,)/VLOOKUP($D254,$C$5:$AT$510,3,))*$E254)</f>
        <v>0</v>
      </c>
      <c r="AB254" s="45">
        <f>IF(VLOOKUP($D254,$C$5:$AT$510,3,)=0,0,(VLOOKUP($D254,$C$5:$AT$510,26,)/VLOOKUP($D254,$C$5:$AT$510,3,))*$E254)</f>
        <v>0</v>
      </c>
      <c r="AC254" s="45">
        <f>IF(VLOOKUP($D254,$C$5:$AT$510,3,)=0,0,(VLOOKUP($D254,$C$5:$AT$510,27,)/VLOOKUP($D254,$C$5:$AT$510,3,))*$E254)</f>
        <v>0</v>
      </c>
      <c r="AD254" s="45">
        <f>IF(VLOOKUP($D254,$C$5:$AT$510,3,)=0,0,(VLOOKUP($D254,$C$5:$AT$510,28,)/VLOOKUP($D254,$C$5:$AT$510,3,))*$E254)</f>
        <v>0</v>
      </c>
      <c r="AE254" s="45">
        <f>IF(VLOOKUP($D254,$C$5:$AT$510,3,)=0,0,(VLOOKUP($D254,$C$5:$AT$510,29,)/VLOOKUP($D254,$C$5:$AT$510,3,))*$E254)</f>
        <v>0</v>
      </c>
      <c r="AF254" s="45">
        <f>IF(VLOOKUP($D254,$C$5:$AT$510,3,)=0,0,(VLOOKUP($D254,$C$5:$AT$510,30,)/VLOOKUP($D254,$C$5:$AT$510,3,))*$E254)</f>
        <v>0</v>
      </c>
      <c r="AG254" s="69">
        <f>SUM(F254:AF254)</f>
        <v>83040.780827215203</v>
      </c>
      <c r="AH254" s="14" t="str">
        <f>IF(ABS(E254-AG254)&lt;0.01,"ok","err")</f>
        <v>ok</v>
      </c>
    </row>
    <row r="255" spans="1:34" x14ac:dyDescent="0.2">
      <c r="A255" s="2" t="s">
        <v>228</v>
      </c>
      <c r="E255" s="45">
        <f t="shared" ref="E255:T255" si="53">E253+E254</f>
        <v>83040.780827215174</v>
      </c>
      <c r="F255" s="45">
        <f t="shared" si="53"/>
        <v>72382.513786905809</v>
      </c>
      <c r="G255" s="45">
        <f t="shared" si="53"/>
        <v>0</v>
      </c>
      <c r="H255" s="45">
        <f t="shared" si="53"/>
        <v>2.945491730565061</v>
      </c>
      <c r="I255" s="45">
        <f t="shared" si="53"/>
        <v>7286.9943142347165</v>
      </c>
      <c r="J255" s="45">
        <f t="shared" si="53"/>
        <v>2429.6521950619467</v>
      </c>
      <c r="K255" s="45">
        <f t="shared" si="53"/>
        <v>17.013994357295807</v>
      </c>
      <c r="L255" s="45">
        <f t="shared" si="53"/>
        <v>0</v>
      </c>
      <c r="M255" s="45">
        <f t="shared" si="53"/>
        <v>36.119548506277816</v>
      </c>
      <c r="N255" s="45">
        <f t="shared" si="53"/>
        <v>341.46538240172237</v>
      </c>
      <c r="O255" s="45">
        <f t="shared" si="53"/>
        <v>61.269877277543344</v>
      </c>
      <c r="P255" s="45">
        <f t="shared" si="53"/>
        <v>48.650139521474593</v>
      </c>
      <c r="Q255" s="45">
        <f t="shared" si="53"/>
        <v>250.31987776072913</v>
      </c>
      <c r="R255" s="45">
        <f t="shared" si="53"/>
        <v>0</v>
      </c>
      <c r="S255" s="45">
        <f t="shared" si="53"/>
        <v>0</v>
      </c>
      <c r="T255" s="45">
        <f t="shared" si="53"/>
        <v>183.83621945710061</v>
      </c>
      <c r="U255" s="45">
        <f t="shared" ref="U255:AF255" si="54">U253+U254</f>
        <v>0</v>
      </c>
      <c r="V255" s="45">
        <f t="shared" si="54"/>
        <v>0</v>
      </c>
      <c r="W255" s="45">
        <f t="shared" si="54"/>
        <v>0</v>
      </c>
      <c r="X255" s="45">
        <f t="shared" si="54"/>
        <v>0</v>
      </c>
      <c r="Y255" s="45">
        <f t="shared" si="54"/>
        <v>0</v>
      </c>
      <c r="Z255" s="45">
        <f t="shared" si="54"/>
        <v>0</v>
      </c>
      <c r="AA255" s="45">
        <f t="shared" si="54"/>
        <v>0</v>
      </c>
      <c r="AB255" s="45">
        <f t="shared" si="54"/>
        <v>0</v>
      </c>
      <c r="AC255" s="45">
        <f t="shared" si="54"/>
        <v>0</v>
      </c>
      <c r="AD255" s="45">
        <f t="shared" si="54"/>
        <v>0</v>
      </c>
      <c r="AE255" s="45">
        <f t="shared" si="54"/>
        <v>0</v>
      </c>
      <c r="AF255" s="45">
        <f t="shared" si="54"/>
        <v>0</v>
      </c>
      <c r="AG255" s="69">
        <f>SUM(F255:AF255)</f>
        <v>83040.780827215203</v>
      </c>
      <c r="AH255" s="14" t="str">
        <f>IF(ABS(E255-AG255)&lt;0.01,"ok","err")</f>
        <v>ok</v>
      </c>
    </row>
    <row r="256" spans="1:34" x14ac:dyDescent="0.2">
      <c r="E256" s="32"/>
    </row>
    <row r="257" spans="1:34" x14ac:dyDescent="0.2">
      <c r="A257" s="1" t="s">
        <v>4</v>
      </c>
      <c r="E257" s="32"/>
    </row>
    <row r="258" spans="1:34" x14ac:dyDescent="0.2">
      <c r="A258" s="72" t="s">
        <v>221</v>
      </c>
      <c r="C258" s="2" t="s">
        <v>306</v>
      </c>
      <c r="D258" s="2" t="s">
        <v>230</v>
      </c>
      <c r="E258" s="45">
        <f>'Func &amp; Classif'!U325</f>
        <v>46801.241360065651</v>
      </c>
      <c r="F258" s="45">
        <f>IF(VLOOKUP($D258,$C$5:$AT$510,3,)=0,0,(VLOOKUP($D258,$C$5:$AT$510,4,)/VLOOKUP($D258,$C$5:$AT$510,3,))*$E258)</f>
        <v>41290.468232251354</v>
      </c>
      <c r="G258" s="45">
        <f>IF(VLOOKUP($D258,$C$5:$AT$510,3,)=0,0,(VLOOKUP($D258,$C$5:$AT$510,5,)/VLOOKUP($D258,$C$5:$AT$510,3,))*$E258)</f>
        <v>0</v>
      </c>
      <c r="H258" s="45">
        <f>IF(VLOOKUP($D258,$C$5:$AT$510,3,)=0,0,(VLOOKUP($D258,$C$5:$AT$510,6,)/VLOOKUP($D258,$C$5:$AT$510,3,))*$E258)</f>
        <v>1.6802501925714721</v>
      </c>
      <c r="I258" s="45">
        <f>IF(VLOOKUP($D258,$C$5:$AT$510,3,)=0,0,(VLOOKUP($D258,$C$5:$AT$510,7,)/VLOOKUP($D258,$C$5:$AT$510,3,))*$E258)</f>
        <v>2970.6823404663623</v>
      </c>
      <c r="J258" s="45">
        <f>IF(VLOOKUP($D258,$C$5:$AT$510,3,)=0,0,(VLOOKUP($D258,$C$5:$AT$510,8,)/VLOOKUP($D258,$C$5:$AT$510,3,))*$E258)</f>
        <v>1720.2891192708385</v>
      </c>
      <c r="K258" s="45">
        <f>IF(VLOOKUP($D258,$C$5:$AT$510,3,)=0,0,(VLOOKUP($D258,$C$5:$AT$510,9,)/VLOOKUP($D258,$C$5:$AT$510,3,))*$E258)</f>
        <v>137.7805157908607</v>
      </c>
      <c r="L258" s="45">
        <f>IF(VLOOKUP($D258,$C$5:$AT$510,3,)=0,0,(VLOOKUP($D258,$C$5:$AT$510,10,)/VLOOKUP($D258,$C$5:$AT$510,3,))*$E258)</f>
        <v>0</v>
      </c>
      <c r="M258" s="45">
        <f>IF(VLOOKUP($D258,$C$5:$AT$510,3,)=0,0,(VLOOKUP($D258,$C$5:$AT$510,11,)/VLOOKUP($D258,$C$5:$AT$510,3,))*$E258)</f>
        <v>217.23355253506952</v>
      </c>
      <c r="N258" s="45">
        <f>IF(VLOOKUP($D258,$C$5:$AT$510,3,)=0,0,(VLOOKUP($D258,$C$5:$AT$510,12,)/VLOOKUP($D258,$C$5:$AT$510,3,))*$E258)</f>
        <v>56.697889663906714</v>
      </c>
      <c r="O258" s="45">
        <f>IF(VLOOKUP($D258,$C$5:$AT$510,3,)=0,0,(VLOOKUP($D258,$C$5:$AT$510,13,)/VLOOKUP($D258,$C$5:$AT$510,3,))*$E258)</f>
        <v>54.30838813376738</v>
      </c>
      <c r="P258" s="45">
        <f>IF(VLOOKUP($D258,$C$5:$AT$510,3,)=0,0,(VLOOKUP($D258,$C$5:$AT$510,14,)/VLOOKUP($D258,$C$5:$AT$510,3,))*$E258)</f>
        <v>39.346562298407335</v>
      </c>
      <c r="Q258" s="45">
        <f>IF(VLOOKUP($D258,$C$5:$AT$510,3,)=0,0,(VLOOKUP($D258,$C$5:$AT$510,15,)/VLOOKUP($D258,$C$5:$AT$510,3,))*$E258)</f>
        <v>134.42001540571778</v>
      </c>
      <c r="R258" s="45">
        <f>IF(VLOOKUP($D258,$C$5:$AT$510,3,)=0,0,(VLOOKUP($D258,$C$5:$AT$510,16,)/VLOOKUP($D258,$C$5:$AT$510,3,))*$E258)</f>
        <v>56.697889663906714</v>
      </c>
      <c r="S258" s="45">
        <f>IF(VLOOKUP($D258,$C$5:$AT$510,3,)=0,0,(VLOOKUP($D258,$C$5:$AT$510,17,)/VLOOKUP($D258,$C$5:$AT$510,3,))*$E258)</f>
        <v>0</v>
      </c>
      <c r="T258" s="45">
        <f>IF(VLOOKUP($D258,$C$5:$AT$510,3,)=0,0,(VLOOKUP($D258,$C$5:$AT$510,18,)/VLOOKUP($D258,$C$5:$AT$510,3,))*$E258)</f>
        <v>121.63660439288758</v>
      </c>
      <c r="U258" s="45">
        <f>IF(VLOOKUP($D258,$C$5:$AT$510,3,)=0,0,(VLOOKUP($D258,$C$5:$AT$510,19,)/VLOOKUP($D258,$C$5:$AT$510,3,))*$E258)</f>
        <v>0</v>
      </c>
      <c r="V258" s="45">
        <f>IF(VLOOKUP($D258,$C$5:$AT$510,3,)=0,0,(VLOOKUP($D258,$C$5:$AT$510,20,)/VLOOKUP($D258,$C$5:$AT$510,3,))*$E258)</f>
        <v>0</v>
      </c>
      <c r="W258" s="45">
        <f>IF(VLOOKUP($D258,$C$5:$AT$510,3,)=0,0,(VLOOKUP($D258,$C$5:$AT$510,21,)/VLOOKUP($D258,$C$5:$AT$510,3,))*$E258)</f>
        <v>0</v>
      </c>
      <c r="X258" s="45">
        <f>IF(VLOOKUP($D258,$C$5:$AT$510,3,)=0,0,(VLOOKUP($D258,$C$5:$AT$510,22,)/VLOOKUP($D258,$C$5:$AT$510,3,))*$E258)</f>
        <v>0</v>
      </c>
      <c r="Y258" s="45">
        <f>IF(VLOOKUP($D258,$C$5:$AT$510,3,)=0,0,(VLOOKUP($D258,$C$5:$AT$510,23,)/VLOOKUP($D258,$C$5:$AT$510,3,))*$E258)</f>
        <v>0</v>
      </c>
      <c r="Z258" s="45">
        <f>IF(VLOOKUP($D258,$C$5:$AT$510,3,)=0,0,(VLOOKUP($D258,$C$5:$AT$510,24,)/VLOOKUP($D258,$C$5:$AT$510,3,))*$E258)</f>
        <v>0</v>
      </c>
      <c r="AA258" s="45">
        <f>IF(VLOOKUP($D258,$C$5:$AT$510,3,)=0,0,(VLOOKUP($D258,$C$5:$AT$510,25,)/VLOOKUP($D258,$C$5:$AT$510,3,))*$E258)</f>
        <v>0</v>
      </c>
      <c r="AB258" s="45">
        <f>IF(VLOOKUP($D258,$C$5:$AT$510,3,)=0,0,(VLOOKUP($D258,$C$5:$AT$510,26,)/VLOOKUP($D258,$C$5:$AT$510,3,))*$E258)</f>
        <v>0</v>
      </c>
      <c r="AC258" s="45">
        <f>IF(VLOOKUP($D258,$C$5:$AT$510,3,)=0,0,(VLOOKUP($D258,$C$5:$AT$510,27,)/VLOOKUP($D258,$C$5:$AT$510,3,))*$E258)</f>
        <v>0</v>
      </c>
      <c r="AD258" s="45">
        <f>IF(VLOOKUP($D258,$C$5:$AT$510,3,)=0,0,(VLOOKUP($D258,$C$5:$AT$510,28,)/VLOOKUP($D258,$C$5:$AT$510,3,))*$E258)</f>
        <v>0</v>
      </c>
      <c r="AE258" s="45">
        <f>IF(VLOOKUP($D258,$C$5:$AT$510,3,)=0,0,(VLOOKUP($D258,$C$5:$AT$510,29,)/VLOOKUP($D258,$C$5:$AT$510,3,))*$E258)</f>
        <v>0</v>
      </c>
      <c r="AF258" s="45">
        <f>IF(VLOOKUP($D258,$C$5:$AT$510,3,)=0,0,(VLOOKUP($D258,$C$5:$AT$510,30,)/VLOOKUP($D258,$C$5:$AT$510,3,))*$E258)</f>
        <v>0</v>
      </c>
      <c r="AG258" s="69">
        <f>SUM(F258:AF258)</f>
        <v>46801.241360065644</v>
      </c>
      <c r="AH258" s="14" t="str">
        <f>IF(ABS(E258-AG258)&lt;0.01,"ok","err")</f>
        <v>ok</v>
      </c>
    </row>
    <row r="259" spans="1:34" x14ac:dyDescent="0.2">
      <c r="E259" s="32"/>
    </row>
    <row r="260" spans="1:34" x14ac:dyDescent="0.2">
      <c r="A260" s="1" t="s">
        <v>5</v>
      </c>
      <c r="E260" s="32"/>
    </row>
    <row r="261" spans="1:34" x14ac:dyDescent="0.2">
      <c r="A261" s="72" t="s">
        <v>221</v>
      </c>
      <c r="C261" s="2" t="s">
        <v>307</v>
      </c>
      <c r="D261" s="2" t="s">
        <v>232</v>
      </c>
      <c r="E261" s="45">
        <f>'Func &amp; Classif'!W325</f>
        <v>32333.062768706848</v>
      </c>
      <c r="F261" s="45">
        <f>IF(VLOOKUP($D261,$C$5:$AT$510,3,)=0,0,(VLOOKUP($D261,$C$5:$AT$510,4,)/VLOOKUP($D261,$C$5:$AT$510,3,))*$E261)</f>
        <v>0</v>
      </c>
      <c r="G261" s="45">
        <f>IF(VLOOKUP($D261,$C$5:$AT$510,3,)=0,0,(VLOOKUP($D261,$C$5:$AT$510,5,)/VLOOKUP($D261,$C$5:$AT$510,3,))*$E261)</f>
        <v>0</v>
      </c>
      <c r="H261" s="45">
        <f>IF(VLOOKUP($D261,$C$5:$AT$510,3,)=0,0,(VLOOKUP($D261,$C$5:$AT$510,6,)/VLOOKUP($D261,$C$5:$AT$510,3,))*$E261)</f>
        <v>0</v>
      </c>
      <c r="I261" s="45">
        <f>IF(VLOOKUP($D261,$C$5:$AT$510,3,)=0,0,(VLOOKUP($D261,$C$5:$AT$510,7,)/VLOOKUP($D261,$C$5:$AT$510,3,))*$E261)</f>
        <v>0</v>
      </c>
      <c r="J261" s="45">
        <f>IF(VLOOKUP($D261,$C$5:$AT$510,3,)=0,0,(VLOOKUP($D261,$C$5:$AT$510,8,)/VLOOKUP($D261,$C$5:$AT$510,3,))*$E261)</f>
        <v>0</v>
      </c>
      <c r="K261" s="45">
        <f>IF(VLOOKUP($D261,$C$5:$AT$510,3,)=0,0,(VLOOKUP($D261,$C$5:$AT$510,9,)/VLOOKUP($D261,$C$5:$AT$510,3,))*$E261)</f>
        <v>0</v>
      </c>
      <c r="L261" s="45">
        <f>IF(VLOOKUP($D261,$C$5:$AT$510,3,)=0,0,(VLOOKUP($D261,$C$5:$AT$510,10,)/VLOOKUP($D261,$C$5:$AT$510,3,))*$E261)</f>
        <v>0</v>
      </c>
      <c r="M261" s="45">
        <f>IF(VLOOKUP($D261,$C$5:$AT$510,3,)=0,0,(VLOOKUP($D261,$C$5:$AT$510,11,)/VLOOKUP($D261,$C$5:$AT$510,3,))*$E261)</f>
        <v>0</v>
      </c>
      <c r="N261" s="45">
        <f>IF(VLOOKUP($D261,$C$5:$AT$510,3,)=0,0,(VLOOKUP($D261,$C$5:$AT$510,12,)/VLOOKUP($D261,$C$5:$AT$510,3,))*$E261)</f>
        <v>0</v>
      </c>
      <c r="O261" s="45">
        <f>IF(VLOOKUP($D261,$C$5:$AT$510,3,)=0,0,(VLOOKUP($D261,$C$5:$AT$510,13,)/VLOOKUP($D261,$C$5:$AT$510,3,))*$E261)</f>
        <v>0</v>
      </c>
      <c r="P261" s="45">
        <f>IF(VLOOKUP($D261,$C$5:$AT$510,3,)=0,0,(VLOOKUP($D261,$C$5:$AT$510,14,)/VLOOKUP($D261,$C$5:$AT$510,3,))*$E261)</f>
        <v>0</v>
      </c>
      <c r="Q261" s="45">
        <f>IF(VLOOKUP($D261,$C$5:$AT$510,3,)=0,0,(VLOOKUP($D261,$C$5:$AT$510,15,)/VLOOKUP($D261,$C$5:$AT$510,3,))*$E261)</f>
        <v>0</v>
      </c>
      <c r="R261" s="45">
        <f>IF(VLOOKUP($D261,$C$5:$AT$510,3,)=0,0,(VLOOKUP($D261,$C$5:$AT$510,16,)/VLOOKUP($D261,$C$5:$AT$510,3,))*$E261)</f>
        <v>0</v>
      </c>
      <c r="S261" s="45">
        <f>IF(VLOOKUP($D261,$C$5:$AT$510,3,)=0,0,(VLOOKUP($D261,$C$5:$AT$510,17,)/VLOOKUP($D261,$C$5:$AT$510,3,))*$E261)</f>
        <v>0</v>
      </c>
      <c r="T261" s="45">
        <f>IF(VLOOKUP($D261,$C$5:$AT$510,3,)=0,0,(VLOOKUP($D261,$C$5:$AT$510,18,)/VLOOKUP($D261,$C$5:$AT$510,3,))*$E261)</f>
        <v>0</v>
      </c>
      <c r="U261" s="45">
        <f>IF(VLOOKUP($D261,$C$5:$AT$510,3,)=0,0,(VLOOKUP($D261,$C$5:$AT$510,19,)/VLOOKUP($D261,$C$5:$AT$510,3,))*$E261)</f>
        <v>32333.062768706848</v>
      </c>
      <c r="V261" s="45">
        <f>IF(VLOOKUP($D261,$C$5:$AT$510,3,)=0,0,(VLOOKUP($D261,$C$5:$AT$510,20,)/VLOOKUP($D261,$C$5:$AT$510,3,))*$E261)</f>
        <v>0</v>
      </c>
      <c r="W261" s="45">
        <f>IF(VLOOKUP($D261,$C$5:$AT$510,3,)=0,0,(VLOOKUP($D261,$C$5:$AT$510,21,)/VLOOKUP($D261,$C$5:$AT$510,3,))*$E261)</f>
        <v>0</v>
      </c>
      <c r="X261" s="45">
        <f>IF(VLOOKUP($D261,$C$5:$AT$510,3,)=0,0,(VLOOKUP($D261,$C$5:$AT$510,22,)/VLOOKUP($D261,$C$5:$AT$510,3,))*$E261)</f>
        <v>0</v>
      </c>
      <c r="Y261" s="45">
        <f>IF(VLOOKUP($D261,$C$5:$AT$510,3,)=0,0,(VLOOKUP($D261,$C$5:$AT$510,23,)/VLOOKUP($D261,$C$5:$AT$510,3,))*$E261)</f>
        <v>0</v>
      </c>
      <c r="Z261" s="45">
        <f>IF(VLOOKUP($D261,$C$5:$AT$510,3,)=0,0,(VLOOKUP($D261,$C$5:$AT$510,24,)/VLOOKUP($D261,$C$5:$AT$510,3,))*$E261)</f>
        <v>0</v>
      </c>
      <c r="AA261" s="45">
        <f>IF(VLOOKUP($D261,$C$5:$AT$510,3,)=0,0,(VLOOKUP($D261,$C$5:$AT$510,25,)/VLOOKUP($D261,$C$5:$AT$510,3,))*$E261)</f>
        <v>0</v>
      </c>
      <c r="AB261" s="45">
        <f>IF(VLOOKUP($D261,$C$5:$AT$510,3,)=0,0,(VLOOKUP($D261,$C$5:$AT$510,26,)/VLOOKUP($D261,$C$5:$AT$510,3,))*$E261)</f>
        <v>0</v>
      </c>
      <c r="AC261" s="45">
        <f>IF(VLOOKUP($D261,$C$5:$AT$510,3,)=0,0,(VLOOKUP($D261,$C$5:$AT$510,27,)/VLOOKUP($D261,$C$5:$AT$510,3,))*$E261)</f>
        <v>0</v>
      </c>
      <c r="AD261" s="45">
        <f>IF(VLOOKUP($D261,$C$5:$AT$510,3,)=0,0,(VLOOKUP($D261,$C$5:$AT$510,28,)/VLOOKUP($D261,$C$5:$AT$510,3,))*$E261)</f>
        <v>0</v>
      </c>
      <c r="AE261" s="45">
        <f>IF(VLOOKUP($D261,$C$5:$AT$510,3,)=0,0,(VLOOKUP($D261,$C$5:$AT$510,29,)/VLOOKUP($D261,$C$5:$AT$510,3,))*$E261)</f>
        <v>0</v>
      </c>
      <c r="AF261" s="45">
        <f>IF(VLOOKUP($D261,$C$5:$AT$510,3,)=0,0,(VLOOKUP($D261,$C$5:$AT$510,30,)/VLOOKUP($D261,$C$5:$AT$510,3,))*$E261)</f>
        <v>0</v>
      </c>
      <c r="AG261" s="69">
        <f>SUM(F261:AF261)</f>
        <v>32333.062768706848</v>
      </c>
      <c r="AH261" s="14" t="str">
        <f>IF(ABS(E261-AG261)&lt;0.01,"ok","err")</f>
        <v>ok</v>
      </c>
    </row>
    <row r="262" spans="1:34" x14ac:dyDescent="0.2">
      <c r="E262" s="32"/>
    </row>
    <row r="263" spans="1:34" x14ac:dyDescent="0.2">
      <c r="A263" s="1" t="s">
        <v>545</v>
      </c>
      <c r="E263" s="32"/>
    </row>
    <row r="264" spans="1:34" x14ac:dyDescent="0.2">
      <c r="A264" s="72" t="s">
        <v>221</v>
      </c>
      <c r="C264" s="2" t="s">
        <v>308</v>
      </c>
      <c r="D264" s="2" t="s">
        <v>234</v>
      </c>
      <c r="E264" s="45">
        <f>'Func &amp; Classif'!Y325</f>
        <v>0</v>
      </c>
      <c r="F264" s="45">
        <f>IF(VLOOKUP($D264,$C$5:$AT$510,3,)=0,0,(VLOOKUP($D264,$C$5:$AT$510,4,)/VLOOKUP($D264,$C$5:$AT$510,3,))*$E264)</f>
        <v>0</v>
      </c>
      <c r="G264" s="45">
        <f>IF(VLOOKUP($D264,$C$5:$AT$510,3,)=0,0,(VLOOKUP($D264,$C$5:$AT$510,5,)/VLOOKUP($D264,$C$5:$AT$510,3,))*$E264)</f>
        <v>0</v>
      </c>
      <c r="H264" s="45">
        <f>IF(VLOOKUP($D264,$C$5:$AT$510,3,)=0,0,(VLOOKUP($D264,$C$5:$AT$510,6,)/VLOOKUP($D264,$C$5:$AT$510,3,))*$E264)</f>
        <v>0</v>
      </c>
      <c r="I264" s="45">
        <f>IF(VLOOKUP($D264,$C$5:$AT$510,3,)=0,0,(VLOOKUP($D264,$C$5:$AT$510,7,)/VLOOKUP($D264,$C$5:$AT$510,3,))*$E264)</f>
        <v>0</v>
      </c>
      <c r="J264" s="45">
        <f>IF(VLOOKUP($D264,$C$5:$AT$510,3,)=0,0,(VLOOKUP($D264,$C$5:$AT$510,8,)/VLOOKUP($D264,$C$5:$AT$510,3,))*$E264)</f>
        <v>0</v>
      </c>
      <c r="K264" s="45">
        <f>IF(VLOOKUP($D264,$C$5:$AT$510,3,)=0,0,(VLOOKUP($D264,$C$5:$AT$510,9,)/VLOOKUP($D264,$C$5:$AT$510,3,))*$E264)</f>
        <v>0</v>
      </c>
      <c r="L264" s="45">
        <f>IF(VLOOKUP($D264,$C$5:$AT$510,3,)=0,0,(VLOOKUP($D264,$C$5:$AT$510,10,)/VLOOKUP($D264,$C$5:$AT$510,3,))*$E264)</f>
        <v>0</v>
      </c>
      <c r="M264" s="45">
        <f>IF(VLOOKUP($D264,$C$5:$AT$510,3,)=0,0,(VLOOKUP($D264,$C$5:$AT$510,11,)/VLOOKUP($D264,$C$5:$AT$510,3,))*$E264)</f>
        <v>0</v>
      </c>
      <c r="N264" s="45">
        <f>IF(VLOOKUP($D264,$C$5:$AT$510,3,)=0,0,(VLOOKUP($D264,$C$5:$AT$510,12,)/VLOOKUP($D264,$C$5:$AT$510,3,))*$E264)</f>
        <v>0</v>
      </c>
      <c r="O264" s="45">
        <f>IF(VLOOKUP($D264,$C$5:$AT$510,3,)=0,0,(VLOOKUP($D264,$C$5:$AT$510,13,)/VLOOKUP($D264,$C$5:$AT$510,3,))*$E264)</f>
        <v>0</v>
      </c>
      <c r="P264" s="45">
        <f>IF(VLOOKUP($D264,$C$5:$AT$510,3,)=0,0,(VLOOKUP($D264,$C$5:$AT$510,14,)/VLOOKUP($D264,$C$5:$AT$510,3,))*$E264)</f>
        <v>0</v>
      </c>
      <c r="Q264" s="45">
        <f>IF(VLOOKUP($D264,$C$5:$AT$510,3,)=0,0,(VLOOKUP($D264,$C$5:$AT$510,15,)/VLOOKUP($D264,$C$5:$AT$510,3,))*$E264)</f>
        <v>0</v>
      </c>
      <c r="R264" s="45">
        <f>IF(VLOOKUP($D264,$C$5:$AT$510,3,)=0,0,(VLOOKUP($D264,$C$5:$AT$510,16,)/VLOOKUP($D264,$C$5:$AT$510,3,))*$E264)</f>
        <v>0</v>
      </c>
      <c r="S264" s="45">
        <f>IF(VLOOKUP($D264,$C$5:$AT$510,3,)=0,0,(VLOOKUP($D264,$C$5:$AT$510,17,)/VLOOKUP($D264,$C$5:$AT$510,3,))*$E264)</f>
        <v>0</v>
      </c>
      <c r="T264" s="45">
        <f>IF(VLOOKUP($D264,$C$5:$AT$510,3,)=0,0,(VLOOKUP($D264,$C$5:$AT$510,18,)/VLOOKUP($D264,$C$5:$AT$510,3,))*$E264)</f>
        <v>0</v>
      </c>
      <c r="U264" s="45">
        <f>IF(VLOOKUP($D264,$C$5:$AT$510,3,)=0,0,(VLOOKUP($D264,$C$5:$AT$510,19,)/VLOOKUP($D264,$C$5:$AT$510,3,))*$E264)</f>
        <v>0</v>
      </c>
      <c r="V264" s="45">
        <f>IF(VLOOKUP($D264,$C$5:$AT$510,3,)=0,0,(VLOOKUP($D264,$C$5:$AT$510,20,)/VLOOKUP($D264,$C$5:$AT$510,3,))*$E264)</f>
        <v>0</v>
      </c>
      <c r="W264" s="45">
        <f>IF(VLOOKUP($D264,$C$5:$AT$510,3,)=0,0,(VLOOKUP($D264,$C$5:$AT$510,21,)/VLOOKUP($D264,$C$5:$AT$510,3,))*$E264)</f>
        <v>0</v>
      </c>
      <c r="X264" s="45">
        <f>IF(VLOOKUP($D264,$C$5:$AT$510,3,)=0,0,(VLOOKUP($D264,$C$5:$AT$510,22,)/VLOOKUP($D264,$C$5:$AT$510,3,))*$E264)</f>
        <v>0</v>
      </c>
      <c r="Y264" s="45">
        <f>IF(VLOOKUP($D264,$C$5:$AT$510,3,)=0,0,(VLOOKUP($D264,$C$5:$AT$510,23,)/VLOOKUP($D264,$C$5:$AT$510,3,))*$E264)</f>
        <v>0</v>
      </c>
      <c r="Z264" s="45">
        <f>IF(VLOOKUP($D264,$C$5:$AT$510,3,)=0,0,(VLOOKUP($D264,$C$5:$AT$510,24,)/VLOOKUP($D264,$C$5:$AT$510,3,))*$E264)</f>
        <v>0</v>
      </c>
      <c r="AA264" s="45">
        <f>IF(VLOOKUP($D264,$C$5:$AT$510,3,)=0,0,(VLOOKUP($D264,$C$5:$AT$510,25,)/VLOOKUP($D264,$C$5:$AT$510,3,))*$E264)</f>
        <v>0</v>
      </c>
      <c r="AB264" s="45">
        <f>IF(VLOOKUP($D264,$C$5:$AT$510,3,)=0,0,(VLOOKUP($D264,$C$5:$AT$510,26,)/VLOOKUP($D264,$C$5:$AT$510,3,))*$E264)</f>
        <v>0</v>
      </c>
      <c r="AC264" s="45">
        <f>IF(VLOOKUP($D264,$C$5:$AT$510,3,)=0,0,(VLOOKUP($D264,$C$5:$AT$510,27,)/VLOOKUP($D264,$C$5:$AT$510,3,))*$E264)</f>
        <v>0</v>
      </c>
      <c r="AD264" s="45">
        <f>IF(VLOOKUP($D264,$C$5:$AT$510,3,)=0,0,(VLOOKUP($D264,$C$5:$AT$510,28,)/VLOOKUP($D264,$C$5:$AT$510,3,))*$E264)</f>
        <v>0</v>
      </c>
      <c r="AE264" s="45">
        <f>IF(VLOOKUP($D264,$C$5:$AT$510,3,)=0,0,(VLOOKUP($D264,$C$5:$AT$510,29,)/VLOOKUP($D264,$C$5:$AT$510,3,))*$E264)</f>
        <v>0</v>
      </c>
      <c r="AF264" s="45">
        <f>IF(VLOOKUP($D264,$C$5:$AT$510,3,)=0,0,(VLOOKUP($D264,$C$5:$AT$510,30,)/VLOOKUP($D264,$C$5:$AT$510,3,))*$E264)</f>
        <v>0</v>
      </c>
      <c r="AG264" s="69">
        <f>SUM(F264:AF264)</f>
        <v>0</v>
      </c>
      <c r="AH264" s="14" t="str">
        <f>IF(ABS(E264-AG264)&lt;0.01,"ok","err")</f>
        <v>ok</v>
      </c>
    </row>
    <row r="265" spans="1:34" x14ac:dyDescent="0.2">
      <c r="E265" s="32"/>
    </row>
    <row r="266" spans="1:34" x14ac:dyDescent="0.2">
      <c r="A266" s="1" t="s">
        <v>470</v>
      </c>
      <c r="E266" s="32"/>
    </row>
    <row r="267" spans="1:34" x14ac:dyDescent="0.2">
      <c r="A267" s="72" t="s">
        <v>221</v>
      </c>
      <c r="C267" s="2" t="s">
        <v>305</v>
      </c>
      <c r="D267" s="2" t="s">
        <v>235</v>
      </c>
      <c r="E267" s="45">
        <f>'Func &amp; Classif'!AA325</f>
        <v>0</v>
      </c>
      <c r="F267" s="45">
        <f>IF(VLOOKUP($D267,$C$5:$AT$510,3,)=0,0,(VLOOKUP($D267,$C$5:$AT$510,4,)/VLOOKUP($D267,$C$5:$AT$510,3,))*$E267)</f>
        <v>0</v>
      </c>
      <c r="G267" s="45">
        <f>IF(VLOOKUP($D267,$C$5:$AT$510,3,)=0,0,(VLOOKUP($D267,$C$5:$AT$510,5,)/VLOOKUP($D267,$C$5:$AT$510,3,))*$E267)</f>
        <v>0</v>
      </c>
      <c r="H267" s="45">
        <f>IF(VLOOKUP($D267,$C$5:$AT$510,3,)=0,0,(VLOOKUP($D267,$C$5:$AT$510,6,)/VLOOKUP($D267,$C$5:$AT$510,3,))*$E267)</f>
        <v>0</v>
      </c>
      <c r="I267" s="45">
        <f>IF(VLOOKUP($D267,$C$5:$AT$510,3,)=0,0,(VLOOKUP($D267,$C$5:$AT$510,7,)/VLOOKUP($D267,$C$5:$AT$510,3,))*$E267)</f>
        <v>0</v>
      </c>
      <c r="J267" s="45">
        <f>IF(VLOOKUP($D267,$C$5:$AT$510,3,)=0,0,(VLOOKUP($D267,$C$5:$AT$510,8,)/VLOOKUP($D267,$C$5:$AT$510,3,))*$E267)</f>
        <v>0</v>
      </c>
      <c r="K267" s="45">
        <f>IF(VLOOKUP($D267,$C$5:$AT$510,3,)=0,0,(VLOOKUP($D267,$C$5:$AT$510,9,)/VLOOKUP($D267,$C$5:$AT$510,3,))*$E267)</f>
        <v>0</v>
      </c>
      <c r="L267" s="45">
        <f>IF(VLOOKUP($D267,$C$5:$AT$510,3,)=0,0,(VLOOKUP($D267,$C$5:$AT$510,10,)/VLOOKUP($D267,$C$5:$AT$510,3,))*$E267)</f>
        <v>0</v>
      </c>
      <c r="M267" s="45">
        <f>IF(VLOOKUP($D267,$C$5:$AT$510,3,)=0,0,(VLOOKUP($D267,$C$5:$AT$510,11,)/VLOOKUP($D267,$C$5:$AT$510,3,))*$E267)</f>
        <v>0</v>
      </c>
      <c r="N267" s="45">
        <f>IF(VLOOKUP($D267,$C$5:$AT$510,3,)=0,0,(VLOOKUP($D267,$C$5:$AT$510,12,)/VLOOKUP($D267,$C$5:$AT$510,3,))*$E267)</f>
        <v>0</v>
      </c>
      <c r="O267" s="45">
        <f>IF(VLOOKUP($D267,$C$5:$AT$510,3,)=0,0,(VLOOKUP($D267,$C$5:$AT$510,13,)/VLOOKUP($D267,$C$5:$AT$510,3,))*$E267)</f>
        <v>0</v>
      </c>
      <c r="P267" s="45">
        <f>IF(VLOOKUP($D267,$C$5:$AT$510,3,)=0,0,(VLOOKUP($D267,$C$5:$AT$510,14,)/VLOOKUP($D267,$C$5:$AT$510,3,))*$E267)</f>
        <v>0</v>
      </c>
      <c r="Q267" s="45">
        <f>IF(VLOOKUP($D267,$C$5:$AT$510,3,)=0,0,(VLOOKUP($D267,$C$5:$AT$510,15,)/VLOOKUP($D267,$C$5:$AT$510,3,))*$E267)</f>
        <v>0</v>
      </c>
      <c r="R267" s="45">
        <f>IF(VLOOKUP($D267,$C$5:$AT$510,3,)=0,0,(VLOOKUP($D267,$C$5:$AT$510,16,)/VLOOKUP($D267,$C$5:$AT$510,3,))*$E267)</f>
        <v>0</v>
      </c>
      <c r="S267" s="45">
        <f>IF(VLOOKUP($D267,$C$5:$AT$510,3,)=0,0,(VLOOKUP($D267,$C$5:$AT$510,17,)/VLOOKUP($D267,$C$5:$AT$510,3,))*$E267)</f>
        <v>0</v>
      </c>
      <c r="T267" s="45">
        <f>IF(VLOOKUP($D267,$C$5:$AT$510,3,)=0,0,(VLOOKUP($D267,$C$5:$AT$510,18,)/VLOOKUP($D267,$C$5:$AT$510,3,))*$E267)</f>
        <v>0</v>
      </c>
      <c r="U267" s="45">
        <f>IF(VLOOKUP($D267,$C$5:$AT$510,3,)=0,0,(VLOOKUP($D267,$C$5:$AT$510,19,)/VLOOKUP($D267,$C$5:$AT$510,3,))*$E267)</f>
        <v>0</v>
      </c>
      <c r="V267" s="45">
        <f>IF(VLOOKUP($D267,$C$5:$AT$510,3,)=0,0,(VLOOKUP($D267,$C$5:$AT$510,20,)/VLOOKUP($D267,$C$5:$AT$510,3,))*$E267)</f>
        <v>0</v>
      </c>
      <c r="W267" s="45">
        <f>IF(VLOOKUP($D267,$C$5:$AT$510,3,)=0,0,(VLOOKUP($D267,$C$5:$AT$510,21,)/VLOOKUP($D267,$C$5:$AT$510,3,))*$E267)</f>
        <v>0</v>
      </c>
      <c r="X267" s="45">
        <f>IF(VLOOKUP($D267,$C$5:$AT$510,3,)=0,0,(VLOOKUP($D267,$C$5:$AT$510,22,)/VLOOKUP($D267,$C$5:$AT$510,3,))*$E267)</f>
        <v>0</v>
      </c>
      <c r="Y267" s="45">
        <f>IF(VLOOKUP($D267,$C$5:$AT$510,3,)=0,0,(VLOOKUP($D267,$C$5:$AT$510,23,)/VLOOKUP($D267,$C$5:$AT$510,3,))*$E267)</f>
        <v>0</v>
      </c>
      <c r="Z267" s="45">
        <f>IF(VLOOKUP($D267,$C$5:$AT$510,3,)=0,0,(VLOOKUP($D267,$C$5:$AT$510,24,)/VLOOKUP($D267,$C$5:$AT$510,3,))*$E267)</f>
        <v>0</v>
      </c>
      <c r="AA267" s="45">
        <f>IF(VLOOKUP($D267,$C$5:$AT$510,3,)=0,0,(VLOOKUP($D267,$C$5:$AT$510,25,)/VLOOKUP($D267,$C$5:$AT$510,3,))*$E267)</f>
        <v>0</v>
      </c>
      <c r="AB267" s="45">
        <f>IF(VLOOKUP($D267,$C$5:$AT$510,3,)=0,0,(VLOOKUP($D267,$C$5:$AT$510,26,)/VLOOKUP($D267,$C$5:$AT$510,3,))*$E267)</f>
        <v>0</v>
      </c>
      <c r="AC267" s="45">
        <f>IF(VLOOKUP($D267,$C$5:$AT$510,3,)=0,0,(VLOOKUP($D267,$C$5:$AT$510,27,)/VLOOKUP($D267,$C$5:$AT$510,3,))*$E267)</f>
        <v>0</v>
      </c>
      <c r="AD267" s="45">
        <f>IF(VLOOKUP($D267,$C$5:$AT$510,3,)=0,0,(VLOOKUP($D267,$C$5:$AT$510,28,)/VLOOKUP($D267,$C$5:$AT$510,3,))*$E267)</f>
        <v>0</v>
      </c>
      <c r="AE267" s="45">
        <f>IF(VLOOKUP($D267,$C$5:$AT$510,3,)=0,0,(VLOOKUP($D267,$C$5:$AT$510,29,)/VLOOKUP($D267,$C$5:$AT$510,3,))*$E267)</f>
        <v>0</v>
      </c>
      <c r="AF267" s="45">
        <f>IF(VLOOKUP($D267,$C$5:$AT$510,3,)=0,0,(VLOOKUP($D267,$C$5:$AT$510,30,)/VLOOKUP($D267,$C$5:$AT$510,3,))*$E267)</f>
        <v>0</v>
      </c>
      <c r="AG267" s="69">
        <f>SUM(F267:AF267)</f>
        <v>0</v>
      </c>
      <c r="AH267" s="14" t="str">
        <f>IF(ABS(E267-AG267)&lt;0.01,"ok","err")</f>
        <v>ok</v>
      </c>
    </row>
    <row r="268" spans="1:34" x14ac:dyDescent="0.2">
      <c r="E268" s="32"/>
    </row>
    <row r="269" spans="1:34" x14ac:dyDescent="0.2">
      <c r="A269" s="2" t="s">
        <v>0</v>
      </c>
      <c r="C269" s="2" t="s">
        <v>309</v>
      </c>
      <c r="E269" s="45">
        <f>E239+E242+E245+E250+E255+E258+E261+E264+E267</f>
        <v>849647</v>
      </c>
      <c r="F269" s="45">
        <f t="shared" ref="F269:R269" si="55">F239+F242+F245+F250+F255+F258+F261+F264+F267</f>
        <v>691193.24952469696</v>
      </c>
      <c r="G269" s="45">
        <f t="shared" si="55"/>
        <v>0</v>
      </c>
      <c r="H269" s="45">
        <f t="shared" si="55"/>
        <v>26.234389832227652</v>
      </c>
      <c r="I269" s="45">
        <f t="shared" si="55"/>
        <v>57241.579321055302</v>
      </c>
      <c r="J269" s="45">
        <f t="shared" si="55"/>
        <v>33094.39950533965</v>
      </c>
      <c r="K269" s="45">
        <f t="shared" si="55"/>
        <v>475.74559988183222</v>
      </c>
      <c r="L269" s="45">
        <f t="shared" si="55"/>
        <v>0</v>
      </c>
      <c r="M269" s="45">
        <f t="shared" si="55"/>
        <v>9713.5254587192594</v>
      </c>
      <c r="N269" s="45">
        <f t="shared" si="55"/>
        <v>11236.173430919987</v>
      </c>
      <c r="O269" s="45">
        <f t="shared" si="55"/>
        <v>2689.5307869528706</v>
      </c>
      <c r="P269" s="45">
        <f t="shared" si="55"/>
        <v>819.31891617167378</v>
      </c>
      <c r="Q269" s="45">
        <f t="shared" si="55"/>
        <v>2807.1674815852048</v>
      </c>
      <c r="R269" s="45">
        <f t="shared" si="55"/>
        <v>6077.8426585941115</v>
      </c>
      <c r="S269" s="45">
        <f t="shared" ref="S269:AF269" si="56">S239+S245+S250+S255+S258+S261+S264+S267</f>
        <v>0</v>
      </c>
      <c r="T269" s="45">
        <f t="shared" si="56"/>
        <v>650.22626835720962</v>
      </c>
      <c r="U269" s="45">
        <f t="shared" si="56"/>
        <v>33622.006657893689</v>
      </c>
      <c r="V269" s="45">
        <f t="shared" si="56"/>
        <v>0</v>
      </c>
      <c r="W269" s="45">
        <f t="shared" si="56"/>
        <v>0</v>
      </c>
      <c r="X269" s="45">
        <f t="shared" si="56"/>
        <v>0</v>
      </c>
      <c r="Y269" s="45">
        <f t="shared" si="56"/>
        <v>0</v>
      </c>
      <c r="Z269" s="45">
        <f t="shared" si="56"/>
        <v>0</v>
      </c>
      <c r="AA269" s="45">
        <f t="shared" si="56"/>
        <v>0</v>
      </c>
      <c r="AB269" s="45">
        <f t="shared" si="56"/>
        <v>0</v>
      </c>
      <c r="AC269" s="45">
        <f t="shared" si="56"/>
        <v>0</v>
      </c>
      <c r="AD269" s="45">
        <f t="shared" si="56"/>
        <v>0</v>
      </c>
      <c r="AE269" s="45">
        <f t="shared" si="56"/>
        <v>0</v>
      </c>
      <c r="AF269" s="45">
        <f t="shared" si="56"/>
        <v>0</v>
      </c>
      <c r="AG269" s="69">
        <f>SUM(F269:AF269)</f>
        <v>849647</v>
      </c>
      <c r="AH269" s="14" t="str">
        <f>IF(ABS(E269-AG269)&lt;0.01,"ok","err")</f>
        <v>ok</v>
      </c>
    </row>
    <row r="272" spans="1:34" x14ac:dyDescent="0.2">
      <c r="A272" s="12" t="s">
        <v>310</v>
      </c>
    </row>
    <row r="274" spans="1:34" x14ac:dyDescent="0.2">
      <c r="A274" s="1" t="s">
        <v>859</v>
      </c>
    </row>
    <row r="275" spans="1:34" x14ac:dyDescent="0.2">
      <c r="A275" s="72" t="s">
        <v>209</v>
      </c>
      <c r="C275" s="2" t="s">
        <v>311</v>
      </c>
      <c r="D275" s="2" t="s">
        <v>655</v>
      </c>
      <c r="E275" s="45">
        <f>'Func &amp; Classif'!H327</f>
        <v>912.77335617382948</v>
      </c>
      <c r="F275" s="45">
        <f>IF(VLOOKUP($D275,$C$5:$AT$510,3,)=0,0,(VLOOKUP($D275,$C$5:$AT$510,4,)/VLOOKUP($D275,$C$5:$AT$510,3,))*$E275)</f>
        <v>641.49446833353136</v>
      </c>
      <c r="G275" s="45">
        <f>IF(VLOOKUP($D275,$C$5:$AT$510,3,)=0,0,(VLOOKUP($D275,$C$5:$AT$510,5,)/VLOOKUP($D275,$C$5:$AT$510,3,))*$E275)</f>
        <v>0</v>
      </c>
      <c r="H275" s="45">
        <f>IF(VLOOKUP($D275,$C$5:$AT$510,3,)=0,0,(VLOOKUP($D275,$C$5:$AT$510,6,)/VLOOKUP($D275,$C$5:$AT$510,3,))*$E275)</f>
        <v>1.2057446636582493E-2</v>
      </c>
      <c r="I275" s="45">
        <f>IF(VLOOKUP($D275,$C$5:$AT$510,3,)=0,0,(VLOOKUP($D275,$C$5:$AT$510,7,)/VLOOKUP($D275,$C$5:$AT$510,3,))*$E275)</f>
        <v>57.603873436998107</v>
      </c>
      <c r="J275" s="45">
        <f>IF(VLOOKUP($D275,$C$5:$AT$510,3,)=0,0,(VLOOKUP($D275,$C$5:$AT$510,8,)/VLOOKUP($D275,$C$5:$AT$510,3,))*$E275)</f>
        <v>91.844551798240559</v>
      </c>
      <c r="K275" s="45">
        <f>IF(VLOOKUP($D275,$C$5:$AT$510,3,)=0,0,(VLOOKUP($D275,$C$5:$AT$510,9,)/VLOOKUP($D275,$C$5:$AT$510,3,))*$E275)</f>
        <v>0</v>
      </c>
      <c r="L275" s="45">
        <f>IF(VLOOKUP($D275,$C$5:$AT$510,3,)=0,0,(VLOOKUP($D275,$C$5:$AT$510,10,)/VLOOKUP($D275,$C$5:$AT$510,3,))*$E275)</f>
        <v>0</v>
      </c>
      <c r="M275" s="45">
        <f>IF(VLOOKUP($D275,$C$5:$AT$510,3,)=0,0,(VLOOKUP($D275,$C$5:$AT$510,11,)/VLOOKUP($D275,$C$5:$AT$510,3,))*$E275)</f>
        <v>27.29642778875451</v>
      </c>
      <c r="N275" s="45">
        <f>IF(VLOOKUP($D275,$C$5:$AT$510,3,)=0,0,(VLOOKUP($D275,$C$5:$AT$510,12,)/VLOOKUP($D275,$C$5:$AT$510,3,))*$E275)</f>
        <v>64.002005022306605</v>
      </c>
      <c r="O275" s="45">
        <f>IF(VLOOKUP($D275,$C$5:$AT$510,3,)=0,0,(VLOOKUP($D275,$C$5:$AT$510,13,)/VLOOKUP($D275,$C$5:$AT$510,3,))*$E275)</f>
        <v>8.0666387993479631</v>
      </c>
      <c r="P275" s="45">
        <f>IF(VLOOKUP($D275,$C$5:$AT$510,3,)=0,0,(VLOOKUP($D275,$C$5:$AT$510,14,)/VLOOKUP($D275,$C$5:$AT$510,3,))*$E275)</f>
        <v>0.83260105210241897</v>
      </c>
      <c r="Q275" s="45">
        <f>IF(VLOOKUP($D275,$C$5:$AT$510,3,)=0,0,(VLOOKUP($D275,$C$5:$AT$510,15,)/VLOOKUP($D275,$C$5:$AT$510,3,))*$E275)</f>
        <v>2.6596008493220653</v>
      </c>
      <c r="R275" s="45">
        <f>IF(VLOOKUP($D275,$C$5:$AT$510,3,)=0,0,(VLOOKUP($D275,$C$5:$AT$510,16,)/VLOOKUP($D275,$C$5:$AT$510,3,))*$E275)</f>
        <v>17.909051762025449</v>
      </c>
      <c r="S275" s="45">
        <f>IF(VLOOKUP($D275,$C$5:$AT$510,3,)=0,0,(VLOOKUP($D275,$C$5:$AT$510,17,)/VLOOKUP($D275,$C$5:$AT$510,3,))*$E275)</f>
        <v>0</v>
      </c>
      <c r="T275" s="45">
        <f>IF(VLOOKUP($D275,$C$5:$AT$510,3,)=0,0,(VLOOKUP($D275,$C$5:$AT$510,18,)/VLOOKUP($D275,$C$5:$AT$510,3,))*$E275)</f>
        <v>0.60127922377038467</v>
      </c>
      <c r="U275" s="45">
        <f>IF(VLOOKUP($D275,$C$5:$AT$510,3,)=0,0,(VLOOKUP($D275,$C$5:$AT$510,19,)/VLOOKUP($D275,$C$5:$AT$510,3,))*$E275)</f>
        <v>0.45080066079338527</v>
      </c>
      <c r="V275" s="45">
        <f>IF(VLOOKUP($D275,$C$5:$AT$510,3,)=0,0,(VLOOKUP($D275,$C$5:$AT$510,20,)/VLOOKUP($D275,$C$5:$AT$510,3,))*$E275)</f>
        <v>0</v>
      </c>
      <c r="W275" s="45">
        <f>IF(VLOOKUP($D275,$C$5:$AT$510,3,)=0,0,(VLOOKUP($D275,$C$5:$AT$510,21,)/VLOOKUP($D275,$C$5:$AT$510,3,))*$E275)</f>
        <v>0</v>
      </c>
      <c r="X275" s="45">
        <f>IF(VLOOKUP($D275,$C$5:$AT$510,3,)=0,0,(VLOOKUP($D275,$C$5:$AT$510,22,)/VLOOKUP($D275,$C$5:$AT$510,3,))*$E275)</f>
        <v>0</v>
      </c>
      <c r="Y275" s="45">
        <f>IF(VLOOKUP($D275,$C$5:$AT$510,3,)=0,0,(VLOOKUP($D275,$C$5:$AT$510,23,)/VLOOKUP($D275,$C$5:$AT$510,3,))*$E275)</f>
        <v>0</v>
      </c>
      <c r="Z275" s="45">
        <f>IF(VLOOKUP($D275,$C$5:$AT$510,3,)=0,0,(VLOOKUP($D275,$C$5:$AT$510,24,)/VLOOKUP($D275,$C$5:$AT$510,3,))*$E275)</f>
        <v>0</v>
      </c>
      <c r="AA275" s="45">
        <f>IF(VLOOKUP($D275,$C$5:$AT$510,3,)=0,0,(VLOOKUP($D275,$C$5:$AT$510,25,)/VLOOKUP($D275,$C$5:$AT$510,3,))*$E275)</f>
        <v>0</v>
      </c>
      <c r="AB275" s="45">
        <f>IF(VLOOKUP($D275,$C$5:$AT$510,3,)=0,0,(VLOOKUP($D275,$C$5:$AT$510,26,)/VLOOKUP($D275,$C$5:$AT$510,3,))*$E275)</f>
        <v>0</v>
      </c>
      <c r="AC275" s="45">
        <f>IF(VLOOKUP($D275,$C$5:$AT$510,3,)=0,0,(VLOOKUP($D275,$C$5:$AT$510,27,)/VLOOKUP($D275,$C$5:$AT$510,3,))*$E275)</f>
        <v>0</v>
      </c>
      <c r="AD275" s="45">
        <f>IF(VLOOKUP($D275,$C$5:$AT$510,3,)=0,0,(VLOOKUP($D275,$C$5:$AT$510,28,)/VLOOKUP($D275,$C$5:$AT$510,3,))*$E275)</f>
        <v>0</v>
      </c>
      <c r="AE275" s="45">
        <f>IF(VLOOKUP($D275,$C$5:$AT$510,3,)=0,0,(VLOOKUP($D275,$C$5:$AT$510,29,)/VLOOKUP($D275,$C$5:$AT$510,3,))*$E275)</f>
        <v>0</v>
      </c>
      <c r="AF275" s="45">
        <f>IF(VLOOKUP($D275,$C$5:$AT$510,3,)=0,0,(VLOOKUP($D275,$C$5:$AT$510,30,)/VLOOKUP($D275,$C$5:$AT$510,3,))*$E275)</f>
        <v>0</v>
      </c>
      <c r="AG275" s="69">
        <f>SUM(F275:AF275)</f>
        <v>912.77335617382937</v>
      </c>
      <c r="AH275" s="14" t="str">
        <f>IF(ABS(E275-AG275)&lt;0.01,"ok","err")</f>
        <v>ok</v>
      </c>
    </row>
    <row r="276" spans="1:34" x14ac:dyDescent="0.2">
      <c r="A276" s="72" t="s">
        <v>212</v>
      </c>
      <c r="C276" s="2" t="s">
        <v>312</v>
      </c>
      <c r="D276" s="2" t="s">
        <v>664</v>
      </c>
      <c r="E276" s="32">
        <f>'Func &amp; Classif'!I327</f>
        <v>0</v>
      </c>
      <c r="F276" s="45">
        <f>IF(VLOOKUP($D276,$C$5:$AT$510,3,)=0,0,(VLOOKUP($D276,$C$5:$AT$510,4,)/VLOOKUP($D276,$C$5:$AT$510,3,))*$E276)</f>
        <v>0</v>
      </c>
      <c r="G276" s="45">
        <f>IF(VLOOKUP($D276,$C$5:$AT$510,3,)=0,0,(VLOOKUP($D276,$C$5:$AT$510,5,)/VLOOKUP($D276,$C$5:$AT$510,3,))*$E276)</f>
        <v>0</v>
      </c>
      <c r="H276" s="45">
        <f>IF(VLOOKUP($D276,$C$5:$AT$510,3,)=0,0,(VLOOKUP($D276,$C$5:$AT$510,6,)/VLOOKUP($D276,$C$5:$AT$510,3,))*$E276)</f>
        <v>0</v>
      </c>
      <c r="I276" s="45">
        <f>IF(VLOOKUP($D276,$C$5:$AT$510,3,)=0,0,(VLOOKUP($D276,$C$5:$AT$510,7,)/VLOOKUP($D276,$C$5:$AT$510,3,))*$E276)</f>
        <v>0</v>
      </c>
      <c r="J276" s="45">
        <f>IF(VLOOKUP($D276,$C$5:$AT$510,3,)=0,0,(VLOOKUP($D276,$C$5:$AT$510,8,)/VLOOKUP($D276,$C$5:$AT$510,3,))*$E276)</f>
        <v>0</v>
      </c>
      <c r="K276" s="45">
        <f>IF(VLOOKUP($D276,$C$5:$AT$510,3,)=0,0,(VLOOKUP($D276,$C$5:$AT$510,9,)/VLOOKUP($D276,$C$5:$AT$510,3,))*$E276)</f>
        <v>0</v>
      </c>
      <c r="L276" s="45">
        <f>IF(VLOOKUP($D276,$C$5:$AT$510,3,)=0,0,(VLOOKUP($D276,$C$5:$AT$510,10,)/VLOOKUP($D276,$C$5:$AT$510,3,))*$E276)</f>
        <v>0</v>
      </c>
      <c r="M276" s="45">
        <f>IF(VLOOKUP($D276,$C$5:$AT$510,3,)=0,0,(VLOOKUP($D276,$C$5:$AT$510,11,)/VLOOKUP($D276,$C$5:$AT$510,3,))*$E276)</f>
        <v>0</v>
      </c>
      <c r="N276" s="45">
        <f>IF(VLOOKUP($D276,$C$5:$AT$510,3,)=0,0,(VLOOKUP($D276,$C$5:$AT$510,12,)/VLOOKUP($D276,$C$5:$AT$510,3,))*$E276)</f>
        <v>0</v>
      </c>
      <c r="O276" s="45">
        <f>IF(VLOOKUP($D276,$C$5:$AT$510,3,)=0,0,(VLOOKUP($D276,$C$5:$AT$510,13,)/VLOOKUP($D276,$C$5:$AT$510,3,))*$E276)</f>
        <v>0</v>
      </c>
      <c r="P276" s="45">
        <f>IF(VLOOKUP($D276,$C$5:$AT$510,3,)=0,0,(VLOOKUP($D276,$C$5:$AT$510,14,)/VLOOKUP($D276,$C$5:$AT$510,3,))*$E276)</f>
        <v>0</v>
      </c>
      <c r="Q276" s="45">
        <f>IF(VLOOKUP($D276,$C$5:$AT$510,3,)=0,0,(VLOOKUP($D276,$C$5:$AT$510,15,)/VLOOKUP($D276,$C$5:$AT$510,3,))*$E276)</f>
        <v>0</v>
      </c>
      <c r="R276" s="45">
        <f>IF(VLOOKUP($D276,$C$5:$AT$510,3,)=0,0,(VLOOKUP($D276,$C$5:$AT$510,16,)/VLOOKUP($D276,$C$5:$AT$510,3,))*$E276)</f>
        <v>0</v>
      </c>
      <c r="S276" s="45">
        <f>IF(VLOOKUP($D276,$C$5:$AT$510,3,)=0,0,(VLOOKUP($D276,$C$5:$AT$510,17,)/VLOOKUP($D276,$C$5:$AT$510,3,))*$E276)</f>
        <v>0</v>
      </c>
      <c r="T276" s="45">
        <f>IF(VLOOKUP($D276,$C$5:$AT$510,3,)=0,0,(VLOOKUP($D276,$C$5:$AT$510,18,)/VLOOKUP($D276,$C$5:$AT$510,3,))*$E276)</f>
        <v>0</v>
      </c>
      <c r="U276" s="45">
        <f>IF(VLOOKUP($D276,$C$5:$AT$510,3,)=0,0,(VLOOKUP($D276,$C$5:$AT$510,19,)/VLOOKUP($D276,$C$5:$AT$510,3,))*$E276)</f>
        <v>0</v>
      </c>
      <c r="V276" s="45">
        <f>IF(VLOOKUP($D276,$C$5:$AT$510,3,)=0,0,(VLOOKUP($D276,$C$5:$AT$510,20,)/VLOOKUP($D276,$C$5:$AT$510,3,))*$E276)</f>
        <v>0</v>
      </c>
      <c r="W276" s="45">
        <f>IF(VLOOKUP($D276,$C$5:$AT$510,3,)=0,0,(VLOOKUP($D276,$C$5:$AT$510,21,)/VLOOKUP($D276,$C$5:$AT$510,3,))*$E276)</f>
        <v>0</v>
      </c>
      <c r="X276" s="45">
        <f>IF(VLOOKUP($D276,$C$5:$AT$510,3,)=0,0,(VLOOKUP($D276,$C$5:$AT$510,22,)/VLOOKUP($D276,$C$5:$AT$510,3,))*$E276)</f>
        <v>0</v>
      </c>
      <c r="Y276" s="45">
        <f>IF(VLOOKUP($D276,$C$5:$AT$510,3,)=0,0,(VLOOKUP($D276,$C$5:$AT$510,23,)/VLOOKUP($D276,$C$5:$AT$510,3,))*$E276)</f>
        <v>0</v>
      </c>
      <c r="Z276" s="45">
        <f>IF(VLOOKUP($D276,$C$5:$AT$510,3,)=0,0,(VLOOKUP($D276,$C$5:$AT$510,24,)/VLOOKUP($D276,$C$5:$AT$510,3,))*$E276)</f>
        <v>0</v>
      </c>
      <c r="AA276" s="45">
        <f>IF(VLOOKUP($D276,$C$5:$AT$510,3,)=0,0,(VLOOKUP($D276,$C$5:$AT$510,25,)/VLOOKUP($D276,$C$5:$AT$510,3,))*$E276)</f>
        <v>0</v>
      </c>
      <c r="AB276" s="45">
        <f>IF(VLOOKUP($D276,$C$5:$AT$510,3,)=0,0,(VLOOKUP($D276,$C$5:$AT$510,26,)/VLOOKUP($D276,$C$5:$AT$510,3,))*$E276)</f>
        <v>0</v>
      </c>
      <c r="AC276" s="45">
        <f>IF(VLOOKUP($D276,$C$5:$AT$510,3,)=0,0,(VLOOKUP($D276,$C$5:$AT$510,27,)/VLOOKUP($D276,$C$5:$AT$510,3,))*$E276)</f>
        <v>0</v>
      </c>
      <c r="AD276" s="45">
        <f>IF(VLOOKUP($D276,$C$5:$AT$510,3,)=0,0,(VLOOKUP($D276,$C$5:$AT$510,28,)/VLOOKUP($D276,$C$5:$AT$510,3,))*$E276)</f>
        <v>0</v>
      </c>
      <c r="AE276" s="45">
        <f>IF(VLOOKUP($D276,$C$5:$AT$510,3,)=0,0,(VLOOKUP($D276,$C$5:$AT$510,29,)/VLOOKUP($D276,$C$5:$AT$510,3,))*$E276)</f>
        <v>0</v>
      </c>
      <c r="AF276" s="45">
        <f>IF(VLOOKUP($D276,$C$5:$AT$510,3,)=0,0,(VLOOKUP($D276,$C$5:$AT$510,30,)/VLOOKUP($D276,$C$5:$AT$510,3,))*$E276)</f>
        <v>0</v>
      </c>
      <c r="AG276" s="69">
        <f>SUM(F276:AF276)</f>
        <v>0</v>
      </c>
      <c r="AH276" s="14" t="str">
        <f>IF(ABS(E276-AG276)&lt;0.01,"ok","err")</f>
        <v>ok</v>
      </c>
    </row>
    <row r="277" spans="1:34" x14ac:dyDescent="0.2">
      <c r="A277" s="2" t="s">
        <v>215</v>
      </c>
      <c r="C277" s="2" t="s">
        <v>313</v>
      </c>
      <c r="E277" s="32">
        <f t="shared" ref="E277:T277" si="57">E275+E276</f>
        <v>912.77335617382948</v>
      </c>
      <c r="F277" s="45">
        <f t="shared" si="57"/>
        <v>641.49446833353136</v>
      </c>
      <c r="G277" s="45">
        <f t="shared" si="57"/>
        <v>0</v>
      </c>
      <c r="H277" s="45">
        <f t="shared" si="57"/>
        <v>1.2057446636582493E-2</v>
      </c>
      <c r="I277" s="45">
        <f t="shared" si="57"/>
        <v>57.603873436998107</v>
      </c>
      <c r="J277" s="45">
        <f t="shared" si="57"/>
        <v>91.844551798240559</v>
      </c>
      <c r="K277" s="45">
        <f t="shared" si="57"/>
        <v>0</v>
      </c>
      <c r="L277" s="45">
        <f t="shared" si="57"/>
        <v>0</v>
      </c>
      <c r="M277" s="45">
        <f t="shared" si="57"/>
        <v>27.29642778875451</v>
      </c>
      <c r="N277" s="45">
        <f t="shared" si="57"/>
        <v>64.002005022306605</v>
      </c>
      <c r="O277" s="45">
        <f t="shared" si="57"/>
        <v>8.0666387993479631</v>
      </c>
      <c r="P277" s="45">
        <f t="shared" si="57"/>
        <v>0.83260105210241897</v>
      </c>
      <c r="Q277" s="45">
        <f t="shared" si="57"/>
        <v>2.6596008493220653</v>
      </c>
      <c r="R277" s="45">
        <f t="shared" si="57"/>
        <v>17.909051762025449</v>
      </c>
      <c r="S277" s="45">
        <f t="shared" si="57"/>
        <v>0</v>
      </c>
      <c r="T277" s="45">
        <f t="shared" si="57"/>
        <v>0.60127922377038467</v>
      </c>
      <c r="U277" s="45">
        <f t="shared" ref="U277:AF277" si="58">U275+U276</f>
        <v>0.45080066079338527</v>
      </c>
      <c r="V277" s="45">
        <f t="shared" si="58"/>
        <v>0</v>
      </c>
      <c r="W277" s="45">
        <f t="shared" si="58"/>
        <v>0</v>
      </c>
      <c r="X277" s="45">
        <f t="shared" si="58"/>
        <v>0</v>
      </c>
      <c r="Y277" s="45">
        <f t="shared" si="58"/>
        <v>0</v>
      </c>
      <c r="Z277" s="45">
        <f t="shared" si="58"/>
        <v>0</v>
      </c>
      <c r="AA277" s="45">
        <f t="shared" si="58"/>
        <v>0</v>
      </c>
      <c r="AB277" s="45">
        <f t="shared" si="58"/>
        <v>0</v>
      </c>
      <c r="AC277" s="45">
        <f t="shared" si="58"/>
        <v>0</v>
      </c>
      <c r="AD277" s="45">
        <f t="shared" si="58"/>
        <v>0</v>
      </c>
      <c r="AE277" s="45">
        <f t="shared" si="58"/>
        <v>0</v>
      </c>
      <c r="AF277" s="45">
        <f t="shared" si="58"/>
        <v>0</v>
      </c>
      <c r="AG277" s="69">
        <f>SUM(F277:AF277)</f>
        <v>912.77335617382937</v>
      </c>
      <c r="AH277" s="14" t="str">
        <f>IF(ABS(E277-AG277)&lt;0.01,"ok","err")</f>
        <v>ok</v>
      </c>
    </row>
    <row r="278" spans="1:34" x14ac:dyDescent="0.2">
      <c r="E278" s="32"/>
      <c r="F278" s="32"/>
    </row>
    <row r="279" spans="1:34" x14ac:dyDescent="0.2">
      <c r="A279" s="1" t="s">
        <v>350</v>
      </c>
      <c r="E279" s="32"/>
      <c r="F279" s="32"/>
    </row>
    <row r="280" spans="1:34" x14ac:dyDescent="0.2">
      <c r="A280" s="72" t="s">
        <v>209</v>
      </c>
      <c r="C280" s="2" t="s">
        <v>855</v>
      </c>
      <c r="D280" s="2" t="s">
        <v>623</v>
      </c>
      <c r="E280" s="45">
        <f>'Func &amp; Classif'!K327</f>
        <v>0</v>
      </c>
      <c r="F280" s="45">
        <f>IF(VLOOKUP($D280,$C$5:$AT$510,3,)=0,0,(VLOOKUP($D280,$C$5:$AT$510,4,)/VLOOKUP($D280,$C$5:$AT$510,3,))*$E280)</f>
        <v>0</v>
      </c>
      <c r="G280" s="45">
        <f>IF(VLOOKUP($D280,$C$5:$AT$510,3,)=0,0,(VLOOKUP($D280,$C$5:$AT$510,5,)/VLOOKUP($D280,$C$5:$AT$510,3,))*$E280)</f>
        <v>0</v>
      </c>
      <c r="H280" s="45">
        <f>IF(VLOOKUP($D280,$C$5:$AT$510,3,)=0,0,(VLOOKUP($D280,$C$5:$AT$510,6,)/VLOOKUP($D280,$C$5:$AT$510,3,))*$E280)</f>
        <v>0</v>
      </c>
      <c r="I280" s="45">
        <f>IF(VLOOKUP($D280,$C$5:$AT$510,3,)=0,0,(VLOOKUP($D280,$C$5:$AT$510,7,)/VLOOKUP($D280,$C$5:$AT$510,3,))*$E280)</f>
        <v>0</v>
      </c>
      <c r="J280" s="45">
        <f>IF(VLOOKUP($D280,$C$5:$AT$510,3,)=0,0,(VLOOKUP($D280,$C$5:$AT$510,8,)/VLOOKUP($D280,$C$5:$AT$510,3,))*$E280)</f>
        <v>0</v>
      </c>
      <c r="K280" s="45">
        <f>IF(VLOOKUP($D280,$C$5:$AT$510,3,)=0,0,(VLOOKUP($D280,$C$5:$AT$510,9,)/VLOOKUP($D280,$C$5:$AT$510,3,))*$E280)</f>
        <v>0</v>
      </c>
      <c r="L280" s="45">
        <f>IF(VLOOKUP($D280,$C$5:$AT$510,3,)=0,0,(VLOOKUP($D280,$C$5:$AT$510,10,)/VLOOKUP($D280,$C$5:$AT$510,3,))*$E280)</f>
        <v>0</v>
      </c>
      <c r="M280" s="45">
        <f>IF(VLOOKUP($D280,$C$5:$AT$510,3,)=0,0,(VLOOKUP($D280,$C$5:$AT$510,11,)/VLOOKUP($D280,$C$5:$AT$510,3,))*$E280)</f>
        <v>0</v>
      </c>
      <c r="N280" s="45">
        <f>IF(VLOOKUP($D280,$C$5:$AT$510,3,)=0,0,(VLOOKUP($D280,$C$5:$AT$510,12,)/VLOOKUP($D280,$C$5:$AT$510,3,))*$E280)</f>
        <v>0</v>
      </c>
      <c r="O280" s="45">
        <f>IF(VLOOKUP($D280,$C$5:$AT$510,3,)=0,0,(VLOOKUP($D280,$C$5:$AT$510,13,)/VLOOKUP($D280,$C$5:$AT$510,3,))*$E280)</f>
        <v>0</v>
      </c>
      <c r="P280" s="45">
        <f>IF(VLOOKUP($D280,$C$5:$AT$510,3,)=0,0,(VLOOKUP($D280,$C$5:$AT$510,14,)/VLOOKUP($D280,$C$5:$AT$510,3,))*$E280)</f>
        <v>0</v>
      </c>
      <c r="Q280" s="45">
        <f>IF(VLOOKUP($D280,$C$5:$AT$510,3,)=0,0,(VLOOKUP($D280,$C$5:$AT$510,15,)/VLOOKUP($D280,$C$5:$AT$510,3,))*$E280)</f>
        <v>0</v>
      </c>
      <c r="R280" s="45">
        <f>IF(VLOOKUP($D280,$C$5:$AT$510,3,)=0,0,(VLOOKUP($D280,$C$5:$AT$510,16,)/VLOOKUP($D280,$C$5:$AT$510,3,))*$E280)</f>
        <v>0</v>
      </c>
      <c r="S280" s="45">
        <f>IF(VLOOKUP($D280,$C$5:$AT$510,3,)=0,0,(VLOOKUP($D280,$C$5:$AT$510,17,)/VLOOKUP($D280,$C$5:$AT$510,3,))*$E280)</f>
        <v>0</v>
      </c>
      <c r="T280" s="45">
        <f>IF(VLOOKUP($D280,$C$5:$AT$510,3,)=0,0,(VLOOKUP($D280,$C$5:$AT$510,18,)/VLOOKUP($D280,$C$5:$AT$510,3,))*$E280)</f>
        <v>0</v>
      </c>
      <c r="U280" s="45">
        <f>IF(VLOOKUP($D280,$C$5:$AT$510,3,)=0,0,(VLOOKUP($D280,$C$5:$AT$510,19,)/VLOOKUP($D280,$C$5:$AT$510,3,))*$E280)</f>
        <v>0</v>
      </c>
      <c r="V280" s="45">
        <f>IF(VLOOKUP($D280,$C$5:$AT$510,3,)=0,0,(VLOOKUP($D280,$C$5:$AT$510,20,)/VLOOKUP($D280,$C$5:$AT$510,3,))*$E280)</f>
        <v>0</v>
      </c>
      <c r="W280" s="45">
        <f>IF(VLOOKUP($D280,$C$5:$AT$510,3,)=0,0,(VLOOKUP($D280,$C$5:$AT$510,21,)/VLOOKUP($D280,$C$5:$AT$510,3,))*$E280)</f>
        <v>0</v>
      </c>
      <c r="X280" s="45">
        <f>IF(VLOOKUP($D280,$C$5:$AT$510,3,)=0,0,(VLOOKUP($D280,$C$5:$AT$510,22,)/VLOOKUP($D280,$C$5:$AT$510,3,))*$E280)</f>
        <v>0</v>
      </c>
      <c r="Y280" s="45">
        <f>IF(VLOOKUP($D280,$C$5:$AT$510,3,)=0,0,(VLOOKUP($D280,$C$5:$AT$510,23,)/VLOOKUP($D280,$C$5:$AT$510,3,))*$E280)</f>
        <v>0</v>
      </c>
      <c r="Z280" s="45">
        <f>IF(VLOOKUP($D280,$C$5:$AT$510,3,)=0,0,(VLOOKUP($D280,$C$5:$AT$510,24,)/VLOOKUP($D280,$C$5:$AT$510,3,))*$E280)</f>
        <v>0</v>
      </c>
      <c r="AA280" s="45">
        <f>IF(VLOOKUP($D280,$C$5:$AT$510,3,)=0,0,(VLOOKUP($D280,$C$5:$AT$510,25,)/VLOOKUP($D280,$C$5:$AT$510,3,))*$E280)</f>
        <v>0</v>
      </c>
      <c r="AB280" s="45">
        <f>IF(VLOOKUP($D280,$C$5:$AT$510,3,)=0,0,(VLOOKUP($D280,$C$5:$AT$510,26,)/VLOOKUP($D280,$C$5:$AT$510,3,))*$E280)</f>
        <v>0</v>
      </c>
      <c r="AC280" s="45">
        <f>IF(VLOOKUP($D280,$C$5:$AT$510,3,)=0,0,(VLOOKUP($D280,$C$5:$AT$510,27,)/VLOOKUP($D280,$C$5:$AT$510,3,))*$E280)</f>
        <v>0</v>
      </c>
      <c r="AD280" s="45">
        <f>IF(VLOOKUP($D280,$C$5:$AT$510,3,)=0,0,(VLOOKUP($D280,$C$5:$AT$510,28,)/VLOOKUP($D280,$C$5:$AT$510,3,))*$E280)</f>
        <v>0</v>
      </c>
      <c r="AE280" s="45">
        <f>IF(VLOOKUP($D280,$C$5:$AT$510,3,)=0,0,(VLOOKUP($D280,$C$5:$AT$510,29,)/VLOOKUP($D280,$C$5:$AT$510,3,))*$E280)</f>
        <v>0</v>
      </c>
      <c r="AF280" s="45">
        <f>IF(VLOOKUP($D280,$C$5:$AT$510,3,)=0,0,(VLOOKUP($D280,$C$5:$AT$510,30,)/VLOOKUP($D280,$C$5:$AT$510,3,))*$E280)</f>
        <v>0</v>
      </c>
      <c r="AG280" s="69">
        <f>SUM(F280:AF280)</f>
        <v>0</v>
      </c>
      <c r="AH280" s="14" t="str">
        <f>IF(ABS(E280-AG280)&lt;0.01,"ok","err")</f>
        <v>ok</v>
      </c>
    </row>
    <row r="281" spans="1:34" x14ac:dyDescent="0.2">
      <c r="E281" s="32"/>
    </row>
    <row r="282" spans="1:34" x14ac:dyDescent="0.2">
      <c r="A282" s="1" t="s">
        <v>1</v>
      </c>
      <c r="E282" s="32"/>
      <c r="F282" s="32"/>
    </row>
    <row r="283" spans="1:34" x14ac:dyDescent="0.2">
      <c r="A283" s="72" t="s">
        <v>209</v>
      </c>
      <c r="C283" s="2" t="s">
        <v>314</v>
      </c>
      <c r="D283" s="2" t="s">
        <v>630</v>
      </c>
      <c r="E283" s="45">
        <f>'Func &amp; Classif'!M327</f>
        <v>18.93033892329958</v>
      </c>
      <c r="F283" s="45">
        <f>IF(VLOOKUP($D283,$C$5:$AT$510,3,)=0,0,(VLOOKUP($D283,$C$5:$AT$510,4,)/VLOOKUP($D283,$C$5:$AT$510,3,))*$E283)</f>
        <v>13.781375918230864</v>
      </c>
      <c r="G283" s="45">
        <f>IF(VLOOKUP($D283,$C$5:$AT$510,3,)=0,0,(VLOOKUP($D283,$C$5:$AT$510,5,)/VLOOKUP($D283,$C$5:$AT$510,3,))*$E283)</f>
        <v>0</v>
      </c>
      <c r="H283" s="45">
        <f>IF(VLOOKUP($D283,$C$5:$AT$510,3,)=0,0,(VLOOKUP($D283,$C$5:$AT$510,6,)/VLOOKUP($D283,$C$5:$AT$510,3,))*$E283)</f>
        <v>2.5903295026755569E-4</v>
      </c>
      <c r="I283" s="45">
        <f>IF(VLOOKUP($D283,$C$5:$AT$510,3,)=0,0,(VLOOKUP($D283,$C$5:$AT$510,7,)/VLOOKUP($D283,$C$5:$AT$510,3,))*$E283)</f>
        <v>1.2375175054022656</v>
      </c>
      <c r="J283" s="45">
        <f>IF(VLOOKUP($D283,$C$5:$AT$510,3,)=0,0,(VLOOKUP($D283,$C$5:$AT$510,8,)/VLOOKUP($D283,$C$5:$AT$510,3,))*$E283)</f>
        <v>1.9731180187120225</v>
      </c>
      <c r="K283" s="45">
        <f>IF(VLOOKUP($D283,$C$5:$AT$510,3,)=0,0,(VLOOKUP($D283,$C$5:$AT$510,9,)/VLOOKUP($D283,$C$5:$AT$510,3,))*$E283)</f>
        <v>0</v>
      </c>
      <c r="L283" s="45">
        <f>IF(VLOOKUP($D283,$C$5:$AT$510,3,)=0,0,(VLOOKUP($D283,$C$5:$AT$510,10,)/VLOOKUP($D283,$C$5:$AT$510,3,))*$E283)</f>
        <v>0</v>
      </c>
      <c r="M283" s="45">
        <f>IF(VLOOKUP($D283,$C$5:$AT$510,3,)=0,0,(VLOOKUP($D283,$C$5:$AT$510,11,)/VLOOKUP($D283,$C$5:$AT$510,3,))*$E283)</f>
        <v>0.58641555173330218</v>
      </c>
      <c r="N283" s="45">
        <f>IF(VLOOKUP($D283,$C$5:$AT$510,3,)=0,0,(VLOOKUP($D283,$C$5:$AT$510,12,)/VLOOKUP($D283,$C$5:$AT$510,3,))*$E283)</f>
        <v>0.69598518174534763</v>
      </c>
      <c r="O283" s="45">
        <f>IF(VLOOKUP($D283,$C$5:$AT$510,3,)=0,0,(VLOOKUP($D283,$C$5:$AT$510,13,)/VLOOKUP($D283,$C$5:$AT$510,3,))*$E283)</f>
        <v>0.17329749074718537</v>
      </c>
      <c r="P283" s="45">
        <f>IF(VLOOKUP($D283,$C$5:$AT$510,3,)=0,0,(VLOOKUP($D283,$C$5:$AT$510,14,)/VLOOKUP($D283,$C$5:$AT$510,3,))*$E283)</f>
        <v>1.788696341956934E-2</v>
      </c>
      <c r="Q283" s="45">
        <f>IF(VLOOKUP($D283,$C$5:$AT$510,3,)=0,0,(VLOOKUP($D283,$C$5:$AT$510,15,)/VLOOKUP($D283,$C$5:$AT$510,3,))*$E283)</f>
        <v>5.7136827995056913E-2</v>
      </c>
      <c r="R283" s="45">
        <f>IF(VLOOKUP($D283,$C$5:$AT$510,3,)=0,0,(VLOOKUP($D283,$C$5:$AT$510,16,)/VLOOKUP($D283,$C$5:$AT$510,3,))*$E283)</f>
        <v>0.38474435377859439</v>
      </c>
      <c r="S283" s="45">
        <f>IF(VLOOKUP($D283,$C$5:$AT$510,3,)=0,0,(VLOOKUP($D283,$C$5:$AT$510,17,)/VLOOKUP($D283,$C$5:$AT$510,3,))*$E283)</f>
        <v>0</v>
      </c>
      <c r="T283" s="45">
        <f>IF(VLOOKUP($D283,$C$5:$AT$510,3,)=0,0,(VLOOKUP($D283,$C$5:$AT$510,18,)/VLOOKUP($D283,$C$5:$AT$510,3,))*$E283)</f>
        <v>1.2917422399803707E-2</v>
      </c>
      <c r="U283" s="45">
        <f>IF(VLOOKUP($D283,$C$5:$AT$510,3,)=0,0,(VLOOKUP($D283,$C$5:$AT$510,19,)/VLOOKUP($D283,$C$5:$AT$510,3,))*$E283)</f>
        <v>9.6846561852975844E-3</v>
      </c>
      <c r="V283" s="45">
        <f>IF(VLOOKUP($D283,$C$5:$AT$510,3,)=0,0,(VLOOKUP($D283,$C$5:$AT$510,20,)/VLOOKUP($D283,$C$5:$AT$510,3,))*$E283)</f>
        <v>0</v>
      </c>
      <c r="W283" s="45">
        <f>IF(VLOOKUP($D283,$C$5:$AT$510,3,)=0,0,(VLOOKUP($D283,$C$5:$AT$510,21,)/VLOOKUP($D283,$C$5:$AT$510,3,))*$E283)</f>
        <v>0</v>
      </c>
      <c r="X283" s="45">
        <f>IF(VLOOKUP($D283,$C$5:$AT$510,3,)=0,0,(VLOOKUP($D283,$C$5:$AT$510,22,)/VLOOKUP($D283,$C$5:$AT$510,3,))*$E283)</f>
        <v>0</v>
      </c>
      <c r="Y283" s="45">
        <f>IF(VLOOKUP($D283,$C$5:$AT$510,3,)=0,0,(VLOOKUP($D283,$C$5:$AT$510,23,)/VLOOKUP($D283,$C$5:$AT$510,3,))*$E283)</f>
        <v>0</v>
      </c>
      <c r="Z283" s="45">
        <f>IF(VLOOKUP($D283,$C$5:$AT$510,3,)=0,0,(VLOOKUP($D283,$C$5:$AT$510,24,)/VLOOKUP($D283,$C$5:$AT$510,3,))*$E283)</f>
        <v>0</v>
      </c>
      <c r="AA283" s="45">
        <f>IF(VLOOKUP($D283,$C$5:$AT$510,3,)=0,0,(VLOOKUP($D283,$C$5:$AT$510,25,)/VLOOKUP($D283,$C$5:$AT$510,3,))*$E283)</f>
        <v>0</v>
      </c>
      <c r="AB283" s="45">
        <f>IF(VLOOKUP($D283,$C$5:$AT$510,3,)=0,0,(VLOOKUP($D283,$C$5:$AT$510,26,)/VLOOKUP($D283,$C$5:$AT$510,3,))*$E283)</f>
        <v>0</v>
      </c>
      <c r="AC283" s="45">
        <f>IF(VLOOKUP($D283,$C$5:$AT$510,3,)=0,0,(VLOOKUP($D283,$C$5:$AT$510,27,)/VLOOKUP($D283,$C$5:$AT$510,3,))*$E283)</f>
        <v>0</v>
      </c>
      <c r="AD283" s="45">
        <f>IF(VLOOKUP($D283,$C$5:$AT$510,3,)=0,0,(VLOOKUP($D283,$C$5:$AT$510,28,)/VLOOKUP($D283,$C$5:$AT$510,3,))*$E283)</f>
        <v>0</v>
      </c>
      <c r="AE283" s="45">
        <f>IF(VLOOKUP($D283,$C$5:$AT$510,3,)=0,0,(VLOOKUP($D283,$C$5:$AT$510,29,)/VLOOKUP($D283,$C$5:$AT$510,3,))*$E283)</f>
        <v>0</v>
      </c>
      <c r="AF283" s="45">
        <f>IF(VLOOKUP($D283,$C$5:$AT$510,3,)=0,0,(VLOOKUP($D283,$C$5:$AT$510,30,)/VLOOKUP($D283,$C$5:$AT$510,3,))*$E283)</f>
        <v>0</v>
      </c>
      <c r="AG283" s="69">
        <f>SUM(F283:AF283)</f>
        <v>18.930338923299573</v>
      </c>
      <c r="AH283" s="14" t="str">
        <f>IF(ABS(E283-AG283)&lt;0.01,"ok","err")</f>
        <v>ok</v>
      </c>
    </row>
    <row r="284" spans="1:34" x14ac:dyDescent="0.2">
      <c r="E284" s="32"/>
    </row>
    <row r="285" spans="1:34" x14ac:dyDescent="0.2">
      <c r="A285" s="1" t="s">
        <v>2</v>
      </c>
      <c r="E285" s="32"/>
    </row>
    <row r="286" spans="1:34" x14ac:dyDescent="0.2">
      <c r="A286" s="72" t="s">
        <v>209</v>
      </c>
      <c r="C286" s="2" t="s">
        <v>315</v>
      </c>
      <c r="D286" s="2" t="s">
        <v>627</v>
      </c>
      <c r="E286" s="45">
        <f>'Func &amp; Classif'!O327</f>
        <v>27562.481253709444</v>
      </c>
      <c r="F286" s="45">
        <f>IF(VLOOKUP($D286,$C$5:$AT$510,3,)=0,0,(VLOOKUP($D286,$C$5:$AT$510,4,)/VLOOKUP($D286,$C$5:$AT$510,3,))*$E286)</f>
        <v>22121.803385294155</v>
      </c>
      <c r="G286" s="45">
        <f>IF(VLOOKUP($D286,$C$5:$AT$510,3,)=0,0,(VLOOKUP($D286,$C$5:$AT$510,5,)/VLOOKUP($D286,$C$5:$AT$510,3,))*$E286)</f>
        <v>0</v>
      </c>
      <c r="H286" s="45">
        <f>IF(VLOOKUP($D286,$C$5:$AT$510,3,)=0,0,(VLOOKUP($D286,$C$5:$AT$510,6,)/VLOOKUP($D286,$C$5:$AT$510,3,))*$E286)</f>
        <v>0.79701105155945495</v>
      </c>
      <c r="I286" s="45">
        <f>IF(VLOOKUP($D286,$C$5:$AT$510,3,)=0,0,(VLOOKUP($D286,$C$5:$AT$510,7,)/VLOOKUP($D286,$C$5:$AT$510,3,))*$E286)</f>
        <v>1917.3579361735929</v>
      </c>
      <c r="J286" s="45">
        <f>IF(VLOOKUP($D286,$C$5:$AT$510,3,)=0,0,(VLOOKUP($D286,$C$5:$AT$510,8,)/VLOOKUP($D286,$C$5:$AT$510,3,))*$E286)</f>
        <v>1651.1587091405436</v>
      </c>
      <c r="K286" s="45">
        <f>IF(VLOOKUP($D286,$C$5:$AT$510,3,)=0,0,(VLOOKUP($D286,$C$5:$AT$510,9,)/VLOOKUP($D286,$C$5:$AT$510,3,))*$E286)</f>
        <v>18.963227827787271</v>
      </c>
      <c r="L286" s="45">
        <f>IF(VLOOKUP($D286,$C$5:$AT$510,3,)=0,0,(VLOOKUP($D286,$C$5:$AT$510,10,)/VLOOKUP($D286,$C$5:$AT$510,3,))*$E286)</f>
        <v>0</v>
      </c>
      <c r="M286" s="45">
        <f>IF(VLOOKUP($D286,$C$5:$AT$510,3,)=0,0,(VLOOKUP($D286,$C$5:$AT$510,11,)/VLOOKUP($D286,$C$5:$AT$510,3,))*$E286)</f>
        <v>559.63470029602968</v>
      </c>
      <c r="N286" s="45">
        <f>IF(VLOOKUP($D286,$C$5:$AT$510,3,)=0,0,(VLOOKUP($D286,$C$5:$AT$510,12,)/VLOOKUP($D286,$C$5:$AT$510,3,))*$E286)</f>
        <v>608.43164459802722</v>
      </c>
      <c r="O286" s="45">
        <f>IF(VLOOKUP($D286,$C$5:$AT$510,3,)=0,0,(VLOOKUP($D286,$C$5:$AT$510,13,)/VLOOKUP($D286,$C$5:$AT$510,3,))*$E286)</f>
        <v>151.61467302653688</v>
      </c>
      <c r="P286" s="45">
        <f>IF(VLOOKUP($D286,$C$5:$AT$510,3,)=0,0,(VLOOKUP($D286,$C$5:$AT$510,14,)/VLOOKUP($D286,$C$5:$AT$510,3,))*$E286)</f>
        <v>44.524082229148497</v>
      </c>
      <c r="Q286" s="45">
        <f>IF(VLOOKUP($D286,$C$5:$AT$510,3,)=0,0,(VLOOKUP($D286,$C$5:$AT$510,15,)/VLOOKUP($D286,$C$5:$AT$510,3,))*$E286)</f>
        <v>105.11692297476972</v>
      </c>
      <c r="R286" s="45">
        <f>IF(VLOOKUP($D286,$C$5:$AT$510,3,)=0,0,(VLOOKUP($D286,$C$5:$AT$510,16,)/VLOOKUP($D286,$C$5:$AT$510,3,))*$E286)</f>
        <v>355.14265849565356</v>
      </c>
      <c r="S286" s="45">
        <f>IF(VLOOKUP($D286,$C$5:$AT$510,3,)=0,0,(VLOOKUP($D286,$C$5:$AT$510,17,)/VLOOKUP($D286,$C$5:$AT$510,3,))*$E286)</f>
        <v>0</v>
      </c>
      <c r="T286" s="45">
        <f>IF(VLOOKUP($D286,$C$5:$AT$510,3,)=0,0,(VLOOKUP($D286,$C$5:$AT$510,18,)/VLOOKUP($D286,$C$5:$AT$510,3,))*$E286)</f>
        <v>17.06880967340383</v>
      </c>
      <c r="U286" s="45">
        <f>IF(VLOOKUP($D286,$C$5:$AT$510,3,)=0,0,(VLOOKUP($D286,$C$5:$AT$510,19,)/VLOOKUP($D286,$C$5:$AT$510,3,))*$E286)</f>
        <v>10.867492928235722</v>
      </c>
      <c r="V286" s="45">
        <f>IF(VLOOKUP($D286,$C$5:$AT$510,3,)=0,0,(VLOOKUP($D286,$C$5:$AT$510,20,)/VLOOKUP($D286,$C$5:$AT$510,3,))*$E286)</f>
        <v>0</v>
      </c>
      <c r="W286" s="45">
        <f>IF(VLOOKUP($D286,$C$5:$AT$510,3,)=0,0,(VLOOKUP($D286,$C$5:$AT$510,21,)/VLOOKUP($D286,$C$5:$AT$510,3,))*$E286)</f>
        <v>0</v>
      </c>
      <c r="X286" s="45">
        <f>IF(VLOOKUP($D286,$C$5:$AT$510,3,)=0,0,(VLOOKUP($D286,$C$5:$AT$510,22,)/VLOOKUP($D286,$C$5:$AT$510,3,))*$E286)</f>
        <v>0</v>
      </c>
      <c r="Y286" s="45">
        <f>IF(VLOOKUP($D286,$C$5:$AT$510,3,)=0,0,(VLOOKUP($D286,$C$5:$AT$510,23,)/VLOOKUP($D286,$C$5:$AT$510,3,))*$E286)</f>
        <v>0</v>
      </c>
      <c r="Z286" s="45">
        <f>IF(VLOOKUP($D286,$C$5:$AT$510,3,)=0,0,(VLOOKUP($D286,$C$5:$AT$510,24,)/VLOOKUP($D286,$C$5:$AT$510,3,))*$E286)</f>
        <v>0</v>
      </c>
      <c r="AA286" s="45">
        <f>IF(VLOOKUP($D286,$C$5:$AT$510,3,)=0,0,(VLOOKUP($D286,$C$5:$AT$510,25,)/VLOOKUP($D286,$C$5:$AT$510,3,))*$E286)</f>
        <v>0</v>
      </c>
      <c r="AB286" s="45">
        <f>IF(VLOOKUP($D286,$C$5:$AT$510,3,)=0,0,(VLOOKUP($D286,$C$5:$AT$510,26,)/VLOOKUP($D286,$C$5:$AT$510,3,))*$E286)</f>
        <v>0</v>
      </c>
      <c r="AC286" s="45">
        <f>IF(VLOOKUP($D286,$C$5:$AT$510,3,)=0,0,(VLOOKUP($D286,$C$5:$AT$510,27,)/VLOOKUP($D286,$C$5:$AT$510,3,))*$E286)</f>
        <v>0</v>
      </c>
      <c r="AD286" s="45">
        <f>IF(VLOOKUP($D286,$C$5:$AT$510,3,)=0,0,(VLOOKUP($D286,$C$5:$AT$510,28,)/VLOOKUP($D286,$C$5:$AT$510,3,))*$E286)</f>
        <v>0</v>
      </c>
      <c r="AE286" s="45">
        <f>IF(VLOOKUP($D286,$C$5:$AT$510,3,)=0,0,(VLOOKUP($D286,$C$5:$AT$510,29,)/VLOOKUP($D286,$C$5:$AT$510,3,))*$E286)</f>
        <v>0</v>
      </c>
      <c r="AF286" s="45">
        <f>IF(VLOOKUP($D286,$C$5:$AT$510,3,)=0,0,(VLOOKUP($D286,$C$5:$AT$510,30,)/VLOOKUP($D286,$C$5:$AT$510,3,))*$E286)</f>
        <v>0</v>
      </c>
      <c r="AG286" s="69">
        <f>SUM(F286:AF286)</f>
        <v>27562.48125370944</v>
      </c>
      <c r="AH286" s="14" t="str">
        <f>IF(ABS(E286-AG286)&lt;0.01,"ok","err")</f>
        <v>ok</v>
      </c>
    </row>
    <row r="287" spans="1:34" x14ac:dyDescent="0.2">
      <c r="A287" s="72" t="s">
        <v>221</v>
      </c>
      <c r="C287" s="2" t="s">
        <v>316</v>
      </c>
      <c r="D287" s="2" t="s">
        <v>223</v>
      </c>
      <c r="E287" s="32">
        <f>'Func &amp; Classif'!P327</f>
        <v>14204.230309280103</v>
      </c>
      <c r="F287" s="45">
        <f>IF(VLOOKUP($D287,$C$5:$AT$510,3,)=0,0,(VLOOKUP($D287,$C$5:$AT$510,4,)/VLOOKUP($D287,$C$5:$AT$510,3,))*$E287)</f>
        <v>13092.313631883404</v>
      </c>
      <c r="G287" s="45">
        <f>IF(VLOOKUP($D287,$C$5:$AT$510,3,)=0,0,(VLOOKUP($D287,$C$5:$AT$510,5,)/VLOOKUP($D287,$C$5:$AT$510,3,))*$E287)</f>
        <v>0</v>
      </c>
      <c r="H287" s="45">
        <f>IF(VLOOKUP($D287,$C$5:$AT$510,3,)=0,0,(VLOOKUP($D287,$C$5:$AT$510,6,)/VLOOKUP($D287,$C$5:$AT$510,3,))*$E287)</f>
        <v>0.53277096247592592</v>
      </c>
      <c r="I287" s="45">
        <f>IF(VLOOKUP($D287,$C$5:$AT$510,3,)=0,0,(VLOOKUP($D287,$C$5:$AT$510,7,)/VLOOKUP($D287,$C$5:$AT$510,3,))*$E287)</f>
        <v>941.93906165743715</v>
      </c>
      <c r="J287" s="45">
        <f>IF(VLOOKUP($D287,$C$5:$AT$510,3,)=0,0,(VLOOKUP($D287,$C$5:$AT$510,8,)/VLOOKUP($D287,$C$5:$AT$510,3,))*$E287)</f>
        <v>52.744325285116666</v>
      </c>
      <c r="K287" s="45">
        <f>IF(VLOOKUP($D287,$C$5:$AT$510,3,)=0,0,(VLOOKUP($D287,$C$5:$AT$510,9,)/VLOOKUP($D287,$C$5:$AT$510,3,))*$E287)</f>
        <v>0.97082708717835386</v>
      </c>
      <c r="L287" s="45">
        <f>IF(VLOOKUP($D287,$C$5:$AT$510,3,)=0,0,(VLOOKUP($D287,$C$5:$AT$510,10,)/VLOOKUP($D287,$C$5:$AT$510,3,))*$E287)</f>
        <v>0</v>
      </c>
      <c r="M287" s="45">
        <f>IF(VLOOKUP($D287,$C$5:$AT$510,3,)=0,0,(VLOOKUP($D287,$C$5:$AT$510,11,)/VLOOKUP($D287,$C$5:$AT$510,3,))*$E287)</f>
        <v>4.7357418886748978E-2</v>
      </c>
      <c r="N287" s="45">
        <f>IF(VLOOKUP($D287,$C$5:$AT$510,3,)=0,0,(VLOOKUP($D287,$C$5:$AT$510,12,)/VLOOKUP($D287,$C$5:$AT$510,3,))*$E287)</f>
        <v>1.1839354721687245E-2</v>
      </c>
      <c r="O287" s="45">
        <f>IF(VLOOKUP($D287,$C$5:$AT$510,3,)=0,0,(VLOOKUP($D287,$C$5:$AT$510,13,)/VLOOKUP($D287,$C$5:$AT$510,3,))*$E287)</f>
        <v>1.1839354721687245E-2</v>
      </c>
      <c r="P287" s="45">
        <f>IF(VLOOKUP($D287,$C$5:$AT$510,3,)=0,0,(VLOOKUP($D287,$C$5:$AT$510,14,)/VLOOKUP($D287,$C$5:$AT$510,3,))*$E287)</f>
        <v>4.7357418886748978E-2</v>
      </c>
      <c r="Q287" s="45">
        <f>IF(VLOOKUP($D287,$C$5:$AT$510,3,)=0,0,(VLOOKUP($D287,$C$5:$AT$510,15,)/VLOOKUP($D287,$C$5:$AT$510,3,))*$E287)</f>
        <v>42.621676998074072</v>
      </c>
      <c r="R287" s="45">
        <f>IF(VLOOKUP($D287,$C$5:$AT$510,3,)=0,0,(VLOOKUP($D287,$C$5:$AT$510,16,)/VLOOKUP($D287,$C$5:$AT$510,3,))*$E287)</f>
        <v>0.53277096247592592</v>
      </c>
      <c r="S287" s="45">
        <f>IF(VLOOKUP($D287,$C$5:$AT$510,3,)=0,0,(VLOOKUP($D287,$C$5:$AT$510,17,)/VLOOKUP($D287,$C$5:$AT$510,3,))*$E287)</f>
        <v>0</v>
      </c>
      <c r="T287" s="45">
        <f>IF(VLOOKUP($D287,$C$5:$AT$510,3,)=0,0,(VLOOKUP($D287,$C$5:$AT$510,18,)/VLOOKUP($D287,$C$5:$AT$510,3,))*$E287)</f>
        <v>3.729396737331482</v>
      </c>
      <c r="U287" s="45">
        <f>IF(VLOOKUP($D287,$C$5:$AT$510,3,)=0,0,(VLOOKUP($D287,$C$5:$AT$510,19,)/VLOOKUP($D287,$C$5:$AT$510,3,))*$E287)</f>
        <v>68.727454159394455</v>
      </c>
      <c r="V287" s="45">
        <f>IF(VLOOKUP($D287,$C$5:$AT$510,3,)=0,0,(VLOOKUP($D287,$C$5:$AT$510,20,)/VLOOKUP($D287,$C$5:$AT$510,3,))*$E287)</f>
        <v>0</v>
      </c>
      <c r="W287" s="45">
        <f>IF(VLOOKUP($D287,$C$5:$AT$510,3,)=0,0,(VLOOKUP($D287,$C$5:$AT$510,21,)/VLOOKUP($D287,$C$5:$AT$510,3,))*$E287)</f>
        <v>0</v>
      </c>
      <c r="X287" s="45">
        <f>IF(VLOOKUP($D287,$C$5:$AT$510,3,)=0,0,(VLOOKUP($D287,$C$5:$AT$510,22,)/VLOOKUP($D287,$C$5:$AT$510,3,))*$E287)</f>
        <v>0</v>
      </c>
      <c r="Y287" s="45">
        <f>IF(VLOOKUP($D287,$C$5:$AT$510,3,)=0,0,(VLOOKUP($D287,$C$5:$AT$510,23,)/VLOOKUP($D287,$C$5:$AT$510,3,))*$E287)</f>
        <v>0</v>
      </c>
      <c r="Z287" s="45">
        <f>IF(VLOOKUP($D287,$C$5:$AT$510,3,)=0,0,(VLOOKUP($D287,$C$5:$AT$510,24,)/VLOOKUP($D287,$C$5:$AT$510,3,))*$E287)</f>
        <v>0</v>
      </c>
      <c r="AA287" s="45">
        <f>IF(VLOOKUP($D287,$C$5:$AT$510,3,)=0,0,(VLOOKUP($D287,$C$5:$AT$510,25,)/VLOOKUP($D287,$C$5:$AT$510,3,))*$E287)</f>
        <v>0</v>
      </c>
      <c r="AB287" s="45">
        <f>IF(VLOOKUP($D287,$C$5:$AT$510,3,)=0,0,(VLOOKUP($D287,$C$5:$AT$510,26,)/VLOOKUP($D287,$C$5:$AT$510,3,))*$E287)</f>
        <v>0</v>
      </c>
      <c r="AC287" s="45">
        <f>IF(VLOOKUP($D287,$C$5:$AT$510,3,)=0,0,(VLOOKUP($D287,$C$5:$AT$510,27,)/VLOOKUP($D287,$C$5:$AT$510,3,))*$E287)</f>
        <v>0</v>
      </c>
      <c r="AD287" s="45">
        <f>IF(VLOOKUP($D287,$C$5:$AT$510,3,)=0,0,(VLOOKUP($D287,$C$5:$AT$510,28,)/VLOOKUP($D287,$C$5:$AT$510,3,))*$E287)</f>
        <v>0</v>
      </c>
      <c r="AE287" s="45">
        <f>IF(VLOOKUP($D287,$C$5:$AT$510,3,)=0,0,(VLOOKUP($D287,$C$5:$AT$510,29,)/VLOOKUP($D287,$C$5:$AT$510,3,))*$E287)</f>
        <v>0</v>
      </c>
      <c r="AF287" s="45">
        <f>IF(VLOOKUP($D287,$C$5:$AT$510,3,)=0,0,(VLOOKUP($D287,$C$5:$AT$510,30,)/VLOOKUP($D287,$C$5:$AT$510,3,))*$E287)</f>
        <v>0</v>
      </c>
      <c r="AG287" s="69">
        <f>SUM(F287:AF287)</f>
        <v>14204.230309280107</v>
      </c>
      <c r="AH287" s="14" t="str">
        <f>IF(ABS(E287-AG287)&lt;0.01,"ok","err")</f>
        <v>ok</v>
      </c>
    </row>
    <row r="288" spans="1:34" x14ac:dyDescent="0.2">
      <c r="A288" s="2" t="s">
        <v>224</v>
      </c>
      <c r="E288" s="45">
        <f t="shared" ref="E288:T288" si="59">E286+E287</f>
        <v>41766.711562989549</v>
      </c>
      <c r="F288" s="45">
        <f t="shared" si="59"/>
        <v>35214.117017177559</v>
      </c>
      <c r="G288" s="45">
        <f t="shared" si="59"/>
        <v>0</v>
      </c>
      <c r="H288" s="45">
        <f t="shared" si="59"/>
        <v>1.3297820140353809</v>
      </c>
      <c r="I288" s="45">
        <f t="shared" si="59"/>
        <v>2859.2969978310302</v>
      </c>
      <c r="J288" s="45">
        <f t="shared" si="59"/>
        <v>1703.9030344256603</v>
      </c>
      <c r="K288" s="45">
        <f t="shared" si="59"/>
        <v>19.934054914965625</v>
      </c>
      <c r="L288" s="45">
        <f t="shared" si="59"/>
        <v>0</v>
      </c>
      <c r="M288" s="45">
        <f t="shared" si="59"/>
        <v>559.68205771491648</v>
      </c>
      <c r="N288" s="45">
        <f t="shared" si="59"/>
        <v>608.44348395274892</v>
      </c>
      <c r="O288" s="45">
        <f t="shared" si="59"/>
        <v>151.62651238125858</v>
      </c>
      <c r="P288" s="45">
        <f t="shared" si="59"/>
        <v>44.571439648035245</v>
      </c>
      <c r="Q288" s="45">
        <f t="shared" si="59"/>
        <v>147.73859997284379</v>
      </c>
      <c r="R288" s="45">
        <f t="shared" si="59"/>
        <v>355.67542945812949</v>
      </c>
      <c r="S288" s="45">
        <f t="shared" si="59"/>
        <v>0</v>
      </c>
      <c r="T288" s="45">
        <f t="shared" si="59"/>
        <v>20.798206410735311</v>
      </c>
      <c r="U288" s="45">
        <f t="shared" ref="U288:AF288" si="60">U286+U287</f>
        <v>79.594947087630175</v>
      </c>
      <c r="V288" s="45">
        <f t="shared" si="60"/>
        <v>0</v>
      </c>
      <c r="W288" s="45">
        <f t="shared" si="60"/>
        <v>0</v>
      </c>
      <c r="X288" s="45">
        <f t="shared" si="60"/>
        <v>0</v>
      </c>
      <c r="Y288" s="45">
        <f t="shared" si="60"/>
        <v>0</v>
      </c>
      <c r="Z288" s="45">
        <f t="shared" si="60"/>
        <v>0</v>
      </c>
      <c r="AA288" s="45">
        <f t="shared" si="60"/>
        <v>0</v>
      </c>
      <c r="AB288" s="45">
        <f t="shared" si="60"/>
        <v>0</v>
      </c>
      <c r="AC288" s="45">
        <f t="shared" si="60"/>
        <v>0</v>
      </c>
      <c r="AD288" s="45">
        <f t="shared" si="60"/>
        <v>0</v>
      </c>
      <c r="AE288" s="45">
        <f t="shared" si="60"/>
        <v>0</v>
      </c>
      <c r="AF288" s="45">
        <f t="shared" si="60"/>
        <v>0</v>
      </c>
      <c r="AG288" s="69">
        <f>SUM(F288:AF288)</f>
        <v>41766.711562989534</v>
      </c>
      <c r="AH288" s="14" t="str">
        <f>IF(ABS(E288-AG288)&lt;0.01,"ok","err")</f>
        <v>ok</v>
      </c>
    </row>
    <row r="289" spans="1:34" x14ac:dyDescent="0.2">
      <c r="E289" s="32"/>
    </row>
    <row r="290" spans="1:34" x14ac:dyDescent="0.2">
      <c r="A290" s="1" t="s">
        <v>3</v>
      </c>
      <c r="E290" s="32"/>
    </row>
    <row r="291" spans="1:34" x14ac:dyDescent="0.2">
      <c r="A291" s="72" t="s">
        <v>209</v>
      </c>
      <c r="C291" s="2" t="s">
        <v>317</v>
      </c>
      <c r="D291" s="2" t="s">
        <v>699</v>
      </c>
      <c r="E291" s="45">
        <f>'Func &amp; Classif'!R327</f>
        <v>0</v>
      </c>
      <c r="F291" s="45">
        <f>IF(VLOOKUP($D291,$C$5:$AT$510,3,)=0,0,(VLOOKUP($D291,$C$5:$AT$510,4,)/VLOOKUP($D291,$C$5:$AT$510,3,))*$E291)</f>
        <v>0</v>
      </c>
      <c r="G291" s="45">
        <f>IF(VLOOKUP($D291,$C$5:$AT$510,3,)=0,0,(VLOOKUP($D291,$C$5:$AT$510,5,)/VLOOKUP($D291,$C$5:$AT$510,3,))*$E291)</f>
        <v>0</v>
      </c>
      <c r="H291" s="45">
        <f>IF(VLOOKUP($D291,$C$5:$AT$510,3,)=0,0,(VLOOKUP($D291,$C$5:$AT$510,6,)/VLOOKUP($D291,$C$5:$AT$510,3,))*$E291)</f>
        <v>0</v>
      </c>
      <c r="I291" s="45">
        <f>IF(VLOOKUP($D291,$C$5:$AT$510,3,)=0,0,(VLOOKUP($D291,$C$5:$AT$510,7,)/VLOOKUP($D291,$C$5:$AT$510,3,))*$E291)</f>
        <v>0</v>
      </c>
      <c r="J291" s="45">
        <f>IF(VLOOKUP($D291,$C$5:$AT$510,3,)=0,0,(VLOOKUP($D291,$C$5:$AT$510,8,)/VLOOKUP($D291,$C$5:$AT$510,3,))*$E291)</f>
        <v>0</v>
      </c>
      <c r="K291" s="45">
        <f>IF(VLOOKUP($D291,$C$5:$AT$510,3,)=0,0,(VLOOKUP($D291,$C$5:$AT$510,9,)/VLOOKUP($D291,$C$5:$AT$510,3,))*$E291)</f>
        <v>0</v>
      </c>
      <c r="L291" s="45">
        <f>IF(VLOOKUP($D291,$C$5:$AT$510,3,)=0,0,(VLOOKUP($D291,$C$5:$AT$510,10,)/VLOOKUP($D291,$C$5:$AT$510,3,))*$E291)</f>
        <v>0</v>
      </c>
      <c r="M291" s="45">
        <f>IF(VLOOKUP($D291,$C$5:$AT$510,3,)=0,0,(VLOOKUP($D291,$C$5:$AT$510,11,)/VLOOKUP($D291,$C$5:$AT$510,3,))*$E291)</f>
        <v>0</v>
      </c>
      <c r="N291" s="45">
        <f>IF(VLOOKUP($D291,$C$5:$AT$510,3,)=0,0,(VLOOKUP($D291,$C$5:$AT$510,12,)/VLOOKUP($D291,$C$5:$AT$510,3,))*$E291)</f>
        <v>0</v>
      </c>
      <c r="O291" s="45">
        <f>IF(VLOOKUP($D291,$C$5:$AT$510,3,)=0,0,(VLOOKUP($D291,$C$5:$AT$510,13,)/VLOOKUP($D291,$C$5:$AT$510,3,))*$E291)</f>
        <v>0</v>
      </c>
      <c r="P291" s="45">
        <f>IF(VLOOKUP($D291,$C$5:$AT$510,3,)=0,0,(VLOOKUP($D291,$C$5:$AT$510,14,)/VLOOKUP($D291,$C$5:$AT$510,3,))*$E291)</f>
        <v>0</v>
      </c>
      <c r="Q291" s="45">
        <f>IF(VLOOKUP($D291,$C$5:$AT$510,3,)=0,0,(VLOOKUP($D291,$C$5:$AT$510,15,)/VLOOKUP($D291,$C$5:$AT$510,3,))*$E291)</f>
        <v>0</v>
      </c>
      <c r="R291" s="45">
        <f>IF(VLOOKUP($D291,$C$5:$AT$510,3,)=0,0,(VLOOKUP($D291,$C$5:$AT$510,16,)/VLOOKUP($D291,$C$5:$AT$510,3,))*$E291)</f>
        <v>0</v>
      </c>
      <c r="S291" s="45">
        <f>IF(VLOOKUP($D291,$C$5:$AT$510,3,)=0,0,(VLOOKUP($D291,$C$5:$AT$510,17,)/VLOOKUP($D291,$C$5:$AT$510,3,))*$E291)</f>
        <v>0</v>
      </c>
      <c r="T291" s="45">
        <f>IF(VLOOKUP($D291,$C$5:$AT$510,3,)=0,0,(VLOOKUP($D291,$C$5:$AT$510,18,)/VLOOKUP($D291,$C$5:$AT$510,3,))*$E291)</f>
        <v>0</v>
      </c>
      <c r="U291" s="45">
        <f>IF(VLOOKUP($D291,$C$5:$AT$510,3,)=0,0,(VLOOKUP($D291,$C$5:$AT$510,19,)/VLOOKUP($D291,$C$5:$AT$510,3,))*$E291)</f>
        <v>0</v>
      </c>
      <c r="V291" s="45">
        <f>IF(VLOOKUP($D291,$C$5:$AT$510,3,)=0,0,(VLOOKUP($D291,$C$5:$AT$510,20,)/VLOOKUP($D291,$C$5:$AT$510,3,))*$E291)</f>
        <v>0</v>
      </c>
      <c r="W291" s="45">
        <f>IF(VLOOKUP($D291,$C$5:$AT$510,3,)=0,0,(VLOOKUP($D291,$C$5:$AT$510,21,)/VLOOKUP($D291,$C$5:$AT$510,3,))*$E291)</f>
        <v>0</v>
      </c>
      <c r="X291" s="45">
        <f>IF(VLOOKUP($D291,$C$5:$AT$510,3,)=0,0,(VLOOKUP($D291,$C$5:$AT$510,22,)/VLOOKUP($D291,$C$5:$AT$510,3,))*$E291)</f>
        <v>0</v>
      </c>
      <c r="Y291" s="45">
        <f>IF(VLOOKUP($D291,$C$5:$AT$510,3,)=0,0,(VLOOKUP($D291,$C$5:$AT$510,23,)/VLOOKUP($D291,$C$5:$AT$510,3,))*$E291)</f>
        <v>0</v>
      </c>
      <c r="Z291" s="45">
        <f>IF(VLOOKUP($D291,$C$5:$AT$510,3,)=0,0,(VLOOKUP($D291,$C$5:$AT$510,24,)/VLOOKUP($D291,$C$5:$AT$510,3,))*$E291)</f>
        <v>0</v>
      </c>
      <c r="AA291" s="45">
        <f>IF(VLOOKUP($D291,$C$5:$AT$510,3,)=0,0,(VLOOKUP($D291,$C$5:$AT$510,25,)/VLOOKUP($D291,$C$5:$AT$510,3,))*$E291)</f>
        <v>0</v>
      </c>
      <c r="AB291" s="45">
        <f>IF(VLOOKUP($D291,$C$5:$AT$510,3,)=0,0,(VLOOKUP($D291,$C$5:$AT$510,26,)/VLOOKUP($D291,$C$5:$AT$510,3,))*$E291)</f>
        <v>0</v>
      </c>
      <c r="AC291" s="45">
        <f>IF(VLOOKUP($D291,$C$5:$AT$510,3,)=0,0,(VLOOKUP($D291,$C$5:$AT$510,27,)/VLOOKUP($D291,$C$5:$AT$510,3,))*$E291)</f>
        <v>0</v>
      </c>
      <c r="AD291" s="45">
        <f>IF(VLOOKUP($D291,$C$5:$AT$510,3,)=0,0,(VLOOKUP($D291,$C$5:$AT$510,28,)/VLOOKUP($D291,$C$5:$AT$510,3,))*$E291)</f>
        <v>0</v>
      </c>
      <c r="AE291" s="45">
        <f>IF(VLOOKUP($D291,$C$5:$AT$510,3,)=0,0,(VLOOKUP($D291,$C$5:$AT$510,29,)/VLOOKUP($D291,$C$5:$AT$510,3,))*$E291)</f>
        <v>0</v>
      </c>
      <c r="AF291" s="45">
        <f>IF(VLOOKUP($D291,$C$5:$AT$510,3,)=0,0,(VLOOKUP($D291,$C$5:$AT$510,30,)/VLOOKUP($D291,$C$5:$AT$510,3,))*$E291)</f>
        <v>0</v>
      </c>
      <c r="AG291" s="69">
        <f>SUM(F291:AF291)</f>
        <v>0</v>
      </c>
      <c r="AH291" s="14" t="str">
        <f>IF(ABS(E291-AG291)&lt;0.01,"ok","err")</f>
        <v>ok</v>
      </c>
    </row>
    <row r="292" spans="1:34" x14ac:dyDescent="0.2">
      <c r="A292" s="72" t="s">
        <v>221</v>
      </c>
      <c r="C292" s="2" t="s">
        <v>318</v>
      </c>
      <c r="D292" s="2" t="s">
        <v>699</v>
      </c>
      <c r="E292" s="32">
        <f>'Func &amp; Classif'!S327</f>
        <v>5157.606682578732</v>
      </c>
      <c r="F292" s="45">
        <f>IF(VLOOKUP($D292,$C$5:$AT$510,3,)=0,0,(VLOOKUP($D292,$C$5:$AT$510,4,)/VLOOKUP($D292,$C$5:$AT$510,3,))*$E292)</f>
        <v>4495.6289318373465</v>
      </c>
      <c r="G292" s="45">
        <f>IF(VLOOKUP($D292,$C$5:$AT$510,3,)=0,0,(VLOOKUP($D292,$C$5:$AT$510,5,)/VLOOKUP($D292,$C$5:$AT$510,3,))*$E292)</f>
        <v>0</v>
      </c>
      <c r="H292" s="45">
        <f>IF(VLOOKUP($D292,$C$5:$AT$510,3,)=0,0,(VLOOKUP($D292,$C$5:$AT$510,6,)/VLOOKUP($D292,$C$5:$AT$510,3,))*$E292)</f>
        <v>0.1829424974296959</v>
      </c>
      <c r="I292" s="45">
        <f>IF(VLOOKUP($D292,$C$5:$AT$510,3,)=0,0,(VLOOKUP($D292,$C$5:$AT$510,7,)/VLOOKUP($D292,$C$5:$AT$510,3,))*$E292)</f>
        <v>452.59028391376683</v>
      </c>
      <c r="J292" s="45">
        <f>IF(VLOOKUP($D292,$C$5:$AT$510,3,)=0,0,(VLOOKUP($D292,$C$5:$AT$510,8,)/VLOOKUP($D292,$C$5:$AT$510,3,))*$E292)</f>
        <v>150.90405307805946</v>
      </c>
      <c r="K292" s="45">
        <f>IF(VLOOKUP($D292,$C$5:$AT$510,3,)=0,0,(VLOOKUP($D292,$C$5:$AT$510,9,)/VLOOKUP($D292,$C$5:$AT$510,3,))*$E292)</f>
        <v>1.0567276718788592</v>
      </c>
      <c r="L292" s="45">
        <f>IF(VLOOKUP($D292,$C$5:$AT$510,3,)=0,0,(VLOOKUP($D292,$C$5:$AT$510,10,)/VLOOKUP($D292,$C$5:$AT$510,3,))*$E292)</f>
        <v>0</v>
      </c>
      <c r="M292" s="45">
        <f>IF(VLOOKUP($D292,$C$5:$AT$510,3,)=0,0,(VLOOKUP($D292,$C$5:$AT$510,11,)/VLOOKUP($D292,$C$5:$AT$510,3,))*$E292)</f>
        <v>2.2433607065343448</v>
      </c>
      <c r="N292" s="45">
        <f>IF(VLOOKUP($D292,$C$5:$AT$510,3,)=0,0,(VLOOKUP($D292,$C$5:$AT$510,12,)/VLOOKUP($D292,$C$5:$AT$510,3,))*$E292)</f>
        <v>21.208183745392251</v>
      </c>
      <c r="O292" s="45">
        <f>IF(VLOOKUP($D292,$C$5:$AT$510,3,)=0,0,(VLOOKUP($D292,$C$5:$AT$510,13,)/VLOOKUP($D292,$C$5:$AT$510,3,))*$E292)</f>
        <v>3.8054306009592689</v>
      </c>
      <c r="P292" s="45">
        <f>IF(VLOOKUP($D292,$C$5:$AT$510,3,)=0,0,(VLOOKUP($D292,$C$5:$AT$510,14,)/VLOOKUP($D292,$C$5:$AT$510,3,))*$E292)</f>
        <v>3.0216272318830475</v>
      </c>
      <c r="Q292" s="45">
        <f>IF(VLOOKUP($D292,$C$5:$AT$510,3,)=0,0,(VLOOKUP($D292,$C$5:$AT$510,15,)/VLOOKUP($D292,$C$5:$AT$510,3,))*$E292)</f>
        <v>15.547198153246509</v>
      </c>
      <c r="R292" s="45">
        <f>IF(VLOOKUP($D292,$C$5:$AT$510,3,)=0,0,(VLOOKUP($D292,$C$5:$AT$510,16,)/VLOOKUP($D292,$C$5:$AT$510,3,))*$E292)</f>
        <v>0</v>
      </c>
      <c r="S292" s="45">
        <f>IF(VLOOKUP($D292,$C$5:$AT$510,3,)=0,0,(VLOOKUP($D292,$C$5:$AT$510,17,)/VLOOKUP($D292,$C$5:$AT$510,3,))*$E292)</f>
        <v>0</v>
      </c>
      <c r="T292" s="45">
        <f>IF(VLOOKUP($D292,$C$5:$AT$510,3,)=0,0,(VLOOKUP($D292,$C$5:$AT$510,18,)/VLOOKUP($D292,$C$5:$AT$510,3,))*$E292)</f>
        <v>11.417943142235137</v>
      </c>
      <c r="U292" s="45">
        <f>IF(VLOOKUP($D292,$C$5:$AT$510,3,)=0,0,(VLOOKUP($D292,$C$5:$AT$510,19,)/VLOOKUP($D292,$C$5:$AT$510,3,))*$E292)</f>
        <v>0</v>
      </c>
      <c r="V292" s="45">
        <f>IF(VLOOKUP($D292,$C$5:$AT$510,3,)=0,0,(VLOOKUP($D292,$C$5:$AT$510,20,)/VLOOKUP($D292,$C$5:$AT$510,3,))*$E292)</f>
        <v>0</v>
      </c>
      <c r="W292" s="45">
        <f>IF(VLOOKUP($D292,$C$5:$AT$510,3,)=0,0,(VLOOKUP($D292,$C$5:$AT$510,21,)/VLOOKUP($D292,$C$5:$AT$510,3,))*$E292)</f>
        <v>0</v>
      </c>
      <c r="X292" s="45">
        <f>IF(VLOOKUP($D292,$C$5:$AT$510,3,)=0,0,(VLOOKUP($D292,$C$5:$AT$510,22,)/VLOOKUP($D292,$C$5:$AT$510,3,))*$E292)</f>
        <v>0</v>
      </c>
      <c r="Y292" s="45">
        <f>IF(VLOOKUP($D292,$C$5:$AT$510,3,)=0,0,(VLOOKUP($D292,$C$5:$AT$510,23,)/VLOOKUP($D292,$C$5:$AT$510,3,))*$E292)</f>
        <v>0</v>
      </c>
      <c r="Z292" s="45">
        <f>IF(VLOOKUP($D292,$C$5:$AT$510,3,)=0,0,(VLOOKUP($D292,$C$5:$AT$510,24,)/VLOOKUP($D292,$C$5:$AT$510,3,))*$E292)</f>
        <v>0</v>
      </c>
      <c r="AA292" s="45">
        <f>IF(VLOOKUP($D292,$C$5:$AT$510,3,)=0,0,(VLOOKUP($D292,$C$5:$AT$510,25,)/VLOOKUP($D292,$C$5:$AT$510,3,))*$E292)</f>
        <v>0</v>
      </c>
      <c r="AB292" s="45">
        <f>IF(VLOOKUP($D292,$C$5:$AT$510,3,)=0,0,(VLOOKUP($D292,$C$5:$AT$510,26,)/VLOOKUP($D292,$C$5:$AT$510,3,))*$E292)</f>
        <v>0</v>
      </c>
      <c r="AC292" s="45">
        <f>IF(VLOOKUP($D292,$C$5:$AT$510,3,)=0,0,(VLOOKUP($D292,$C$5:$AT$510,27,)/VLOOKUP($D292,$C$5:$AT$510,3,))*$E292)</f>
        <v>0</v>
      </c>
      <c r="AD292" s="45">
        <f>IF(VLOOKUP($D292,$C$5:$AT$510,3,)=0,0,(VLOOKUP($D292,$C$5:$AT$510,28,)/VLOOKUP($D292,$C$5:$AT$510,3,))*$E292)</f>
        <v>0</v>
      </c>
      <c r="AE292" s="45">
        <f>IF(VLOOKUP($D292,$C$5:$AT$510,3,)=0,0,(VLOOKUP($D292,$C$5:$AT$510,29,)/VLOOKUP($D292,$C$5:$AT$510,3,))*$E292)</f>
        <v>0</v>
      </c>
      <c r="AF292" s="45">
        <f>IF(VLOOKUP($D292,$C$5:$AT$510,3,)=0,0,(VLOOKUP($D292,$C$5:$AT$510,30,)/VLOOKUP($D292,$C$5:$AT$510,3,))*$E292)</f>
        <v>0</v>
      </c>
      <c r="AG292" s="69">
        <f>SUM(F292:AF292)</f>
        <v>5157.6066825787311</v>
      </c>
      <c r="AH292" s="14" t="str">
        <f>IF(ABS(E292-AG292)&lt;0.01,"ok","err")</f>
        <v>ok</v>
      </c>
    </row>
    <row r="293" spans="1:34" x14ac:dyDescent="0.2">
      <c r="A293" s="2" t="s">
        <v>228</v>
      </c>
      <c r="E293" s="45">
        <f t="shared" ref="E293:T293" si="61">E291+E292</f>
        <v>5157.606682578732</v>
      </c>
      <c r="F293" s="45">
        <f t="shared" si="61"/>
        <v>4495.6289318373465</v>
      </c>
      <c r="G293" s="45">
        <f t="shared" si="61"/>
        <v>0</v>
      </c>
      <c r="H293" s="45">
        <f t="shared" si="61"/>
        <v>0.1829424974296959</v>
      </c>
      <c r="I293" s="45">
        <f t="shared" si="61"/>
        <v>452.59028391376683</v>
      </c>
      <c r="J293" s="45">
        <f t="shared" si="61"/>
        <v>150.90405307805946</v>
      </c>
      <c r="K293" s="45">
        <f t="shared" si="61"/>
        <v>1.0567276718788592</v>
      </c>
      <c r="L293" s="45">
        <f t="shared" si="61"/>
        <v>0</v>
      </c>
      <c r="M293" s="45">
        <f t="shared" si="61"/>
        <v>2.2433607065343448</v>
      </c>
      <c r="N293" s="45">
        <f t="shared" si="61"/>
        <v>21.208183745392251</v>
      </c>
      <c r="O293" s="45">
        <f t="shared" si="61"/>
        <v>3.8054306009592689</v>
      </c>
      <c r="P293" s="45">
        <f t="shared" si="61"/>
        <v>3.0216272318830475</v>
      </c>
      <c r="Q293" s="45">
        <f t="shared" si="61"/>
        <v>15.547198153246509</v>
      </c>
      <c r="R293" s="45">
        <f t="shared" si="61"/>
        <v>0</v>
      </c>
      <c r="S293" s="45">
        <f t="shared" si="61"/>
        <v>0</v>
      </c>
      <c r="T293" s="45">
        <f t="shared" si="61"/>
        <v>11.417943142235137</v>
      </c>
      <c r="U293" s="45">
        <f t="shared" ref="U293:AF293" si="62">U291+U292</f>
        <v>0</v>
      </c>
      <c r="V293" s="45">
        <f t="shared" si="62"/>
        <v>0</v>
      </c>
      <c r="W293" s="45">
        <f t="shared" si="62"/>
        <v>0</v>
      </c>
      <c r="X293" s="45">
        <f t="shared" si="62"/>
        <v>0</v>
      </c>
      <c r="Y293" s="45">
        <f t="shared" si="62"/>
        <v>0</v>
      </c>
      <c r="Z293" s="45">
        <f t="shared" si="62"/>
        <v>0</v>
      </c>
      <c r="AA293" s="45">
        <f t="shared" si="62"/>
        <v>0</v>
      </c>
      <c r="AB293" s="45">
        <f t="shared" si="62"/>
        <v>0</v>
      </c>
      <c r="AC293" s="45">
        <f t="shared" si="62"/>
        <v>0</v>
      </c>
      <c r="AD293" s="45">
        <f t="shared" si="62"/>
        <v>0</v>
      </c>
      <c r="AE293" s="45">
        <f t="shared" si="62"/>
        <v>0</v>
      </c>
      <c r="AF293" s="45">
        <f t="shared" si="62"/>
        <v>0</v>
      </c>
      <c r="AG293" s="69">
        <f>SUM(F293:AF293)</f>
        <v>5157.6066825787311</v>
      </c>
      <c r="AH293" s="14" t="str">
        <f>IF(ABS(E293-AG293)&lt;0.01,"ok","err")</f>
        <v>ok</v>
      </c>
    </row>
    <row r="294" spans="1:34" x14ac:dyDescent="0.2">
      <c r="E294" s="32"/>
    </row>
    <row r="295" spans="1:34" x14ac:dyDescent="0.2">
      <c r="A295" s="1" t="s">
        <v>4</v>
      </c>
      <c r="E295" s="32"/>
    </row>
    <row r="296" spans="1:34" x14ac:dyDescent="0.2">
      <c r="A296" s="72" t="s">
        <v>221</v>
      </c>
      <c r="C296" s="2" t="s">
        <v>319</v>
      </c>
      <c r="D296" s="2" t="s">
        <v>230</v>
      </c>
      <c r="E296" s="45">
        <f>'Func &amp; Classif'!U327</f>
        <v>2906.7934186927332</v>
      </c>
      <c r="F296" s="45">
        <f>IF(VLOOKUP($D296,$C$5:$AT$510,3,)=0,0,(VLOOKUP($D296,$C$5:$AT$510,4,)/VLOOKUP($D296,$C$5:$AT$510,3,))*$E296)</f>
        <v>2564.5230302515474</v>
      </c>
      <c r="G296" s="45">
        <f>IF(VLOOKUP($D296,$C$5:$AT$510,3,)=0,0,(VLOOKUP($D296,$C$5:$AT$510,5,)/VLOOKUP($D296,$C$5:$AT$510,3,))*$E296)</f>
        <v>0</v>
      </c>
      <c r="H296" s="45">
        <f>IF(VLOOKUP($D296,$C$5:$AT$510,3,)=0,0,(VLOOKUP($D296,$C$5:$AT$510,6,)/VLOOKUP($D296,$C$5:$AT$510,3,))*$E296)</f>
        <v>0.10435920201235238</v>
      </c>
      <c r="I296" s="45">
        <f>IF(VLOOKUP($D296,$C$5:$AT$510,3,)=0,0,(VLOOKUP($D296,$C$5:$AT$510,7,)/VLOOKUP($D296,$C$5:$AT$510,3,))*$E296)</f>
        <v>184.507069157839</v>
      </c>
      <c r="J296" s="45">
        <f>IF(VLOOKUP($D296,$C$5:$AT$510,3,)=0,0,(VLOOKUP($D296,$C$5:$AT$510,8,)/VLOOKUP($D296,$C$5:$AT$510,3,))*$E296)</f>
        <v>106.84599264522964</v>
      </c>
      <c r="K296" s="45">
        <f>IF(VLOOKUP($D296,$C$5:$AT$510,3,)=0,0,(VLOOKUP($D296,$C$5:$AT$510,9,)/VLOOKUP($D296,$C$5:$AT$510,3,))*$E296)</f>
        <v>8.557454565012895</v>
      </c>
      <c r="L296" s="45">
        <f>IF(VLOOKUP($D296,$C$5:$AT$510,3,)=0,0,(VLOOKUP($D296,$C$5:$AT$510,10,)/VLOOKUP($D296,$C$5:$AT$510,3,))*$E296)</f>
        <v>0</v>
      </c>
      <c r="M296" s="45">
        <f>IF(VLOOKUP($D296,$C$5:$AT$510,3,)=0,0,(VLOOKUP($D296,$C$5:$AT$510,11,)/VLOOKUP($D296,$C$5:$AT$510,3,))*$E296)</f>
        <v>13.492228891325638</v>
      </c>
      <c r="N296" s="45">
        <f>IF(VLOOKUP($D296,$C$5:$AT$510,3,)=0,0,(VLOOKUP($D296,$C$5:$AT$510,12,)/VLOOKUP($D296,$C$5:$AT$510,3,))*$E296)</f>
        <v>3.5214675452911872</v>
      </c>
      <c r="O296" s="45">
        <f>IF(VLOOKUP($D296,$C$5:$AT$510,3,)=0,0,(VLOOKUP($D296,$C$5:$AT$510,13,)/VLOOKUP($D296,$C$5:$AT$510,3,))*$E296)</f>
        <v>3.3730572228314095</v>
      </c>
      <c r="P296" s="45">
        <f>IF(VLOOKUP($D296,$C$5:$AT$510,3,)=0,0,(VLOOKUP($D296,$C$5:$AT$510,14,)/VLOOKUP($D296,$C$5:$AT$510,3,))*$E296)</f>
        <v>2.4437883486309651</v>
      </c>
      <c r="Q296" s="45">
        <f>IF(VLOOKUP($D296,$C$5:$AT$510,3,)=0,0,(VLOOKUP($D296,$C$5:$AT$510,15,)/VLOOKUP($D296,$C$5:$AT$510,3,))*$E296)</f>
        <v>8.3487361609881905</v>
      </c>
      <c r="R296" s="45">
        <f>IF(VLOOKUP($D296,$C$5:$AT$510,3,)=0,0,(VLOOKUP($D296,$C$5:$AT$510,16,)/VLOOKUP($D296,$C$5:$AT$510,3,))*$E296)</f>
        <v>3.5214675452911872</v>
      </c>
      <c r="S296" s="45">
        <f>IF(VLOOKUP($D296,$C$5:$AT$510,3,)=0,0,(VLOOKUP($D296,$C$5:$AT$510,17,)/VLOOKUP($D296,$C$5:$AT$510,3,))*$E296)</f>
        <v>0</v>
      </c>
      <c r="T296" s="45">
        <f>IF(VLOOKUP($D296,$C$5:$AT$510,3,)=0,0,(VLOOKUP($D296,$C$5:$AT$510,18,)/VLOOKUP($D296,$C$5:$AT$510,3,))*$E296)</f>
        <v>7.5547671567334094</v>
      </c>
      <c r="U296" s="45">
        <f>IF(VLOOKUP($D296,$C$5:$AT$510,3,)=0,0,(VLOOKUP($D296,$C$5:$AT$510,19,)/VLOOKUP($D296,$C$5:$AT$510,3,))*$E296)</f>
        <v>0</v>
      </c>
      <c r="V296" s="45">
        <f>IF(VLOOKUP($D296,$C$5:$AT$510,3,)=0,0,(VLOOKUP($D296,$C$5:$AT$510,20,)/VLOOKUP($D296,$C$5:$AT$510,3,))*$E296)</f>
        <v>0</v>
      </c>
      <c r="W296" s="45">
        <f>IF(VLOOKUP($D296,$C$5:$AT$510,3,)=0,0,(VLOOKUP($D296,$C$5:$AT$510,21,)/VLOOKUP($D296,$C$5:$AT$510,3,))*$E296)</f>
        <v>0</v>
      </c>
      <c r="X296" s="45">
        <f>IF(VLOOKUP($D296,$C$5:$AT$510,3,)=0,0,(VLOOKUP($D296,$C$5:$AT$510,22,)/VLOOKUP($D296,$C$5:$AT$510,3,))*$E296)</f>
        <v>0</v>
      </c>
      <c r="Y296" s="45">
        <f>IF(VLOOKUP($D296,$C$5:$AT$510,3,)=0,0,(VLOOKUP($D296,$C$5:$AT$510,23,)/VLOOKUP($D296,$C$5:$AT$510,3,))*$E296)</f>
        <v>0</v>
      </c>
      <c r="Z296" s="45">
        <f>IF(VLOOKUP($D296,$C$5:$AT$510,3,)=0,0,(VLOOKUP($D296,$C$5:$AT$510,24,)/VLOOKUP($D296,$C$5:$AT$510,3,))*$E296)</f>
        <v>0</v>
      </c>
      <c r="AA296" s="45">
        <f>IF(VLOOKUP($D296,$C$5:$AT$510,3,)=0,0,(VLOOKUP($D296,$C$5:$AT$510,25,)/VLOOKUP($D296,$C$5:$AT$510,3,))*$E296)</f>
        <v>0</v>
      </c>
      <c r="AB296" s="45">
        <f>IF(VLOOKUP($D296,$C$5:$AT$510,3,)=0,0,(VLOOKUP($D296,$C$5:$AT$510,26,)/VLOOKUP($D296,$C$5:$AT$510,3,))*$E296)</f>
        <v>0</v>
      </c>
      <c r="AC296" s="45">
        <f>IF(VLOOKUP($D296,$C$5:$AT$510,3,)=0,0,(VLOOKUP($D296,$C$5:$AT$510,27,)/VLOOKUP($D296,$C$5:$AT$510,3,))*$E296)</f>
        <v>0</v>
      </c>
      <c r="AD296" s="45">
        <f>IF(VLOOKUP($D296,$C$5:$AT$510,3,)=0,0,(VLOOKUP($D296,$C$5:$AT$510,28,)/VLOOKUP($D296,$C$5:$AT$510,3,))*$E296)</f>
        <v>0</v>
      </c>
      <c r="AE296" s="45">
        <f>IF(VLOOKUP($D296,$C$5:$AT$510,3,)=0,0,(VLOOKUP($D296,$C$5:$AT$510,29,)/VLOOKUP($D296,$C$5:$AT$510,3,))*$E296)</f>
        <v>0</v>
      </c>
      <c r="AF296" s="45">
        <f>IF(VLOOKUP($D296,$C$5:$AT$510,3,)=0,0,(VLOOKUP($D296,$C$5:$AT$510,30,)/VLOOKUP($D296,$C$5:$AT$510,3,))*$E296)</f>
        <v>0</v>
      </c>
      <c r="AG296" s="69">
        <f>SUM(F296:AF296)</f>
        <v>2906.7934186927337</v>
      </c>
      <c r="AH296" s="14" t="str">
        <f>IF(ABS(E296-AG296)&lt;0.01,"ok","err")</f>
        <v>ok</v>
      </c>
    </row>
    <row r="297" spans="1:34" x14ac:dyDescent="0.2">
      <c r="E297" s="32"/>
    </row>
    <row r="298" spans="1:34" x14ac:dyDescent="0.2">
      <c r="A298" s="1" t="s">
        <v>5</v>
      </c>
      <c r="E298" s="32"/>
    </row>
    <row r="299" spans="1:34" x14ac:dyDescent="0.2">
      <c r="A299" s="72" t="s">
        <v>221</v>
      </c>
      <c r="C299" s="2" t="s">
        <v>320</v>
      </c>
      <c r="D299" s="2" t="s">
        <v>232</v>
      </c>
      <c r="E299" s="45">
        <f>'Func &amp; Classif'!W327</f>
        <v>2008.1846406418538</v>
      </c>
      <c r="F299" s="45">
        <f>IF(VLOOKUP($D299,$C$5:$AT$510,3,)=0,0,(VLOOKUP($D299,$C$5:$AT$510,4,)/VLOOKUP($D299,$C$5:$AT$510,3,))*$E299)</f>
        <v>0</v>
      </c>
      <c r="G299" s="45">
        <f>IF(VLOOKUP($D299,$C$5:$AT$510,3,)=0,0,(VLOOKUP($D299,$C$5:$AT$510,5,)/VLOOKUP($D299,$C$5:$AT$510,3,))*$E299)</f>
        <v>0</v>
      </c>
      <c r="H299" s="45">
        <f>IF(VLOOKUP($D299,$C$5:$AT$510,3,)=0,0,(VLOOKUP($D299,$C$5:$AT$510,6,)/VLOOKUP($D299,$C$5:$AT$510,3,))*$E299)</f>
        <v>0</v>
      </c>
      <c r="I299" s="45">
        <f>IF(VLOOKUP($D299,$C$5:$AT$510,3,)=0,0,(VLOOKUP($D299,$C$5:$AT$510,7,)/VLOOKUP($D299,$C$5:$AT$510,3,))*$E299)</f>
        <v>0</v>
      </c>
      <c r="J299" s="45">
        <f>IF(VLOOKUP($D299,$C$5:$AT$510,3,)=0,0,(VLOOKUP($D299,$C$5:$AT$510,8,)/VLOOKUP($D299,$C$5:$AT$510,3,))*$E299)</f>
        <v>0</v>
      </c>
      <c r="K299" s="45">
        <f>IF(VLOOKUP($D299,$C$5:$AT$510,3,)=0,0,(VLOOKUP($D299,$C$5:$AT$510,9,)/VLOOKUP($D299,$C$5:$AT$510,3,))*$E299)</f>
        <v>0</v>
      </c>
      <c r="L299" s="45">
        <f>IF(VLOOKUP($D299,$C$5:$AT$510,3,)=0,0,(VLOOKUP($D299,$C$5:$AT$510,10,)/VLOOKUP($D299,$C$5:$AT$510,3,))*$E299)</f>
        <v>0</v>
      </c>
      <c r="M299" s="45">
        <f>IF(VLOOKUP($D299,$C$5:$AT$510,3,)=0,0,(VLOOKUP($D299,$C$5:$AT$510,11,)/VLOOKUP($D299,$C$5:$AT$510,3,))*$E299)</f>
        <v>0</v>
      </c>
      <c r="N299" s="45">
        <f>IF(VLOOKUP($D299,$C$5:$AT$510,3,)=0,0,(VLOOKUP($D299,$C$5:$AT$510,12,)/VLOOKUP($D299,$C$5:$AT$510,3,))*$E299)</f>
        <v>0</v>
      </c>
      <c r="O299" s="45">
        <f>IF(VLOOKUP($D299,$C$5:$AT$510,3,)=0,0,(VLOOKUP($D299,$C$5:$AT$510,13,)/VLOOKUP($D299,$C$5:$AT$510,3,))*$E299)</f>
        <v>0</v>
      </c>
      <c r="P299" s="45">
        <f>IF(VLOOKUP($D299,$C$5:$AT$510,3,)=0,0,(VLOOKUP($D299,$C$5:$AT$510,14,)/VLOOKUP($D299,$C$5:$AT$510,3,))*$E299)</f>
        <v>0</v>
      </c>
      <c r="Q299" s="45">
        <f>IF(VLOOKUP($D299,$C$5:$AT$510,3,)=0,0,(VLOOKUP($D299,$C$5:$AT$510,15,)/VLOOKUP($D299,$C$5:$AT$510,3,))*$E299)</f>
        <v>0</v>
      </c>
      <c r="R299" s="45">
        <f>IF(VLOOKUP($D299,$C$5:$AT$510,3,)=0,0,(VLOOKUP($D299,$C$5:$AT$510,16,)/VLOOKUP($D299,$C$5:$AT$510,3,))*$E299)</f>
        <v>0</v>
      </c>
      <c r="S299" s="45">
        <f>IF(VLOOKUP($D299,$C$5:$AT$510,3,)=0,0,(VLOOKUP($D299,$C$5:$AT$510,17,)/VLOOKUP($D299,$C$5:$AT$510,3,))*$E299)</f>
        <v>0</v>
      </c>
      <c r="T299" s="45">
        <f>IF(VLOOKUP($D299,$C$5:$AT$510,3,)=0,0,(VLOOKUP($D299,$C$5:$AT$510,18,)/VLOOKUP($D299,$C$5:$AT$510,3,))*$E299)</f>
        <v>0</v>
      </c>
      <c r="U299" s="45">
        <f>IF(VLOOKUP($D299,$C$5:$AT$510,3,)=0,0,(VLOOKUP($D299,$C$5:$AT$510,19,)/VLOOKUP($D299,$C$5:$AT$510,3,))*$E299)</f>
        <v>2008.1846406418538</v>
      </c>
      <c r="V299" s="45">
        <f>IF(VLOOKUP($D299,$C$5:$AT$510,3,)=0,0,(VLOOKUP($D299,$C$5:$AT$510,20,)/VLOOKUP($D299,$C$5:$AT$510,3,))*$E299)</f>
        <v>0</v>
      </c>
      <c r="W299" s="45">
        <f>IF(VLOOKUP($D299,$C$5:$AT$510,3,)=0,0,(VLOOKUP($D299,$C$5:$AT$510,21,)/VLOOKUP($D299,$C$5:$AT$510,3,))*$E299)</f>
        <v>0</v>
      </c>
      <c r="X299" s="45">
        <f>IF(VLOOKUP($D299,$C$5:$AT$510,3,)=0,0,(VLOOKUP($D299,$C$5:$AT$510,22,)/VLOOKUP($D299,$C$5:$AT$510,3,))*$E299)</f>
        <v>0</v>
      </c>
      <c r="Y299" s="45">
        <f>IF(VLOOKUP($D299,$C$5:$AT$510,3,)=0,0,(VLOOKUP($D299,$C$5:$AT$510,23,)/VLOOKUP($D299,$C$5:$AT$510,3,))*$E299)</f>
        <v>0</v>
      </c>
      <c r="Z299" s="45">
        <f>IF(VLOOKUP($D299,$C$5:$AT$510,3,)=0,0,(VLOOKUP($D299,$C$5:$AT$510,24,)/VLOOKUP($D299,$C$5:$AT$510,3,))*$E299)</f>
        <v>0</v>
      </c>
      <c r="AA299" s="45">
        <f>IF(VLOOKUP($D299,$C$5:$AT$510,3,)=0,0,(VLOOKUP($D299,$C$5:$AT$510,25,)/VLOOKUP($D299,$C$5:$AT$510,3,))*$E299)</f>
        <v>0</v>
      </c>
      <c r="AB299" s="45">
        <f>IF(VLOOKUP($D299,$C$5:$AT$510,3,)=0,0,(VLOOKUP($D299,$C$5:$AT$510,26,)/VLOOKUP($D299,$C$5:$AT$510,3,))*$E299)</f>
        <v>0</v>
      </c>
      <c r="AC299" s="45">
        <f>IF(VLOOKUP($D299,$C$5:$AT$510,3,)=0,0,(VLOOKUP($D299,$C$5:$AT$510,27,)/VLOOKUP($D299,$C$5:$AT$510,3,))*$E299)</f>
        <v>0</v>
      </c>
      <c r="AD299" s="45">
        <f>IF(VLOOKUP($D299,$C$5:$AT$510,3,)=0,0,(VLOOKUP($D299,$C$5:$AT$510,28,)/VLOOKUP($D299,$C$5:$AT$510,3,))*$E299)</f>
        <v>0</v>
      </c>
      <c r="AE299" s="45">
        <f>IF(VLOOKUP($D299,$C$5:$AT$510,3,)=0,0,(VLOOKUP($D299,$C$5:$AT$510,29,)/VLOOKUP($D299,$C$5:$AT$510,3,))*$E299)</f>
        <v>0</v>
      </c>
      <c r="AF299" s="45">
        <f>IF(VLOOKUP($D299,$C$5:$AT$510,3,)=0,0,(VLOOKUP($D299,$C$5:$AT$510,30,)/VLOOKUP($D299,$C$5:$AT$510,3,))*$E299)</f>
        <v>0</v>
      </c>
      <c r="AG299" s="69">
        <f>SUM(F299:AF299)</f>
        <v>2008.1846406418538</v>
      </c>
      <c r="AH299" s="14" t="str">
        <f>IF(ABS(E299-AG299)&lt;0.01,"ok","err")</f>
        <v>ok</v>
      </c>
    </row>
    <row r="300" spans="1:34" x14ac:dyDescent="0.2">
      <c r="E300" s="32"/>
    </row>
    <row r="301" spans="1:34" x14ac:dyDescent="0.2">
      <c r="A301" s="1" t="s">
        <v>545</v>
      </c>
      <c r="E301" s="32"/>
    </row>
    <row r="302" spans="1:34" x14ac:dyDescent="0.2">
      <c r="A302" s="72" t="s">
        <v>221</v>
      </c>
      <c r="C302" s="2" t="s">
        <v>321</v>
      </c>
      <c r="D302" s="2" t="s">
        <v>234</v>
      </c>
      <c r="E302" s="45">
        <f>'Func &amp; Classif'!Y327</f>
        <v>0</v>
      </c>
      <c r="F302" s="45">
        <f>IF(VLOOKUP($D302,$C$5:$AT$510,3,)=0,0,(VLOOKUP($D302,$C$5:$AT$510,4,)/VLOOKUP($D302,$C$5:$AT$510,3,))*$E302)</f>
        <v>0</v>
      </c>
      <c r="G302" s="45">
        <f>IF(VLOOKUP($D302,$C$5:$AT$510,3,)=0,0,(VLOOKUP($D302,$C$5:$AT$510,5,)/VLOOKUP($D302,$C$5:$AT$510,3,))*$E302)</f>
        <v>0</v>
      </c>
      <c r="H302" s="45">
        <f>IF(VLOOKUP($D302,$C$5:$AT$510,3,)=0,0,(VLOOKUP($D302,$C$5:$AT$510,6,)/VLOOKUP($D302,$C$5:$AT$510,3,))*$E302)</f>
        <v>0</v>
      </c>
      <c r="I302" s="45">
        <f>IF(VLOOKUP($D302,$C$5:$AT$510,3,)=0,0,(VLOOKUP($D302,$C$5:$AT$510,7,)/VLOOKUP($D302,$C$5:$AT$510,3,))*$E302)</f>
        <v>0</v>
      </c>
      <c r="J302" s="45">
        <f>IF(VLOOKUP($D302,$C$5:$AT$510,3,)=0,0,(VLOOKUP($D302,$C$5:$AT$510,8,)/VLOOKUP($D302,$C$5:$AT$510,3,))*$E302)</f>
        <v>0</v>
      </c>
      <c r="K302" s="45">
        <f>IF(VLOOKUP($D302,$C$5:$AT$510,3,)=0,0,(VLOOKUP($D302,$C$5:$AT$510,9,)/VLOOKUP($D302,$C$5:$AT$510,3,))*$E302)</f>
        <v>0</v>
      </c>
      <c r="L302" s="45">
        <f>IF(VLOOKUP($D302,$C$5:$AT$510,3,)=0,0,(VLOOKUP($D302,$C$5:$AT$510,10,)/VLOOKUP($D302,$C$5:$AT$510,3,))*$E302)</f>
        <v>0</v>
      </c>
      <c r="M302" s="45">
        <f>IF(VLOOKUP($D302,$C$5:$AT$510,3,)=0,0,(VLOOKUP($D302,$C$5:$AT$510,11,)/VLOOKUP($D302,$C$5:$AT$510,3,))*$E302)</f>
        <v>0</v>
      </c>
      <c r="N302" s="45">
        <f>IF(VLOOKUP($D302,$C$5:$AT$510,3,)=0,0,(VLOOKUP($D302,$C$5:$AT$510,12,)/VLOOKUP($D302,$C$5:$AT$510,3,))*$E302)</f>
        <v>0</v>
      </c>
      <c r="O302" s="45">
        <f>IF(VLOOKUP($D302,$C$5:$AT$510,3,)=0,0,(VLOOKUP($D302,$C$5:$AT$510,13,)/VLOOKUP($D302,$C$5:$AT$510,3,))*$E302)</f>
        <v>0</v>
      </c>
      <c r="P302" s="45">
        <f>IF(VLOOKUP($D302,$C$5:$AT$510,3,)=0,0,(VLOOKUP($D302,$C$5:$AT$510,14,)/VLOOKUP($D302,$C$5:$AT$510,3,))*$E302)</f>
        <v>0</v>
      </c>
      <c r="Q302" s="45">
        <f>IF(VLOOKUP($D302,$C$5:$AT$510,3,)=0,0,(VLOOKUP($D302,$C$5:$AT$510,15,)/VLOOKUP($D302,$C$5:$AT$510,3,))*$E302)</f>
        <v>0</v>
      </c>
      <c r="R302" s="45">
        <f>IF(VLOOKUP($D302,$C$5:$AT$510,3,)=0,0,(VLOOKUP($D302,$C$5:$AT$510,16,)/VLOOKUP($D302,$C$5:$AT$510,3,))*$E302)</f>
        <v>0</v>
      </c>
      <c r="S302" s="45">
        <f>IF(VLOOKUP($D302,$C$5:$AT$510,3,)=0,0,(VLOOKUP($D302,$C$5:$AT$510,17,)/VLOOKUP($D302,$C$5:$AT$510,3,))*$E302)</f>
        <v>0</v>
      </c>
      <c r="T302" s="45">
        <f>IF(VLOOKUP($D302,$C$5:$AT$510,3,)=0,0,(VLOOKUP($D302,$C$5:$AT$510,18,)/VLOOKUP($D302,$C$5:$AT$510,3,))*$E302)</f>
        <v>0</v>
      </c>
      <c r="U302" s="45">
        <f>IF(VLOOKUP($D302,$C$5:$AT$510,3,)=0,0,(VLOOKUP($D302,$C$5:$AT$510,19,)/VLOOKUP($D302,$C$5:$AT$510,3,))*$E302)</f>
        <v>0</v>
      </c>
      <c r="V302" s="45">
        <f>IF(VLOOKUP($D302,$C$5:$AT$510,3,)=0,0,(VLOOKUP($D302,$C$5:$AT$510,20,)/VLOOKUP($D302,$C$5:$AT$510,3,))*$E302)</f>
        <v>0</v>
      </c>
      <c r="W302" s="45">
        <f>IF(VLOOKUP($D302,$C$5:$AT$510,3,)=0,0,(VLOOKUP($D302,$C$5:$AT$510,21,)/VLOOKUP($D302,$C$5:$AT$510,3,))*$E302)</f>
        <v>0</v>
      </c>
      <c r="X302" s="45">
        <f>IF(VLOOKUP($D302,$C$5:$AT$510,3,)=0,0,(VLOOKUP($D302,$C$5:$AT$510,22,)/VLOOKUP($D302,$C$5:$AT$510,3,))*$E302)</f>
        <v>0</v>
      </c>
      <c r="Y302" s="45">
        <f>IF(VLOOKUP($D302,$C$5:$AT$510,3,)=0,0,(VLOOKUP($D302,$C$5:$AT$510,23,)/VLOOKUP($D302,$C$5:$AT$510,3,))*$E302)</f>
        <v>0</v>
      </c>
      <c r="Z302" s="45">
        <f>IF(VLOOKUP($D302,$C$5:$AT$510,3,)=0,0,(VLOOKUP($D302,$C$5:$AT$510,24,)/VLOOKUP($D302,$C$5:$AT$510,3,))*$E302)</f>
        <v>0</v>
      </c>
      <c r="AA302" s="45">
        <f>IF(VLOOKUP($D302,$C$5:$AT$510,3,)=0,0,(VLOOKUP($D302,$C$5:$AT$510,25,)/VLOOKUP($D302,$C$5:$AT$510,3,))*$E302)</f>
        <v>0</v>
      </c>
      <c r="AB302" s="45">
        <f>IF(VLOOKUP($D302,$C$5:$AT$510,3,)=0,0,(VLOOKUP($D302,$C$5:$AT$510,26,)/VLOOKUP($D302,$C$5:$AT$510,3,))*$E302)</f>
        <v>0</v>
      </c>
      <c r="AC302" s="45">
        <f>IF(VLOOKUP($D302,$C$5:$AT$510,3,)=0,0,(VLOOKUP($D302,$C$5:$AT$510,27,)/VLOOKUP($D302,$C$5:$AT$510,3,))*$E302)</f>
        <v>0</v>
      </c>
      <c r="AD302" s="45">
        <f>IF(VLOOKUP($D302,$C$5:$AT$510,3,)=0,0,(VLOOKUP($D302,$C$5:$AT$510,28,)/VLOOKUP($D302,$C$5:$AT$510,3,))*$E302)</f>
        <v>0</v>
      </c>
      <c r="AE302" s="45">
        <f>IF(VLOOKUP($D302,$C$5:$AT$510,3,)=0,0,(VLOOKUP($D302,$C$5:$AT$510,29,)/VLOOKUP($D302,$C$5:$AT$510,3,))*$E302)</f>
        <v>0</v>
      </c>
      <c r="AF302" s="45">
        <f>IF(VLOOKUP($D302,$C$5:$AT$510,3,)=0,0,(VLOOKUP($D302,$C$5:$AT$510,30,)/VLOOKUP($D302,$C$5:$AT$510,3,))*$E302)</f>
        <v>0</v>
      </c>
      <c r="AG302" s="69">
        <f>SUM(F302:AF302)</f>
        <v>0</v>
      </c>
      <c r="AH302" s="14" t="str">
        <f>IF(ABS(E302-AG302)&lt;0.01,"ok","err")</f>
        <v>ok</v>
      </c>
    </row>
    <row r="303" spans="1:34" x14ac:dyDescent="0.2">
      <c r="E303" s="32"/>
    </row>
    <row r="304" spans="1:34" x14ac:dyDescent="0.2">
      <c r="A304" s="1" t="s">
        <v>470</v>
      </c>
      <c r="E304" s="32"/>
    </row>
    <row r="305" spans="1:40" x14ac:dyDescent="0.2">
      <c r="A305" s="72" t="s">
        <v>221</v>
      </c>
      <c r="C305" s="2" t="s">
        <v>318</v>
      </c>
      <c r="D305" s="2" t="s">
        <v>235</v>
      </c>
      <c r="E305" s="45">
        <f>'Func &amp; Classif'!AA327</f>
        <v>0</v>
      </c>
      <c r="F305" s="45">
        <f>IF(VLOOKUP($D305,$C$5:$AT$510,3,)=0,0,(VLOOKUP($D305,$C$5:$AT$510,4,)/VLOOKUP($D305,$C$5:$AT$510,3,))*$E305)</f>
        <v>0</v>
      </c>
      <c r="G305" s="45">
        <f>IF(VLOOKUP($D305,$C$5:$AT$510,3,)=0,0,(VLOOKUP($D305,$C$5:$AT$510,5,)/VLOOKUP($D305,$C$5:$AT$510,3,))*$E305)</f>
        <v>0</v>
      </c>
      <c r="H305" s="45">
        <f>IF(VLOOKUP($D305,$C$5:$AT$510,3,)=0,0,(VLOOKUP($D305,$C$5:$AT$510,6,)/VLOOKUP($D305,$C$5:$AT$510,3,))*$E305)</f>
        <v>0</v>
      </c>
      <c r="I305" s="45">
        <f>IF(VLOOKUP($D305,$C$5:$AT$510,3,)=0,0,(VLOOKUP($D305,$C$5:$AT$510,7,)/VLOOKUP($D305,$C$5:$AT$510,3,))*$E305)</f>
        <v>0</v>
      </c>
      <c r="J305" s="45">
        <f>IF(VLOOKUP($D305,$C$5:$AT$510,3,)=0,0,(VLOOKUP($D305,$C$5:$AT$510,8,)/VLOOKUP($D305,$C$5:$AT$510,3,))*$E305)</f>
        <v>0</v>
      </c>
      <c r="K305" s="45">
        <f>IF(VLOOKUP($D305,$C$5:$AT$510,3,)=0,0,(VLOOKUP($D305,$C$5:$AT$510,9,)/VLOOKUP($D305,$C$5:$AT$510,3,))*$E305)</f>
        <v>0</v>
      </c>
      <c r="L305" s="45">
        <f>IF(VLOOKUP($D305,$C$5:$AT$510,3,)=0,0,(VLOOKUP($D305,$C$5:$AT$510,10,)/VLOOKUP($D305,$C$5:$AT$510,3,))*$E305)</f>
        <v>0</v>
      </c>
      <c r="M305" s="45">
        <f>IF(VLOOKUP($D305,$C$5:$AT$510,3,)=0,0,(VLOOKUP($D305,$C$5:$AT$510,11,)/VLOOKUP($D305,$C$5:$AT$510,3,))*$E305)</f>
        <v>0</v>
      </c>
      <c r="N305" s="45">
        <f>IF(VLOOKUP($D305,$C$5:$AT$510,3,)=0,0,(VLOOKUP($D305,$C$5:$AT$510,12,)/VLOOKUP($D305,$C$5:$AT$510,3,))*$E305)</f>
        <v>0</v>
      </c>
      <c r="O305" s="45">
        <f>IF(VLOOKUP($D305,$C$5:$AT$510,3,)=0,0,(VLOOKUP($D305,$C$5:$AT$510,13,)/VLOOKUP($D305,$C$5:$AT$510,3,))*$E305)</f>
        <v>0</v>
      </c>
      <c r="P305" s="45">
        <f>IF(VLOOKUP($D305,$C$5:$AT$510,3,)=0,0,(VLOOKUP($D305,$C$5:$AT$510,14,)/VLOOKUP($D305,$C$5:$AT$510,3,))*$E305)</f>
        <v>0</v>
      </c>
      <c r="Q305" s="45">
        <f>IF(VLOOKUP($D305,$C$5:$AT$510,3,)=0,0,(VLOOKUP($D305,$C$5:$AT$510,15,)/VLOOKUP($D305,$C$5:$AT$510,3,))*$E305)</f>
        <v>0</v>
      </c>
      <c r="R305" s="45">
        <f>IF(VLOOKUP($D305,$C$5:$AT$510,3,)=0,0,(VLOOKUP($D305,$C$5:$AT$510,16,)/VLOOKUP($D305,$C$5:$AT$510,3,))*$E305)</f>
        <v>0</v>
      </c>
      <c r="S305" s="45">
        <f>IF(VLOOKUP($D305,$C$5:$AT$510,3,)=0,0,(VLOOKUP($D305,$C$5:$AT$510,17,)/VLOOKUP($D305,$C$5:$AT$510,3,))*$E305)</f>
        <v>0</v>
      </c>
      <c r="T305" s="45">
        <f>IF(VLOOKUP($D305,$C$5:$AT$510,3,)=0,0,(VLOOKUP($D305,$C$5:$AT$510,18,)/VLOOKUP($D305,$C$5:$AT$510,3,))*$E305)</f>
        <v>0</v>
      </c>
      <c r="U305" s="45">
        <f>IF(VLOOKUP($D305,$C$5:$AT$510,3,)=0,0,(VLOOKUP($D305,$C$5:$AT$510,19,)/VLOOKUP($D305,$C$5:$AT$510,3,))*$E305)</f>
        <v>0</v>
      </c>
      <c r="V305" s="45">
        <f>IF(VLOOKUP($D305,$C$5:$AT$510,3,)=0,0,(VLOOKUP($D305,$C$5:$AT$510,20,)/VLOOKUP($D305,$C$5:$AT$510,3,))*$E305)</f>
        <v>0</v>
      </c>
      <c r="W305" s="45">
        <f>IF(VLOOKUP($D305,$C$5:$AT$510,3,)=0,0,(VLOOKUP($D305,$C$5:$AT$510,21,)/VLOOKUP($D305,$C$5:$AT$510,3,))*$E305)</f>
        <v>0</v>
      </c>
      <c r="X305" s="45">
        <f>IF(VLOOKUP($D305,$C$5:$AT$510,3,)=0,0,(VLOOKUP($D305,$C$5:$AT$510,22,)/VLOOKUP($D305,$C$5:$AT$510,3,))*$E305)</f>
        <v>0</v>
      </c>
      <c r="Y305" s="45">
        <f>IF(VLOOKUP($D305,$C$5:$AT$510,3,)=0,0,(VLOOKUP($D305,$C$5:$AT$510,23,)/VLOOKUP($D305,$C$5:$AT$510,3,))*$E305)</f>
        <v>0</v>
      </c>
      <c r="Z305" s="45">
        <f>IF(VLOOKUP($D305,$C$5:$AT$510,3,)=0,0,(VLOOKUP($D305,$C$5:$AT$510,24,)/VLOOKUP($D305,$C$5:$AT$510,3,))*$E305)</f>
        <v>0</v>
      </c>
      <c r="AA305" s="45">
        <f>IF(VLOOKUP($D305,$C$5:$AT$510,3,)=0,0,(VLOOKUP($D305,$C$5:$AT$510,25,)/VLOOKUP($D305,$C$5:$AT$510,3,))*$E305)</f>
        <v>0</v>
      </c>
      <c r="AB305" s="45">
        <f>IF(VLOOKUP($D305,$C$5:$AT$510,3,)=0,0,(VLOOKUP($D305,$C$5:$AT$510,26,)/VLOOKUP($D305,$C$5:$AT$510,3,))*$E305)</f>
        <v>0</v>
      </c>
      <c r="AC305" s="45">
        <f>IF(VLOOKUP($D305,$C$5:$AT$510,3,)=0,0,(VLOOKUP($D305,$C$5:$AT$510,27,)/VLOOKUP($D305,$C$5:$AT$510,3,))*$E305)</f>
        <v>0</v>
      </c>
      <c r="AD305" s="45">
        <f>IF(VLOOKUP($D305,$C$5:$AT$510,3,)=0,0,(VLOOKUP($D305,$C$5:$AT$510,28,)/VLOOKUP($D305,$C$5:$AT$510,3,))*$E305)</f>
        <v>0</v>
      </c>
      <c r="AE305" s="45">
        <f>IF(VLOOKUP($D305,$C$5:$AT$510,3,)=0,0,(VLOOKUP($D305,$C$5:$AT$510,29,)/VLOOKUP($D305,$C$5:$AT$510,3,))*$E305)</f>
        <v>0</v>
      </c>
      <c r="AF305" s="45">
        <f>IF(VLOOKUP($D305,$C$5:$AT$510,3,)=0,0,(VLOOKUP($D305,$C$5:$AT$510,30,)/VLOOKUP($D305,$C$5:$AT$510,3,))*$E305)</f>
        <v>0</v>
      </c>
      <c r="AG305" s="69">
        <f>SUM(F305:AF305)</f>
        <v>0</v>
      </c>
      <c r="AH305" s="14" t="str">
        <f>IF(ABS(E305-AG305)&lt;0.01,"ok","err")</f>
        <v>ok</v>
      </c>
    </row>
    <row r="306" spans="1:40" x14ac:dyDescent="0.2">
      <c r="E306" s="32"/>
    </row>
    <row r="307" spans="1:40" x14ac:dyDescent="0.2">
      <c r="A307" s="2" t="s">
        <v>0</v>
      </c>
      <c r="C307" s="2" t="s">
        <v>322</v>
      </c>
      <c r="E307" s="45">
        <f>E277+E280+E283+E288+E293+E296+E299+E302+E305</f>
        <v>52771</v>
      </c>
      <c r="F307" s="45">
        <f t="shared" ref="F307:R307" si="63">F277+F280+F283+F288+F293+F296+F299+F302+F305</f>
        <v>42929.544823518212</v>
      </c>
      <c r="G307" s="45">
        <f t="shared" si="63"/>
        <v>0</v>
      </c>
      <c r="H307" s="45">
        <f t="shared" si="63"/>
        <v>1.6294001930642792</v>
      </c>
      <c r="I307" s="45">
        <f t="shared" si="63"/>
        <v>3555.235741845036</v>
      </c>
      <c r="J307" s="45">
        <f t="shared" si="63"/>
        <v>2055.4707499659016</v>
      </c>
      <c r="K307" s="45">
        <f t="shared" si="63"/>
        <v>29.548237151857379</v>
      </c>
      <c r="L307" s="45">
        <f t="shared" si="63"/>
        <v>0</v>
      </c>
      <c r="M307" s="45">
        <f t="shared" si="63"/>
        <v>603.30049065326432</v>
      </c>
      <c r="N307" s="45">
        <f t="shared" si="63"/>
        <v>697.87112544748436</v>
      </c>
      <c r="O307" s="45">
        <f t="shared" si="63"/>
        <v>167.04493649514441</v>
      </c>
      <c r="P307" s="45">
        <f t="shared" si="63"/>
        <v>50.887343244071246</v>
      </c>
      <c r="Q307" s="45">
        <f t="shared" si="63"/>
        <v>174.35127196439561</v>
      </c>
      <c r="R307" s="45">
        <f t="shared" si="63"/>
        <v>377.49069311922466</v>
      </c>
      <c r="S307" s="45">
        <f t="shared" ref="S307:AF307" si="64">S277+S283+S288+S293+S296+S299+S302+S305</f>
        <v>0</v>
      </c>
      <c r="T307" s="45">
        <f t="shared" si="64"/>
        <v>40.385113355874047</v>
      </c>
      <c r="U307" s="45">
        <f t="shared" si="64"/>
        <v>2088.2400730464628</v>
      </c>
      <c r="V307" s="45">
        <f t="shared" si="64"/>
        <v>0</v>
      </c>
      <c r="W307" s="45">
        <f t="shared" si="64"/>
        <v>0</v>
      </c>
      <c r="X307" s="45">
        <f t="shared" si="64"/>
        <v>0</v>
      </c>
      <c r="Y307" s="45">
        <f t="shared" si="64"/>
        <v>0</v>
      </c>
      <c r="Z307" s="45">
        <f t="shared" si="64"/>
        <v>0</v>
      </c>
      <c r="AA307" s="45">
        <f t="shared" si="64"/>
        <v>0</v>
      </c>
      <c r="AB307" s="45">
        <f t="shared" si="64"/>
        <v>0</v>
      </c>
      <c r="AC307" s="45">
        <f t="shared" si="64"/>
        <v>0</v>
      </c>
      <c r="AD307" s="45">
        <f t="shared" si="64"/>
        <v>0</v>
      </c>
      <c r="AE307" s="45">
        <f t="shared" si="64"/>
        <v>0</v>
      </c>
      <c r="AF307" s="45">
        <f t="shared" si="64"/>
        <v>0</v>
      </c>
      <c r="AG307" s="69">
        <f>SUM(F307:AF307)</f>
        <v>52771</v>
      </c>
      <c r="AH307" s="14" t="str">
        <f>IF(ABS(E307-AG307)&lt;0.01,"ok","err")</f>
        <v>ok</v>
      </c>
    </row>
    <row r="308" spans="1:40" x14ac:dyDescent="0.2"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69"/>
      <c r="AH308" s="14"/>
    </row>
    <row r="309" spans="1:40" x14ac:dyDescent="0.2"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69"/>
      <c r="AH309" s="14"/>
    </row>
    <row r="310" spans="1:40" x14ac:dyDescent="0.2">
      <c r="A310" s="12" t="s">
        <v>581</v>
      </c>
    </row>
    <row r="311" spans="1:40" x14ac:dyDescent="0.2">
      <c r="E311" s="69"/>
    </row>
    <row r="312" spans="1:40" x14ac:dyDescent="0.2">
      <c r="A312" s="1" t="s">
        <v>323</v>
      </c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AJ312" s="124"/>
      <c r="AK312" s="66"/>
      <c r="AL312" s="66"/>
      <c r="AM312" s="66"/>
      <c r="AN312" s="66"/>
    </row>
    <row r="313" spans="1:40" x14ac:dyDescent="0.2">
      <c r="A313" s="2" t="s">
        <v>735</v>
      </c>
      <c r="C313" s="2" t="s">
        <v>324</v>
      </c>
      <c r="D313" s="2" t="s">
        <v>561</v>
      </c>
      <c r="E313" s="45">
        <f>'Billing Det'!E26</f>
        <v>60684787.910000004</v>
      </c>
      <c r="F313" s="45">
        <f>IF(VLOOKUP($D313,$C$5:$AT$510,3,)=0,0,(VLOOKUP($D313,$C$5:$AT$510,4,)/VLOOKUP($D313,$C$5:$AT$510,3,))*$E313)</f>
        <v>40389769.719999999</v>
      </c>
      <c r="G313" s="45">
        <f>IF(VLOOKUP($D313,$C$5:$AT$510,3,)=0,0,(VLOOKUP($D313,$C$5:$AT$510,5,)/VLOOKUP($D313,$C$5:$AT$510,3,))*$E313)</f>
        <v>0</v>
      </c>
      <c r="H313" s="45">
        <f>IF(VLOOKUP($D313,$C$5:$AT$510,3,)=0,0,(VLOOKUP($D313,$C$5:$AT$510,6,)/VLOOKUP($D313,$C$5:$AT$510,3,))*$E313)</f>
        <v>1396.79</v>
      </c>
      <c r="I313" s="45">
        <f>IF(VLOOKUP($D313,$C$5:$AT$510,3,)=0,0,(VLOOKUP($D313,$C$5:$AT$510,7,)/VLOOKUP($D313,$C$5:$AT$510,3,))*$E313)</f>
        <v>4315965.5599999996</v>
      </c>
      <c r="J313" s="45">
        <f>IF(VLOOKUP($D313,$C$5:$AT$510,3,)=0,0,(VLOOKUP($D313,$C$5:$AT$510,8,)/VLOOKUP($D313,$C$5:$AT$510,3,))*$E313)</f>
        <v>6598390.4999999991</v>
      </c>
      <c r="K313" s="45">
        <f>IF(VLOOKUP($D313,$C$5:$AT$510,3,)=0,0,(VLOOKUP($D313,$C$5:$AT$510,9,)/VLOOKUP($D313,$C$5:$AT$510,3,))*$E313)</f>
        <v>18437.07</v>
      </c>
      <c r="L313" s="45">
        <f>IF(VLOOKUP($D313,$C$5:$AT$510,3,)=0,0,(VLOOKUP($D313,$C$5:$AT$510,10,)/VLOOKUP($D313,$C$5:$AT$510,3,))*$E313)</f>
        <v>0</v>
      </c>
      <c r="M313" s="45">
        <f>IF(VLOOKUP($D313,$C$5:$AT$510,3,)=0,0,(VLOOKUP($D313,$C$5:$AT$510,11,)/VLOOKUP($D313,$C$5:$AT$510,3,))*$E313)</f>
        <v>2462140.0499999998</v>
      </c>
      <c r="N313" s="45">
        <f>IF(VLOOKUP($D313,$C$5:$AT$510,3,)=0,0,(VLOOKUP($D313,$C$5:$AT$510,12,)/VLOOKUP($D313,$C$5:$AT$510,3,))*$E313)</f>
        <v>3030683.5</v>
      </c>
      <c r="O313" s="45">
        <f>IF(VLOOKUP($D313,$C$5:$AT$510,3,)=0,0,(VLOOKUP($D313,$C$5:$AT$510,13,)/VLOOKUP($D313,$C$5:$AT$510,3,))*$E313)</f>
        <v>803418.04</v>
      </c>
      <c r="P313" s="45">
        <f>IF(VLOOKUP($D313,$C$5:$AT$510,3,)=0,0,(VLOOKUP($D313,$C$5:$AT$510,14,)/VLOOKUP($D313,$C$5:$AT$510,3,))*$E313)</f>
        <v>118009.17999999998</v>
      </c>
      <c r="Q313" s="45">
        <f>IF(VLOOKUP($D313,$C$5:$AT$510,3,)=0,0,(VLOOKUP($D313,$C$5:$AT$510,15,)/VLOOKUP($D313,$C$5:$AT$510,3,))*$E313)</f>
        <v>125482.08999999998</v>
      </c>
      <c r="R313" s="45">
        <f>IF(VLOOKUP($D313,$C$5:$AT$510,3,)=0,0,(VLOOKUP($D313,$C$5:$AT$510,16,)/VLOOKUP($D313,$C$5:$AT$510,3,))*$E313)</f>
        <v>1570110.42</v>
      </c>
      <c r="S313" s="45">
        <f>IF(VLOOKUP($D313,$C$5:$AT$510,3,)=0,0,(VLOOKUP($D313,$C$5:$AT$510,17,)/VLOOKUP($D313,$C$5:$AT$510,3,))*$E313)</f>
        <v>0</v>
      </c>
      <c r="T313" s="45">
        <f>IF(VLOOKUP($D313,$C$5:$AT$510,3,)=0,0,(VLOOKUP($D313,$C$5:$AT$510,18,)/VLOOKUP($D313,$C$5:$AT$510,3,))*$E313)</f>
        <v>70913.489999999991</v>
      </c>
      <c r="U313" s="45">
        <f>IF(VLOOKUP($D313,$C$5:$AT$510,3,)=0,0,(VLOOKUP($D313,$C$5:$AT$510,19,)/VLOOKUP($D313,$C$5:$AT$510,3,))*$E313)</f>
        <v>1180071.5</v>
      </c>
      <c r="V313" s="45">
        <f>IF(VLOOKUP($D313,$C$5:$AT$510,3,)=0,0,(VLOOKUP($D313,$C$5:$AT$510,20,)/VLOOKUP($D313,$C$5:$AT$510,3,))*$E313)</f>
        <v>0</v>
      </c>
      <c r="W313" s="45">
        <f>IF(VLOOKUP($D313,$C$5:$AT$510,3,)=0,0,(VLOOKUP($D313,$C$5:$AT$510,21,)/VLOOKUP($D313,$C$5:$AT$510,3,))*$E313)</f>
        <v>0</v>
      </c>
      <c r="X313" s="45">
        <f>IF(VLOOKUP($D313,$C$5:$AT$510,3,)=0,0,(VLOOKUP($D313,$C$5:$AT$510,22,)/VLOOKUP($D313,$C$5:$AT$510,3,))*$E313)</f>
        <v>0</v>
      </c>
      <c r="Y313" s="45">
        <f>IF(VLOOKUP($D313,$C$5:$AT$510,3,)=0,0,(VLOOKUP($D313,$C$5:$AT$510,23,)/VLOOKUP($D313,$C$5:$AT$510,3,))*$E313)</f>
        <v>0</v>
      </c>
      <c r="Z313" s="45">
        <f>IF(VLOOKUP($D313,$C$5:$AT$510,3,)=0,0,(VLOOKUP($D313,$C$5:$AT$510,24,)/VLOOKUP($D313,$C$5:$AT$510,3,))*$E313)</f>
        <v>0</v>
      </c>
      <c r="AA313" s="45">
        <f>IF(VLOOKUP($D313,$C$5:$AT$510,3,)=0,0,(VLOOKUP($D313,$C$5:$AT$510,25,)/VLOOKUP($D313,$C$5:$AT$510,3,))*$E313)</f>
        <v>0</v>
      </c>
      <c r="AB313" s="45">
        <f>IF(VLOOKUP($D313,$C$5:$AT$510,3,)=0,0,(VLOOKUP($D313,$C$5:$AT$510,26,)/VLOOKUP($D313,$C$5:$AT$510,3,))*$E313)</f>
        <v>0</v>
      </c>
      <c r="AC313" s="45">
        <f>IF(VLOOKUP($D313,$C$5:$AT$510,3,)=0,0,(VLOOKUP($D313,$C$5:$AT$510,27,)/VLOOKUP($D313,$C$5:$AT$510,3,))*$E313)</f>
        <v>0</v>
      </c>
      <c r="AD313" s="45">
        <f>IF(VLOOKUP($D313,$C$5:$AT$510,3,)=0,0,(VLOOKUP($D313,$C$5:$AT$510,28,)/VLOOKUP($D313,$C$5:$AT$510,3,))*$E313)</f>
        <v>0</v>
      </c>
      <c r="AE313" s="45">
        <f>IF(VLOOKUP($D313,$C$5:$AT$510,3,)=0,0,(VLOOKUP($D313,$C$5:$AT$510,29,)/VLOOKUP($D313,$C$5:$AT$510,3,))*$E313)</f>
        <v>0</v>
      </c>
      <c r="AF313" s="45">
        <f>IF(VLOOKUP($D313,$C$5:$AT$510,3,)=0,0,(VLOOKUP($D313,$C$5:$AT$510,30,)/VLOOKUP($D313,$C$5:$AT$510,3,))*$E313)</f>
        <v>0</v>
      </c>
      <c r="AG313" s="69">
        <f t="shared" ref="AG313:AG314" si="65">SUM(F313:AF313)</f>
        <v>60684787.910000004</v>
      </c>
      <c r="AH313" s="14" t="str">
        <f t="shared" ref="AH313:AH314" si="66">IF(ABS(E313-AG313)&lt;0.01,"ok","err")</f>
        <v>ok</v>
      </c>
      <c r="AJ313" s="55"/>
      <c r="AK313" s="55"/>
      <c r="AL313" s="55"/>
      <c r="AM313" s="55"/>
      <c r="AN313" s="55"/>
    </row>
    <row r="314" spans="1:40" x14ac:dyDescent="0.2">
      <c r="A314" s="2" t="s">
        <v>736</v>
      </c>
      <c r="D314" s="2" t="s">
        <v>720</v>
      </c>
      <c r="E314" s="45">
        <v>1459768.3599999999</v>
      </c>
      <c r="F314" s="45">
        <f>IF(VLOOKUP($D314,$C$5:$AT$510,3,)=0,0,(VLOOKUP($D314,$C$5:$AT$510,4,)/VLOOKUP($D314,$C$5:$AT$510,3,))*$E314)</f>
        <v>1272407.3929801018</v>
      </c>
      <c r="G314" s="45">
        <f>IF(VLOOKUP($D314,$C$5:$AT$510,3,)=0,0,(VLOOKUP($D314,$C$5:$AT$510,5,)/VLOOKUP($D314,$C$5:$AT$510,3,))*$E314)</f>
        <v>0</v>
      </c>
      <c r="H314" s="45">
        <f>IF(VLOOKUP($D314,$C$5:$AT$510,3,)=0,0,(VLOOKUP($D314,$C$5:$AT$510,6,)/VLOOKUP($D314,$C$5:$AT$510,3,))*$E314)</f>
        <v>51.778603116305923</v>
      </c>
      <c r="I314" s="45">
        <f>IF(VLOOKUP($D314,$C$5:$AT$510,3,)=0,0,(VLOOKUP($D314,$C$5:$AT$510,7,)/VLOOKUP($D314,$C$5:$AT$510,3,))*$E314)</f>
        <v>128097.58811821694</v>
      </c>
      <c r="J314" s="45">
        <f>IF(VLOOKUP($D314,$C$5:$AT$510,3,)=0,0,(VLOOKUP($D314,$C$5:$AT$510,8,)/VLOOKUP($D314,$C$5:$AT$510,3,))*$E314)</f>
        <v>42710.694249560802</v>
      </c>
      <c r="K314" s="45">
        <f>IF(VLOOKUP($D314,$C$5:$AT$510,3,)=0,0,(VLOOKUP($D314,$C$5:$AT$510,9,)/VLOOKUP($D314,$C$5:$AT$510,3,))*$E314)</f>
        <v>299.08787456703715</v>
      </c>
      <c r="L314" s="45">
        <f>IF(VLOOKUP($D314,$C$5:$AT$510,3,)=0,0,(VLOOKUP($D314,$C$5:$AT$510,10,)/VLOOKUP($D314,$C$5:$AT$510,3,))*$E314)</f>
        <v>0</v>
      </c>
      <c r="M314" s="45">
        <f>IF(VLOOKUP($D314,$C$5:$AT$510,3,)=0,0,(VLOOKUP($D314,$C$5:$AT$510,11,)/VLOOKUP($D314,$C$5:$AT$510,3,))*$E314)</f>
        <v>634.94313952391838</v>
      </c>
      <c r="N314" s="45">
        <f>IF(VLOOKUP($D314,$C$5:$AT$510,3,)=0,0,(VLOOKUP($D314,$C$5:$AT$510,12,)/VLOOKUP($D314,$C$5:$AT$510,3,))*$E314)</f>
        <v>6002.5972335507386</v>
      </c>
      <c r="O314" s="45">
        <f>IF(VLOOKUP($D314,$C$5:$AT$510,3,)=0,0,(VLOOKUP($D314,$C$5:$AT$510,13,)/VLOOKUP($D314,$C$5:$AT$510,3,))*$E314)</f>
        <v>1077.0590953009</v>
      </c>
      <c r="P314" s="45">
        <f>IF(VLOOKUP($D314,$C$5:$AT$510,3,)=0,0,(VLOOKUP($D314,$C$5:$AT$510,14,)/VLOOKUP($D314,$C$5:$AT$510,3,))*$E314)</f>
        <v>855.21756509976422</v>
      </c>
      <c r="Q314" s="45">
        <f>IF(VLOOKUP($D314,$C$5:$AT$510,3,)=0,0,(VLOOKUP($D314,$C$5:$AT$510,15,)/VLOOKUP($D314,$C$5:$AT$510,3,))*$E314)</f>
        <v>4400.3564729779555</v>
      </c>
      <c r="R314" s="45">
        <f>IF(VLOOKUP($D314,$C$5:$AT$510,3,)=0,0,(VLOOKUP($D314,$C$5:$AT$510,16,)/VLOOKUP($D314,$C$5:$AT$510,3,))*$E314)</f>
        <v>0</v>
      </c>
      <c r="S314" s="45">
        <f>IF(VLOOKUP($D314,$C$5:$AT$510,3,)=0,0,(VLOOKUP($D314,$C$5:$AT$510,17,)/VLOOKUP($D314,$C$5:$AT$510,3,))*$E314)</f>
        <v>0</v>
      </c>
      <c r="T314" s="45">
        <f>IF(VLOOKUP($D314,$C$5:$AT$510,3,)=0,0,(VLOOKUP($D314,$C$5:$AT$510,18,)/VLOOKUP($D314,$C$5:$AT$510,3,))*$E314)</f>
        <v>3231.6446679839269</v>
      </c>
      <c r="U314" s="45">
        <f>IF(VLOOKUP($D314,$C$5:$AT$510,3,)=0,0,(VLOOKUP($D314,$C$5:$AT$510,19,)/VLOOKUP($D314,$C$5:$AT$510,3,))*$E314)</f>
        <v>0</v>
      </c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69">
        <f t="shared" si="65"/>
        <v>1459768.36</v>
      </c>
      <c r="AH314" s="14" t="str">
        <f t="shared" si="66"/>
        <v>ok</v>
      </c>
      <c r="AJ314" s="55"/>
      <c r="AK314" s="55"/>
      <c r="AL314" s="55"/>
      <c r="AM314" s="55"/>
      <c r="AN314" s="55"/>
    </row>
    <row r="315" spans="1:40" x14ac:dyDescent="0.2">
      <c r="AG315" s="69"/>
    </row>
    <row r="316" spans="1:40" x14ac:dyDescent="0.2">
      <c r="A316" s="2" t="s">
        <v>325</v>
      </c>
      <c r="C316" s="2" t="s">
        <v>326</v>
      </c>
      <c r="E316" s="69">
        <f t="shared" ref="E316:AF316" si="67">SUM(E313:E315)</f>
        <v>62144556.270000003</v>
      </c>
      <c r="F316" s="69">
        <f t="shared" si="67"/>
        <v>41662177.112980098</v>
      </c>
      <c r="G316" s="69">
        <f t="shared" si="67"/>
        <v>0</v>
      </c>
      <c r="H316" s="69">
        <f t="shared" si="67"/>
        <v>1448.5686031163059</v>
      </c>
      <c r="I316" s="69">
        <f t="shared" si="67"/>
        <v>4444063.1481182165</v>
      </c>
      <c r="J316" s="69">
        <f t="shared" si="67"/>
        <v>6641101.1942495601</v>
      </c>
      <c r="K316" s="69">
        <f t="shared" si="67"/>
        <v>18736.157874567038</v>
      </c>
      <c r="L316" s="69">
        <f t="shared" si="67"/>
        <v>0</v>
      </c>
      <c r="M316" s="69">
        <f t="shared" si="67"/>
        <v>2462774.9931395235</v>
      </c>
      <c r="N316" s="69">
        <f t="shared" si="67"/>
        <v>3036686.0972335506</v>
      </c>
      <c r="O316" s="69">
        <f t="shared" si="67"/>
        <v>804495.09909530089</v>
      </c>
      <c r="P316" s="69">
        <f t="shared" si="67"/>
        <v>118864.39756509975</v>
      </c>
      <c r="Q316" s="69">
        <f t="shared" si="67"/>
        <v>129882.44647297794</v>
      </c>
      <c r="R316" s="69">
        <f t="shared" si="67"/>
        <v>1570110.42</v>
      </c>
      <c r="S316" s="69">
        <f t="shared" si="67"/>
        <v>0</v>
      </c>
      <c r="T316" s="69">
        <f t="shared" si="67"/>
        <v>74145.134667983919</v>
      </c>
      <c r="U316" s="69">
        <f t="shared" si="67"/>
        <v>1180071.5</v>
      </c>
      <c r="V316" s="69">
        <f t="shared" si="67"/>
        <v>0</v>
      </c>
      <c r="W316" s="69">
        <f t="shared" si="67"/>
        <v>0</v>
      </c>
      <c r="X316" s="69">
        <f t="shared" si="67"/>
        <v>0</v>
      </c>
      <c r="Y316" s="69">
        <f t="shared" si="67"/>
        <v>0</v>
      </c>
      <c r="Z316" s="69">
        <f t="shared" si="67"/>
        <v>0</v>
      </c>
      <c r="AA316" s="69">
        <f t="shared" si="67"/>
        <v>0</v>
      </c>
      <c r="AB316" s="69">
        <f t="shared" si="67"/>
        <v>0</v>
      </c>
      <c r="AC316" s="69">
        <f t="shared" si="67"/>
        <v>0</v>
      </c>
      <c r="AD316" s="69">
        <f t="shared" si="67"/>
        <v>0</v>
      </c>
      <c r="AE316" s="69">
        <f t="shared" si="67"/>
        <v>0</v>
      </c>
      <c r="AF316" s="69">
        <f t="shared" si="67"/>
        <v>0</v>
      </c>
      <c r="AG316" s="69">
        <f>SUM(F316:AF316)</f>
        <v>62144556.269999988</v>
      </c>
      <c r="AH316" s="14" t="str">
        <f>IF(ABS(E316-AG316)&lt;0.01,"ok","err")</f>
        <v>ok</v>
      </c>
    </row>
    <row r="318" spans="1:40" x14ac:dyDescent="0.2">
      <c r="A318" s="1" t="s">
        <v>327</v>
      </c>
      <c r="AJ318" s="124"/>
      <c r="AK318" s="66"/>
      <c r="AL318" s="66"/>
      <c r="AM318" s="66"/>
      <c r="AN318" s="66"/>
    </row>
    <row r="319" spans="1:40" x14ac:dyDescent="0.2">
      <c r="A319" s="72" t="s">
        <v>328</v>
      </c>
      <c r="E319" s="69">
        <f t="shared" ref="E319:AF319" si="68">E155</f>
        <v>52570512.419999994</v>
      </c>
      <c r="F319" s="69">
        <f t="shared" si="68"/>
        <v>36861735.402011752</v>
      </c>
      <c r="G319" s="69">
        <f t="shared" si="68"/>
        <v>0</v>
      </c>
      <c r="H319" s="69">
        <f t="shared" si="68"/>
        <v>1197.38041418231</v>
      </c>
      <c r="I319" s="69">
        <f t="shared" si="68"/>
        <v>3644997.6769528347</v>
      </c>
      <c r="J319" s="69">
        <f t="shared" si="68"/>
        <v>4963747.2688207356</v>
      </c>
      <c r="K319" s="69">
        <f t="shared" si="68"/>
        <v>22018.991227891496</v>
      </c>
      <c r="L319" s="69">
        <f t="shared" si="68"/>
        <v>0</v>
      </c>
      <c r="M319" s="69">
        <f t="shared" si="68"/>
        <v>2026038.0356788959</v>
      </c>
      <c r="N319" s="69">
        <f t="shared" si="68"/>
        <v>2602552.4071613657</v>
      </c>
      <c r="O319" s="69">
        <f t="shared" si="68"/>
        <v>670159.20024275524</v>
      </c>
      <c r="P319" s="69">
        <f t="shared" si="68"/>
        <v>69062.135825260673</v>
      </c>
      <c r="Q319" s="69">
        <f t="shared" si="68"/>
        <v>174260.90931828509</v>
      </c>
      <c r="R319" s="69">
        <f t="shared" si="68"/>
        <v>1369583.7934651342</v>
      </c>
      <c r="S319" s="69">
        <f t="shared" si="68"/>
        <v>0</v>
      </c>
      <c r="T319" s="69">
        <f t="shared" si="68"/>
        <v>49719.337975927854</v>
      </c>
      <c r="U319" s="69">
        <f t="shared" si="68"/>
        <v>115439.88090498385</v>
      </c>
      <c r="V319" s="69">
        <f t="shared" si="68"/>
        <v>0</v>
      </c>
      <c r="W319" s="69">
        <f t="shared" si="68"/>
        <v>0</v>
      </c>
      <c r="X319" s="69">
        <f t="shared" si="68"/>
        <v>0</v>
      </c>
      <c r="Y319" s="69">
        <f t="shared" si="68"/>
        <v>0</v>
      </c>
      <c r="Z319" s="69">
        <f t="shared" si="68"/>
        <v>0</v>
      </c>
      <c r="AA319" s="69">
        <f t="shared" si="68"/>
        <v>0</v>
      </c>
      <c r="AB319" s="69">
        <f t="shared" si="68"/>
        <v>0</v>
      </c>
      <c r="AC319" s="69">
        <f t="shared" si="68"/>
        <v>0</v>
      </c>
      <c r="AD319" s="69">
        <f t="shared" si="68"/>
        <v>0</v>
      </c>
      <c r="AE319" s="69">
        <f t="shared" si="68"/>
        <v>0</v>
      </c>
      <c r="AF319" s="69">
        <f t="shared" si="68"/>
        <v>0</v>
      </c>
      <c r="AG319" s="69">
        <f>SUM(F319:AF319)</f>
        <v>52570512.420000002</v>
      </c>
      <c r="AH319" s="14" t="str">
        <f>IF(ABS(E319-AG319)&lt;0.01,"ok","err")</f>
        <v>ok</v>
      </c>
      <c r="AJ319" s="55"/>
      <c r="AK319" s="55"/>
      <c r="AL319" s="55"/>
      <c r="AM319" s="55"/>
      <c r="AN319" s="55"/>
    </row>
    <row r="320" spans="1:40" x14ac:dyDescent="0.2">
      <c r="A320" s="72" t="s">
        <v>329</v>
      </c>
      <c r="E320" s="32">
        <f t="shared" ref="E320:AF320" si="69">E231</f>
        <v>4080703.1700000009</v>
      </c>
      <c r="F320" s="32">
        <f t="shared" si="69"/>
        <v>3327629.8150867447</v>
      </c>
      <c r="G320" s="32">
        <f t="shared" si="69"/>
        <v>0</v>
      </c>
      <c r="H320" s="32">
        <f t="shared" si="69"/>
        <v>127.26805560964435</v>
      </c>
      <c r="I320" s="32">
        <f t="shared" si="69"/>
        <v>275227.25663055258</v>
      </c>
      <c r="J320" s="32">
        <f t="shared" si="69"/>
        <v>154516.96230557057</v>
      </c>
      <c r="K320" s="32">
        <f t="shared" si="69"/>
        <v>2325.1389956245489</v>
      </c>
      <c r="L320" s="32">
        <f t="shared" si="69"/>
        <v>0</v>
      </c>
      <c r="M320" s="32">
        <f t="shared" si="69"/>
        <v>45325.529957047169</v>
      </c>
      <c r="N320" s="32">
        <f t="shared" si="69"/>
        <v>49878.90825595901</v>
      </c>
      <c r="O320" s="32">
        <f t="shared" si="69"/>
        <v>12509.938834278948</v>
      </c>
      <c r="P320" s="32">
        <f t="shared" si="69"/>
        <v>3938.7876978361237</v>
      </c>
      <c r="Q320" s="32">
        <f t="shared" si="69"/>
        <v>13510.349117680231</v>
      </c>
      <c r="R320" s="32">
        <f t="shared" si="69"/>
        <v>28295.335932680166</v>
      </c>
      <c r="S320" s="32">
        <f t="shared" si="69"/>
        <v>0</v>
      </c>
      <c r="T320" s="32">
        <f t="shared" si="69"/>
        <v>3130.574039344966</v>
      </c>
      <c r="U320" s="32">
        <f t="shared" si="69"/>
        <v>164287.30509107132</v>
      </c>
      <c r="V320" s="32">
        <f t="shared" si="69"/>
        <v>0</v>
      </c>
      <c r="W320" s="32">
        <f t="shared" si="69"/>
        <v>0</v>
      </c>
      <c r="X320" s="32">
        <f t="shared" si="69"/>
        <v>0</v>
      </c>
      <c r="Y320" s="32">
        <f t="shared" si="69"/>
        <v>0</v>
      </c>
      <c r="Z320" s="32">
        <f t="shared" si="69"/>
        <v>0</v>
      </c>
      <c r="AA320" s="32">
        <f t="shared" si="69"/>
        <v>0</v>
      </c>
      <c r="AB320" s="32">
        <f t="shared" si="69"/>
        <v>0</v>
      </c>
      <c r="AC320" s="32">
        <f t="shared" si="69"/>
        <v>0</v>
      </c>
      <c r="AD320" s="32">
        <f t="shared" si="69"/>
        <v>0</v>
      </c>
      <c r="AE320" s="32">
        <f t="shared" si="69"/>
        <v>0</v>
      </c>
      <c r="AF320" s="32">
        <f t="shared" si="69"/>
        <v>0</v>
      </c>
      <c r="AG320" s="69">
        <f>SUM(F320:AF320)</f>
        <v>4080703.17</v>
      </c>
      <c r="AH320" s="14" t="str">
        <f>IF(ABS(E320-AG320)&lt;0.01,"ok","err")</f>
        <v>ok</v>
      </c>
      <c r="AJ320" s="55"/>
      <c r="AK320" s="55"/>
      <c r="AL320" s="55"/>
      <c r="AM320" s="55"/>
      <c r="AN320" s="55"/>
    </row>
    <row r="321" spans="1:40" x14ac:dyDescent="0.2">
      <c r="A321" s="72" t="s">
        <v>330</v>
      </c>
      <c r="D321" s="2" t="s">
        <v>248</v>
      </c>
      <c r="E321" s="32">
        <f t="shared" ref="E321:AF321" si="70">E269</f>
        <v>849647</v>
      </c>
      <c r="F321" s="32">
        <f t="shared" si="70"/>
        <v>691193.24952469696</v>
      </c>
      <c r="G321" s="32">
        <f t="shared" si="70"/>
        <v>0</v>
      </c>
      <c r="H321" s="32">
        <f t="shared" si="70"/>
        <v>26.234389832227652</v>
      </c>
      <c r="I321" s="32">
        <f t="shared" si="70"/>
        <v>57241.579321055302</v>
      </c>
      <c r="J321" s="32">
        <f t="shared" si="70"/>
        <v>33094.39950533965</v>
      </c>
      <c r="K321" s="32">
        <f t="shared" si="70"/>
        <v>475.74559988183222</v>
      </c>
      <c r="L321" s="32">
        <f t="shared" si="70"/>
        <v>0</v>
      </c>
      <c r="M321" s="32">
        <f t="shared" si="70"/>
        <v>9713.5254587192594</v>
      </c>
      <c r="N321" s="32">
        <f t="shared" si="70"/>
        <v>11236.173430919987</v>
      </c>
      <c r="O321" s="32">
        <f t="shared" si="70"/>
        <v>2689.5307869528706</v>
      </c>
      <c r="P321" s="32">
        <f t="shared" si="70"/>
        <v>819.31891617167378</v>
      </c>
      <c r="Q321" s="32">
        <f t="shared" si="70"/>
        <v>2807.1674815852048</v>
      </c>
      <c r="R321" s="32">
        <f t="shared" si="70"/>
        <v>6077.8426585941115</v>
      </c>
      <c r="S321" s="32">
        <f t="shared" si="70"/>
        <v>0</v>
      </c>
      <c r="T321" s="32">
        <f t="shared" si="70"/>
        <v>650.22626835720962</v>
      </c>
      <c r="U321" s="32">
        <f t="shared" si="70"/>
        <v>33622.006657893689</v>
      </c>
      <c r="V321" s="32">
        <f t="shared" si="70"/>
        <v>0</v>
      </c>
      <c r="W321" s="32">
        <f t="shared" si="70"/>
        <v>0</v>
      </c>
      <c r="X321" s="32">
        <f t="shared" si="70"/>
        <v>0</v>
      </c>
      <c r="Y321" s="32">
        <f t="shared" si="70"/>
        <v>0</v>
      </c>
      <c r="Z321" s="32">
        <f t="shared" si="70"/>
        <v>0</v>
      </c>
      <c r="AA321" s="32">
        <f t="shared" si="70"/>
        <v>0</v>
      </c>
      <c r="AB321" s="32">
        <f t="shared" si="70"/>
        <v>0</v>
      </c>
      <c r="AC321" s="32">
        <f t="shared" si="70"/>
        <v>0</v>
      </c>
      <c r="AD321" s="32">
        <f t="shared" si="70"/>
        <v>0</v>
      </c>
      <c r="AE321" s="32">
        <f t="shared" si="70"/>
        <v>0</v>
      </c>
      <c r="AF321" s="32">
        <f t="shared" si="70"/>
        <v>0</v>
      </c>
      <c r="AG321" s="69">
        <f>SUM(F321:AF321)</f>
        <v>849647</v>
      </c>
      <c r="AH321" s="14" t="str">
        <f>IF(ABS(E321-AG321)&lt;0.01,"ok","err")</f>
        <v>ok</v>
      </c>
      <c r="AJ321" s="55"/>
      <c r="AK321" s="55"/>
      <c r="AL321" s="55"/>
      <c r="AM321" s="55"/>
      <c r="AN321" s="55"/>
    </row>
    <row r="322" spans="1:40" x14ac:dyDescent="0.2">
      <c r="A322" s="72" t="s">
        <v>331</v>
      </c>
      <c r="E322" s="32">
        <f t="shared" ref="E322:AF322" si="71">E307</f>
        <v>52771</v>
      </c>
      <c r="F322" s="32">
        <f t="shared" si="71"/>
        <v>42929.544823518212</v>
      </c>
      <c r="G322" s="32">
        <f t="shared" si="71"/>
        <v>0</v>
      </c>
      <c r="H322" s="32">
        <f t="shared" si="71"/>
        <v>1.6294001930642792</v>
      </c>
      <c r="I322" s="32">
        <f t="shared" si="71"/>
        <v>3555.235741845036</v>
      </c>
      <c r="J322" s="32">
        <f t="shared" si="71"/>
        <v>2055.4707499659016</v>
      </c>
      <c r="K322" s="32">
        <f t="shared" si="71"/>
        <v>29.548237151857379</v>
      </c>
      <c r="L322" s="32">
        <f t="shared" si="71"/>
        <v>0</v>
      </c>
      <c r="M322" s="32">
        <f t="shared" si="71"/>
        <v>603.30049065326432</v>
      </c>
      <c r="N322" s="32">
        <f t="shared" si="71"/>
        <v>697.87112544748436</v>
      </c>
      <c r="O322" s="32">
        <f t="shared" si="71"/>
        <v>167.04493649514441</v>
      </c>
      <c r="P322" s="32">
        <f t="shared" si="71"/>
        <v>50.887343244071246</v>
      </c>
      <c r="Q322" s="32">
        <f t="shared" si="71"/>
        <v>174.35127196439561</v>
      </c>
      <c r="R322" s="32">
        <f t="shared" si="71"/>
        <v>377.49069311922466</v>
      </c>
      <c r="S322" s="32">
        <f t="shared" si="71"/>
        <v>0</v>
      </c>
      <c r="T322" s="32">
        <f t="shared" si="71"/>
        <v>40.385113355874047</v>
      </c>
      <c r="U322" s="32">
        <f t="shared" si="71"/>
        <v>2088.2400730464628</v>
      </c>
      <c r="V322" s="32">
        <f t="shared" si="71"/>
        <v>0</v>
      </c>
      <c r="W322" s="32">
        <f t="shared" si="71"/>
        <v>0</v>
      </c>
      <c r="X322" s="32">
        <f t="shared" si="71"/>
        <v>0</v>
      </c>
      <c r="Y322" s="32">
        <f t="shared" si="71"/>
        <v>0</v>
      </c>
      <c r="Z322" s="32">
        <f t="shared" si="71"/>
        <v>0</v>
      </c>
      <c r="AA322" s="32">
        <f t="shared" si="71"/>
        <v>0</v>
      </c>
      <c r="AB322" s="32">
        <f t="shared" si="71"/>
        <v>0</v>
      </c>
      <c r="AC322" s="32">
        <f t="shared" si="71"/>
        <v>0</v>
      </c>
      <c r="AD322" s="32">
        <f t="shared" si="71"/>
        <v>0</v>
      </c>
      <c r="AE322" s="32">
        <f t="shared" si="71"/>
        <v>0</v>
      </c>
      <c r="AF322" s="32">
        <f t="shared" si="71"/>
        <v>0</v>
      </c>
      <c r="AG322" s="69">
        <f>SUM(F322:AF322)</f>
        <v>52771</v>
      </c>
      <c r="AH322" s="14" t="str">
        <f>IF(ABS(E322-AG322)&lt;0.01,"ok","err")</f>
        <v>ok</v>
      </c>
      <c r="AJ322" s="55"/>
      <c r="AK322" s="55"/>
      <c r="AL322" s="55"/>
      <c r="AM322" s="55"/>
      <c r="AN322" s="55"/>
    </row>
    <row r="323" spans="1:40" x14ac:dyDescent="0.2">
      <c r="A323" s="72"/>
      <c r="AG323" s="69"/>
      <c r="AH323" s="14"/>
      <c r="AJ323" s="55"/>
      <c r="AK323" s="55"/>
      <c r="AL323" s="55"/>
      <c r="AM323" s="55"/>
      <c r="AN323" s="55"/>
    </row>
    <row r="324" spans="1:40" x14ac:dyDescent="0.2">
      <c r="A324" s="2" t="s">
        <v>332</v>
      </c>
      <c r="C324" s="2" t="s">
        <v>198</v>
      </c>
      <c r="E324" s="69">
        <f t="shared" ref="E324:T324" si="72">SUM(E319:E323)</f>
        <v>57553633.589999996</v>
      </c>
      <c r="F324" s="69">
        <f t="shared" si="72"/>
        <v>40923488.011446714</v>
      </c>
      <c r="G324" s="69">
        <f t="shared" si="72"/>
        <v>0</v>
      </c>
      <c r="H324" s="69">
        <f t="shared" si="72"/>
        <v>1352.5122598172463</v>
      </c>
      <c r="I324" s="69">
        <f t="shared" si="72"/>
        <v>3981021.7486462872</v>
      </c>
      <c r="J324" s="69">
        <f t="shared" si="72"/>
        <v>5153414.101381612</v>
      </c>
      <c r="K324" s="69">
        <f t="shared" si="72"/>
        <v>24849.424060549733</v>
      </c>
      <c r="L324" s="69">
        <f t="shared" si="72"/>
        <v>0</v>
      </c>
      <c r="M324" s="69">
        <f t="shared" si="72"/>
        <v>2081680.3915853158</v>
      </c>
      <c r="N324" s="69">
        <f t="shared" si="72"/>
        <v>2664365.3599736923</v>
      </c>
      <c r="O324" s="69">
        <f t="shared" si="72"/>
        <v>685525.71480048215</v>
      </c>
      <c r="P324" s="69">
        <f t="shared" si="72"/>
        <v>73871.129782512551</v>
      </c>
      <c r="Q324" s="69">
        <f t="shared" si="72"/>
        <v>190752.77718951492</v>
      </c>
      <c r="R324" s="69">
        <f t="shared" si="72"/>
        <v>1404334.4627495275</v>
      </c>
      <c r="S324" s="69">
        <f t="shared" si="72"/>
        <v>0</v>
      </c>
      <c r="T324" s="69">
        <f t="shared" si="72"/>
        <v>53540.523396985904</v>
      </c>
      <c r="U324" s="69">
        <f t="shared" ref="U324:AF324" si="73">SUM(U319:U323)</f>
        <v>315437.43272699532</v>
      </c>
      <c r="V324" s="69">
        <f t="shared" si="73"/>
        <v>0</v>
      </c>
      <c r="W324" s="69">
        <f t="shared" si="73"/>
        <v>0</v>
      </c>
      <c r="X324" s="69">
        <f t="shared" si="73"/>
        <v>0</v>
      </c>
      <c r="Y324" s="69">
        <f t="shared" si="73"/>
        <v>0</v>
      </c>
      <c r="Z324" s="69">
        <f t="shared" si="73"/>
        <v>0</v>
      </c>
      <c r="AA324" s="69">
        <f t="shared" si="73"/>
        <v>0</v>
      </c>
      <c r="AB324" s="69">
        <f t="shared" si="73"/>
        <v>0</v>
      </c>
      <c r="AC324" s="69">
        <f t="shared" si="73"/>
        <v>0</v>
      </c>
      <c r="AD324" s="69">
        <f t="shared" si="73"/>
        <v>0</v>
      </c>
      <c r="AE324" s="69">
        <f t="shared" si="73"/>
        <v>0</v>
      </c>
      <c r="AF324" s="69">
        <f t="shared" si="73"/>
        <v>0</v>
      </c>
      <c r="AG324" s="69">
        <f>SUM(F324:AF324)</f>
        <v>57553633.590000011</v>
      </c>
      <c r="AH324" s="14" t="str">
        <f>IF(ABS(E324-AG324)&lt;0.01,"ok","err")</f>
        <v>ok</v>
      </c>
      <c r="AJ324" s="55"/>
      <c r="AK324" s="55"/>
      <c r="AL324" s="55"/>
      <c r="AM324" s="55"/>
      <c r="AN324" s="55"/>
    </row>
    <row r="325" spans="1:40" x14ac:dyDescent="0.2">
      <c r="A325" s="72"/>
    </row>
    <row r="326" spans="1:40" x14ac:dyDescent="0.2">
      <c r="A326" s="2" t="s">
        <v>333</v>
      </c>
      <c r="C326" s="2" t="s">
        <v>182</v>
      </c>
      <c r="E326" s="69">
        <f>E316-E324</f>
        <v>4590922.6800000072</v>
      </c>
      <c r="F326" s="69">
        <f t="shared" ref="F326:R326" si="74">F316-F324</f>
        <v>738689.10153338313</v>
      </c>
      <c r="G326" s="69">
        <f t="shared" si="74"/>
        <v>0</v>
      </c>
      <c r="H326" s="69">
        <f t="shared" si="74"/>
        <v>96.056343299059563</v>
      </c>
      <c r="I326" s="69">
        <f t="shared" si="74"/>
        <v>463041.3994719293</v>
      </c>
      <c r="J326" s="69">
        <f t="shared" si="74"/>
        <v>1487687.0928679481</v>
      </c>
      <c r="K326" s="69">
        <f t="shared" si="74"/>
        <v>-6113.2661859826949</v>
      </c>
      <c r="L326" s="69">
        <f t="shared" si="74"/>
        <v>0</v>
      </c>
      <c r="M326" s="69">
        <f t="shared" si="74"/>
        <v>381094.60155420774</v>
      </c>
      <c r="N326" s="69">
        <f t="shared" si="74"/>
        <v>372320.73725985829</v>
      </c>
      <c r="O326" s="69">
        <f t="shared" si="74"/>
        <v>118969.38429481874</v>
      </c>
      <c r="P326" s="69">
        <f t="shared" si="74"/>
        <v>44993.267782587194</v>
      </c>
      <c r="Q326" s="69">
        <f>Q316-Q324</f>
        <v>-60870.330716536977</v>
      </c>
      <c r="R326" s="69">
        <f t="shared" si="74"/>
        <v>165775.95725047239</v>
      </c>
      <c r="S326" s="69">
        <f>S316-S324</f>
        <v>0</v>
      </c>
      <c r="T326" s="69">
        <f>T316-T324</f>
        <v>20604.611270998015</v>
      </c>
      <c r="U326" s="69">
        <f t="shared" ref="U326:AF326" si="75">U316-U324</f>
        <v>864634.06727300468</v>
      </c>
      <c r="V326" s="69">
        <f t="shared" si="75"/>
        <v>0</v>
      </c>
      <c r="W326" s="69">
        <f t="shared" si="75"/>
        <v>0</v>
      </c>
      <c r="X326" s="69">
        <f t="shared" si="75"/>
        <v>0</v>
      </c>
      <c r="Y326" s="69">
        <f t="shared" si="75"/>
        <v>0</v>
      </c>
      <c r="Z326" s="69">
        <f t="shared" si="75"/>
        <v>0</v>
      </c>
      <c r="AA326" s="69">
        <f t="shared" si="75"/>
        <v>0</v>
      </c>
      <c r="AB326" s="69">
        <f t="shared" si="75"/>
        <v>0</v>
      </c>
      <c r="AC326" s="69">
        <f t="shared" si="75"/>
        <v>0</v>
      </c>
      <c r="AD326" s="69">
        <f t="shared" si="75"/>
        <v>0</v>
      </c>
      <c r="AE326" s="69">
        <f t="shared" si="75"/>
        <v>0</v>
      </c>
      <c r="AF326" s="69">
        <f t="shared" si="75"/>
        <v>0</v>
      </c>
      <c r="AG326" s="69">
        <f>SUM(F326:AF326)</f>
        <v>4590922.6799999876</v>
      </c>
      <c r="AH326" s="14" t="str">
        <f>IF(ABS(E326-AG326)&lt;0.01,"ok","err")</f>
        <v>ok</v>
      </c>
    </row>
    <row r="328" spans="1:40" x14ac:dyDescent="0.2">
      <c r="A328" s="1" t="s">
        <v>249</v>
      </c>
      <c r="E328" s="69">
        <f t="shared" ref="E328:AF328" si="76">E117</f>
        <v>88072123.171730757</v>
      </c>
      <c r="F328" s="69">
        <f t="shared" si="76"/>
        <v>71692826.027843475</v>
      </c>
      <c r="G328" s="69">
        <f t="shared" si="76"/>
        <v>0</v>
      </c>
      <c r="H328" s="69">
        <f t="shared" si="76"/>
        <v>2721.5343263268774</v>
      </c>
      <c r="I328" s="69">
        <f t="shared" si="76"/>
        <v>5934328.0940072583</v>
      </c>
      <c r="J328" s="69">
        <f t="shared" si="76"/>
        <v>3426180.3692337996</v>
      </c>
      <c r="K328" s="69">
        <f t="shared" si="76"/>
        <v>49260.188867195116</v>
      </c>
      <c r="L328" s="69">
        <f t="shared" si="76"/>
        <v>0</v>
      </c>
      <c r="M328" s="69">
        <f t="shared" si="76"/>
        <v>1006335.0956305987</v>
      </c>
      <c r="N328" s="69">
        <f t="shared" si="76"/>
        <v>1163045.8832072474</v>
      </c>
      <c r="O328" s="69">
        <f t="shared" si="76"/>
        <v>278570.64051221864</v>
      </c>
      <c r="P328" s="69">
        <f t="shared" si="76"/>
        <v>84857.901447562879</v>
      </c>
      <c r="Q328" s="69">
        <f t="shared" si="76"/>
        <v>291115.74032693595</v>
      </c>
      <c r="R328" s="69">
        <f t="shared" si="76"/>
        <v>629717.63438720745</v>
      </c>
      <c r="S328" s="69">
        <f t="shared" si="76"/>
        <v>0</v>
      </c>
      <c r="T328" s="69">
        <f t="shared" si="76"/>
        <v>67182.49413946901</v>
      </c>
      <c r="U328" s="69">
        <f t="shared" si="76"/>
        <v>3445981.5678014602</v>
      </c>
      <c r="V328" s="69">
        <f t="shared" si="76"/>
        <v>0</v>
      </c>
      <c r="W328" s="69">
        <f t="shared" si="76"/>
        <v>0</v>
      </c>
      <c r="X328" s="69">
        <f t="shared" si="76"/>
        <v>0</v>
      </c>
      <c r="Y328" s="69">
        <f t="shared" si="76"/>
        <v>0</v>
      </c>
      <c r="Z328" s="69">
        <f t="shared" si="76"/>
        <v>0</v>
      </c>
      <c r="AA328" s="69">
        <f t="shared" si="76"/>
        <v>0</v>
      </c>
      <c r="AB328" s="69">
        <f t="shared" si="76"/>
        <v>0</v>
      </c>
      <c r="AC328" s="69">
        <f t="shared" si="76"/>
        <v>0</v>
      </c>
      <c r="AD328" s="69">
        <f t="shared" si="76"/>
        <v>0</v>
      </c>
      <c r="AE328" s="69">
        <f t="shared" si="76"/>
        <v>0</v>
      </c>
      <c r="AF328" s="69">
        <f t="shared" si="76"/>
        <v>0</v>
      </c>
      <c r="AG328" s="69">
        <f>SUM(F328:AF328)</f>
        <v>88072123.171730757</v>
      </c>
      <c r="AH328" s="14" t="str">
        <f>IF(ABS(E328-AG328)&lt;0.01,"ok","err")</f>
        <v>ok</v>
      </c>
    </row>
    <row r="329" spans="1:40" ht="13.5" thickBot="1" x14ac:dyDescent="0.25"/>
    <row r="330" spans="1:40" s="1" customFormat="1" ht="13.5" thickBot="1" x14ac:dyDescent="0.25">
      <c r="A330" s="163" t="s">
        <v>334</v>
      </c>
      <c r="B330" s="164"/>
      <c r="C330" s="164"/>
      <c r="D330" s="164"/>
      <c r="E330" s="79">
        <f>IF(E328=0,"NA",E326/E328)</f>
        <v>5.2126853704301222E-2</v>
      </c>
      <c r="F330" s="79">
        <f t="shared" ref="F330:AG330" si="77">IF(F328=0,"NA",F326/F328)</f>
        <v>1.0303528853033315E-2</v>
      </c>
      <c r="G330" s="79" t="str">
        <f t="shared" si="77"/>
        <v>NA</v>
      </c>
      <c r="H330" s="79">
        <f t="shared" si="77"/>
        <v>3.5294922562561296E-2</v>
      </c>
      <c r="I330" s="79">
        <f t="shared" si="77"/>
        <v>7.8027603485477756E-2</v>
      </c>
      <c r="J330" s="79">
        <f t="shared" si="77"/>
        <v>0.43421155121516303</v>
      </c>
      <c r="K330" s="79">
        <f t="shared" si="77"/>
        <v>-0.12410155800384745</v>
      </c>
      <c r="L330" s="79" t="str">
        <f t="shared" si="77"/>
        <v>NA</v>
      </c>
      <c r="M330" s="79">
        <f t="shared" si="77"/>
        <v>0.37869552916208576</v>
      </c>
      <c r="N330" s="79">
        <f t="shared" si="77"/>
        <v>0.32012557942523845</v>
      </c>
      <c r="O330" s="79">
        <f t="shared" si="77"/>
        <v>0.4270707928016575</v>
      </c>
      <c r="P330" s="79">
        <f t="shared" si="77"/>
        <v>0.53021895445281952</v>
      </c>
      <c r="Q330" s="79">
        <f t="shared" si="77"/>
        <v>-0.20909323091969154</v>
      </c>
      <c r="R330" s="79">
        <f t="shared" si="77"/>
        <v>0.26325443055408915</v>
      </c>
      <c r="S330" s="79" t="str">
        <f t="shared" si="77"/>
        <v>NA</v>
      </c>
      <c r="T330" s="79">
        <f t="shared" si="77"/>
        <v>0.30669613468388668</v>
      </c>
      <c r="U330" s="79">
        <f t="shared" si="77"/>
        <v>0.25091082185463986</v>
      </c>
      <c r="V330" s="79" t="str">
        <f t="shared" si="77"/>
        <v>NA</v>
      </c>
      <c r="W330" s="79" t="str">
        <f t="shared" si="77"/>
        <v>NA</v>
      </c>
      <c r="X330" s="79" t="str">
        <f t="shared" si="77"/>
        <v>NA</v>
      </c>
      <c r="Y330" s="79" t="str">
        <f t="shared" si="77"/>
        <v>NA</v>
      </c>
      <c r="Z330" s="79" t="str">
        <f t="shared" si="77"/>
        <v>NA</v>
      </c>
      <c r="AA330" s="79" t="str">
        <f t="shared" si="77"/>
        <v>NA</v>
      </c>
      <c r="AB330" s="79" t="str">
        <f t="shared" si="77"/>
        <v>NA</v>
      </c>
      <c r="AC330" s="79" t="str">
        <f t="shared" si="77"/>
        <v>NA</v>
      </c>
      <c r="AD330" s="79" t="str">
        <f t="shared" si="77"/>
        <v>NA</v>
      </c>
      <c r="AE330" s="79" t="str">
        <f t="shared" si="77"/>
        <v>NA</v>
      </c>
      <c r="AF330" s="79" t="str">
        <f t="shared" si="77"/>
        <v>NA</v>
      </c>
      <c r="AG330" s="79">
        <f t="shared" si="77"/>
        <v>5.2126853704301E-2</v>
      </c>
      <c r="AH330" s="14" t="str">
        <f>IF(ABS(E330-AG330)&lt;0.01,"ok","err")</f>
        <v>ok</v>
      </c>
      <c r="AJ330" s="125"/>
    </row>
    <row r="331" spans="1:40" s="1" customFormat="1" x14ac:dyDescent="0.2">
      <c r="A331" s="1" t="s">
        <v>906</v>
      </c>
      <c r="E331" s="126">
        <f>IF(E330="NA","NA",E330/$E$330)</f>
        <v>1</v>
      </c>
      <c r="F331" s="126">
        <f t="shared" ref="F331:AG331" si="78">IF(F330="NA","NA",F330/$E$330)</f>
        <v>0.19766258887370991</v>
      </c>
      <c r="G331" s="126" t="str">
        <f t="shared" si="78"/>
        <v>NA</v>
      </c>
      <c r="H331" s="126">
        <f t="shared" si="78"/>
        <v>0.67709673717846031</v>
      </c>
      <c r="I331" s="126">
        <f t="shared" si="78"/>
        <v>1.4968792079434357</v>
      </c>
      <c r="J331" s="126">
        <f t="shared" si="78"/>
        <v>8.3299013916762501</v>
      </c>
      <c r="K331" s="126">
        <f t="shared" si="78"/>
        <v>-2.3807605712755167</v>
      </c>
      <c r="L331" s="126" t="str">
        <f t="shared" si="78"/>
        <v>NA</v>
      </c>
      <c r="M331" s="126">
        <f t="shared" si="78"/>
        <v>7.2648836875960896</v>
      </c>
      <c r="N331" s="126">
        <f t="shared" si="78"/>
        <v>6.1412795263110889</v>
      </c>
      <c r="O331" s="126">
        <f t="shared" si="78"/>
        <v>8.1929132961734457</v>
      </c>
      <c r="P331" s="126">
        <f t="shared" si="78"/>
        <v>10.171704539479403</v>
      </c>
      <c r="Q331" s="126">
        <f t="shared" si="78"/>
        <v>-4.0112382785619438</v>
      </c>
      <c r="R331" s="126">
        <f t="shared" si="78"/>
        <v>5.0502651099459479</v>
      </c>
      <c r="S331" s="126" t="str">
        <f t="shared" si="78"/>
        <v>NA</v>
      </c>
      <c r="T331" s="126">
        <f t="shared" si="78"/>
        <v>5.8836494606728929</v>
      </c>
      <c r="U331" s="126">
        <f t="shared" si="78"/>
        <v>4.8134656904093189</v>
      </c>
      <c r="V331" s="126" t="str">
        <f t="shared" si="78"/>
        <v>NA</v>
      </c>
      <c r="W331" s="126" t="str">
        <f t="shared" si="78"/>
        <v>NA</v>
      </c>
      <c r="X331" s="126" t="str">
        <f t="shared" si="78"/>
        <v>NA</v>
      </c>
      <c r="Y331" s="126" t="str">
        <f t="shared" si="78"/>
        <v>NA</v>
      </c>
      <c r="Z331" s="126" t="str">
        <f t="shared" si="78"/>
        <v>NA</v>
      </c>
      <c r="AA331" s="126" t="str">
        <f t="shared" si="78"/>
        <v>NA</v>
      </c>
      <c r="AB331" s="126" t="str">
        <f t="shared" si="78"/>
        <v>NA</v>
      </c>
      <c r="AC331" s="126" t="str">
        <f t="shared" si="78"/>
        <v>NA</v>
      </c>
      <c r="AD331" s="126" t="str">
        <f t="shared" si="78"/>
        <v>NA</v>
      </c>
      <c r="AE331" s="126" t="str">
        <f t="shared" si="78"/>
        <v>NA</v>
      </c>
      <c r="AF331" s="126" t="str">
        <f t="shared" si="78"/>
        <v>NA</v>
      </c>
      <c r="AG331" s="126">
        <f t="shared" si="78"/>
        <v>0.99999999999999578</v>
      </c>
      <c r="AH331" s="14"/>
      <c r="AJ331" s="125"/>
    </row>
    <row r="334" spans="1:40" x14ac:dyDescent="0.2">
      <c r="A334" s="12" t="s">
        <v>834</v>
      </c>
    </row>
    <row r="336" spans="1:40" x14ac:dyDescent="0.2">
      <c r="A336" s="1" t="s">
        <v>323</v>
      </c>
    </row>
    <row r="338" spans="1:41" x14ac:dyDescent="0.2">
      <c r="A338" s="2" t="s">
        <v>568</v>
      </c>
      <c r="E338" s="69">
        <f t="shared" ref="E338:AF338" si="79">E316</f>
        <v>62144556.270000003</v>
      </c>
      <c r="F338" s="69">
        <f t="shared" si="79"/>
        <v>41662177.112980098</v>
      </c>
      <c r="G338" s="69">
        <f t="shared" si="79"/>
        <v>0</v>
      </c>
      <c r="H338" s="69">
        <f t="shared" si="79"/>
        <v>1448.5686031163059</v>
      </c>
      <c r="I338" s="69">
        <f t="shared" si="79"/>
        <v>4444063.1481182165</v>
      </c>
      <c r="J338" s="69">
        <f t="shared" si="79"/>
        <v>6641101.1942495601</v>
      </c>
      <c r="K338" s="69">
        <f t="shared" si="79"/>
        <v>18736.157874567038</v>
      </c>
      <c r="L338" s="69">
        <f t="shared" si="79"/>
        <v>0</v>
      </c>
      <c r="M338" s="69">
        <f t="shared" si="79"/>
        <v>2462774.9931395235</v>
      </c>
      <c r="N338" s="69">
        <f t="shared" si="79"/>
        <v>3036686.0972335506</v>
      </c>
      <c r="O338" s="69">
        <f t="shared" si="79"/>
        <v>804495.09909530089</v>
      </c>
      <c r="P338" s="69">
        <f t="shared" si="79"/>
        <v>118864.39756509975</v>
      </c>
      <c r="Q338" s="69">
        <f t="shared" si="79"/>
        <v>129882.44647297794</v>
      </c>
      <c r="R338" s="69">
        <f t="shared" si="79"/>
        <v>1570110.42</v>
      </c>
      <c r="S338" s="69">
        <f t="shared" si="79"/>
        <v>0</v>
      </c>
      <c r="T338" s="69">
        <f t="shared" si="79"/>
        <v>74145.134667983919</v>
      </c>
      <c r="U338" s="69">
        <f t="shared" si="79"/>
        <v>1180071.5</v>
      </c>
      <c r="V338" s="69">
        <f t="shared" si="79"/>
        <v>0</v>
      </c>
      <c r="W338" s="69">
        <f t="shared" si="79"/>
        <v>0</v>
      </c>
      <c r="X338" s="69">
        <f t="shared" si="79"/>
        <v>0</v>
      </c>
      <c r="Y338" s="69">
        <f t="shared" si="79"/>
        <v>0</v>
      </c>
      <c r="Z338" s="69">
        <f t="shared" si="79"/>
        <v>0</v>
      </c>
      <c r="AA338" s="69">
        <f t="shared" si="79"/>
        <v>0</v>
      </c>
      <c r="AB338" s="69">
        <f t="shared" si="79"/>
        <v>0</v>
      </c>
      <c r="AC338" s="69">
        <f t="shared" si="79"/>
        <v>0</v>
      </c>
      <c r="AD338" s="69">
        <f t="shared" si="79"/>
        <v>0</v>
      </c>
      <c r="AE338" s="69">
        <f t="shared" si="79"/>
        <v>0</v>
      </c>
      <c r="AF338" s="69">
        <f t="shared" si="79"/>
        <v>0</v>
      </c>
      <c r="AG338" s="69">
        <f>SUM(F338:AF338)</f>
        <v>62144556.269999988</v>
      </c>
      <c r="AH338" s="14" t="str">
        <f>IF(ABS(E338-AG338)&lt;0.01,"ok","err")</f>
        <v>ok</v>
      </c>
      <c r="AJ338" s="32" t="s">
        <v>1042</v>
      </c>
    </row>
    <row r="339" spans="1:41" x14ac:dyDescent="0.2"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14"/>
      <c r="AJ339" s="32">
        <v>1</v>
      </c>
    </row>
    <row r="340" spans="1:41" x14ac:dyDescent="0.2">
      <c r="A340" s="2" t="s">
        <v>569</v>
      </c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14"/>
    </row>
    <row r="341" spans="1:41" x14ac:dyDescent="0.2">
      <c r="A341" s="2">
        <v>1</v>
      </c>
      <c r="B341" s="2" t="s">
        <v>904</v>
      </c>
      <c r="D341" s="2" t="s">
        <v>214</v>
      </c>
      <c r="E341" s="45">
        <f>$AJ341*AK341</f>
        <v>-2488284</v>
      </c>
      <c r="F341" s="45">
        <f>IF(VLOOKUP($D341,$C$5:$AT$528,3,)=0,0,(VLOOKUP($D341,$C$5:$AT$528,4,)/VLOOKUP($D341,$C$5:$AT$528,3,))*$E341)</f>
        <v>-1598821.6562861283</v>
      </c>
      <c r="G341" s="45">
        <f>IF(VLOOKUP($D341,$C$5:$AT$528,3,)=0,0,(VLOOKUP($D341,$C$5:$AT$528,5,)/VLOOKUP($D341,$C$5:$AT$528,3,))*$E341)</f>
        <v>0</v>
      </c>
      <c r="H341" s="45">
        <f>IF(VLOOKUP($D341,$C$5:$AT$528,3,)=0,0,(VLOOKUP($D341,$C$5:$AT$528,6,)/VLOOKUP($D341,$C$5:$AT$528,3,))*$E341)</f>
        <v>-57.309376471501515</v>
      </c>
      <c r="I341" s="45">
        <f>IF(VLOOKUP($D341,$C$5:$AT$528,3,)=0,0,(VLOOKUP($D341,$C$5:$AT$528,7,)/VLOOKUP($D341,$C$5:$AT$528,3,))*$E341)</f>
        <v>-177243.97453195509</v>
      </c>
      <c r="J341" s="45">
        <f>IF(VLOOKUP($D341,$C$5:$AT$528,3,)=0,0,(VLOOKUP($D341,$C$5:$AT$528,8,)/VLOOKUP($D341,$C$5:$AT$528,3,))*$E341)</f>
        <v>-273075.47569252097</v>
      </c>
      <c r="K341" s="45">
        <f>IF(VLOOKUP($D341,$C$5:$AT$528,3,)=0,0,(VLOOKUP($D341,$C$5:$AT$528,9,)/VLOOKUP($D341,$C$5:$AT$528,3,))*$E341)</f>
        <v>-1357.8928058283946</v>
      </c>
      <c r="L341" s="45">
        <f>IF(VLOOKUP($D341,$C$5:$AT$528,3,)=0,0,(VLOOKUP($D341,$C$5:$AT$528,10,)/VLOOKUP($D341,$C$5:$AT$528,3,))*$E341)</f>
        <v>0</v>
      </c>
      <c r="M341" s="45">
        <f>IF(VLOOKUP($D341,$C$5:$AT$528,3,)=0,0,(VLOOKUP($D341,$C$5:$AT$528,11,)/VLOOKUP($D341,$C$5:$AT$528,3,))*$E341)</f>
        <v>-125181.7872968611</v>
      </c>
      <c r="N341" s="45">
        <f>IF(VLOOKUP($D341,$C$5:$AT$528,3,)=0,0,(VLOOKUP($D341,$C$5:$AT$528,12,)/VLOOKUP($D341,$C$5:$AT$528,3,))*$E341)</f>
        <v>-169904.82804092404</v>
      </c>
      <c r="O341" s="45">
        <f>IF(VLOOKUP($D341,$C$5:$AT$528,3,)=0,0,(VLOOKUP($D341,$C$5:$AT$528,13,)/VLOOKUP($D341,$C$5:$AT$528,3,))*$E341)</f>
        <v>-41856.593329535252</v>
      </c>
      <c r="P341" s="45">
        <f>IF(VLOOKUP($D341,$C$5:$AT$528,3,)=0,0,(VLOOKUP($D341,$C$5:$AT$528,14,)/VLOOKUP($D341,$C$5:$AT$528,3,))*$E341)</f>
        <v>-3841.1150229958998</v>
      </c>
      <c r="Q341" s="45">
        <f>IF(VLOOKUP($D341,$C$5:$AT$528,3,)=0,0,(VLOOKUP($D341,$C$5:$AT$528,15,)/VLOOKUP($D341,$C$5:$AT$528,3,))*$E341)</f>
        <v>-8447.70184975954</v>
      </c>
      <c r="R341" s="45">
        <f>IF(VLOOKUP($D341,$C$5:$AT$528,3,)=0,0,(VLOOKUP($D341,$C$5:$AT$528,16,)/VLOOKUP($D341,$C$5:$AT$528,3,))*$E341)</f>
        <v>-83424.422033411101</v>
      </c>
      <c r="S341" s="45">
        <f>IF(VLOOKUP($D341,$C$5:$AT$528,3,)=0,0,(VLOOKUP($D341,$C$5:$AT$528,17,)/VLOOKUP($D341,$C$5:$AT$528,3,))*$E341)</f>
        <v>0</v>
      </c>
      <c r="T341" s="45">
        <f>IF(VLOOKUP($D341,$C$5:$AT$528,3,)=0,0,(VLOOKUP($D341,$C$5:$AT$528,18,)/VLOOKUP($D341,$C$5:$AT$528,3,))*$E341)</f>
        <v>-2886.7403005973915</v>
      </c>
      <c r="U341" s="45">
        <f>IF(VLOOKUP($D341,$C$5:$AT$528,3,)=0,0,(VLOOKUP($D341,$C$5:$AT$528,19,)/VLOOKUP($D341,$C$5:$AT$528,3,))*$E341)</f>
        <v>-2184.5034330113031</v>
      </c>
      <c r="V341" s="45">
        <f>IF(VLOOKUP($D341,$C$5:$AT$528,3,)=0,0,(VLOOKUP($D341,$C$5:$AT$528,20,)/VLOOKUP($D341,$C$5:$AT$528,3,))*$E341)</f>
        <v>0</v>
      </c>
      <c r="W341" s="45">
        <f>IF(VLOOKUP($D341,$C$5:$AT$528,3,)=0,0,(VLOOKUP($D341,$C$5:$AT$528,21,)/VLOOKUP($D341,$C$5:$AT$528,3,))*$E341)</f>
        <v>0</v>
      </c>
      <c r="X341" s="45">
        <f>IF(VLOOKUP($D341,$C$5:$AT$528,3,)=0,0,(VLOOKUP($D341,$C$5:$AT$528,22,)/VLOOKUP($D341,$C$5:$AT$528,3,))*$E341)</f>
        <v>0</v>
      </c>
      <c r="Y341" s="45">
        <f>IF(VLOOKUP($D341,$C$5:$AT$528,3,)=0,0,(VLOOKUP($D341,$C$5:$AT$528,23,)/VLOOKUP($D341,$C$5:$AT$528,3,))*$E341)</f>
        <v>0</v>
      </c>
      <c r="Z341" s="45">
        <f>IF(VLOOKUP($D341,$C$5:$AT$528,3,)=0,0,(VLOOKUP($D341,$C$5:$AT$528,24,)/VLOOKUP($D341,$C$5:$AT$528,3,))*$E341)</f>
        <v>0</v>
      </c>
      <c r="AA341" s="45">
        <f>IF(VLOOKUP($D341,$C$5:$AT$528,3,)=0,0,(VLOOKUP($D341,$C$5:$AT$528,25,)/VLOOKUP($D341,$C$5:$AT$528,3,))*$E341)</f>
        <v>0</v>
      </c>
      <c r="AB341" s="45">
        <f>IF(VLOOKUP($D341,$C$5:$AT$528,3,)=0,0,(VLOOKUP($D341,$C$5:$AT$528,26,)/VLOOKUP($D341,$C$5:$AT$528,3,))*$E341)</f>
        <v>0</v>
      </c>
      <c r="AC341" s="45">
        <f>IF(VLOOKUP($D341,$C$5:$AT$528,3,)=0,0,(VLOOKUP($D341,$C$5:$AT$528,27,)/VLOOKUP($D341,$C$5:$AT$528,3,))*$E341)</f>
        <v>0</v>
      </c>
      <c r="AD341" s="45">
        <f>IF(VLOOKUP($D341,$C$5:$AT$528,3,)=0,0,(VLOOKUP($D341,$C$5:$AT$528,28,)/VLOOKUP($D341,$C$5:$AT$528,3,))*$E341)</f>
        <v>0</v>
      </c>
      <c r="AE341" s="45">
        <f>IF(VLOOKUP($D341,$C$5:$AT$528,3,)=0,0,(VLOOKUP($D341,$C$5:$AT$528,29,)/VLOOKUP($D341,$C$5:$AT$528,3,))*$E341)</f>
        <v>0</v>
      </c>
      <c r="AF341" s="45">
        <f>IF(VLOOKUP($D341,$C$5:$AT$528,3,)=0,0,(VLOOKUP($D341,$C$5:$AT$528,30,)/VLOOKUP($D341,$C$5:$AT$528,3,))*$E341)</f>
        <v>0</v>
      </c>
      <c r="AG341" s="69">
        <f t="shared" ref="AG341" si="80">SUM(F341:AF341)</f>
        <v>-2488284.0000000005</v>
      </c>
      <c r="AH341" s="14" t="str">
        <f t="shared" ref="AH341" si="81">IF(ABS(E341-AG341)&lt;0.01,"ok","err")</f>
        <v>ok</v>
      </c>
      <c r="AJ341" s="32">
        <f>AJ339</f>
        <v>1</v>
      </c>
      <c r="AK341" s="26">
        <v>-2488284</v>
      </c>
    </row>
    <row r="342" spans="1:41" x14ac:dyDescent="0.2">
      <c r="A342" s="2">
        <v>2</v>
      </c>
      <c r="B342" s="2" t="s">
        <v>903</v>
      </c>
      <c r="D342" s="2" t="s">
        <v>910</v>
      </c>
      <c r="E342" s="45">
        <f>$AJ342*AK342</f>
        <v>-6354826</v>
      </c>
      <c r="F342" s="45">
        <f>IF(VLOOKUP($D342,$C$5:$AT$528,3,)=0,0,(VLOOKUP($D342,$C$5:$AT$528,4,)/VLOOKUP($D342,$C$5:$AT$528,3,))*$E342)</f>
        <v>-4626343.2660022536</v>
      </c>
      <c r="G342" s="45">
        <f>IF(VLOOKUP($D342,$C$5:$AT$528,3,)=0,0,(VLOOKUP($D342,$C$5:$AT$528,5,)/VLOOKUP($D342,$C$5:$AT$528,3,))*$E342)</f>
        <v>0</v>
      </c>
      <c r="H342" s="45">
        <f>IF(VLOOKUP($D342,$C$5:$AT$528,3,)=0,0,(VLOOKUP($D342,$C$5:$AT$528,6,)/VLOOKUP($D342,$C$5:$AT$528,3,))*$E342)</f>
        <v>-86.95614663247936</v>
      </c>
      <c r="I342" s="45">
        <f>IF(VLOOKUP($D342,$C$5:$AT$528,3,)=0,0,(VLOOKUP($D342,$C$5:$AT$528,7,)/VLOOKUP($D342,$C$5:$AT$528,3,))*$E342)</f>
        <v>-415428.82304691017</v>
      </c>
      <c r="J342" s="45">
        <f>IF(VLOOKUP($D342,$C$5:$AT$528,3,)=0,0,(VLOOKUP($D342,$C$5:$AT$528,8,)/VLOOKUP($D342,$C$5:$AT$528,3,))*$E342)</f>
        <v>-662366.46566041058</v>
      </c>
      <c r="K342" s="45">
        <f>IF(VLOOKUP($D342,$C$5:$AT$528,3,)=0,0,(VLOOKUP($D342,$C$5:$AT$528,9,)/VLOOKUP($D342,$C$5:$AT$528,3,))*$E342)</f>
        <v>0</v>
      </c>
      <c r="L342" s="45">
        <f>IF(VLOOKUP($D342,$C$5:$AT$528,3,)=0,0,(VLOOKUP($D342,$C$5:$AT$528,10,)/VLOOKUP($D342,$C$5:$AT$528,3,))*$E342)</f>
        <v>0</v>
      </c>
      <c r="M342" s="45">
        <f>IF(VLOOKUP($D342,$C$5:$AT$528,3,)=0,0,(VLOOKUP($D342,$C$5:$AT$528,11,)/VLOOKUP($D342,$C$5:$AT$528,3,))*$E342)</f>
        <v>-196856.950636655</v>
      </c>
      <c r="N342" s="45">
        <f>IF(VLOOKUP($D342,$C$5:$AT$528,3,)=0,0,(VLOOKUP($D342,$C$5:$AT$528,12,)/VLOOKUP($D342,$C$5:$AT$528,3,))*$E342)</f>
        <v>-233638.96158913305</v>
      </c>
      <c r="O342" s="45">
        <f>IF(VLOOKUP($D342,$C$5:$AT$528,3,)=0,0,(VLOOKUP($D342,$C$5:$AT$528,13,)/VLOOKUP($D342,$C$5:$AT$528,3,))*$E342)</f>
        <v>-58175.154940280358</v>
      </c>
      <c r="P342" s="45">
        <f>IF(VLOOKUP($D342,$C$5:$AT$528,3,)=0,0,(VLOOKUP($D342,$C$5:$AT$528,14,)/VLOOKUP($D342,$C$5:$AT$528,3,))*$E342)</f>
        <v>-6004.5697364575026</v>
      </c>
      <c r="Q342" s="45">
        <f>IF(VLOOKUP($D342,$C$5:$AT$528,3,)=0,0,(VLOOKUP($D342,$C$5:$AT$528,15,)/VLOOKUP($D342,$C$5:$AT$528,3,))*$E342)</f>
        <v>-19180.565206554038</v>
      </c>
      <c r="R342" s="45">
        <f>IF(VLOOKUP($D342,$C$5:$AT$528,3,)=0,0,(VLOOKUP($D342,$C$5:$AT$528,16,)/VLOOKUP($D342,$C$5:$AT$528,3,))*$E342)</f>
        <v>-129156.8752493971</v>
      </c>
      <c r="S342" s="45">
        <f>IF(VLOOKUP($D342,$C$5:$AT$528,3,)=0,0,(VLOOKUP($D342,$C$5:$AT$528,17,)/VLOOKUP($D342,$C$5:$AT$528,3,))*$E342)</f>
        <v>0</v>
      </c>
      <c r="T342" s="45">
        <f>IF(VLOOKUP($D342,$C$5:$AT$528,3,)=0,0,(VLOOKUP($D342,$C$5:$AT$528,18,)/VLOOKUP($D342,$C$5:$AT$528,3,))*$E342)</f>
        <v>-4336.3181215007517</v>
      </c>
      <c r="U342" s="45">
        <f>IF(VLOOKUP($D342,$C$5:$AT$528,3,)=0,0,(VLOOKUP($D342,$C$5:$AT$528,19,)/VLOOKUP($D342,$C$5:$AT$528,3,))*$E342)</f>
        <v>-3251.0936638139528</v>
      </c>
      <c r="V342" s="45">
        <f>IF(VLOOKUP($D342,$C$5:$AT$528,3,)=0,0,(VLOOKUP($D342,$C$5:$AT$528,20,)/VLOOKUP($D342,$C$5:$AT$528,3,))*$E342)</f>
        <v>0</v>
      </c>
      <c r="W342" s="45">
        <f>IF(VLOOKUP($D342,$C$5:$AT$528,3,)=0,0,(VLOOKUP($D342,$C$5:$AT$528,21,)/VLOOKUP($D342,$C$5:$AT$528,3,))*$E342)</f>
        <v>0</v>
      </c>
      <c r="X342" s="45">
        <f>IF(VLOOKUP($D342,$C$5:$AT$528,3,)=0,0,(VLOOKUP($D342,$C$5:$AT$528,22,)/VLOOKUP($D342,$C$5:$AT$528,3,))*$E342)</f>
        <v>0</v>
      </c>
      <c r="Y342" s="45">
        <f>IF(VLOOKUP($D342,$C$5:$AT$528,3,)=0,0,(VLOOKUP($D342,$C$5:$AT$528,23,)/VLOOKUP($D342,$C$5:$AT$528,3,))*$E342)</f>
        <v>0</v>
      </c>
      <c r="Z342" s="45">
        <f>IF(VLOOKUP($D342,$C$5:$AT$528,3,)=0,0,(VLOOKUP($D342,$C$5:$AT$528,24,)/VLOOKUP($D342,$C$5:$AT$528,3,))*$E342)</f>
        <v>0</v>
      </c>
      <c r="AA342" s="45">
        <f>IF(VLOOKUP($D342,$C$5:$AT$528,3,)=0,0,(VLOOKUP($D342,$C$5:$AT$528,25,)/VLOOKUP($D342,$C$5:$AT$528,3,))*$E342)</f>
        <v>0</v>
      </c>
      <c r="AB342" s="45">
        <f>IF(VLOOKUP($D342,$C$5:$AT$528,3,)=0,0,(VLOOKUP($D342,$C$5:$AT$528,26,)/VLOOKUP($D342,$C$5:$AT$528,3,))*$E342)</f>
        <v>0</v>
      </c>
      <c r="AC342" s="45">
        <f>IF(VLOOKUP($D342,$C$5:$AT$528,3,)=0,0,(VLOOKUP($D342,$C$5:$AT$528,27,)/VLOOKUP($D342,$C$5:$AT$528,3,))*$E342)</f>
        <v>0</v>
      </c>
      <c r="AD342" s="45">
        <f>IF(VLOOKUP($D342,$C$5:$AT$528,3,)=0,0,(VLOOKUP($D342,$C$5:$AT$528,28,)/VLOOKUP($D342,$C$5:$AT$528,3,))*$E342)</f>
        <v>0</v>
      </c>
      <c r="AE342" s="45">
        <f>IF(VLOOKUP($D342,$C$5:$AT$528,3,)=0,0,(VLOOKUP($D342,$C$5:$AT$528,29,)/VLOOKUP($D342,$C$5:$AT$528,3,))*$E342)</f>
        <v>0</v>
      </c>
      <c r="AF342" s="45">
        <f>IF(VLOOKUP($D342,$C$5:$AT$528,3,)=0,0,(VLOOKUP($D342,$C$5:$AT$528,30,)/VLOOKUP($D342,$C$5:$AT$528,3,))*$E342)</f>
        <v>0</v>
      </c>
      <c r="AG342" s="69">
        <f t="shared" ref="AG342" si="82">SUM(F342:AF342)</f>
        <v>-6354825.9999999981</v>
      </c>
      <c r="AH342" s="14" t="str">
        <f t="shared" ref="AH342:AH343" si="83">IF(ABS(E342-AG342)&lt;0.01,"ok","err")</f>
        <v>ok</v>
      </c>
      <c r="AJ342" s="32">
        <f>AJ341</f>
        <v>1</v>
      </c>
      <c r="AK342" s="26">
        <v>-6354826</v>
      </c>
    </row>
    <row r="343" spans="1:41" x14ac:dyDescent="0.2">
      <c r="A343" s="2">
        <v>6</v>
      </c>
      <c r="B343" s="2" t="s">
        <v>1001</v>
      </c>
      <c r="E343" s="45">
        <f>$AJ343*AK343</f>
        <v>272502.88</v>
      </c>
      <c r="F343" s="45">
        <f>$AJ343*AL343</f>
        <v>64775.840128934018</v>
      </c>
      <c r="G343" s="45">
        <v>0</v>
      </c>
      <c r="H343" s="45">
        <v>0</v>
      </c>
      <c r="I343" s="45">
        <f>$AJ343*AM343</f>
        <v>203444.15564258449</v>
      </c>
      <c r="J343" s="45">
        <v>0</v>
      </c>
      <c r="K343" s="45">
        <f>$AJ343*AN343</f>
        <v>-724.22829268292685</v>
      </c>
      <c r="L343" s="45">
        <v>0</v>
      </c>
      <c r="M343" s="45">
        <v>0</v>
      </c>
      <c r="N343" s="45"/>
      <c r="O343" s="45"/>
      <c r="P343" s="45"/>
      <c r="Q343" s="45">
        <f>$AJ343*AO343</f>
        <v>5007.1124324324246</v>
      </c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158">
        <f t="shared" ref="AG343:AG350" si="84">SUM(F343:AF343)</f>
        <v>272502.87991126801</v>
      </c>
      <c r="AH343" s="14" t="str">
        <f t="shared" si="83"/>
        <v>ok</v>
      </c>
      <c r="AJ343" s="32">
        <f>AJ342</f>
        <v>1</v>
      </c>
      <c r="AK343" s="26">
        <v>272502.88</v>
      </c>
      <c r="AL343" s="26">
        <v>64775.840128934018</v>
      </c>
      <c r="AM343" s="26">
        <v>203444.15564258449</v>
      </c>
      <c r="AN343" s="26">
        <v>-724.22829268292685</v>
      </c>
      <c r="AO343" s="26">
        <v>5007.1124324324246</v>
      </c>
    </row>
    <row r="344" spans="1:41" hidden="1" x14ac:dyDescent="0.2">
      <c r="B344" s="2" t="s">
        <v>988</v>
      </c>
      <c r="D344" s="2" t="s">
        <v>561</v>
      </c>
      <c r="E344" s="69">
        <v>0</v>
      </c>
      <c r="F344" s="45">
        <v>0</v>
      </c>
      <c r="G344" s="45">
        <v>0</v>
      </c>
      <c r="H344" s="45">
        <v>0</v>
      </c>
      <c r="I344" s="45">
        <v>0</v>
      </c>
      <c r="J344" s="45">
        <v>0</v>
      </c>
      <c r="K344" s="45">
        <v>0</v>
      </c>
      <c r="L344" s="45">
        <v>0</v>
      </c>
      <c r="M344" s="45">
        <v>0</v>
      </c>
      <c r="N344" s="45">
        <v>0</v>
      </c>
      <c r="O344" s="45">
        <v>0</v>
      </c>
      <c r="P344" s="45">
        <v>0</v>
      </c>
      <c r="Q344" s="45">
        <v>0</v>
      </c>
      <c r="R344" s="45">
        <v>0</v>
      </c>
      <c r="S344" s="45">
        <v>0</v>
      </c>
      <c r="T344" s="45">
        <v>0</v>
      </c>
      <c r="U344" s="45">
        <v>0</v>
      </c>
      <c r="V344" s="45">
        <v>0</v>
      </c>
      <c r="W344" s="45">
        <v>0</v>
      </c>
      <c r="X344" s="45">
        <v>0</v>
      </c>
      <c r="Y344" s="45">
        <v>0</v>
      </c>
      <c r="Z344" s="45">
        <v>0</v>
      </c>
      <c r="AA344" s="45">
        <v>0</v>
      </c>
      <c r="AB344" s="45">
        <v>0</v>
      </c>
      <c r="AC344" s="45">
        <v>0</v>
      </c>
      <c r="AD344" s="45">
        <v>0</v>
      </c>
      <c r="AE344" s="45">
        <v>0</v>
      </c>
      <c r="AF344" s="45">
        <v>0</v>
      </c>
      <c r="AG344" s="69">
        <f t="shared" si="84"/>
        <v>0</v>
      </c>
      <c r="AH344" s="14" t="str">
        <f t="shared" ref="AH344:AH350" si="85">IF(ABS(E344-AG344)&lt;0.01,"ok","err")</f>
        <v>ok</v>
      </c>
    </row>
    <row r="345" spans="1:41" hidden="1" x14ac:dyDescent="0.2">
      <c r="B345" s="2" t="s">
        <v>988</v>
      </c>
      <c r="D345" s="2" t="s">
        <v>561</v>
      </c>
      <c r="E345" s="45">
        <v>0</v>
      </c>
      <c r="F345" s="45">
        <f t="shared" ref="F345:F354" si="86">IF(VLOOKUP($D345,$C$5:$AT$528,3,)=0,0,(VLOOKUP($D345,$C$5:$AT$528,4,)/VLOOKUP($D345,$C$5:$AT$528,3,))*$E345)</f>
        <v>0</v>
      </c>
      <c r="G345" s="45">
        <f t="shared" ref="G345:G354" si="87">IF(VLOOKUP($D345,$C$5:$AT$528,3,)=0,0,(VLOOKUP($D345,$C$5:$AT$528,5,)/VLOOKUP($D345,$C$5:$AT$528,3,))*$E345)</f>
        <v>0</v>
      </c>
      <c r="H345" s="45">
        <f t="shared" ref="H345:H354" si="88">IF(VLOOKUP($D345,$C$5:$AT$528,3,)=0,0,(VLOOKUP($D345,$C$5:$AT$528,6,)/VLOOKUP($D345,$C$5:$AT$528,3,))*$E345)</f>
        <v>0</v>
      </c>
      <c r="I345" s="45">
        <f t="shared" ref="I345:I354" si="89">IF(VLOOKUP($D345,$C$5:$AT$528,3,)=0,0,(VLOOKUP($D345,$C$5:$AT$528,7,)/VLOOKUP($D345,$C$5:$AT$528,3,))*$E345)</f>
        <v>0</v>
      </c>
      <c r="J345" s="45">
        <v>0</v>
      </c>
      <c r="K345" s="45">
        <v>0</v>
      </c>
      <c r="L345" s="45">
        <v>0</v>
      </c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69">
        <f t="shared" si="84"/>
        <v>0</v>
      </c>
      <c r="AH345" s="14" t="str">
        <f t="shared" si="85"/>
        <v>ok</v>
      </c>
    </row>
    <row r="346" spans="1:41" hidden="1" x14ac:dyDescent="0.2">
      <c r="B346" s="2" t="s">
        <v>988</v>
      </c>
      <c r="D346" s="2" t="s">
        <v>561</v>
      </c>
      <c r="E346" s="45">
        <v>0</v>
      </c>
      <c r="F346" s="45">
        <f t="shared" si="86"/>
        <v>0</v>
      </c>
      <c r="G346" s="45">
        <f t="shared" si="87"/>
        <v>0</v>
      </c>
      <c r="H346" s="45">
        <f t="shared" si="88"/>
        <v>0</v>
      </c>
      <c r="I346" s="45">
        <f t="shared" si="89"/>
        <v>0</v>
      </c>
      <c r="J346" s="45">
        <v>0</v>
      </c>
      <c r="K346" s="45">
        <v>0</v>
      </c>
      <c r="L346" s="45">
        <v>0</v>
      </c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69">
        <f t="shared" si="84"/>
        <v>0</v>
      </c>
      <c r="AH346" s="14" t="str">
        <f t="shared" si="85"/>
        <v>ok</v>
      </c>
    </row>
    <row r="347" spans="1:41" hidden="1" x14ac:dyDescent="0.2">
      <c r="B347" s="2" t="s">
        <v>988</v>
      </c>
      <c r="D347" s="2" t="s">
        <v>561</v>
      </c>
      <c r="E347" s="45">
        <v>0</v>
      </c>
      <c r="F347" s="45">
        <f t="shared" si="86"/>
        <v>0</v>
      </c>
      <c r="G347" s="45">
        <f t="shared" si="87"/>
        <v>0</v>
      </c>
      <c r="H347" s="45">
        <f t="shared" si="88"/>
        <v>0</v>
      </c>
      <c r="I347" s="45">
        <f t="shared" si="89"/>
        <v>0</v>
      </c>
      <c r="J347" s="45">
        <v>0</v>
      </c>
      <c r="K347" s="45">
        <v>0</v>
      </c>
      <c r="L347" s="45">
        <v>0</v>
      </c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69">
        <f t="shared" si="84"/>
        <v>0</v>
      </c>
      <c r="AH347" s="14" t="str">
        <f t="shared" si="85"/>
        <v>ok</v>
      </c>
    </row>
    <row r="348" spans="1:41" hidden="1" x14ac:dyDescent="0.2">
      <c r="B348" s="2" t="s">
        <v>988</v>
      </c>
      <c r="D348" s="2" t="s">
        <v>561</v>
      </c>
      <c r="E348" s="45">
        <v>0</v>
      </c>
      <c r="F348" s="45">
        <f t="shared" si="86"/>
        <v>0</v>
      </c>
      <c r="G348" s="45">
        <f t="shared" si="87"/>
        <v>0</v>
      </c>
      <c r="H348" s="45">
        <f t="shared" si="88"/>
        <v>0</v>
      </c>
      <c r="I348" s="45">
        <f t="shared" si="89"/>
        <v>0</v>
      </c>
      <c r="J348" s="45">
        <v>0</v>
      </c>
      <c r="K348" s="45">
        <v>0</v>
      </c>
      <c r="L348" s="45">
        <v>0</v>
      </c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69">
        <f t="shared" si="84"/>
        <v>0</v>
      </c>
      <c r="AH348" s="14" t="str">
        <f t="shared" si="85"/>
        <v>ok</v>
      </c>
    </row>
    <row r="349" spans="1:41" hidden="1" x14ac:dyDescent="0.2">
      <c r="B349" s="2" t="s">
        <v>988</v>
      </c>
      <c r="D349" s="2" t="s">
        <v>561</v>
      </c>
      <c r="E349" s="45">
        <v>0</v>
      </c>
      <c r="F349" s="45">
        <f t="shared" si="86"/>
        <v>0</v>
      </c>
      <c r="G349" s="45">
        <f t="shared" si="87"/>
        <v>0</v>
      </c>
      <c r="H349" s="45">
        <f t="shared" si="88"/>
        <v>0</v>
      </c>
      <c r="I349" s="45">
        <f t="shared" si="89"/>
        <v>0</v>
      </c>
      <c r="J349" s="45">
        <v>0</v>
      </c>
      <c r="K349" s="45">
        <v>0</v>
      </c>
      <c r="L349" s="45">
        <v>0</v>
      </c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69">
        <f t="shared" si="84"/>
        <v>0</v>
      </c>
      <c r="AH349" s="14" t="str">
        <f t="shared" si="85"/>
        <v>ok</v>
      </c>
    </row>
    <row r="350" spans="1:41" hidden="1" x14ac:dyDescent="0.2">
      <c r="B350" s="2" t="s">
        <v>988</v>
      </c>
      <c r="D350" s="2" t="s">
        <v>561</v>
      </c>
      <c r="E350" s="45">
        <v>0</v>
      </c>
      <c r="F350" s="45">
        <f t="shared" si="86"/>
        <v>0</v>
      </c>
      <c r="G350" s="45">
        <f t="shared" si="87"/>
        <v>0</v>
      </c>
      <c r="H350" s="45">
        <f t="shared" si="88"/>
        <v>0</v>
      </c>
      <c r="I350" s="45">
        <f t="shared" si="89"/>
        <v>0</v>
      </c>
      <c r="J350" s="45">
        <v>0</v>
      </c>
      <c r="K350" s="45">
        <v>0</v>
      </c>
      <c r="L350" s="45">
        <v>0</v>
      </c>
      <c r="M350" s="45">
        <v>0</v>
      </c>
      <c r="N350" s="45">
        <v>0</v>
      </c>
      <c r="O350" s="45">
        <v>0</v>
      </c>
      <c r="P350" s="45">
        <v>0</v>
      </c>
      <c r="Q350" s="45">
        <v>0</v>
      </c>
      <c r="R350" s="45">
        <v>0</v>
      </c>
      <c r="S350" s="45">
        <v>0</v>
      </c>
      <c r="T350" s="45">
        <v>0</v>
      </c>
      <c r="U350" s="45">
        <v>0</v>
      </c>
      <c r="V350" s="45">
        <v>0</v>
      </c>
      <c r="W350" s="45">
        <v>0</v>
      </c>
      <c r="X350" s="45">
        <v>0</v>
      </c>
      <c r="Y350" s="45">
        <v>0</v>
      </c>
      <c r="Z350" s="45">
        <v>0</v>
      </c>
      <c r="AA350" s="45">
        <v>0</v>
      </c>
      <c r="AB350" s="45">
        <v>0</v>
      </c>
      <c r="AC350" s="45">
        <v>0</v>
      </c>
      <c r="AD350" s="45">
        <v>0</v>
      </c>
      <c r="AE350" s="45">
        <v>0</v>
      </c>
      <c r="AF350" s="45">
        <v>0</v>
      </c>
      <c r="AG350" s="69">
        <f t="shared" si="84"/>
        <v>0</v>
      </c>
      <c r="AH350" s="14" t="str">
        <f t="shared" si="85"/>
        <v>ok</v>
      </c>
      <c r="AM350" s="129" t="s">
        <v>1043</v>
      </c>
    </row>
    <row r="351" spans="1:41" hidden="1" x14ac:dyDescent="0.2">
      <c r="B351" s="2" t="s">
        <v>988</v>
      </c>
      <c r="D351" s="2" t="s">
        <v>561</v>
      </c>
      <c r="E351" s="69">
        <v>0</v>
      </c>
      <c r="F351" s="45">
        <f t="shared" si="86"/>
        <v>0</v>
      </c>
      <c r="G351" s="45">
        <f t="shared" si="87"/>
        <v>0</v>
      </c>
      <c r="H351" s="45">
        <f t="shared" si="88"/>
        <v>0</v>
      </c>
      <c r="I351" s="45">
        <f t="shared" si="89"/>
        <v>0</v>
      </c>
      <c r="J351" s="45">
        <v>0</v>
      </c>
      <c r="K351" s="45">
        <v>0</v>
      </c>
      <c r="L351" s="45">
        <v>0</v>
      </c>
      <c r="M351" s="45">
        <f>IF(VLOOKUP($D351,$C$5:$AT$528,3,)=0,0,(VLOOKUP($D351,$C$5:$AT$528,11,)/VLOOKUP($D351,$C$5:$AT$528,3,))*$E351)</f>
        <v>0</v>
      </c>
      <c r="N351" s="45">
        <f>IF(VLOOKUP($D351,$C$5:$AT$528,3,)=0,0,(VLOOKUP($D351,$C$5:$AT$528,12,)/VLOOKUP($D351,$C$5:$AT$528,3,))*$E351)</f>
        <v>0</v>
      </c>
      <c r="O351" s="45">
        <f>IF(VLOOKUP($D351,$C$5:$AT$528,3,)=0,0,(VLOOKUP($D351,$C$5:$AT$528,13,)/VLOOKUP($D351,$C$5:$AT$528,3,))*$E351)</f>
        <v>0</v>
      </c>
      <c r="P351" s="45">
        <f>IF(VLOOKUP($D351,$C$5:$AT$528,3,)=0,0,(VLOOKUP($D351,$C$5:$AT$528,14,)/VLOOKUP($D351,$C$5:$AT$528,3,))*$E351)</f>
        <v>0</v>
      </c>
      <c r="Q351" s="45">
        <f>IF(VLOOKUP($D351,$C$5:$AT$528,3,)=0,0,(VLOOKUP($D351,$C$5:$AT$528,15,)/VLOOKUP($D351,$C$5:$AT$528,3,))*$E351)</f>
        <v>0</v>
      </c>
      <c r="R351" s="45">
        <f>IF(VLOOKUP($D351,$C$5:$AT$528,3,)=0,0,(VLOOKUP($D351,$C$5:$AT$528,16,)/VLOOKUP($D351,$C$5:$AT$528,3,))*$E351)</f>
        <v>0</v>
      </c>
      <c r="S351" s="45">
        <f>IF(VLOOKUP($D351,$C$5:$AT$528,3,)=0,0,(VLOOKUP($D351,$C$5:$AT$528,17,)/VLOOKUP($D351,$C$5:$AT$528,3,))*$E351)</f>
        <v>0</v>
      </c>
      <c r="T351" s="45">
        <f>IF(VLOOKUP($D351,$C$5:$AT$528,3,)=0,0,(VLOOKUP($D351,$C$5:$AT$528,18,)/VLOOKUP($D351,$C$5:$AT$528,3,))*$E351)</f>
        <v>0</v>
      </c>
      <c r="U351" s="45">
        <f>IF(VLOOKUP($D351,$C$5:$AT$528,3,)=0,0,(VLOOKUP($D351,$C$5:$AT$528,19,)/VLOOKUP($D351,$C$5:$AT$528,3,))*$E351)</f>
        <v>0</v>
      </c>
      <c r="V351" s="45">
        <f>IF(VLOOKUP($D351,$C$5:$AT$528,3,)=0,0,(VLOOKUP($D351,$C$5:$AT$528,20,)/VLOOKUP($D351,$C$5:$AT$528,3,))*$E351)</f>
        <v>0</v>
      </c>
      <c r="W351" s="45">
        <f>IF(VLOOKUP($D351,$C$5:$AT$528,3,)=0,0,(VLOOKUP($D351,$C$5:$AT$528,21,)/VLOOKUP($D351,$C$5:$AT$528,3,))*$E351)</f>
        <v>0</v>
      </c>
      <c r="X351" s="45">
        <f>IF(VLOOKUP($D351,$C$5:$AT$528,3,)=0,0,(VLOOKUP($D351,$C$5:$AT$528,22,)/VLOOKUP($D351,$C$5:$AT$528,3,))*$E351)</f>
        <v>0</v>
      </c>
      <c r="Y351" s="45">
        <f>IF(VLOOKUP($D351,$C$5:$AT$528,3,)=0,0,(VLOOKUP($D351,$C$5:$AT$528,23,)/VLOOKUP($D351,$C$5:$AT$528,3,))*$E351)</f>
        <v>0</v>
      </c>
      <c r="Z351" s="45">
        <f>IF(VLOOKUP($D351,$C$5:$AT$528,3,)=0,0,(VLOOKUP($D351,$C$5:$AT$528,24,)/VLOOKUP($D351,$C$5:$AT$528,3,))*$E351)</f>
        <v>0</v>
      </c>
      <c r="AA351" s="45">
        <f>IF(VLOOKUP($D351,$C$5:$AT$528,3,)=0,0,(VLOOKUP($D351,$C$5:$AT$528,25,)/VLOOKUP($D351,$C$5:$AT$528,3,))*$E351)</f>
        <v>0</v>
      </c>
      <c r="AB351" s="45">
        <f>IF(VLOOKUP($D351,$C$5:$AT$528,3,)=0,0,(VLOOKUP($D351,$C$5:$AT$528,26,)/VLOOKUP($D351,$C$5:$AT$528,3,))*$E351)</f>
        <v>0</v>
      </c>
      <c r="AC351" s="45">
        <f>IF(VLOOKUP($D351,$C$5:$AT$528,3,)=0,0,(VLOOKUP($D351,$C$5:$AT$528,27,)/VLOOKUP($D351,$C$5:$AT$528,3,))*$E351)</f>
        <v>0</v>
      </c>
      <c r="AD351" s="45">
        <f>IF(VLOOKUP($D351,$C$5:$AT$528,3,)=0,0,(VLOOKUP($D351,$C$5:$AT$528,28,)/VLOOKUP($D351,$C$5:$AT$528,3,))*$E351)</f>
        <v>0</v>
      </c>
      <c r="AE351" s="45">
        <f>IF(VLOOKUP($D351,$C$5:$AT$528,3,)=0,0,(VLOOKUP($D351,$C$5:$AT$528,29,)/VLOOKUP($D351,$C$5:$AT$528,3,))*$E351)</f>
        <v>0</v>
      </c>
      <c r="AF351" s="45">
        <f>IF(VLOOKUP($D351,$C$5:$AT$528,3,)=0,0,(VLOOKUP($D351,$C$5:$AT$528,30,)/VLOOKUP($D351,$C$5:$AT$528,3,))*$E351)</f>
        <v>0</v>
      </c>
      <c r="AG351" s="69">
        <f t="shared" ref="AG351:AG352" si="90">SUM(F351:AF351)</f>
        <v>0</v>
      </c>
      <c r="AH351" s="14" t="str">
        <f t="shared" ref="AH351:AH356" si="91">IF(ABS(E351-AG351)&lt;0.01,"ok","err")</f>
        <v>ok</v>
      </c>
      <c r="AM351" s="2">
        <v>0</v>
      </c>
    </row>
    <row r="352" spans="1:41" hidden="1" x14ac:dyDescent="0.2">
      <c r="B352" s="2" t="s">
        <v>988</v>
      </c>
      <c r="D352" s="2" t="s">
        <v>561</v>
      </c>
      <c r="E352" s="69">
        <v>0</v>
      </c>
      <c r="F352" s="45">
        <f t="shared" si="86"/>
        <v>0</v>
      </c>
      <c r="G352" s="45">
        <f t="shared" si="87"/>
        <v>0</v>
      </c>
      <c r="H352" s="45">
        <f t="shared" si="88"/>
        <v>0</v>
      </c>
      <c r="I352" s="45">
        <f t="shared" si="89"/>
        <v>0</v>
      </c>
      <c r="J352" s="45">
        <v>0</v>
      </c>
      <c r="K352" s="45">
        <v>0</v>
      </c>
      <c r="L352" s="45">
        <v>0</v>
      </c>
      <c r="M352" s="45">
        <f>IF(VLOOKUP($D352,$C$5:$AT$528,3,)=0,0,(VLOOKUP($D352,$C$5:$AT$528,11,)/VLOOKUP($D352,$C$5:$AT$528,3,))*$E352)</f>
        <v>0</v>
      </c>
      <c r="N352" s="45">
        <f>IF(VLOOKUP($D352,$C$5:$AT$528,3,)=0,0,(VLOOKUP($D352,$C$5:$AT$528,12,)/VLOOKUP($D352,$C$5:$AT$528,3,))*$E352)</f>
        <v>0</v>
      </c>
      <c r="O352" s="45">
        <f>IF(VLOOKUP($D352,$C$5:$AT$528,3,)=0,0,(VLOOKUP($D352,$C$5:$AT$528,13,)/VLOOKUP($D352,$C$5:$AT$528,3,))*$E352)</f>
        <v>0</v>
      </c>
      <c r="P352" s="45">
        <f>IF(VLOOKUP($D352,$C$5:$AT$528,3,)=0,0,(VLOOKUP($D352,$C$5:$AT$528,14,)/VLOOKUP($D352,$C$5:$AT$528,3,))*$E352)</f>
        <v>0</v>
      </c>
      <c r="Q352" s="45">
        <f>IF(VLOOKUP($D352,$C$5:$AT$528,3,)=0,0,(VLOOKUP($D352,$C$5:$AT$528,15,)/VLOOKUP($D352,$C$5:$AT$528,3,))*$E352)</f>
        <v>0</v>
      </c>
      <c r="R352" s="45">
        <f>IF(VLOOKUP($D352,$C$5:$AT$528,3,)=0,0,(VLOOKUP($D352,$C$5:$AT$528,16,)/VLOOKUP($D352,$C$5:$AT$528,3,))*$E352)</f>
        <v>0</v>
      </c>
      <c r="S352" s="45">
        <f>IF(VLOOKUP($D352,$C$5:$AT$528,3,)=0,0,(VLOOKUP($D352,$C$5:$AT$528,17,)/VLOOKUP($D352,$C$5:$AT$528,3,))*$E352)</f>
        <v>0</v>
      </c>
      <c r="T352" s="45">
        <f>IF(VLOOKUP($D352,$C$5:$AT$528,3,)=0,0,(VLOOKUP($D352,$C$5:$AT$528,18,)/VLOOKUP($D352,$C$5:$AT$528,3,))*$E352)</f>
        <v>0</v>
      </c>
      <c r="U352" s="45">
        <f>IF(VLOOKUP($D352,$C$5:$AT$528,3,)=0,0,(VLOOKUP($D352,$C$5:$AT$528,19,)/VLOOKUP($D352,$C$5:$AT$528,3,))*$E352)</f>
        <v>0</v>
      </c>
      <c r="V352" s="45">
        <f>IF(VLOOKUP($D352,$C$5:$AT$528,3,)=0,0,(VLOOKUP($D352,$C$5:$AT$528,20,)/VLOOKUP($D352,$C$5:$AT$528,3,))*$E352)</f>
        <v>0</v>
      </c>
      <c r="W352" s="45">
        <f>IF(VLOOKUP($D352,$C$5:$AT$528,3,)=0,0,(VLOOKUP($D352,$C$5:$AT$528,21,)/VLOOKUP($D352,$C$5:$AT$528,3,))*$E352)</f>
        <v>0</v>
      </c>
      <c r="X352" s="45">
        <f>IF(VLOOKUP($D352,$C$5:$AT$528,3,)=0,0,(VLOOKUP($D352,$C$5:$AT$528,22,)/VLOOKUP($D352,$C$5:$AT$528,3,))*$E352)</f>
        <v>0</v>
      </c>
      <c r="Y352" s="45">
        <f>IF(VLOOKUP($D352,$C$5:$AT$528,3,)=0,0,(VLOOKUP($D352,$C$5:$AT$528,23,)/VLOOKUP($D352,$C$5:$AT$528,3,))*$E352)</f>
        <v>0</v>
      </c>
      <c r="Z352" s="45">
        <f>IF(VLOOKUP($D352,$C$5:$AT$528,3,)=0,0,(VLOOKUP($D352,$C$5:$AT$528,24,)/VLOOKUP($D352,$C$5:$AT$528,3,))*$E352)</f>
        <v>0</v>
      </c>
      <c r="AA352" s="45">
        <f>IF(VLOOKUP($D352,$C$5:$AT$528,3,)=0,0,(VLOOKUP($D352,$C$5:$AT$528,25,)/VLOOKUP($D352,$C$5:$AT$528,3,))*$E352)</f>
        <v>0</v>
      </c>
      <c r="AB352" s="45">
        <f>IF(VLOOKUP($D352,$C$5:$AT$528,3,)=0,0,(VLOOKUP($D352,$C$5:$AT$528,26,)/VLOOKUP($D352,$C$5:$AT$528,3,))*$E352)</f>
        <v>0</v>
      </c>
      <c r="AC352" s="45">
        <f>IF(VLOOKUP($D352,$C$5:$AT$528,3,)=0,0,(VLOOKUP($D352,$C$5:$AT$528,27,)/VLOOKUP($D352,$C$5:$AT$528,3,))*$E352)</f>
        <v>0</v>
      </c>
      <c r="AD352" s="45">
        <f>IF(VLOOKUP($D352,$C$5:$AT$528,3,)=0,0,(VLOOKUP($D352,$C$5:$AT$528,28,)/VLOOKUP($D352,$C$5:$AT$528,3,))*$E352)</f>
        <v>0</v>
      </c>
      <c r="AE352" s="45">
        <f>IF(VLOOKUP($D352,$C$5:$AT$528,3,)=0,0,(VLOOKUP($D352,$C$5:$AT$528,29,)/VLOOKUP($D352,$C$5:$AT$528,3,))*$E352)</f>
        <v>0</v>
      </c>
      <c r="AF352" s="45">
        <f>IF(VLOOKUP($D352,$C$5:$AT$528,3,)=0,0,(VLOOKUP($D352,$C$5:$AT$528,30,)/VLOOKUP($D352,$C$5:$AT$528,3,))*$E352)</f>
        <v>0</v>
      </c>
      <c r="AG352" s="69">
        <f t="shared" si="90"/>
        <v>0</v>
      </c>
      <c r="AH352" s="14" t="str">
        <f t="shared" si="91"/>
        <v>ok</v>
      </c>
    </row>
    <row r="353" spans="1:52" hidden="1" x14ac:dyDescent="0.2">
      <c r="B353" s="2" t="s">
        <v>988</v>
      </c>
      <c r="D353" s="2" t="s">
        <v>561</v>
      </c>
      <c r="E353" s="69">
        <v>0</v>
      </c>
      <c r="F353" s="45">
        <f t="shared" si="86"/>
        <v>0</v>
      </c>
      <c r="G353" s="45">
        <f t="shared" si="87"/>
        <v>0</v>
      </c>
      <c r="H353" s="45">
        <f t="shared" si="88"/>
        <v>0</v>
      </c>
      <c r="I353" s="45">
        <f t="shared" si="89"/>
        <v>0</v>
      </c>
      <c r="J353" s="45">
        <v>0</v>
      </c>
      <c r="K353" s="45">
        <v>0</v>
      </c>
      <c r="L353" s="45">
        <v>0</v>
      </c>
      <c r="M353" s="45">
        <f>IF(VLOOKUP($D353,$C$5:$AT$528,3,)=0,0,(VLOOKUP($D353,$C$5:$AT$528,11,)/VLOOKUP($D353,$C$5:$AT$528,3,))*$E353)</f>
        <v>0</v>
      </c>
      <c r="N353" s="45">
        <f>IF(VLOOKUP($D353,$C$5:$AT$528,3,)=0,0,(VLOOKUP($D353,$C$5:$AT$528,12,)/VLOOKUP($D353,$C$5:$AT$528,3,))*$E353)</f>
        <v>0</v>
      </c>
      <c r="O353" s="45">
        <f>IF(VLOOKUP($D353,$C$5:$AT$528,3,)=0,0,(VLOOKUP($D353,$C$5:$AT$528,13,)/VLOOKUP($D353,$C$5:$AT$528,3,))*$E353)</f>
        <v>0</v>
      </c>
      <c r="P353" s="45">
        <f>IF(VLOOKUP($D353,$C$5:$AT$528,3,)=0,0,(VLOOKUP($D353,$C$5:$AT$528,14,)/VLOOKUP($D353,$C$5:$AT$528,3,))*$E353)</f>
        <v>0</v>
      </c>
      <c r="Q353" s="45">
        <f>IF(VLOOKUP($D353,$C$5:$AT$528,3,)=0,0,(VLOOKUP($D353,$C$5:$AT$528,15,)/VLOOKUP($D353,$C$5:$AT$528,3,))*$E353)</f>
        <v>0</v>
      </c>
      <c r="R353" s="45">
        <f>IF(VLOOKUP($D353,$C$5:$AT$528,3,)=0,0,(VLOOKUP($D353,$C$5:$AT$528,16,)/VLOOKUP($D353,$C$5:$AT$528,3,))*$E353)</f>
        <v>0</v>
      </c>
      <c r="S353" s="45">
        <f>IF(VLOOKUP($D353,$C$5:$AT$528,3,)=0,0,(VLOOKUP($D353,$C$5:$AT$528,17,)/VLOOKUP($D353,$C$5:$AT$528,3,))*$E353)</f>
        <v>0</v>
      </c>
      <c r="T353" s="45">
        <f>IF(VLOOKUP($D353,$C$5:$AT$528,3,)=0,0,(VLOOKUP($D353,$C$5:$AT$528,18,)/VLOOKUP($D353,$C$5:$AT$528,3,))*$E353)</f>
        <v>0</v>
      </c>
      <c r="U353" s="45">
        <f>IF(VLOOKUP($D353,$C$5:$AT$528,3,)=0,0,(VLOOKUP($D353,$C$5:$AT$528,19,)/VLOOKUP($D353,$C$5:$AT$528,3,))*$E353)</f>
        <v>0</v>
      </c>
      <c r="V353" s="45">
        <f>IF(VLOOKUP($D353,$C$5:$AT$528,3,)=0,0,(VLOOKUP($D353,$C$5:$AT$528,20,)/VLOOKUP($D353,$C$5:$AT$528,3,))*$E353)</f>
        <v>0</v>
      </c>
      <c r="W353" s="45">
        <f>IF(VLOOKUP($D353,$C$5:$AT$528,3,)=0,0,(VLOOKUP($D353,$C$5:$AT$528,21,)/VLOOKUP($D353,$C$5:$AT$528,3,))*$E353)</f>
        <v>0</v>
      </c>
      <c r="X353" s="45">
        <f>IF(VLOOKUP($D353,$C$5:$AT$528,3,)=0,0,(VLOOKUP($D353,$C$5:$AT$528,22,)/VLOOKUP($D353,$C$5:$AT$528,3,))*$E353)</f>
        <v>0</v>
      </c>
      <c r="Y353" s="45">
        <f>IF(VLOOKUP($D353,$C$5:$AT$528,3,)=0,0,(VLOOKUP($D353,$C$5:$AT$528,23,)/VLOOKUP($D353,$C$5:$AT$528,3,))*$E353)</f>
        <v>0</v>
      </c>
      <c r="Z353" s="45">
        <f>IF(VLOOKUP($D353,$C$5:$AT$528,3,)=0,0,(VLOOKUP($D353,$C$5:$AT$528,24,)/VLOOKUP($D353,$C$5:$AT$528,3,))*$E353)</f>
        <v>0</v>
      </c>
      <c r="AA353" s="45">
        <f>IF(VLOOKUP($D353,$C$5:$AT$528,3,)=0,0,(VLOOKUP($D353,$C$5:$AT$528,25,)/VLOOKUP($D353,$C$5:$AT$528,3,))*$E353)</f>
        <v>0</v>
      </c>
      <c r="AB353" s="45">
        <f>IF(VLOOKUP($D353,$C$5:$AT$528,3,)=0,0,(VLOOKUP($D353,$C$5:$AT$528,26,)/VLOOKUP($D353,$C$5:$AT$528,3,))*$E353)</f>
        <v>0</v>
      </c>
      <c r="AC353" s="45">
        <f>IF(VLOOKUP($D353,$C$5:$AT$528,3,)=0,0,(VLOOKUP($D353,$C$5:$AT$528,27,)/VLOOKUP($D353,$C$5:$AT$528,3,))*$E353)</f>
        <v>0</v>
      </c>
      <c r="AD353" s="45">
        <f>IF(VLOOKUP($D353,$C$5:$AT$528,3,)=0,0,(VLOOKUP($D353,$C$5:$AT$528,28,)/VLOOKUP($D353,$C$5:$AT$528,3,))*$E353)</f>
        <v>0</v>
      </c>
      <c r="AE353" s="45">
        <f>IF(VLOOKUP($D353,$C$5:$AT$528,3,)=0,0,(VLOOKUP($D353,$C$5:$AT$528,29,)/VLOOKUP($D353,$C$5:$AT$528,3,))*$E353)</f>
        <v>0</v>
      </c>
      <c r="AF353" s="45">
        <f>IF(VLOOKUP($D353,$C$5:$AT$528,3,)=0,0,(VLOOKUP($D353,$C$5:$AT$528,30,)/VLOOKUP($D353,$C$5:$AT$528,3,))*$E353)</f>
        <v>0</v>
      </c>
      <c r="AG353" s="69">
        <f t="shared" ref="AG353:AG355" si="92">SUM(F353:AF353)</f>
        <v>0</v>
      </c>
      <c r="AH353" s="14" t="str">
        <f t="shared" si="91"/>
        <v>ok</v>
      </c>
    </row>
    <row r="354" spans="1:52" hidden="1" x14ac:dyDescent="0.2">
      <c r="B354" s="2" t="s">
        <v>988</v>
      </c>
      <c r="D354" s="2" t="s">
        <v>561</v>
      </c>
      <c r="E354" s="69">
        <v>0</v>
      </c>
      <c r="F354" s="45">
        <f t="shared" si="86"/>
        <v>0</v>
      </c>
      <c r="G354" s="45">
        <f t="shared" si="87"/>
        <v>0</v>
      </c>
      <c r="H354" s="45">
        <f t="shared" si="88"/>
        <v>0</v>
      </c>
      <c r="I354" s="45">
        <f t="shared" si="89"/>
        <v>0</v>
      </c>
      <c r="J354" s="45">
        <v>0</v>
      </c>
      <c r="K354" s="45">
        <v>0</v>
      </c>
      <c r="L354" s="45">
        <v>0</v>
      </c>
      <c r="M354" s="45">
        <f>IF(VLOOKUP($D354,$C$5:$AT$528,3,)=0,0,(VLOOKUP($D354,$C$5:$AT$528,11,)/VLOOKUP($D354,$C$5:$AT$528,3,))*$E354)</f>
        <v>0</v>
      </c>
      <c r="N354" s="45">
        <f>IF(VLOOKUP($D354,$C$5:$AT$528,3,)=0,0,(VLOOKUP($D354,$C$5:$AT$528,12,)/VLOOKUP($D354,$C$5:$AT$528,3,))*$E354)</f>
        <v>0</v>
      </c>
      <c r="O354" s="45">
        <f>IF(VLOOKUP($D354,$C$5:$AT$528,3,)=0,0,(VLOOKUP($D354,$C$5:$AT$528,13,)/VLOOKUP($D354,$C$5:$AT$528,3,))*$E354)</f>
        <v>0</v>
      </c>
      <c r="P354" s="45">
        <f>IF(VLOOKUP($D354,$C$5:$AT$528,3,)=0,0,(VLOOKUP($D354,$C$5:$AT$528,14,)/VLOOKUP($D354,$C$5:$AT$528,3,))*$E354)</f>
        <v>0</v>
      </c>
      <c r="Q354" s="45">
        <f>IF(VLOOKUP($D354,$C$5:$AT$528,3,)=0,0,(VLOOKUP($D354,$C$5:$AT$528,15,)/VLOOKUP($D354,$C$5:$AT$528,3,))*$E354)</f>
        <v>0</v>
      </c>
      <c r="R354" s="45">
        <f>IF(VLOOKUP($D354,$C$5:$AT$528,3,)=0,0,(VLOOKUP($D354,$C$5:$AT$528,16,)/VLOOKUP($D354,$C$5:$AT$528,3,))*$E354)</f>
        <v>0</v>
      </c>
      <c r="S354" s="45">
        <f>IF(VLOOKUP($D354,$C$5:$AT$528,3,)=0,0,(VLOOKUP($D354,$C$5:$AT$528,17,)/VLOOKUP($D354,$C$5:$AT$528,3,))*$E354)</f>
        <v>0</v>
      </c>
      <c r="T354" s="45">
        <f>IF(VLOOKUP($D354,$C$5:$AT$528,3,)=0,0,(VLOOKUP($D354,$C$5:$AT$528,18,)/VLOOKUP($D354,$C$5:$AT$528,3,))*$E354)</f>
        <v>0</v>
      </c>
      <c r="U354" s="45">
        <f>IF(VLOOKUP($D354,$C$5:$AT$528,3,)=0,0,(VLOOKUP($D354,$C$5:$AT$528,19,)/VLOOKUP($D354,$C$5:$AT$528,3,))*$E354)</f>
        <v>0</v>
      </c>
      <c r="V354" s="45">
        <f>IF(VLOOKUP($D354,$C$5:$AT$528,3,)=0,0,(VLOOKUP($D354,$C$5:$AT$528,20,)/VLOOKUP($D354,$C$5:$AT$528,3,))*$E354)</f>
        <v>0</v>
      </c>
      <c r="W354" s="45">
        <f>IF(VLOOKUP($D354,$C$5:$AT$528,3,)=0,0,(VLOOKUP($D354,$C$5:$AT$528,21,)/VLOOKUP($D354,$C$5:$AT$528,3,))*$E354)</f>
        <v>0</v>
      </c>
      <c r="X354" s="45">
        <f>IF(VLOOKUP($D354,$C$5:$AT$528,3,)=0,0,(VLOOKUP($D354,$C$5:$AT$528,22,)/VLOOKUP($D354,$C$5:$AT$528,3,))*$E354)</f>
        <v>0</v>
      </c>
      <c r="Y354" s="45">
        <f>IF(VLOOKUP($D354,$C$5:$AT$528,3,)=0,0,(VLOOKUP($D354,$C$5:$AT$528,23,)/VLOOKUP($D354,$C$5:$AT$528,3,))*$E354)</f>
        <v>0</v>
      </c>
      <c r="Z354" s="45">
        <f>IF(VLOOKUP($D354,$C$5:$AT$528,3,)=0,0,(VLOOKUP($D354,$C$5:$AT$528,24,)/VLOOKUP($D354,$C$5:$AT$528,3,))*$E354)</f>
        <v>0</v>
      </c>
      <c r="AA354" s="45">
        <f>IF(VLOOKUP($D354,$C$5:$AT$528,3,)=0,0,(VLOOKUP($D354,$C$5:$AT$528,25,)/VLOOKUP($D354,$C$5:$AT$528,3,))*$E354)</f>
        <v>0</v>
      </c>
      <c r="AB354" s="45">
        <f>IF(VLOOKUP($D354,$C$5:$AT$528,3,)=0,0,(VLOOKUP($D354,$C$5:$AT$528,26,)/VLOOKUP($D354,$C$5:$AT$528,3,))*$E354)</f>
        <v>0</v>
      </c>
      <c r="AC354" s="45">
        <f>IF(VLOOKUP($D354,$C$5:$AT$528,3,)=0,0,(VLOOKUP($D354,$C$5:$AT$528,27,)/VLOOKUP($D354,$C$5:$AT$528,3,))*$E354)</f>
        <v>0</v>
      </c>
      <c r="AD354" s="45">
        <f>IF(VLOOKUP($D354,$C$5:$AT$528,3,)=0,0,(VLOOKUP($D354,$C$5:$AT$528,28,)/VLOOKUP($D354,$C$5:$AT$528,3,))*$E354)</f>
        <v>0</v>
      </c>
      <c r="AE354" s="45">
        <f>IF(VLOOKUP($D354,$C$5:$AT$528,3,)=0,0,(VLOOKUP($D354,$C$5:$AT$528,29,)/VLOOKUP($D354,$C$5:$AT$528,3,))*$E354)</f>
        <v>0</v>
      </c>
      <c r="AF354" s="45">
        <f>IF(VLOOKUP($D354,$C$5:$AT$528,3,)=0,0,(VLOOKUP($D354,$C$5:$AT$528,30,)/VLOOKUP($D354,$C$5:$AT$528,3,))*$E354)</f>
        <v>0</v>
      </c>
      <c r="AG354" s="69">
        <f t="shared" si="92"/>
        <v>0</v>
      </c>
      <c r="AH354" s="14" t="str">
        <f t="shared" si="91"/>
        <v>ok</v>
      </c>
      <c r="AM354" s="2">
        <v>0</v>
      </c>
    </row>
    <row r="355" spans="1:52" s="217" customFormat="1" hidden="1" x14ac:dyDescent="0.2">
      <c r="B355" s="217" t="s">
        <v>1012</v>
      </c>
      <c r="E355" s="218">
        <f>$AJ355*$AI355</f>
        <v>0</v>
      </c>
      <c r="F355" s="219">
        <f>$AJ355*AK355</f>
        <v>0</v>
      </c>
      <c r="G355" s="219">
        <f t="shared" ref="G355:U355" si="93">$AJ355*AL355</f>
        <v>0</v>
      </c>
      <c r="H355" s="219">
        <f t="shared" si="93"/>
        <v>0</v>
      </c>
      <c r="I355" s="219">
        <f t="shared" si="93"/>
        <v>0</v>
      </c>
      <c r="J355" s="219">
        <f t="shared" si="93"/>
        <v>0</v>
      </c>
      <c r="K355" s="219">
        <f t="shared" si="93"/>
        <v>0</v>
      </c>
      <c r="L355" s="219">
        <f t="shared" si="93"/>
        <v>0</v>
      </c>
      <c r="M355" s="219">
        <f t="shared" si="93"/>
        <v>0</v>
      </c>
      <c r="N355" s="219">
        <f t="shared" si="93"/>
        <v>0</v>
      </c>
      <c r="O355" s="219">
        <f t="shared" si="93"/>
        <v>0</v>
      </c>
      <c r="P355" s="219">
        <f t="shared" si="93"/>
        <v>0</v>
      </c>
      <c r="Q355" s="219">
        <f t="shared" si="93"/>
        <v>0</v>
      </c>
      <c r="R355" s="219">
        <f t="shared" si="93"/>
        <v>0</v>
      </c>
      <c r="S355" s="219">
        <f t="shared" si="93"/>
        <v>0</v>
      </c>
      <c r="T355" s="219">
        <f t="shared" si="93"/>
        <v>0</v>
      </c>
      <c r="U355" s="219">
        <f t="shared" si="93"/>
        <v>0</v>
      </c>
      <c r="V355" s="219">
        <v>0</v>
      </c>
      <c r="W355" s="219">
        <v>0</v>
      </c>
      <c r="X355" s="219">
        <v>0</v>
      </c>
      <c r="Y355" s="219">
        <v>0</v>
      </c>
      <c r="Z355" s="219">
        <v>0</v>
      </c>
      <c r="AA355" s="219">
        <v>0</v>
      </c>
      <c r="AB355" s="219">
        <v>0</v>
      </c>
      <c r="AC355" s="219">
        <v>0</v>
      </c>
      <c r="AD355" s="219">
        <v>0</v>
      </c>
      <c r="AE355" s="219">
        <v>0</v>
      </c>
      <c r="AF355" s="219">
        <v>0</v>
      </c>
      <c r="AG355" s="218">
        <f t="shared" si="92"/>
        <v>0</v>
      </c>
      <c r="AH355" s="220" t="str">
        <f t="shared" ref="AH355" si="94">IF(ABS(E355-AG355)&lt;0.01,"ok","err")</f>
        <v>ok</v>
      </c>
      <c r="AI355" s="221">
        <f>SUM(AK355:AZ355)</f>
        <v>2365821.9966069995</v>
      </c>
      <c r="AJ355" s="221">
        <v>0</v>
      </c>
      <c r="AK355" s="221">
        <v>2356922.6612059996</v>
      </c>
      <c r="AL355" s="221"/>
      <c r="AM355" s="221">
        <v>45.840000000000146</v>
      </c>
      <c r="AN355" s="221">
        <v>0</v>
      </c>
      <c r="AO355" s="221">
        <v>0</v>
      </c>
      <c r="AP355" s="221">
        <v>1852.0324549999968</v>
      </c>
      <c r="AQ355" s="221"/>
      <c r="AR355" s="221">
        <v>0</v>
      </c>
      <c r="AS355" s="221">
        <v>0</v>
      </c>
      <c r="AT355" s="221">
        <v>0</v>
      </c>
      <c r="AU355" s="221">
        <v>0</v>
      </c>
      <c r="AV355" s="221">
        <v>7001.4629459999851</v>
      </c>
      <c r="AW355" s="221">
        <v>0</v>
      </c>
      <c r="AX355" s="221">
        <v>0</v>
      </c>
      <c r="AY355" s="221">
        <v>0</v>
      </c>
      <c r="AZ355" s="221">
        <v>0</v>
      </c>
    </row>
    <row r="356" spans="1:52" x14ac:dyDescent="0.2">
      <c r="B356" s="11" t="s">
        <v>866</v>
      </c>
      <c r="E356" s="162">
        <f t="shared" ref="E356:AG356" si="95">SUM(E341:E355)</f>
        <v>-8570607.1199999992</v>
      </c>
      <c r="F356" s="162">
        <f t="shared" si="95"/>
        <v>-6160389.0821594484</v>
      </c>
      <c r="G356" s="162">
        <f t="shared" si="95"/>
        <v>0</v>
      </c>
      <c r="H356" s="162">
        <f t="shared" si="95"/>
        <v>-144.26552310398088</v>
      </c>
      <c r="I356" s="162">
        <f t="shared" si="95"/>
        <v>-389228.64193628071</v>
      </c>
      <c r="J356" s="162">
        <f t="shared" si="95"/>
        <v>-935441.94135293155</v>
      </c>
      <c r="K356" s="162">
        <f t="shared" si="95"/>
        <v>-2082.1210985113212</v>
      </c>
      <c r="L356" s="162">
        <f t="shared" si="95"/>
        <v>0</v>
      </c>
      <c r="M356" s="162">
        <f t="shared" si="95"/>
        <v>-322038.73793351609</v>
      </c>
      <c r="N356" s="162">
        <f t="shared" si="95"/>
        <v>-403543.78963005706</v>
      </c>
      <c r="O356" s="162">
        <f t="shared" si="95"/>
        <v>-100031.74826981561</v>
      </c>
      <c r="P356" s="162">
        <f t="shared" si="95"/>
        <v>-9845.6847594534029</v>
      </c>
      <c r="Q356" s="162">
        <f t="shared" si="95"/>
        <v>-22621.15462388115</v>
      </c>
      <c r="R356" s="162">
        <f t="shared" si="95"/>
        <v>-212581.2972828082</v>
      </c>
      <c r="S356" s="162">
        <f t="shared" si="95"/>
        <v>0</v>
      </c>
      <c r="T356" s="162">
        <f t="shared" si="95"/>
        <v>-7223.0584220981436</v>
      </c>
      <c r="U356" s="162">
        <f t="shared" si="95"/>
        <v>-5435.5970968252559</v>
      </c>
      <c r="V356" s="162">
        <f t="shared" si="95"/>
        <v>0</v>
      </c>
      <c r="W356" s="162">
        <f t="shared" si="95"/>
        <v>0</v>
      </c>
      <c r="X356" s="162">
        <f t="shared" si="95"/>
        <v>0</v>
      </c>
      <c r="Y356" s="162">
        <f t="shared" si="95"/>
        <v>0</v>
      </c>
      <c r="Z356" s="162">
        <f t="shared" si="95"/>
        <v>0</v>
      </c>
      <c r="AA356" s="162">
        <f t="shared" si="95"/>
        <v>0</v>
      </c>
      <c r="AB356" s="162">
        <f t="shared" si="95"/>
        <v>0</v>
      </c>
      <c r="AC356" s="162">
        <f t="shared" si="95"/>
        <v>0</v>
      </c>
      <c r="AD356" s="162">
        <f t="shared" si="95"/>
        <v>0</v>
      </c>
      <c r="AE356" s="162">
        <f t="shared" si="95"/>
        <v>0</v>
      </c>
      <c r="AF356" s="162">
        <f t="shared" si="95"/>
        <v>0</v>
      </c>
      <c r="AG356" s="162">
        <f t="shared" si="95"/>
        <v>-8570607.12008873</v>
      </c>
      <c r="AH356" s="14" t="str">
        <f t="shared" si="91"/>
        <v>ok</v>
      </c>
      <c r="AK356" s="2">
        <v>1</v>
      </c>
      <c r="AL356" s="2">
        <v>2</v>
      </c>
      <c r="AM356" s="2">
        <v>3</v>
      </c>
      <c r="AN356" s="2">
        <v>4</v>
      </c>
      <c r="AO356" s="2">
        <v>5</v>
      </c>
      <c r="AP356" s="2">
        <v>7</v>
      </c>
      <c r="AQ356" s="2">
        <v>8</v>
      </c>
      <c r="AR356" s="2">
        <v>9</v>
      </c>
      <c r="AS356" s="2">
        <v>10</v>
      </c>
      <c r="AT356" s="2">
        <v>14</v>
      </c>
      <c r="AU356" s="2">
        <v>15</v>
      </c>
      <c r="AV356" s="2">
        <v>20</v>
      </c>
      <c r="AW356" s="2">
        <v>24</v>
      </c>
      <c r="AX356" s="2">
        <v>36</v>
      </c>
      <c r="AY356" s="2">
        <v>50</v>
      </c>
      <c r="AZ356" s="2" t="s">
        <v>1169</v>
      </c>
    </row>
    <row r="357" spans="1:52" x14ac:dyDescent="0.2">
      <c r="A357" s="2" t="s">
        <v>723</v>
      </c>
      <c r="B357" s="2" t="s">
        <v>723</v>
      </c>
    </row>
    <row r="358" spans="1:52" x14ac:dyDescent="0.2">
      <c r="A358" s="2" t="s">
        <v>570</v>
      </c>
      <c r="E358" s="69">
        <f>E338+E356</f>
        <v>53573949.150000006</v>
      </c>
      <c r="F358" s="69">
        <f t="shared" ref="F358:AG358" si="96">F338+F356</f>
        <v>35501788.030820653</v>
      </c>
      <c r="G358" s="69">
        <f t="shared" si="96"/>
        <v>0</v>
      </c>
      <c r="H358" s="69">
        <f t="shared" si="96"/>
        <v>1304.3030800123249</v>
      </c>
      <c r="I358" s="69">
        <f t="shared" si="96"/>
        <v>4054834.5061819358</v>
      </c>
      <c r="J358" s="69">
        <f t="shared" si="96"/>
        <v>5705659.2528966283</v>
      </c>
      <c r="K358" s="69">
        <f t="shared" si="96"/>
        <v>16654.036776055716</v>
      </c>
      <c r="L358" s="69">
        <f t="shared" si="96"/>
        <v>0</v>
      </c>
      <c r="M358" s="69">
        <f t="shared" si="96"/>
        <v>2140736.2552060075</v>
      </c>
      <c r="N358" s="69">
        <f t="shared" si="96"/>
        <v>2633142.3076034933</v>
      </c>
      <c r="O358" s="69">
        <f t="shared" si="96"/>
        <v>704463.35082548531</v>
      </c>
      <c r="P358" s="69">
        <f t="shared" si="96"/>
        <v>109018.71280564634</v>
      </c>
      <c r="Q358" s="69">
        <f t="shared" si="96"/>
        <v>107261.2918490968</v>
      </c>
      <c r="R358" s="69">
        <f t="shared" si="96"/>
        <v>1357529.1227171917</v>
      </c>
      <c r="S358" s="69">
        <f t="shared" si="96"/>
        <v>0</v>
      </c>
      <c r="T358" s="69">
        <f t="shared" si="96"/>
        <v>66922.076245885779</v>
      </c>
      <c r="U358" s="69">
        <f t="shared" si="96"/>
        <v>1174635.9029031747</v>
      </c>
      <c r="V358" s="69">
        <f t="shared" si="96"/>
        <v>0</v>
      </c>
      <c r="W358" s="69">
        <f t="shared" si="96"/>
        <v>0</v>
      </c>
      <c r="X358" s="69">
        <f t="shared" si="96"/>
        <v>0</v>
      </c>
      <c r="Y358" s="69">
        <f t="shared" si="96"/>
        <v>0</v>
      </c>
      <c r="Z358" s="69">
        <f t="shared" si="96"/>
        <v>0</v>
      </c>
      <c r="AA358" s="69">
        <f t="shared" si="96"/>
        <v>0</v>
      </c>
      <c r="AB358" s="69">
        <f t="shared" si="96"/>
        <v>0</v>
      </c>
      <c r="AC358" s="69">
        <f t="shared" si="96"/>
        <v>0</v>
      </c>
      <c r="AD358" s="69">
        <f t="shared" si="96"/>
        <v>0</v>
      </c>
      <c r="AE358" s="69">
        <f t="shared" si="96"/>
        <v>0</v>
      </c>
      <c r="AF358" s="69">
        <f t="shared" si="96"/>
        <v>0</v>
      </c>
      <c r="AG358" s="69">
        <f t="shared" si="96"/>
        <v>53573949.149911255</v>
      </c>
      <c r="AH358" s="14" t="str">
        <f>IF(ABS(E358-AG358)&lt;0.01,"ok","err")</f>
        <v>ok</v>
      </c>
      <c r="AK358" s="146">
        <v>1903341.13</v>
      </c>
      <c r="AL358" s="146"/>
      <c r="AM358" s="146">
        <v>4.4800000000000004</v>
      </c>
      <c r="AN358" s="146">
        <v>0</v>
      </c>
      <c r="AO358" s="146">
        <v>0</v>
      </c>
      <c r="AP358" s="146">
        <v>7854.4</v>
      </c>
      <c r="AQ358" s="146">
        <v>0</v>
      </c>
      <c r="AR358" s="146">
        <v>0</v>
      </c>
      <c r="AS358" s="146">
        <v>0</v>
      </c>
      <c r="AT358" s="146">
        <v>0</v>
      </c>
      <c r="AU358" s="146">
        <v>0</v>
      </c>
      <c r="AV358" s="146">
        <v>72156.75</v>
      </c>
      <c r="AW358" s="146">
        <v>0</v>
      </c>
      <c r="AX358" s="146">
        <v>0</v>
      </c>
      <c r="AY358" s="146">
        <v>0</v>
      </c>
      <c r="AZ358" s="146">
        <v>382479.81</v>
      </c>
    </row>
    <row r="360" spans="1:52" x14ac:dyDescent="0.2">
      <c r="A360" s="1" t="s">
        <v>327</v>
      </c>
    </row>
    <row r="362" spans="1:52" x14ac:dyDescent="0.2">
      <c r="A362" s="2" t="s">
        <v>571</v>
      </c>
      <c r="C362" s="2" t="s">
        <v>198</v>
      </c>
      <c r="E362" s="69">
        <f t="shared" ref="E362:V362" si="97">E324</f>
        <v>57553633.589999996</v>
      </c>
      <c r="F362" s="69">
        <f t="shared" si="97"/>
        <v>40923488.011446714</v>
      </c>
      <c r="G362" s="69">
        <f t="shared" si="97"/>
        <v>0</v>
      </c>
      <c r="H362" s="69">
        <f t="shared" si="97"/>
        <v>1352.5122598172463</v>
      </c>
      <c r="I362" s="69">
        <f t="shared" si="97"/>
        <v>3981021.7486462872</v>
      </c>
      <c r="J362" s="69">
        <f t="shared" si="97"/>
        <v>5153414.101381612</v>
      </c>
      <c r="K362" s="69">
        <f t="shared" si="97"/>
        <v>24849.424060549733</v>
      </c>
      <c r="L362" s="69">
        <f t="shared" si="97"/>
        <v>0</v>
      </c>
      <c r="M362" s="69">
        <f t="shared" si="97"/>
        <v>2081680.3915853158</v>
      </c>
      <c r="N362" s="69">
        <f t="shared" si="97"/>
        <v>2664365.3599736923</v>
      </c>
      <c r="O362" s="69">
        <f t="shared" si="97"/>
        <v>685525.71480048215</v>
      </c>
      <c r="P362" s="69">
        <f t="shared" si="97"/>
        <v>73871.129782512551</v>
      </c>
      <c r="Q362" s="69">
        <f t="shared" si="97"/>
        <v>190752.77718951492</v>
      </c>
      <c r="R362" s="69">
        <f t="shared" si="97"/>
        <v>1404334.4627495275</v>
      </c>
      <c r="S362" s="69">
        <f t="shared" si="97"/>
        <v>0</v>
      </c>
      <c r="T362" s="69">
        <f t="shared" si="97"/>
        <v>53540.523396985904</v>
      </c>
      <c r="U362" s="69">
        <f t="shared" si="97"/>
        <v>315437.43272699532</v>
      </c>
      <c r="V362" s="69">
        <f t="shared" si="97"/>
        <v>0</v>
      </c>
      <c r="W362" s="69">
        <f t="shared" ref="W362:AE362" si="98">W324-W125</f>
        <v>0</v>
      </c>
      <c r="X362" s="69">
        <f t="shared" si="98"/>
        <v>0</v>
      </c>
      <c r="Y362" s="69">
        <f t="shared" si="98"/>
        <v>0</v>
      </c>
      <c r="Z362" s="69">
        <f t="shared" si="98"/>
        <v>0</v>
      </c>
      <c r="AA362" s="69">
        <f t="shared" si="98"/>
        <v>0</v>
      </c>
      <c r="AB362" s="69">
        <f t="shared" si="98"/>
        <v>0</v>
      </c>
      <c r="AC362" s="69">
        <f t="shared" si="98"/>
        <v>0</v>
      </c>
      <c r="AD362" s="69">
        <f t="shared" si="98"/>
        <v>0</v>
      </c>
      <c r="AE362" s="69">
        <f t="shared" si="98"/>
        <v>0</v>
      </c>
      <c r="AF362" s="69">
        <f>AF324</f>
        <v>0</v>
      </c>
      <c r="AG362" s="69">
        <f>SUM(F362:AF362)</f>
        <v>57553633.590000011</v>
      </c>
      <c r="AH362" s="14" t="str">
        <f>IF(ABS(E362-AG362)&lt;0.01,"ok","err")</f>
        <v>ok</v>
      </c>
    </row>
    <row r="364" spans="1:52" x14ac:dyDescent="0.2">
      <c r="A364" s="2" t="s">
        <v>569</v>
      </c>
    </row>
    <row r="365" spans="1:52" x14ac:dyDescent="0.2">
      <c r="A365" s="157">
        <v>1.01</v>
      </c>
      <c r="B365" s="156" t="s">
        <v>904</v>
      </c>
      <c r="D365" s="2" t="s">
        <v>214</v>
      </c>
      <c r="E365" s="69">
        <f>AK365*AJ365</f>
        <v>-2488284</v>
      </c>
      <c r="F365" s="45">
        <f>IF(VLOOKUP($D365,$C$5:$AT$528,3,)=0,0,(VLOOKUP($D365,$C$5:$AT$528,4,)/VLOOKUP($D365,$C$5:$AT$528,3,))*$E365)</f>
        <v>-1598821.6562861283</v>
      </c>
      <c r="G365" s="45">
        <f>IF(VLOOKUP($D365,$C$5:$AT$528,3,)=0,0,(VLOOKUP($D365,$C$5:$AT$528,5,)/VLOOKUP($D365,$C$5:$AT$528,3,))*$E365)</f>
        <v>0</v>
      </c>
      <c r="H365" s="45">
        <f>IF(VLOOKUP($D365,$C$5:$AT$528,3,)=0,0,(VLOOKUP($D365,$C$5:$AT$528,6,)/VLOOKUP($D365,$C$5:$AT$528,3,))*$E365)</f>
        <v>-57.309376471501515</v>
      </c>
      <c r="I365" s="45">
        <f>IF(VLOOKUP($D365,$C$5:$AT$528,3,)=0,0,(VLOOKUP($D365,$C$5:$AT$528,7,)/VLOOKUP($D365,$C$5:$AT$528,3,))*$E365)</f>
        <v>-177243.97453195509</v>
      </c>
      <c r="J365" s="45">
        <f>IF(VLOOKUP($D365,$C$5:$AT$528,3,)=0,0,(VLOOKUP($D365,$C$5:$AT$528,8,)/VLOOKUP($D365,$C$5:$AT$528,3,))*$E365)</f>
        <v>-273075.47569252097</v>
      </c>
      <c r="K365" s="45">
        <f>IF(VLOOKUP($D365,$C$5:$AT$528,3,)=0,0,(VLOOKUP($D365,$C$5:$AT$528,9,)/VLOOKUP($D365,$C$5:$AT$528,3,))*$E365)</f>
        <v>-1357.8928058283946</v>
      </c>
      <c r="L365" s="45">
        <f>IF(VLOOKUP($D365,$C$5:$AT$528,3,)=0,0,(VLOOKUP($D365,$C$5:$AT$528,10,)/VLOOKUP($D365,$C$5:$AT$528,3,))*$E365)</f>
        <v>0</v>
      </c>
      <c r="M365" s="45">
        <f>IF(VLOOKUP($D365,$C$5:$AT$528,3,)=0,0,(VLOOKUP($D365,$C$5:$AT$528,11,)/VLOOKUP($D365,$C$5:$AT$528,3,))*$E365)</f>
        <v>-125181.7872968611</v>
      </c>
      <c r="N365" s="45">
        <f>IF(VLOOKUP($D365,$C$5:$AT$528,3,)=0,0,(VLOOKUP($D365,$C$5:$AT$528,12,)/VLOOKUP($D365,$C$5:$AT$528,3,))*$E365)</f>
        <v>-169904.82804092404</v>
      </c>
      <c r="O365" s="45">
        <f>IF(VLOOKUP($D365,$C$5:$AT$528,3,)=0,0,(VLOOKUP($D365,$C$5:$AT$528,13,)/VLOOKUP($D365,$C$5:$AT$528,3,))*$E365)</f>
        <v>-41856.593329535252</v>
      </c>
      <c r="P365" s="45">
        <f>IF(VLOOKUP($D365,$C$5:$AT$528,3,)=0,0,(VLOOKUP($D365,$C$5:$AT$528,14,)/VLOOKUP($D365,$C$5:$AT$528,3,))*$E365)</f>
        <v>-3841.1150229958998</v>
      </c>
      <c r="Q365" s="45">
        <f>IF(VLOOKUP($D365,$C$5:$AT$528,3,)=0,0,(VLOOKUP($D365,$C$5:$AT$528,15,)/VLOOKUP($D365,$C$5:$AT$528,3,))*$E365)</f>
        <v>-8447.70184975954</v>
      </c>
      <c r="R365" s="45">
        <f>IF(VLOOKUP($D365,$C$5:$AT$528,3,)=0,0,(VLOOKUP($D365,$C$5:$AT$528,16,)/VLOOKUP($D365,$C$5:$AT$528,3,))*$E365)</f>
        <v>-83424.422033411101</v>
      </c>
      <c r="S365" s="45">
        <f>IF(VLOOKUP($D365,$C$5:$AT$528,3,)=0,0,(VLOOKUP($D365,$C$5:$AT$528,17,)/VLOOKUP($D365,$C$5:$AT$528,3,))*$E365)</f>
        <v>0</v>
      </c>
      <c r="T365" s="45">
        <f>IF(VLOOKUP($D365,$C$5:$AT$528,3,)=0,0,(VLOOKUP($D365,$C$5:$AT$528,18,)/VLOOKUP($D365,$C$5:$AT$528,3,))*$E365)</f>
        <v>-2886.7403005973915</v>
      </c>
      <c r="U365" s="45">
        <f>IF(VLOOKUP($D365,$C$5:$AT$528,3,)=0,0,(VLOOKUP($D365,$C$5:$AT$528,19,)/VLOOKUP($D365,$C$5:$AT$528,3,))*$E365)</f>
        <v>-2184.5034330113031</v>
      </c>
      <c r="V365" s="45">
        <f>IF(VLOOKUP($D365,$C$5:$AT$528,3,)=0,0,(VLOOKUP($D365,$C$5:$AT$528,20,)/VLOOKUP($D365,$C$5:$AT$528,3,))*$E365)</f>
        <v>0</v>
      </c>
      <c r="W365" s="45">
        <f>IF(VLOOKUP($D365,$C$5:$AT$528,3,)=0,0,(VLOOKUP($D365,$C$5:$AT$528,21,)/VLOOKUP($D365,$C$5:$AT$528,3,))*$E365)</f>
        <v>0</v>
      </c>
      <c r="X365" s="45">
        <f>IF(VLOOKUP($D365,$C$5:$AT$528,3,)=0,0,(VLOOKUP($D365,$C$5:$AT$528,22,)/VLOOKUP($D365,$C$5:$AT$528,3,))*$E365)</f>
        <v>0</v>
      </c>
      <c r="Y365" s="45">
        <f>IF(VLOOKUP($D365,$C$5:$AT$528,3,)=0,0,(VLOOKUP($D365,$C$5:$AT$528,23,)/VLOOKUP($D365,$C$5:$AT$528,3,))*$E365)</f>
        <v>0</v>
      </c>
      <c r="Z365" s="45">
        <f>IF(VLOOKUP($D365,$C$5:$AT$528,3,)=0,0,(VLOOKUP($D365,$C$5:$AT$528,24,)/VLOOKUP($D365,$C$5:$AT$528,3,))*$E365)</f>
        <v>0</v>
      </c>
      <c r="AA365" s="45">
        <f>IF(VLOOKUP($D365,$C$5:$AT$528,3,)=0,0,(VLOOKUP($D365,$C$5:$AT$528,25,)/VLOOKUP($D365,$C$5:$AT$528,3,))*$E365)</f>
        <v>0</v>
      </c>
      <c r="AB365" s="45">
        <f>IF(VLOOKUP($D365,$C$5:$AT$528,3,)=0,0,(VLOOKUP($D365,$C$5:$AT$528,26,)/VLOOKUP($D365,$C$5:$AT$528,3,))*$E365)</f>
        <v>0</v>
      </c>
      <c r="AC365" s="45">
        <f>IF(VLOOKUP($D365,$C$5:$AT$528,3,)=0,0,(VLOOKUP($D365,$C$5:$AT$528,27,)/VLOOKUP($D365,$C$5:$AT$528,3,))*$E365)</f>
        <v>0</v>
      </c>
      <c r="AD365" s="45">
        <f>IF(VLOOKUP($D365,$C$5:$AT$528,3,)=0,0,(VLOOKUP($D365,$C$5:$AT$528,28,)/VLOOKUP($D365,$C$5:$AT$528,3,))*$E365)</f>
        <v>0</v>
      </c>
      <c r="AE365" s="45">
        <f>IF(VLOOKUP($D365,$C$5:$AT$528,3,)=0,0,(VLOOKUP($D365,$C$5:$AT$528,29,)/VLOOKUP($D365,$C$5:$AT$528,3,))*$E365)</f>
        <v>0</v>
      </c>
      <c r="AF365" s="45">
        <f>IF(VLOOKUP($D365,$C$5:$AT$528,3,)=0,0,(VLOOKUP($D365,$C$5:$AT$528,30,)/VLOOKUP($D365,$C$5:$AT$528,3,))*$E365)</f>
        <v>0</v>
      </c>
      <c r="AG365" s="69">
        <f t="shared" ref="AG365:AG391" si="99">SUM(F365:AF365)</f>
        <v>-2488284.0000000005</v>
      </c>
      <c r="AH365" s="14" t="str">
        <f t="shared" ref="AH365:AH391" si="100">IF(ABS(E365-AG365)&lt;0.01,"ok","err")</f>
        <v>ok</v>
      </c>
      <c r="AJ365" s="32">
        <f>AJ339</f>
        <v>1</v>
      </c>
      <c r="AK365" s="26">
        <v>-2488284</v>
      </c>
    </row>
    <row r="366" spans="1:52" x14ac:dyDescent="0.2">
      <c r="A366" s="157">
        <v>1.02</v>
      </c>
      <c r="B366" s="156" t="s">
        <v>903</v>
      </c>
      <c r="D366" s="2" t="s">
        <v>910</v>
      </c>
      <c r="E366" s="69">
        <f t="shared" ref="E366:E379" si="101">AK366*AJ366</f>
        <v>-6354826</v>
      </c>
      <c r="F366" s="45">
        <f>IF(VLOOKUP($D366,$C$5:$AT$528,3,)=0,0,(VLOOKUP($D366,$C$5:$AT$528,4,)/VLOOKUP($D366,$C$5:$AT$528,3,))*$E366)</f>
        <v>-4626343.2660022536</v>
      </c>
      <c r="G366" s="45">
        <f>IF(VLOOKUP($D366,$C$5:$AT$528,3,)=0,0,(VLOOKUP($D366,$C$5:$AT$528,5,)/VLOOKUP($D366,$C$5:$AT$528,3,))*$E366)</f>
        <v>0</v>
      </c>
      <c r="H366" s="45">
        <f>IF(VLOOKUP($D366,$C$5:$AT$528,3,)=0,0,(VLOOKUP($D366,$C$5:$AT$528,6,)/VLOOKUP($D366,$C$5:$AT$528,3,))*$E366)</f>
        <v>-86.95614663247936</v>
      </c>
      <c r="I366" s="45">
        <f>IF(VLOOKUP($D366,$C$5:$AT$528,3,)=0,0,(VLOOKUP($D366,$C$5:$AT$528,7,)/VLOOKUP($D366,$C$5:$AT$528,3,))*$E366)</f>
        <v>-415428.82304691017</v>
      </c>
      <c r="J366" s="45">
        <f>IF(VLOOKUP($D366,$C$5:$AT$528,3,)=0,0,(VLOOKUP($D366,$C$5:$AT$528,8,)/VLOOKUP($D366,$C$5:$AT$528,3,))*$E366)</f>
        <v>-662366.46566041058</v>
      </c>
      <c r="K366" s="45">
        <f>IF(VLOOKUP($D366,$C$5:$AT$528,3,)=0,0,(VLOOKUP($D366,$C$5:$AT$528,9,)/VLOOKUP($D366,$C$5:$AT$528,3,))*$E366)</f>
        <v>0</v>
      </c>
      <c r="L366" s="45">
        <f>IF(VLOOKUP($D366,$C$5:$AT$528,3,)=0,0,(VLOOKUP($D366,$C$5:$AT$528,10,)/VLOOKUP($D366,$C$5:$AT$528,3,))*$E366)</f>
        <v>0</v>
      </c>
      <c r="M366" s="45">
        <f>IF(VLOOKUP($D366,$C$5:$AT$528,3,)=0,0,(VLOOKUP($D366,$C$5:$AT$528,11,)/VLOOKUP($D366,$C$5:$AT$528,3,))*$E366)</f>
        <v>-196856.950636655</v>
      </c>
      <c r="N366" s="45">
        <f>IF(VLOOKUP($D366,$C$5:$AT$528,3,)=0,0,(VLOOKUP($D366,$C$5:$AT$528,12,)/VLOOKUP($D366,$C$5:$AT$528,3,))*$E366)</f>
        <v>-233638.96158913305</v>
      </c>
      <c r="O366" s="45">
        <f>IF(VLOOKUP($D366,$C$5:$AT$528,3,)=0,0,(VLOOKUP($D366,$C$5:$AT$528,13,)/VLOOKUP($D366,$C$5:$AT$528,3,))*$E366)</f>
        <v>-58175.154940280358</v>
      </c>
      <c r="P366" s="45">
        <f>IF(VLOOKUP($D366,$C$5:$AT$528,3,)=0,0,(VLOOKUP($D366,$C$5:$AT$528,14,)/VLOOKUP($D366,$C$5:$AT$528,3,))*$E366)</f>
        <v>-6004.5697364575026</v>
      </c>
      <c r="Q366" s="45">
        <f>IF(VLOOKUP($D366,$C$5:$AT$528,3,)=0,0,(VLOOKUP($D366,$C$5:$AT$528,15,)/VLOOKUP($D366,$C$5:$AT$528,3,))*$E366)</f>
        <v>-19180.565206554038</v>
      </c>
      <c r="R366" s="45">
        <f>IF(VLOOKUP($D366,$C$5:$AT$528,3,)=0,0,(VLOOKUP($D366,$C$5:$AT$528,16,)/VLOOKUP($D366,$C$5:$AT$528,3,))*$E366)</f>
        <v>-129156.8752493971</v>
      </c>
      <c r="S366" s="45">
        <f>IF(VLOOKUP($D366,$C$5:$AT$528,3,)=0,0,(VLOOKUP($D366,$C$5:$AT$528,17,)/VLOOKUP($D366,$C$5:$AT$528,3,))*$E366)</f>
        <v>0</v>
      </c>
      <c r="T366" s="45">
        <f>IF(VLOOKUP($D366,$C$5:$AT$528,3,)=0,0,(VLOOKUP($D366,$C$5:$AT$528,18,)/VLOOKUP($D366,$C$5:$AT$528,3,))*$E366)</f>
        <v>-4336.3181215007517</v>
      </c>
      <c r="U366" s="45">
        <f>IF(VLOOKUP($D366,$C$5:$AT$528,3,)=0,0,(VLOOKUP($D366,$C$5:$AT$528,19,)/VLOOKUP($D366,$C$5:$AT$528,3,))*$E366)</f>
        <v>-3251.0936638139528</v>
      </c>
      <c r="V366" s="45">
        <f>IF(VLOOKUP($D366,$C$5:$AT$528,3,)=0,0,(VLOOKUP($D366,$C$5:$AT$528,20,)/VLOOKUP($D366,$C$5:$AT$528,3,))*$E366)</f>
        <v>0</v>
      </c>
      <c r="W366" s="45">
        <f>IF(VLOOKUP($D366,$C$5:$AT$528,3,)=0,0,(VLOOKUP($D366,$C$5:$AT$528,21,)/VLOOKUP($D366,$C$5:$AT$528,3,))*$E366)</f>
        <v>0</v>
      </c>
      <c r="X366" s="45">
        <f>IF(VLOOKUP($D366,$C$5:$AT$528,3,)=0,0,(VLOOKUP($D366,$C$5:$AT$528,22,)/VLOOKUP($D366,$C$5:$AT$528,3,))*$E366)</f>
        <v>0</v>
      </c>
      <c r="Y366" s="45">
        <f>IF(VLOOKUP($D366,$C$5:$AT$528,3,)=0,0,(VLOOKUP($D366,$C$5:$AT$528,23,)/VLOOKUP($D366,$C$5:$AT$528,3,))*$E366)</f>
        <v>0</v>
      </c>
      <c r="Z366" s="45">
        <f>IF(VLOOKUP($D366,$C$5:$AT$528,3,)=0,0,(VLOOKUP($D366,$C$5:$AT$528,24,)/VLOOKUP($D366,$C$5:$AT$528,3,))*$E366)</f>
        <v>0</v>
      </c>
      <c r="AA366" s="45">
        <f>IF(VLOOKUP($D366,$C$5:$AT$528,3,)=0,0,(VLOOKUP($D366,$C$5:$AT$528,25,)/VLOOKUP($D366,$C$5:$AT$528,3,))*$E366)</f>
        <v>0</v>
      </c>
      <c r="AB366" s="45">
        <f>IF(VLOOKUP($D366,$C$5:$AT$528,3,)=0,0,(VLOOKUP($D366,$C$5:$AT$528,26,)/VLOOKUP($D366,$C$5:$AT$528,3,))*$E366)</f>
        <v>0</v>
      </c>
      <c r="AC366" s="45">
        <f>IF(VLOOKUP($D366,$C$5:$AT$528,3,)=0,0,(VLOOKUP($D366,$C$5:$AT$528,27,)/VLOOKUP($D366,$C$5:$AT$528,3,))*$E366)</f>
        <v>0</v>
      </c>
      <c r="AD366" s="45">
        <f>IF(VLOOKUP($D366,$C$5:$AT$528,3,)=0,0,(VLOOKUP($D366,$C$5:$AT$528,28,)/VLOOKUP($D366,$C$5:$AT$528,3,))*$E366)</f>
        <v>0</v>
      </c>
      <c r="AE366" s="45">
        <f>IF(VLOOKUP($D366,$C$5:$AT$528,3,)=0,0,(VLOOKUP($D366,$C$5:$AT$528,29,)/VLOOKUP($D366,$C$5:$AT$528,3,))*$E366)</f>
        <v>0</v>
      </c>
      <c r="AF366" s="45">
        <f>IF(VLOOKUP($D366,$C$5:$AT$528,3,)=0,0,(VLOOKUP($D366,$C$5:$AT$528,30,)/VLOOKUP($D366,$C$5:$AT$528,3,))*$E366)</f>
        <v>0</v>
      </c>
      <c r="AG366" s="69">
        <f t="shared" si="99"/>
        <v>-6354825.9999999981</v>
      </c>
      <c r="AH366" s="14" t="str">
        <f t="shared" si="100"/>
        <v>ok</v>
      </c>
      <c r="AJ366" s="32">
        <f>AJ365</f>
        <v>1</v>
      </c>
      <c r="AK366" s="26">
        <v>-6354826</v>
      </c>
    </row>
    <row r="367" spans="1:52" x14ac:dyDescent="0.2">
      <c r="A367" s="157">
        <v>1.03</v>
      </c>
      <c r="B367" s="156" t="s">
        <v>1033</v>
      </c>
      <c r="D367" s="2" t="s">
        <v>261</v>
      </c>
      <c r="E367" s="69">
        <f t="shared" si="101"/>
        <v>0</v>
      </c>
      <c r="F367" s="45">
        <f>IF(VLOOKUP($D367,$C$5:$AT$528,3,)=0,0,(VLOOKUP($D367,$C$5:$AT$528,4,)/VLOOKUP($D367,$C$5:$AT$528,3,))*$E367)</f>
        <v>0</v>
      </c>
      <c r="G367" s="45">
        <f>IF(VLOOKUP($D367,$C$5:$AT$528,3,)=0,0,(VLOOKUP($D367,$C$5:$AT$528,5,)/VLOOKUP($D367,$C$5:$AT$528,3,))*$E367)</f>
        <v>0</v>
      </c>
      <c r="H367" s="45">
        <f>IF(VLOOKUP($D367,$C$5:$AT$528,3,)=0,0,(VLOOKUP($D367,$C$5:$AT$528,6,)/VLOOKUP($D367,$C$5:$AT$528,3,))*$E367)</f>
        <v>0</v>
      </c>
      <c r="I367" s="45">
        <f>IF(VLOOKUP($D367,$C$5:$AT$528,3,)=0,0,(VLOOKUP($D367,$C$5:$AT$528,7,)/VLOOKUP($D367,$C$5:$AT$528,3,))*$E367)</f>
        <v>0</v>
      </c>
      <c r="J367" s="45">
        <f>IF(VLOOKUP($D367,$C$5:$AT$528,3,)=0,0,(VLOOKUP($D367,$C$5:$AT$528,8,)/VLOOKUP($D367,$C$5:$AT$528,3,))*$E367)</f>
        <v>0</v>
      </c>
      <c r="K367" s="45">
        <f>IF(VLOOKUP($D367,$C$5:$AT$528,3,)=0,0,(VLOOKUP($D367,$C$5:$AT$528,9,)/VLOOKUP($D367,$C$5:$AT$528,3,))*$E367)</f>
        <v>0</v>
      </c>
      <c r="L367" s="45">
        <f>IF(VLOOKUP($D367,$C$5:$AT$528,3,)=0,0,(VLOOKUP($D367,$C$5:$AT$528,10,)/VLOOKUP($D367,$C$5:$AT$528,3,))*$E367)</f>
        <v>0</v>
      </c>
      <c r="M367" s="45">
        <f>IF(VLOOKUP($D367,$C$5:$AT$528,3,)=0,0,(VLOOKUP($D367,$C$5:$AT$528,11,)/VLOOKUP($D367,$C$5:$AT$528,3,))*$E367)</f>
        <v>0</v>
      </c>
      <c r="N367" s="45">
        <f>IF(VLOOKUP($D367,$C$5:$AT$528,3,)=0,0,(VLOOKUP($D367,$C$5:$AT$528,12,)/VLOOKUP($D367,$C$5:$AT$528,3,))*$E367)</f>
        <v>0</v>
      </c>
      <c r="O367" s="45">
        <f>IF(VLOOKUP($D367,$C$5:$AT$528,3,)=0,0,(VLOOKUP($D367,$C$5:$AT$528,13,)/VLOOKUP($D367,$C$5:$AT$528,3,))*$E367)</f>
        <v>0</v>
      </c>
      <c r="P367" s="45">
        <f>IF(VLOOKUP($D367,$C$5:$AT$528,3,)=0,0,(VLOOKUP($D367,$C$5:$AT$528,14,)/VLOOKUP($D367,$C$5:$AT$528,3,))*$E367)</f>
        <v>0</v>
      </c>
      <c r="Q367" s="45">
        <f>IF(VLOOKUP($D367,$C$5:$AT$528,3,)=0,0,(VLOOKUP($D367,$C$5:$AT$528,15,)/VLOOKUP($D367,$C$5:$AT$528,3,))*$E367)</f>
        <v>0</v>
      </c>
      <c r="R367" s="45">
        <f>IF(VLOOKUP($D367,$C$5:$AT$528,3,)=0,0,(VLOOKUP($D367,$C$5:$AT$528,16,)/VLOOKUP($D367,$C$5:$AT$528,3,))*$E367)</f>
        <v>0</v>
      </c>
      <c r="S367" s="45">
        <f>IF(VLOOKUP($D367,$C$5:$AT$528,3,)=0,0,(VLOOKUP($D367,$C$5:$AT$528,17,)/VLOOKUP($D367,$C$5:$AT$528,3,))*$E367)</f>
        <v>0</v>
      </c>
      <c r="T367" s="45">
        <f>IF(VLOOKUP($D367,$C$5:$AT$528,3,)=0,0,(VLOOKUP($D367,$C$5:$AT$528,18,)/VLOOKUP($D367,$C$5:$AT$528,3,))*$E367)</f>
        <v>0</v>
      </c>
      <c r="U367" s="45">
        <f>IF(VLOOKUP($D367,$C$5:$AT$528,3,)=0,0,(VLOOKUP($D367,$C$5:$AT$528,19,)/VLOOKUP($D367,$C$5:$AT$528,3,))*$E367)</f>
        <v>0</v>
      </c>
      <c r="V367" s="45">
        <f>IF(VLOOKUP($D367,$C$5:$AT$528,3,)=0,0,(VLOOKUP($D367,$C$5:$AT$528,20,)/VLOOKUP($D367,$C$5:$AT$528,3,))*$E367)</f>
        <v>0</v>
      </c>
      <c r="W367" s="45">
        <f>IF(VLOOKUP($D367,$C$5:$AT$528,3,)=0,0,(VLOOKUP($D367,$C$5:$AT$528,21,)/VLOOKUP($D367,$C$5:$AT$528,3,))*$E367)</f>
        <v>0</v>
      </c>
      <c r="X367" s="45">
        <f>IF(VLOOKUP($D367,$C$5:$AT$528,3,)=0,0,(VLOOKUP($D367,$C$5:$AT$528,22,)/VLOOKUP($D367,$C$5:$AT$528,3,))*$E367)</f>
        <v>0</v>
      </c>
      <c r="Y367" s="45">
        <f>IF(VLOOKUP($D367,$C$5:$AT$528,3,)=0,0,(VLOOKUP($D367,$C$5:$AT$528,23,)/VLOOKUP($D367,$C$5:$AT$528,3,))*$E367)</f>
        <v>0</v>
      </c>
      <c r="Z367" s="45">
        <f>IF(VLOOKUP($D367,$C$5:$AT$528,3,)=0,0,(VLOOKUP($D367,$C$5:$AT$528,24,)/VLOOKUP($D367,$C$5:$AT$528,3,))*$E367)</f>
        <v>0</v>
      </c>
      <c r="AA367" s="45">
        <f>IF(VLOOKUP($D367,$C$5:$AT$528,3,)=0,0,(VLOOKUP($D367,$C$5:$AT$528,25,)/VLOOKUP($D367,$C$5:$AT$528,3,))*$E367)</f>
        <v>0</v>
      </c>
      <c r="AB367" s="45">
        <f>IF(VLOOKUP($D367,$C$5:$AT$528,3,)=0,0,(VLOOKUP($D367,$C$5:$AT$528,26,)/VLOOKUP($D367,$C$5:$AT$528,3,))*$E367)</f>
        <v>0</v>
      </c>
      <c r="AC367" s="45">
        <f>IF(VLOOKUP($D367,$C$5:$AT$528,3,)=0,0,(VLOOKUP($D367,$C$5:$AT$528,27,)/VLOOKUP($D367,$C$5:$AT$528,3,))*$E367)</f>
        <v>0</v>
      </c>
      <c r="AD367" s="45">
        <f>IF(VLOOKUP($D367,$C$5:$AT$528,3,)=0,0,(VLOOKUP($D367,$C$5:$AT$528,28,)/VLOOKUP($D367,$C$5:$AT$528,3,))*$E367)</f>
        <v>0</v>
      </c>
      <c r="AE367" s="45">
        <f>IF(VLOOKUP($D367,$C$5:$AT$528,3,)=0,0,(VLOOKUP($D367,$C$5:$AT$528,29,)/VLOOKUP($D367,$C$5:$AT$528,3,))*$E367)</f>
        <v>0</v>
      </c>
      <c r="AF367" s="45">
        <f>IF(VLOOKUP($D367,$C$5:$AT$528,3,)=0,0,(VLOOKUP($D367,$C$5:$AT$528,30,)/VLOOKUP($D367,$C$5:$AT$528,3,))*$E367)</f>
        <v>0</v>
      </c>
      <c r="AG367" s="69">
        <f t="shared" ref="AG367" si="102">SUM(F367:AF367)</f>
        <v>0</v>
      </c>
      <c r="AH367" s="14" t="str">
        <f t="shared" ref="AH367:AH370" si="103">IF(ABS(E367-AG367)&lt;0.01,"ok","err")</f>
        <v>ok</v>
      </c>
      <c r="AJ367" s="32">
        <v>0</v>
      </c>
      <c r="AK367" s="26">
        <v>252698.89300999884</v>
      </c>
    </row>
    <row r="368" spans="1:52" x14ac:dyDescent="0.2">
      <c r="A368" s="157">
        <v>1.04</v>
      </c>
      <c r="B368" s="156" t="s">
        <v>1034</v>
      </c>
      <c r="D368" s="2" t="s">
        <v>297</v>
      </c>
      <c r="E368" s="69">
        <f t="shared" si="101"/>
        <v>75417.476972552642</v>
      </c>
      <c r="F368" s="45">
        <f>IF(VLOOKUP($D368,$C$5:$AT$528,3,)=0,0,(VLOOKUP($D368,$C$5:$AT$528,4,)/VLOOKUP($D368,$C$5:$AT$528,3,))*$E368)</f>
        <v>61499.5588989346</v>
      </c>
      <c r="G368" s="45">
        <f>IF(VLOOKUP($D368,$C$5:$AT$528,3,)=0,0,(VLOOKUP($D368,$C$5:$AT$528,5,)/VLOOKUP($D368,$C$5:$AT$528,3,))*$E368)</f>
        <v>0</v>
      </c>
      <c r="H368" s="45">
        <f>IF(VLOOKUP($D368,$C$5:$AT$528,3,)=0,0,(VLOOKUP($D368,$C$5:$AT$528,6,)/VLOOKUP($D368,$C$5:$AT$528,3,))*$E368)</f>
        <v>2.3521033639116418</v>
      </c>
      <c r="I368" s="45">
        <f>IF(VLOOKUP($D368,$C$5:$AT$528,3,)=0,0,(VLOOKUP($D368,$C$5:$AT$528,7,)/VLOOKUP($D368,$C$5:$AT$528,3,))*$E368)</f>
        <v>5086.6099356973154</v>
      </c>
      <c r="J368" s="45">
        <f>IF(VLOOKUP($D368,$C$5:$AT$528,3,)=0,0,(VLOOKUP($D368,$C$5:$AT$528,8,)/VLOOKUP($D368,$C$5:$AT$528,3,))*$E368)</f>
        <v>2855.7037748347552</v>
      </c>
      <c r="K368" s="45">
        <f>IF(VLOOKUP($D368,$C$5:$AT$528,3,)=0,0,(VLOOKUP($D368,$C$5:$AT$528,9,)/VLOOKUP($D368,$C$5:$AT$528,3,))*$E368)</f>
        <v>42.972034317433227</v>
      </c>
      <c r="L368" s="45">
        <f>IF(VLOOKUP($D368,$C$5:$AT$528,3,)=0,0,(VLOOKUP($D368,$C$5:$AT$528,10,)/VLOOKUP($D368,$C$5:$AT$528,3,))*$E368)</f>
        <v>0</v>
      </c>
      <c r="M368" s="45">
        <f>IF(VLOOKUP($D368,$C$5:$AT$528,3,)=0,0,(VLOOKUP($D368,$C$5:$AT$528,11,)/VLOOKUP($D368,$C$5:$AT$528,3,))*$E368)</f>
        <v>837.68335245132494</v>
      </c>
      <c r="N368" s="45">
        <f>IF(VLOOKUP($D368,$C$5:$AT$528,3,)=0,0,(VLOOKUP($D368,$C$5:$AT$528,12,)/VLOOKUP($D368,$C$5:$AT$528,3,))*$E368)</f>
        <v>921.83657034036457</v>
      </c>
      <c r="O368" s="45">
        <f>IF(VLOOKUP($D368,$C$5:$AT$528,3,)=0,0,(VLOOKUP($D368,$C$5:$AT$528,13,)/VLOOKUP($D368,$C$5:$AT$528,3,))*$E368)</f>
        <v>231.20231603669285</v>
      </c>
      <c r="P368" s="45">
        <f>IF(VLOOKUP($D368,$C$5:$AT$528,3,)=0,0,(VLOOKUP($D368,$C$5:$AT$528,14,)/VLOOKUP($D368,$C$5:$AT$528,3,))*$E368)</f>
        <v>72.794667518375135</v>
      </c>
      <c r="Q368" s="45">
        <f>IF(VLOOKUP($D368,$C$5:$AT$528,3,)=0,0,(VLOOKUP($D368,$C$5:$AT$528,15,)/VLOOKUP($D368,$C$5:$AT$528,3,))*$E368)</f>
        <v>249.69138921069711</v>
      </c>
      <c r="R368" s="45">
        <f>IF(VLOOKUP($D368,$C$5:$AT$528,3,)=0,0,(VLOOKUP($D368,$C$5:$AT$528,16,)/VLOOKUP($D368,$C$5:$AT$528,3,))*$E368)</f>
        <v>522.93998294748485</v>
      </c>
      <c r="S368" s="45">
        <f>IF(VLOOKUP($D368,$C$5:$AT$528,3,)=0,0,(VLOOKUP($D368,$C$5:$AT$528,17,)/VLOOKUP($D368,$C$5:$AT$528,3,))*$E368)</f>
        <v>0</v>
      </c>
      <c r="T368" s="45">
        <f>IF(VLOOKUP($D368,$C$5:$AT$528,3,)=0,0,(VLOOKUP($D368,$C$5:$AT$528,18,)/VLOOKUP($D368,$C$5:$AT$528,3,))*$E368)</f>
        <v>57.857674446624856</v>
      </c>
      <c r="U368" s="45">
        <f>IF(VLOOKUP($D368,$C$5:$AT$528,3,)=0,0,(VLOOKUP($D368,$C$5:$AT$528,19,)/VLOOKUP($D368,$C$5:$AT$528,3,))*$E368)</f>
        <v>3036.2742724530485</v>
      </c>
      <c r="V368" s="45">
        <f>IF(VLOOKUP($D368,$C$5:$AT$528,3,)=0,0,(VLOOKUP($D368,$C$5:$AT$528,20,)/VLOOKUP($D368,$C$5:$AT$528,3,))*$E368)</f>
        <v>0</v>
      </c>
      <c r="W368" s="45">
        <f>IF(VLOOKUP($D368,$C$5:$AT$528,3,)=0,0,(VLOOKUP($D368,$C$5:$AT$528,21,)/VLOOKUP($D368,$C$5:$AT$528,3,))*$E368)</f>
        <v>0</v>
      </c>
      <c r="X368" s="45">
        <f>IF(VLOOKUP($D368,$C$5:$AT$528,3,)=0,0,(VLOOKUP($D368,$C$5:$AT$528,22,)/VLOOKUP($D368,$C$5:$AT$528,3,))*$E368)</f>
        <v>0</v>
      </c>
      <c r="Y368" s="45">
        <f>IF(VLOOKUP($D368,$C$5:$AT$528,3,)=0,0,(VLOOKUP($D368,$C$5:$AT$528,23,)/VLOOKUP($D368,$C$5:$AT$528,3,))*$E368)</f>
        <v>0</v>
      </c>
      <c r="Z368" s="45">
        <f>IF(VLOOKUP($D368,$C$5:$AT$528,3,)=0,0,(VLOOKUP($D368,$C$5:$AT$528,24,)/VLOOKUP($D368,$C$5:$AT$528,3,))*$E368)</f>
        <v>0</v>
      </c>
      <c r="AA368" s="45">
        <f>IF(VLOOKUP($D368,$C$5:$AT$528,3,)=0,0,(VLOOKUP($D368,$C$5:$AT$528,25,)/VLOOKUP($D368,$C$5:$AT$528,3,))*$E368)</f>
        <v>0</v>
      </c>
      <c r="AB368" s="45">
        <f>IF(VLOOKUP($D368,$C$5:$AT$528,3,)=0,0,(VLOOKUP($D368,$C$5:$AT$528,26,)/VLOOKUP($D368,$C$5:$AT$528,3,))*$E368)</f>
        <v>0</v>
      </c>
      <c r="AC368" s="45">
        <f>IF(VLOOKUP($D368,$C$5:$AT$528,3,)=0,0,(VLOOKUP($D368,$C$5:$AT$528,27,)/VLOOKUP($D368,$C$5:$AT$528,3,))*$E368)</f>
        <v>0</v>
      </c>
      <c r="AD368" s="45">
        <f>IF(VLOOKUP($D368,$C$5:$AT$528,3,)=0,0,(VLOOKUP($D368,$C$5:$AT$528,28,)/VLOOKUP($D368,$C$5:$AT$528,3,))*$E368)</f>
        <v>0</v>
      </c>
      <c r="AE368" s="45">
        <f>IF(VLOOKUP($D368,$C$5:$AT$528,3,)=0,0,(VLOOKUP($D368,$C$5:$AT$528,29,)/VLOOKUP($D368,$C$5:$AT$528,3,))*$E368)</f>
        <v>0</v>
      </c>
      <c r="AF368" s="45">
        <f>IF(VLOOKUP($D368,$C$5:$AT$528,3,)=0,0,(VLOOKUP($D368,$C$5:$AT$528,30,)/VLOOKUP($D368,$C$5:$AT$528,3,))*$E368)</f>
        <v>0</v>
      </c>
      <c r="AG368" s="69">
        <f t="shared" ref="AG368" si="104">SUM(F368:AF368)</f>
        <v>75417.476972552628</v>
      </c>
      <c r="AH368" s="14" t="str">
        <f t="shared" si="103"/>
        <v>ok</v>
      </c>
      <c r="AJ368" s="32">
        <f>AJ365</f>
        <v>1</v>
      </c>
      <c r="AK368" s="26">
        <v>75417.476972552642</v>
      </c>
    </row>
    <row r="369" spans="1:41" x14ac:dyDescent="0.2">
      <c r="A369" s="157">
        <v>1.05</v>
      </c>
      <c r="B369" s="156" t="s">
        <v>1035</v>
      </c>
      <c r="D369" s="2" t="s">
        <v>605</v>
      </c>
      <c r="E369" s="69">
        <f t="shared" si="101"/>
        <v>393820</v>
      </c>
      <c r="F369" s="45">
        <f>IF(VLOOKUP($D369,$C$5:$AT$528,3,)=0,0,(VLOOKUP($D369,$C$5:$AT$528,4,)/VLOOKUP($D369,$C$5:$AT$528,3,))*$E369)</f>
        <v>316082.15998420154</v>
      </c>
      <c r="G369" s="45">
        <f>IF(VLOOKUP($D369,$C$5:$AT$528,3,)=0,0,(VLOOKUP($D369,$C$5:$AT$528,5,)/VLOOKUP($D369,$C$5:$AT$528,3,))*$E369)</f>
        <v>0</v>
      </c>
      <c r="H369" s="45">
        <f>IF(VLOOKUP($D369,$C$5:$AT$528,3,)=0,0,(VLOOKUP($D369,$C$5:$AT$528,6,)/VLOOKUP($D369,$C$5:$AT$528,3,))*$E369)</f>
        <v>11.387904065527545</v>
      </c>
      <c r="I369" s="45">
        <f>IF(VLOOKUP($D369,$C$5:$AT$528,3,)=0,0,(VLOOKUP($D369,$C$5:$AT$528,7,)/VLOOKUP($D369,$C$5:$AT$528,3,))*$E369)</f>
        <v>27395.715772949919</v>
      </c>
      <c r="J369" s="45">
        <f>IF(VLOOKUP($D369,$C$5:$AT$528,3,)=0,0,(VLOOKUP($D369,$C$5:$AT$528,8,)/VLOOKUP($D369,$C$5:$AT$528,3,))*$E369)</f>
        <v>23592.191024028903</v>
      </c>
      <c r="K369" s="45">
        <f>IF(VLOOKUP($D369,$C$5:$AT$528,3,)=0,0,(VLOOKUP($D369,$C$5:$AT$528,9,)/VLOOKUP($D369,$C$5:$AT$528,3,))*$E369)</f>
        <v>270.9515995456361</v>
      </c>
      <c r="L369" s="45">
        <f>IF(VLOOKUP($D369,$C$5:$AT$528,3,)=0,0,(VLOOKUP($D369,$C$5:$AT$528,10,)/VLOOKUP($D369,$C$5:$AT$528,3,))*$E369)</f>
        <v>0</v>
      </c>
      <c r="M369" s="45">
        <f>IF(VLOOKUP($D369,$C$5:$AT$528,3,)=0,0,(VLOOKUP($D369,$C$5:$AT$528,11,)/VLOOKUP($D369,$C$5:$AT$528,3,))*$E369)</f>
        <v>7996.2081657986046</v>
      </c>
      <c r="N369" s="45">
        <f>IF(VLOOKUP($D369,$C$5:$AT$528,3,)=0,0,(VLOOKUP($D369,$C$5:$AT$528,12,)/VLOOKUP($D369,$C$5:$AT$528,3,))*$E369)</f>
        <v>8693.4317730682269</v>
      </c>
      <c r="O369" s="45">
        <f>IF(VLOOKUP($D369,$C$5:$AT$528,3,)=0,0,(VLOOKUP($D369,$C$5:$AT$528,13,)/VLOOKUP($D369,$C$5:$AT$528,3,))*$E369)</f>
        <v>2166.3104269059572</v>
      </c>
      <c r="P369" s="45">
        <f>IF(VLOOKUP($D369,$C$5:$AT$528,3,)=0,0,(VLOOKUP($D369,$C$5:$AT$528,14,)/VLOOKUP($D369,$C$5:$AT$528,3,))*$E369)</f>
        <v>636.17182727782961</v>
      </c>
      <c r="Q369" s="45">
        <f>IF(VLOOKUP($D369,$C$5:$AT$528,3,)=0,0,(VLOOKUP($D369,$C$5:$AT$528,15,)/VLOOKUP($D369,$C$5:$AT$528,3,))*$E369)</f>
        <v>1501.9383133495087</v>
      </c>
      <c r="R369" s="45">
        <f>IF(VLOOKUP($D369,$C$5:$AT$528,3,)=0,0,(VLOOKUP($D369,$C$5:$AT$528,16,)/VLOOKUP($D369,$C$5:$AT$528,3,))*$E369)</f>
        <v>5074.37195081757</v>
      </c>
      <c r="S369" s="45">
        <f>IF(VLOOKUP($D369,$C$5:$AT$528,3,)=0,0,(VLOOKUP($D369,$C$5:$AT$528,17,)/VLOOKUP($D369,$C$5:$AT$528,3,))*$E369)</f>
        <v>0</v>
      </c>
      <c r="T369" s="45">
        <f>IF(VLOOKUP($D369,$C$5:$AT$528,3,)=0,0,(VLOOKUP($D369,$C$5:$AT$528,18,)/VLOOKUP($D369,$C$5:$AT$528,3,))*$E369)</f>
        <v>243.88365342380862</v>
      </c>
      <c r="U369" s="45">
        <f>IF(VLOOKUP($D369,$C$5:$AT$528,3,)=0,0,(VLOOKUP($D369,$C$5:$AT$528,19,)/VLOOKUP($D369,$C$5:$AT$528,3,))*$E369)</f>
        <v>155.2776045669618</v>
      </c>
      <c r="V369" s="45">
        <f>IF(VLOOKUP($D369,$C$5:$AT$528,3,)=0,0,(VLOOKUP($D369,$C$5:$AT$528,20,)/VLOOKUP($D369,$C$5:$AT$528,3,))*$E369)</f>
        <v>0</v>
      </c>
      <c r="W369" s="45">
        <f>IF(VLOOKUP($D369,$C$5:$AT$528,3,)=0,0,(VLOOKUP($D369,$C$5:$AT$528,21,)/VLOOKUP($D369,$C$5:$AT$528,3,))*$E369)</f>
        <v>0</v>
      </c>
      <c r="X369" s="45">
        <f>IF(VLOOKUP($D369,$C$5:$AT$528,3,)=0,0,(VLOOKUP($D369,$C$5:$AT$528,22,)/VLOOKUP($D369,$C$5:$AT$528,3,))*$E369)</f>
        <v>0</v>
      </c>
      <c r="Y369" s="45">
        <f>IF(VLOOKUP($D369,$C$5:$AT$528,3,)=0,0,(VLOOKUP($D369,$C$5:$AT$528,23,)/VLOOKUP($D369,$C$5:$AT$528,3,))*$E369)</f>
        <v>0</v>
      </c>
      <c r="Z369" s="45">
        <f>IF(VLOOKUP($D369,$C$5:$AT$528,3,)=0,0,(VLOOKUP($D369,$C$5:$AT$528,24,)/VLOOKUP($D369,$C$5:$AT$528,3,))*$E369)</f>
        <v>0</v>
      </c>
      <c r="AA369" s="45">
        <f>IF(VLOOKUP($D369,$C$5:$AT$528,3,)=0,0,(VLOOKUP($D369,$C$5:$AT$528,25,)/VLOOKUP($D369,$C$5:$AT$528,3,))*$E369)</f>
        <v>0</v>
      </c>
      <c r="AB369" s="45">
        <f>IF(VLOOKUP($D369,$C$5:$AT$528,3,)=0,0,(VLOOKUP($D369,$C$5:$AT$528,26,)/VLOOKUP($D369,$C$5:$AT$528,3,))*$E369)</f>
        <v>0</v>
      </c>
      <c r="AC369" s="45">
        <f>IF(VLOOKUP($D369,$C$5:$AT$528,3,)=0,0,(VLOOKUP($D369,$C$5:$AT$528,27,)/VLOOKUP($D369,$C$5:$AT$528,3,))*$E369)</f>
        <v>0</v>
      </c>
      <c r="AD369" s="45">
        <f>IF(VLOOKUP($D369,$C$5:$AT$528,3,)=0,0,(VLOOKUP($D369,$C$5:$AT$528,28,)/VLOOKUP($D369,$C$5:$AT$528,3,))*$E369)</f>
        <v>0</v>
      </c>
      <c r="AE369" s="45">
        <f>IF(VLOOKUP($D369,$C$5:$AT$528,3,)=0,0,(VLOOKUP($D369,$C$5:$AT$528,29,)/VLOOKUP($D369,$C$5:$AT$528,3,))*$E369)</f>
        <v>0</v>
      </c>
      <c r="AF369" s="45">
        <f>IF(VLOOKUP($D369,$C$5:$AT$528,3,)=0,0,(VLOOKUP($D369,$C$5:$AT$528,30,)/VLOOKUP($D369,$C$5:$AT$528,3,))*$E369)</f>
        <v>0</v>
      </c>
      <c r="AG369" s="69">
        <f t="shared" ref="AG369" si="105">SUM(F369:AF369)</f>
        <v>393820.00000000006</v>
      </c>
      <c r="AH369" s="14" t="str">
        <f t="shared" ref="AH369" si="106">IF(ABS(E369-AG369)&lt;0.01,"ok","err")</f>
        <v>ok</v>
      </c>
      <c r="AJ369" s="32">
        <f>AJ368</f>
        <v>1</v>
      </c>
      <c r="AK369" s="26">
        <v>393820</v>
      </c>
    </row>
    <row r="370" spans="1:41" x14ac:dyDescent="0.2">
      <c r="A370" s="157">
        <v>1.06</v>
      </c>
      <c r="B370" s="156" t="s">
        <v>1036</v>
      </c>
      <c r="E370" s="45">
        <f>$AJ370*AK370</f>
        <v>179743.74</v>
      </c>
      <c r="F370" s="45">
        <f>$AJ370*AL370</f>
        <v>43629.551983477977</v>
      </c>
      <c r="G370" s="45">
        <v>0</v>
      </c>
      <c r="H370" s="45">
        <v>0</v>
      </c>
      <c r="I370" s="45">
        <f>$AJ370*AM370</f>
        <v>131709.82464002259</v>
      </c>
      <c r="J370" s="45">
        <v>0</v>
      </c>
      <c r="K370" s="45">
        <f>$AJ370*AN370</f>
        <v>-863.88698216338071</v>
      </c>
      <c r="L370" s="45">
        <v>0</v>
      </c>
      <c r="M370" s="45">
        <v>0</v>
      </c>
      <c r="N370" s="45"/>
      <c r="O370" s="45"/>
      <c r="P370" s="45"/>
      <c r="Q370" s="45">
        <f>$AJ370*AO370</f>
        <v>5268.253212037921</v>
      </c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158">
        <f t="shared" ref="AG370" si="107">SUM(F370:AF370)</f>
        <v>179743.74285337512</v>
      </c>
      <c r="AH370" s="14" t="str">
        <f t="shared" si="103"/>
        <v>ok</v>
      </c>
      <c r="AJ370" s="32">
        <f t="shared" ref="AJ370:AJ378" si="108">AJ369</f>
        <v>1</v>
      </c>
      <c r="AK370" s="26">
        <v>179743.74</v>
      </c>
      <c r="AL370" s="26">
        <v>43629.551983477977</v>
      </c>
      <c r="AM370" s="26">
        <v>131709.82464002259</v>
      </c>
      <c r="AN370" s="26">
        <v>-863.88698216338071</v>
      </c>
      <c r="AO370" s="26">
        <v>5268.253212037921</v>
      </c>
    </row>
    <row r="371" spans="1:41" x14ac:dyDescent="0.2">
      <c r="A371" s="157">
        <v>1.07</v>
      </c>
      <c r="B371" s="156" t="s">
        <v>1165</v>
      </c>
      <c r="D371" s="2" t="s">
        <v>261</v>
      </c>
      <c r="E371" s="69">
        <f t="shared" si="101"/>
        <v>-11188.709133845812</v>
      </c>
      <c r="F371" s="45">
        <f t="shared" ref="F371:F390" si="109">IF(VLOOKUP($D371,$C$5:$AT$528,3,)=0,0,(VLOOKUP($D371,$C$5:$AT$528,4,)/VLOOKUP($D371,$C$5:$AT$528,3,))*$E371)</f>
        <v>-9107.8782765898377</v>
      </c>
      <c r="G371" s="45">
        <f t="shared" ref="G371:G390" si="110">IF(VLOOKUP($D371,$C$5:$AT$528,3,)=0,0,(VLOOKUP($D371,$C$5:$AT$528,5,)/VLOOKUP($D371,$C$5:$AT$528,3,))*$E371)</f>
        <v>0</v>
      </c>
      <c r="H371" s="45">
        <f t="shared" ref="H371:H390" si="111">IF(VLOOKUP($D371,$C$5:$AT$528,3,)=0,0,(VLOOKUP($D371,$C$5:$AT$528,6,)/VLOOKUP($D371,$C$5:$AT$528,3,))*$E371)</f>
        <v>-0.34574454297727636</v>
      </c>
      <c r="I371" s="45">
        <f t="shared" ref="I371:I390" si="112">IF(VLOOKUP($D371,$C$5:$AT$528,3,)=0,0,(VLOOKUP($D371,$C$5:$AT$528,7,)/VLOOKUP($D371,$C$5:$AT$528,3,))*$E371)</f>
        <v>-753.89883379090566</v>
      </c>
      <c r="J371" s="45">
        <f t="shared" ref="J371:J390" si="113">IF(VLOOKUP($D371,$C$5:$AT$528,3,)=0,0,(VLOOKUP($D371,$C$5:$AT$528,8,)/VLOOKUP($D371,$C$5:$AT$528,3,))*$E371)</f>
        <v>-435.26298913790674</v>
      </c>
      <c r="K371" s="45">
        <f t="shared" ref="K371:K390" si="114">IF(VLOOKUP($D371,$C$5:$AT$528,3,)=0,0,(VLOOKUP($D371,$C$5:$AT$528,9,)/VLOOKUP($D371,$C$5:$AT$528,3,))*$E371)</f>
        <v>-6.2580292749234596</v>
      </c>
      <c r="L371" s="45">
        <f t="shared" ref="L371:L390" si="115">IF(VLOOKUP($D371,$C$5:$AT$528,3,)=0,0,(VLOOKUP($D371,$C$5:$AT$528,10,)/VLOOKUP($D371,$C$5:$AT$528,3,))*$E371)</f>
        <v>0</v>
      </c>
      <c r="M371" s="45">
        <f t="shared" ref="M371:M390" si="116">IF(VLOOKUP($D371,$C$5:$AT$528,3,)=0,0,(VLOOKUP($D371,$C$5:$AT$528,11,)/VLOOKUP($D371,$C$5:$AT$528,3,))*$E371)</f>
        <v>-127.84511455726734</v>
      </c>
      <c r="N371" s="45">
        <f t="shared" ref="N371:N390" si="117">IF(VLOOKUP($D371,$C$5:$AT$528,3,)=0,0,(VLOOKUP($D371,$C$5:$AT$528,12,)/VLOOKUP($D371,$C$5:$AT$528,3,))*$E371)</f>
        <v>-147.75370035248093</v>
      </c>
      <c r="O371" s="45">
        <f t="shared" ref="O371:O390" si="118">IF(VLOOKUP($D371,$C$5:$AT$528,3,)=0,0,(VLOOKUP($D371,$C$5:$AT$528,13,)/VLOOKUP($D371,$C$5:$AT$528,3,))*$E371)</f>
        <v>-35.389698325346821</v>
      </c>
      <c r="P371" s="45">
        <f t="shared" ref="P371:P390" si="119">IF(VLOOKUP($D371,$C$5:$AT$528,3,)=0,0,(VLOOKUP($D371,$C$5:$AT$528,14,)/VLOOKUP($D371,$C$5:$AT$528,3,))*$E371)</f>
        <v>-10.780373435008633</v>
      </c>
      <c r="Q371" s="45">
        <f t="shared" ref="Q371:Q390" si="120">IF(VLOOKUP($D371,$C$5:$AT$528,3,)=0,0,(VLOOKUP($D371,$C$5:$AT$528,15,)/VLOOKUP($D371,$C$5:$AT$528,3,))*$E371)</f>
        <v>-36.983431595614896</v>
      </c>
      <c r="R371" s="45">
        <f t="shared" ref="R371:R390" si="121">IF(VLOOKUP($D371,$C$5:$AT$528,3,)=0,0,(VLOOKUP($D371,$C$5:$AT$528,16,)/VLOOKUP($D371,$C$5:$AT$528,3,))*$E371)</f>
        <v>-79.99951850682136</v>
      </c>
      <c r="S371" s="45">
        <f t="shared" ref="S371:S390" si="122">IF(VLOOKUP($D371,$C$5:$AT$528,3,)=0,0,(VLOOKUP($D371,$C$5:$AT$528,17,)/VLOOKUP($D371,$C$5:$AT$528,3,))*$E371)</f>
        <v>0</v>
      </c>
      <c r="T371" s="45">
        <f t="shared" ref="T371:T390" si="123">IF(VLOOKUP($D371,$C$5:$AT$528,3,)=0,0,(VLOOKUP($D371,$C$5:$AT$528,18,)/VLOOKUP($D371,$C$5:$AT$528,3,))*$E371)</f>
        <v>-8.5348843509440275</v>
      </c>
      <c r="U371" s="45">
        <f t="shared" ref="U371:U390" si="124">IF(VLOOKUP($D371,$C$5:$AT$528,3,)=0,0,(VLOOKUP($D371,$C$5:$AT$528,19,)/VLOOKUP($D371,$C$5:$AT$528,3,))*$E371)</f>
        <v>-437.7785393857767</v>
      </c>
      <c r="V371" s="45">
        <f t="shared" ref="V371:V390" si="125">IF(VLOOKUP($D371,$C$5:$AT$528,3,)=0,0,(VLOOKUP($D371,$C$5:$AT$528,20,)/VLOOKUP($D371,$C$5:$AT$528,3,))*$E371)</f>
        <v>0</v>
      </c>
      <c r="W371" s="45">
        <f t="shared" ref="W371:W390" si="126">IF(VLOOKUP($D371,$C$5:$AT$528,3,)=0,0,(VLOOKUP($D371,$C$5:$AT$528,21,)/VLOOKUP($D371,$C$5:$AT$528,3,))*$E371)</f>
        <v>0</v>
      </c>
      <c r="X371" s="45">
        <f t="shared" ref="X371:X390" si="127">IF(VLOOKUP($D371,$C$5:$AT$528,3,)=0,0,(VLOOKUP($D371,$C$5:$AT$528,22,)/VLOOKUP($D371,$C$5:$AT$528,3,))*$E371)</f>
        <v>0</v>
      </c>
      <c r="Y371" s="45">
        <f t="shared" ref="Y371:Y390" si="128">IF(VLOOKUP($D371,$C$5:$AT$528,3,)=0,0,(VLOOKUP($D371,$C$5:$AT$528,23,)/VLOOKUP($D371,$C$5:$AT$528,3,))*$E371)</f>
        <v>0</v>
      </c>
      <c r="Z371" s="45">
        <f t="shared" ref="Z371:Z390" si="129">IF(VLOOKUP($D371,$C$5:$AT$528,3,)=0,0,(VLOOKUP($D371,$C$5:$AT$528,24,)/VLOOKUP($D371,$C$5:$AT$528,3,))*$E371)</f>
        <v>0</v>
      </c>
      <c r="AA371" s="45">
        <f t="shared" ref="AA371:AA390" si="130">IF(VLOOKUP($D371,$C$5:$AT$528,3,)=0,0,(VLOOKUP($D371,$C$5:$AT$528,25,)/VLOOKUP($D371,$C$5:$AT$528,3,))*$E371)</f>
        <v>0</v>
      </c>
      <c r="AB371" s="45">
        <f t="shared" ref="AB371:AB390" si="131">IF(VLOOKUP($D371,$C$5:$AT$528,3,)=0,0,(VLOOKUP($D371,$C$5:$AT$528,26,)/VLOOKUP($D371,$C$5:$AT$528,3,))*$E371)</f>
        <v>0</v>
      </c>
      <c r="AC371" s="45">
        <f t="shared" ref="AC371:AC390" si="132">IF(VLOOKUP($D371,$C$5:$AT$528,3,)=0,0,(VLOOKUP($D371,$C$5:$AT$528,27,)/VLOOKUP($D371,$C$5:$AT$528,3,))*$E371)</f>
        <v>0</v>
      </c>
      <c r="AD371" s="45">
        <f t="shared" ref="AD371:AD390" si="133">IF(VLOOKUP($D371,$C$5:$AT$528,3,)=0,0,(VLOOKUP($D371,$C$5:$AT$528,28,)/VLOOKUP($D371,$C$5:$AT$528,3,))*$E371)</f>
        <v>0</v>
      </c>
      <c r="AE371" s="45">
        <f t="shared" ref="AE371:AE390" si="134">IF(VLOOKUP($D371,$C$5:$AT$528,3,)=0,0,(VLOOKUP($D371,$C$5:$AT$528,29,)/VLOOKUP($D371,$C$5:$AT$528,3,))*$E371)</f>
        <v>0</v>
      </c>
      <c r="AF371" s="45">
        <f t="shared" ref="AF371:AF390" si="135">IF(VLOOKUP($D371,$C$5:$AT$528,3,)=0,0,(VLOOKUP($D371,$C$5:$AT$528,30,)/VLOOKUP($D371,$C$5:$AT$528,3,))*$E371)</f>
        <v>0</v>
      </c>
      <c r="AG371" s="69">
        <f t="shared" si="99"/>
        <v>-11188.709133845812</v>
      </c>
      <c r="AH371" s="14" t="str">
        <f t="shared" si="100"/>
        <v>ok</v>
      </c>
      <c r="AJ371" s="32">
        <f t="shared" si="108"/>
        <v>1</v>
      </c>
      <c r="AK371" s="26">
        <v>-11188.709133845812</v>
      </c>
    </row>
    <row r="372" spans="1:41" x14ac:dyDescent="0.2">
      <c r="A372" s="157">
        <v>1.08</v>
      </c>
      <c r="B372" s="156" t="s">
        <v>1037</v>
      </c>
      <c r="D372" s="2" t="s">
        <v>261</v>
      </c>
      <c r="E372" s="69">
        <f t="shared" si="101"/>
        <v>-300622.99</v>
      </c>
      <c r="F372" s="45">
        <f t="shared" si="109"/>
        <v>-244714.34258505554</v>
      </c>
      <c r="G372" s="45">
        <f t="shared" si="110"/>
        <v>0</v>
      </c>
      <c r="H372" s="45">
        <f t="shared" si="111"/>
        <v>-9.2896112538664433</v>
      </c>
      <c r="I372" s="45">
        <f t="shared" si="112"/>
        <v>-20256.074124418144</v>
      </c>
      <c r="J372" s="45">
        <f t="shared" si="113"/>
        <v>-11694.830892971737</v>
      </c>
      <c r="K372" s="45">
        <f t="shared" si="114"/>
        <v>-168.14338898524699</v>
      </c>
      <c r="L372" s="45">
        <f t="shared" si="115"/>
        <v>0</v>
      </c>
      <c r="M372" s="45">
        <f t="shared" si="116"/>
        <v>-3434.9968468514367</v>
      </c>
      <c r="N372" s="45">
        <f t="shared" si="117"/>
        <v>-3969.9091872146419</v>
      </c>
      <c r="O372" s="45">
        <f t="shared" si="118"/>
        <v>-950.8654482384336</v>
      </c>
      <c r="P372" s="45">
        <f t="shared" si="119"/>
        <v>-289.65165298160895</v>
      </c>
      <c r="Q372" s="45">
        <f t="shared" si="120"/>
        <v>-993.68655076590494</v>
      </c>
      <c r="R372" s="45">
        <f t="shared" si="121"/>
        <v>-2149.4610472383019</v>
      </c>
      <c r="S372" s="45">
        <f t="shared" si="122"/>
        <v>0</v>
      </c>
      <c r="T372" s="45">
        <f t="shared" si="123"/>
        <v>-229.31889838154058</v>
      </c>
      <c r="U372" s="45">
        <f t="shared" si="124"/>
        <v>-11762.41976564359</v>
      </c>
      <c r="V372" s="45">
        <f t="shared" si="125"/>
        <v>0</v>
      </c>
      <c r="W372" s="45">
        <f t="shared" si="126"/>
        <v>0</v>
      </c>
      <c r="X372" s="45">
        <f t="shared" si="127"/>
        <v>0</v>
      </c>
      <c r="Y372" s="45">
        <f t="shared" si="128"/>
        <v>0</v>
      </c>
      <c r="Z372" s="45">
        <f t="shared" si="129"/>
        <v>0</v>
      </c>
      <c r="AA372" s="45">
        <f t="shared" si="130"/>
        <v>0</v>
      </c>
      <c r="AB372" s="45">
        <f t="shared" si="131"/>
        <v>0</v>
      </c>
      <c r="AC372" s="45">
        <f t="shared" si="132"/>
        <v>0</v>
      </c>
      <c r="AD372" s="45">
        <f t="shared" si="133"/>
        <v>0</v>
      </c>
      <c r="AE372" s="45">
        <f t="shared" si="134"/>
        <v>0</v>
      </c>
      <c r="AF372" s="45">
        <f t="shared" si="135"/>
        <v>0</v>
      </c>
      <c r="AG372" s="69">
        <f t="shared" si="99"/>
        <v>-300622.98999999993</v>
      </c>
      <c r="AH372" s="14" t="str">
        <f t="shared" si="100"/>
        <v>ok</v>
      </c>
      <c r="AJ372" s="32">
        <f t="shared" si="108"/>
        <v>1</v>
      </c>
      <c r="AK372" s="26">
        <v>-300622.99</v>
      </c>
    </row>
    <row r="373" spans="1:41" x14ac:dyDescent="0.2">
      <c r="A373" s="157">
        <v>1.0900000000000001</v>
      </c>
      <c r="B373" s="2" t="s">
        <v>1038</v>
      </c>
      <c r="D373" s="2" t="s">
        <v>285</v>
      </c>
      <c r="E373" s="69">
        <f t="shared" si="101"/>
        <v>-7150</v>
      </c>
      <c r="F373" s="45">
        <f t="shared" si="109"/>
        <v>-6104.4231893364786</v>
      </c>
      <c r="G373" s="45">
        <f t="shared" si="110"/>
        <v>0</v>
      </c>
      <c r="H373" s="45">
        <f t="shared" si="111"/>
        <v>-0.23555032024494638</v>
      </c>
      <c r="I373" s="45">
        <f t="shared" si="112"/>
        <v>-485.33276659999018</v>
      </c>
      <c r="J373" s="45">
        <f t="shared" si="113"/>
        <v>-238.52471020524897</v>
      </c>
      <c r="K373" s="45">
        <f t="shared" si="114"/>
        <v>-3.8232756163673107</v>
      </c>
      <c r="L373" s="45">
        <f t="shared" si="115"/>
        <v>0</v>
      </c>
      <c r="M373" s="45">
        <f t="shared" si="116"/>
        <v>-71.719403945064002</v>
      </c>
      <c r="N373" s="45">
        <f t="shared" si="117"/>
        <v>-77.200211911063974</v>
      </c>
      <c r="O373" s="45">
        <f t="shared" si="118"/>
        <v>-19.528188010279582</v>
      </c>
      <c r="P373" s="45">
        <f t="shared" si="119"/>
        <v>-6.0306762747406983</v>
      </c>
      <c r="Q373" s="45">
        <f t="shared" si="120"/>
        <v>-24.034318496092641</v>
      </c>
      <c r="R373" s="45">
        <f t="shared" si="121"/>
        <v>-44.846915410951993</v>
      </c>
      <c r="S373" s="45">
        <f t="shared" si="122"/>
        <v>0</v>
      </c>
      <c r="T373" s="45">
        <f t="shared" si="123"/>
        <v>-4.4812678677161024</v>
      </c>
      <c r="U373" s="45">
        <f t="shared" si="124"/>
        <v>-69.819526005762341</v>
      </c>
      <c r="V373" s="45">
        <f t="shared" si="125"/>
        <v>0</v>
      </c>
      <c r="W373" s="45">
        <f t="shared" si="126"/>
        <v>0</v>
      </c>
      <c r="X373" s="45">
        <f t="shared" si="127"/>
        <v>0</v>
      </c>
      <c r="Y373" s="45">
        <f t="shared" si="128"/>
        <v>0</v>
      </c>
      <c r="Z373" s="45">
        <f t="shared" si="129"/>
        <v>0</v>
      </c>
      <c r="AA373" s="45">
        <f t="shared" si="130"/>
        <v>0</v>
      </c>
      <c r="AB373" s="45">
        <f t="shared" si="131"/>
        <v>0</v>
      </c>
      <c r="AC373" s="45">
        <f t="shared" si="132"/>
        <v>0</v>
      </c>
      <c r="AD373" s="45">
        <f t="shared" si="133"/>
        <v>0</v>
      </c>
      <c r="AE373" s="45">
        <f t="shared" si="134"/>
        <v>0</v>
      </c>
      <c r="AF373" s="45">
        <f t="shared" si="135"/>
        <v>0</v>
      </c>
      <c r="AG373" s="69">
        <f t="shared" si="99"/>
        <v>-7150.0000000000018</v>
      </c>
      <c r="AH373" s="14" t="str">
        <f t="shared" si="100"/>
        <v>ok</v>
      </c>
      <c r="AJ373" s="32">
        <f t="shared" si="108"/>
        <v>1</v>
      </c>
      <c r="AK373" s="26">
        <v>-7150</v>
      </c>
    </row>
    <row r="374" spans="1:41" x14ac:dyDescent="0.2">
      <c r="A374" s="213">
        <v>1.1000000000000001</v>
      </c>
      <c r="B374" s="156" t="s">
        <v>1039</v>
      </c>
      <c r="D374" s="2" t="s">
        <v>285</v>
      </c>
      <c r="E374" s="69">
        <f t="shared" si="101"/>
        <v>96903.223829833179</v>
      </c>
      <c r="F374" s="45">
        <f t="shared" si="109"/>
        <v>82732.62750605552</v>
      </c>
      <c r="G374" s="45">
        <f t="shared" si="110"/>
        <v>0</v>
      </c>
      <c r="H374" s="45">
        <f t="shared" si="111"/>
        <v>3.1923895672566327</v>
      </c>
      <c r="I374" s="45">
        <f t="shared" si="112"/>
        <v>6577.665694236508</v>
      </c>
      <c r="J374" s="45">
        <f t="shared" si="113"/>
        <v>3232.701172302844</v>
      </c>
      <c r="K374" s="45">
        <f t="shared" si="114"/>
        <v>51.816466128109781</v>
      </c>
      <c r="L374" s="45">
        <f t="shared" si="115"/>
        <v>0</v>
      </c>
      <c r="M374" s="45">
        <f t="shared" si="116"/>
        <v>972.00579768262344</v>
      </c>
      <c r="N374" s="45">
        <f t="shared" si="117"/>
        <v>1046.2866314025714</v>
      </c>
      <c r="O374" s="45">
        <f t="shared" si="118"/>
        <v>264.6635487763898</v>
      </c>
      <c r="P374" s="45">
        <f t="shared" si="119"/>
        <v>81.733143062442295</v>
      </c>
      <c r="Q374" s="45">
        <f t="shared" si="120"/>
        <v>325.73467759781323</v>
      </c>
      <c r="R374" s="45">
        <f t="shared" si="121"/>
        <v>607.8056898105001</v>
      </c>
      <c r="S374" s="45">
        <f t="shared" si="122"/>
        <v>0</v>
      </c>
      <c r="T374" s="45">
        <f t="shared" si="123"/>
        <v>60.73416828345912</v>
      </c>
      <c r="U374" s="45">
        <f t="shared" si="124"/>
        <v>946.25694492716741</v>
      </c>
      <c r="V374" s="45">
        <f t="shared" si="125"/>
        <v>0</v>
      </c>
      <c r="W374" s="45">
        <f t="shared" si="126"/>
        <v>0</v>
      </c>
      <c r="X374" s="45">
        <f t="shared" si="127"/>
        <v>0</v>
      </c>
      <c r="Y374" s="45">
        <f t="shared" si="128"/>
        <v>0</v>
      </c>
      <c r="Z374" s="45">
        <f t="shared" si="129"/>
        <v>0</v>
      </c>
      <c r="AA374" s="45">
        <f t="shared" si="130"/>
        <v>0</v>
      </c>
      <c r="AB374" s="45">
        <f t="shared" si="131"/>
        <v>0</v>
      </c>
      <c r="AC374" s="45">
        <f t="shared" si="132"/>
        <v>0</v>
      </c>
      <c r="AD374" s="45">
        <f t="shared" si="133"/>
        <v>0</v>
      </c>
      <c r="AE374" s="45">
        <f t="shared" si="134"/>
        <v>0</v>
      </c>
      <c r="AF374" s="45">
        <f t="shared" si="135"/>
        <v>0</v>
      </c>
      <c r="AG374" s="69">
        <f t="shared" si="99"/>
        <v>96903.223829833179</v>
      </c>
      <c r="AH374" s="14" t="str">
        <f t="shared" si="100"/>
        <v>ok</v>
      </c>
      <c r="AJ374" s="32">
        <f t="shared" si="108"/>
        <v>1</v>
      </c>
      <c r="AK374" s="26">
        <v>96903.223829833179</v>
      </c>
    </row>
    <row r="375" spans="1:41" x14ac:dyDescent="0.2">
      <c r="A375" s="157">
        <v>1.1100000000000001</v>
      </c>
      <c r="B375" s="156" t="s">
        <v>1040</v>
      </c>
      <c r="D375" s="2" t="s">
        <v>285</v>
      </c>
      <c r="E375" s="69">
        <f t="shared" si="101"/>
        <v>-12675.493792336296</v>
      </c>
      <c r="F375" s="45">
        <f t="shared" si="109"/>
        <v>-10821.8990548571</v>
      </c>
      <c r="G375" s="45">
        <f t="shared" si="110"/>
        <v>0</v>
      </c>
      <c r="H375" s="45">
        <f t="shared" si="111"/>
        <v>-0.41758274434232789</v>
      </c>
      <c r="I375" s="45">
        <f t="shared" si="112"/>
        <v>-860.39614968609453</v>
      </c>
      <c r="J375" s="45">
        <f t="shared" si="113"/>
        <v>-422.85573196160101</v>
      </c>
      <c r="K375" s="45">
        <f t="shared" si="114"/>
        <v>-6.7778889988328075</v>
      </c>
      <c r="L375" s="45">
        <f t="shared" si="115"/>
        <v>0</v>
      </c>
      <c r="M375" s="45">
        <f t="shared" si="116"/>
        <v>-127.14389643296755</v>
      </c>
      <c r="N375" s="45">
        <f t="shared" si="117"/>
        <v>-136.86025270569763</v>
      </c>
      <c r="O375" s="45">
        <f t="shared" si="118"/>
        <v>-34.619500125856632</v>
      </c>
      <c r="P375" s="45">
        <f t="shared" si="119"/>
        <v>-10.691160794974195</v>
      </c>
      <c r="Q375" s="45">
        <f t="shared" si="120"/>
        <v>-42.607951734301494</v>
      </c>
      <c r="R375" s="45">
        <f t="shared" si="121"/>
        <v>-79.504447258315096</v>
      </c>
      <c r="S375" s="45">
        <f t="shared" si="122"/>
        <v>0</v>
      </c>
      <c r="T375" s="45">
        <f t="shared" si="123"/>
        <v>-7.9443752502142049</v>
      </c>
      <c r="U375" s="45">
        <f t="shared" si="124"/>
        <v>-123.77579978600043</v>
      </c>
      <c r="V375" s="45">
        <f t="shared" si="125"/>
        <v>0</v>
      </c>
      <c r="W375" s="45">
        <f t="shared" si="126"/>
        <v>0</v>
      </c>
      <c r="X375" s="45">
        <f t="shared" si="127"/>
        <v>0</v>
      </c>
      <c r="Y375" s="45">
        <f t="shared" si="128"/>
        <v>0</v>
      </c>
      <c r="Z375" s="45">
        <f t="shared" si="129"/>
        <v>0</v>
      </c>
      <c r="AA375" s="45">
        <f t="shared" si="130"/>
        <v>0</v>
      </c>
      <c r="AB375" s="45">
        <f t="shared" si="131"/>
        <v>0</v>
      </c>
      <c r="AC375" s="45">
        <f t="shared" si="132"/>
        <v>0</v>
      </c>
      <c r="AD375" s="45">
        <f t="shared" si="133"/>
        <v>0</v>
      </c>
      <c r="AE375" s="45">
        <f t="shared" si="134"/>
        <v>0</v>
      </c>
      <c r="AF375" s="45">
        <f t="shared" si="135"/>
        <v>0</v>
      </c>
      <c r="AG375" s="69">
        <f>SUM(F375:AF375)</f>
        <v>-12675.493792336301</v>
      </c>
      <c r="AH375" s="14" t="str">
        <f>IF(ABS(E375-AG375)&lt;0.01,"ok","err")</f>
        <v>ok</v>
      </c>
      <c r="AJ375" s="32">
        <f t="shared" si="108"/>
        <v>1</v>
      </c>
      <c r="AK375" s="26">
        <v>-12675.493792336296</v>
      </c>
    </row>
    <row r="376" spans="1:41" x14ac:dyDescent="0.2">
      <c r="A376" s="157">
        <v>1.1200000000000001</v>
      </c>
      <c r="B376" s="156" t="s">
        <v>1142</v>
      </c>
      <c r="D376" s="2" t="s">
        <v>285</v>
      </c>
      <c r="E376" s="69">
        <f t="shared" si="101"/>
        <v>-8434.7699418348657</v>
      </c>
      <c r="F376" s="45">
        <f t="shared" si="109"/>
        <v>-7201.315416734973</v>
      </c>
      <c r="G376" s="45">
        <f t="shared" si="110"/>
        <v>0</v>
      </c>
      <c r="H376" s="45">
        <f t="shared" si="111"/>
        <v>-0.27787591062820283</v>
      </c>
      <c r="I376" s="45">
        <f t="shared" si="112"/>
        <v>-572.54129111960185</v>
      </c>
      <c r="J376" s="45">
        <f t="shared" si="113"/>
        <v>-281.38476308029459</v>
      </c>
      <c r="K376" s="45">
        <f t="shared" si="114"/>
        <v>-4.5102727619979248</v>
      </c>
      <c r="L376" s="45">
        <f t="shared" si="115"/>
        <v>0</v>
      </c>
      <c r="M376" s="45">
        <f t="shared" si="116"/>
        <v>-84.606527642257163</v>
      </c>
      <c r="N376" s="45">
        <f t="shared" si="117"/>
        <v>-91.07217159870271</v>
      </c>
      <c r="O376" s="45">
        <f t="shared" si="118"/>
        <v>-23.037171083581292</v>
      </c>
      <c r="P376" s="45">
        <f t="shared" si="119"/>
        <v>-7.1143170588978322</v>
      </c>
      <c r="Q376" s="45">
        <f t="shared" si="120"/>
        <v>-28.352999611654258</v>
      </c>
      <c r="R376" s="45">
        <f t="shared" si="121"/>
        <v>-52.905372600322892</v>
      </c>
      <c r="S376" s="45">
        <f t="shared" si="122"/>
        <v>0</v>
      </c>
      <c r="T376" s="45">
        <f t="shared" si="123"/>
        <v>-5.2864983932758323</v>
      </c>
      <c r="U376" s="45">
        <f t="shared" si="124"/>
        <v>-82.365264238679984</v>
      </c>
      <c r="V376" s="45">
        <f t="shared" si="125"/>
        <v>0</v>
      </c>
      <c r="W376" s="45">
        <f t="shared" si="126"/>
        <v>0</v>
      </c>
      <c r="X376" s="45">
        <f t="shared" si="127"/>
        <v>0</v>
      </c>
      <c r="Y376" s="45">
        <f t="shared" si="128"/>
        <v>0</v>
      </c>
      <c r="Z376" s="45">
        <f t="shared" si="129"/>
        <v>0</v>
      </c>
      <c r="AA376" s="45">
        <f t="shared" si="130"/>
        <v>0</v>
      </c>
      <c r="AB376" s="45">
        <f t="shared" si="131"/>
        <v>0</v>
      </c>
      <c r="AC376" s="45">
        <f t="shared" si="132"/>
        <v>0</v>
      </c>
      <c r="AD376" s="45">
        <f t="shared" si="133"/>
        <v>0</v>
      </c>
      <c r="AE376" s="45">
        <f t="shared" si="134"/>
        <v>0</v>
      </c>
      <c r="AF376" s="45">
        <f t="shared" si="135"/>
        <v>0</v>
      </c>
      <c r="AG376" s="69">
        <f>SUM(F376:AF376)</f>
        <v>-8434.7699418348675</v>
      </c>
      <c r="AH376" s="14" t="str">
        <f>IF(ABS(E376-AG376)&lt;0.01,"ok","err")</f>
        <v>ok</v>
      </c>
      <c r="AJ376" s="32">
        <f t="shared" si="108"/>
        <v>1</v>
      </c>
      <c r="AK376" s="26">
        <v>-8434.7699418348657</v>
      </c>
    </row>
    <row r="377" spans="1:41" x14ac:dyDescent="0.2">
      <c r="A377" s="157">
        <v>1.1299999999999999</v>
      </c>
      <c r="B377" s="156" t="s">
        <v>1041</v>
      </c>
      <c r="D377" s="2" t="s">
        <v>261</v>
      </c>
      <c r="E377" s="69">
        <f t="shared" si="101"/>
        <v>66666.67</v>
      </c>
      <c r="F377" s="45">
        <f t="shared" si="109"/>
        <v>54268.272434469647</v>
      </c>
      <c r="G377" s="45">
        <f t="shared" si="110"/>
        <v>0</v>
      </c>
      <c r="H377" s="45">
        <f t="shared" si="111"/>
        <v>2.060080128568345</v>
      </c>
      <c r="I377" s="45">
        <f t="shared" si="112"/>
        <v>4492.0217483969645</v>
      </c>
      <c r="J377" s="45">
        <f t="shared" si="113"/>
        <v>2593.4657620415264</v>
      </c>
      <c r="K377" s="45">
        <f t="shared" si="114"/>
        <v>37.287766401901251</v>
      </c>
      <c r="L377" s="45">
        <f t="shared" si="115"/>
        <v>0</v>
      </c>
      <c r="M377" s="45">
        <f t="shared" si="116"/>
        <v>761.75079371037214</v>
      </c>
      <c r="N377" s="45">
        <f t="shared" si="117"/>
        <v>880.37387198499607</v>
      </c>
      <c r="O377" s="45">
        <f t="shared" si="118"/>
        <v>210.86555307068741</v>
      </c>
      <c r="P377" s="45">
        <f t="shared" si="119"/>
        <v>64.233647480784626</v>
      </c>
      <c r="Q377" s="45">
        <f t="shared" si="120"/>
        <v>220.36163422946737</v>
      </c>
      <c r="R377" s="45">
        <f t="shared" si="121"/>
        <v>476.6681693708465</v>
      </c>
      <c r="S377" s="45">
        <f t="shared" si="122"/>
        <v>0</v>
      </c>
      <c r="T377" s="45">
        <f t="shared" si="123"/>
        <v>50.854152316047745</v>
      </c>
      <c r="U377" s="45">
        <f t="shared" si="124"/>
        <v>2608.4543863981876</v>
      </c>
      <c r="V377" s="45">
        <f t="shared" si="125"/>
        <v>0</v>
      </c>
      <c r="W377" s="45">
        <f t="shared" si="126"/>
        <v>0</v>
      </c>
      <c r="X377" s="45">
        <f t="shared" si="127"/>
        <v>0</v>
      </c>
      <c r="Y377" s="45">
        <f t="shared" si="128"/>
        <v>0</v>
      </c>
      <c r="Z377" s="45">
        <f t="shared" si="129"/>
        <v>0</v>
      </c>
      <c r="AA377" s="45">
        <f t="shared" si="130"/>
        <v>0</v>
      </c>
      <c r="AB377" s="45">
        <f t="shared" si="131"/>
        <v>0</v>
      </c>
      <c r="AC377" s="45">
        <f t="shared" si="132"/>
        <v>0</v>
      </c>
      <c r="AD377" s="45">
        <f t="shared" si="133"/>
        <v>0</v>
      </c>
      <c r="AE377" s="45">
        <f t="shared" si="134"/>
        <v>0</v>
      </c>
      <c r="AF377" s="45">
        <f t="shared" si="135"/>
        <v>0</v>
      </c>
      <c r="AG377" s="69">
        <f t="shared" si="99"/>
        <v>66666.67</v>
      </c>
      <c r="AH377" s="14" t="str">
        <f t="shared" si="100"/>
        <v>ok</v>
      </c>
      <c r="AJ377" s="32">
        <f t="shared" si="108"/>
        <v>1</v>
      </c>
      <c r="AK377" s="26">
        <v>66666.67</v>
      </c>
    </row>
    <row r="378" spans="1:41" x14ac:dyDescent="0.2">
      <c r="A378" s="157">
        <v>1.1399999999999999</v>
      </c>
      <c r="B378" s="156" t="s">
        <v>1143</v>
      </c>
      <c r="D378" s="2" t="s">
        <v>261</v>
      </c>
      <c r="E378" s="69">
        <f t="shared" si="101"/>
        <v>-12063.92</v>
      </c>
      <c r="F378" s="45">
        <f t="shared" si="109"/>
        <v>-9820.3209667986575</v>
      </c>
      <c r="G378" s="45">
        <f t="shared" si="110"/>
        <v>0</v>
      </c>
      <c r="H378" s="45">
        <f t="shared" si="111"/>
        <v>-0.37278960933009303</v>
      </c>
      <c r="I378" s="45">
        <f t="shared" si="112"/>
        <v>-812.87082452027551</v>
      </c>
      <c r="J378" s="45">
        <f t="shared" si="113"/>
        <v>-469.31042867459871</v>
      </c>
      <c r="K378" s="45">
        <f t="shared" si="114"/>
        <v>-6.7475491253909121</v>
      </c>
      <c r="L378" s="45">
        <f t="shared" si="115"/>
        <v>0</v>
      </c>
      <c r="M378" s="45">
        <f t="shared" si="116"/>
        <v>-137.84550263660137</v>
      </c>
      <c r="N378" s="45">
        <f t="shared" si="117"/>
        <v>-159.31139146018893</v>
      </c>
      <c r="O378" s="45">
        <f t="shared" si="118"/>
        <v>-38.157975537109138</v>
      </c>
      <c r="P378" s="45">
        <f t="shared" si="119"/>
        <v>-11.623643186563649</v>
      </c>
      <c r="Q378" s="45">
        <f t="shared" si="120"/>
        <v>-39.876374902384597</v>
      </c>
      <c r="R378" s="45">
        <f t="shared" si="121"/>
        <v>-86.257295614680359</v>
      </c>
      <c r="S378" s="45">
        <f t="shared" si="122"/>
        <v>0</v>
      </c>
      <c r="T378" s="45">
        <f t="shared" si="123"/>
        <v>-9.2025059180039257</v>
      </c>
      <c r="U378" s="45">
        <f t="shared" si="124"/>
        <v>-472.02275201621478</v>
      </c>
      <c r="V378" s="45">
        <f t="shared" si="125"/>
        <v>0</v>
      </c>
      <c r="W378" s="45">
        <f t="shared" si="126"/>
        <v>0</v>
      </c>
      <c r="X378" s="45">
        <f t="shared" si="127"/>
        <v>0</v>
      </c>
      <c r="Y378" s="45">
        <f t="shared" si="128"/>
        <v>0</v>
      </c>
      <c r="Z378" s="45">
        <f t="shared" si="129"/>
        <v>0</v>
      </c>
      <c r="AA378" s="45">
        <f t="shared" si="130"/>
        <v>0</v>
      </c>
      <c r="AB378" s="45">
        <f t="shared" si="131"/>
        <v>0</v>
      </c>
      <c r="AC378" s="45">
        <f t="shared" si="132"/>
        <v>0</v>
      </c>
      <c r="AD378" s="45">
        <f t="shared" si="133"/>
        <v>0</v>
      </c>
      <c r="AE378" s="45">
        <f t="shared" si="134"/>
        <v>0</v>
      </c>
      <c r="AF378" s="45">
        <f t="shared" si="135"/>
        <v>0</v>
      </c>
      <c r="AG378" s="69">
        <f t="shared" si="99"/>
        <v>-12063.919999999998</v>
      </c>
      <c r="AH378" s="14" t="str">
        <f t="shared" si="100"/>
        <v>ok</v>
      </c>
      <c r="AJ378" s="32">
        <f t="shared" si="108"/>
        <v>1</v>
      </c>
      <c r="AK378" s="26">
        <v>-12063.92</v>
      </c>
    </row>
    <row r="379" spans="1:41" x14ac:dyDescent="0.2">
      <c r="A379" s="157">
        <v>1.1499999999999999</v>
      </c>
      <c r="B379" s="156" t="s">
        <v>1166</v>
      </c>
      <c r="D379" s="2" t="s">
        <v>261</v>
      </c>
      <c r="E379" s="69">
        <f t="shared" si="101"/>
        <v>0</v>
      </c>
      <c r="F379" s="45">
        <f t="shared" si="109"/>
        <v>0</v>
      </c>
      <c r="G379" s="45">
        <f t="shared" si="110"/>
        <v>0</v>
      </c>
      <c r="H379" s="45">
        <f t="shared" si="111"/>
        <v>0</v>
      </c>
      <c r="I379" s="45">
        <f t="shared" si="112"/>
        <v>0</v>
      </c>
      <c r="J379" s="45">
        <f t="shared" si="113"/>
        <v>0</v>
      </c>
      <c r="K379" s="45">
        <f t="shared" si="114"/>
        <v>0</v>
      </c>
      <c r="L379" s="45">
        <f t="shared" si="115"/>
        <v>0</v>
      </c>
      <c r="M379" s="45">
        <f t="shared" si="116"/>
        <v>0</v>
      </c>
      <c r="N379" s="45">
        <f t="shared" si="117"/>
        <v>0</v>
      </c>
      <c r="O379" s="45">
        <f t="shared" si="118"/>
        <v>0</v>
      </c>
      <c r="P379" s="45">
        <f t="shared" si="119"/>
        <v>0</v>
      </c>
      <c r="Q379" s="45">
        <f t="shared" si="120"/>
        <v>0</v>
      </c>
      <c r="R379" s="45">
        <f t="shared" si="121"/>
        <v>0</v>
      </c>
      <c r="S379" s="45">
        <f t="shared" si="122"/>
        <v>0</v>
      </c>
      <c r="T379" s="45">
        <f t="shared" si="123"/>
        <v>0</v>
      </c>
      <c r="U379" s="45">
        <f t="shared" si="124"/>
        <v>0</v>
      </c>
      <c r="V379" s="45">
        <f t="shared" si="125"/>
        <v>0</v>
      </c>
      <c r="W379" s="45">
        <f t="shared" si="126"/>
        <v>0</v>
      </c>
      <c r="X379" s="45">
        <f t="shared" si="127"/>
        <v>0</v>
      </c>
      <c r="Y379" s="45">
        <f t="shared" si="128"/>
        <v>0</v>
      </c>
      <c r="Z379" s="45">
        <f t="shared" si="129"/>
        <v>0</v>
      </c>
      <c r="AA379" s="45">
        <f t="shared" si="130"/>
        <v>0</v>
      </c>
      <c r="AB379" s="45">
        <f t="shared" si="131"/>
        <v>0</v>
      </c>
      <c r="AC379" s="45">
        <f t="shared" si="132"/>
        <v>0</v>
      </c>
      <c r="AD379" s="45">
        <f t="shared" si="133"/>
        <v>0</v>
      </c>
      <c r="AE379" s="45">
        <f t="shared" si="134"/>
        <v>0</v>
      </c>
      <c r="AF379" s="45">
        <f t="shared" si="135"/>
        <v>0</v>
      </c>
      <c r="AG379" s="69">
        <f t="shared" si="99"/>
        <v>0</v>
      </c>
      <c r="AH379" s="14" t="str">
        <f t="shared" si="100"/>
        <v>ok</v>
      </c>
      <c r="AJ379" s="32">
        <v>0</v>
      </c>
      <c r="AK379" s="26"/>
    </row>
    <row r="380" spans="1:41" x14ac:dyDescent="0.2">
      <c r="A380" s="157">
        <v>1.1599999999999999</v>
      </c>
      <c r="B380" s="156" t="s">
        <v>1167</v>
      </c>
      <c r="D380" s="2" t="s">
        <v>285</v>
      </c>
      <c r="E380" s="69">
        <v>0</v>
      </c>
      <c r="F380" s="45">
        <f t="shared" si="109"/>
        <v>0</v>
      </c>
      <c r="G380" s="45">
        <f t="shared" si="110"/>
        <v>0</v>
      </c>
      <c r="H380" s="45">
        <f t="shared" si="111"/>
        <v>0</v>
      </c>
      <c r="I380" s="45">
        <f t="shared" si="112"/>
        <v>0</v>
      </c>
      <c r="J380" s="45">
        <f t="shared" si="113"/>
        <v>0</v>
      </c>
      <c r="K380" s="45">
        <f t="shared" si="114"/>
        <v>0</v>
      </c>
      <c r="L380" s="45">
        <f t="shared" si="115"/>
        <v>0</v>
      </c>
      <c r="M380" s="45">
        <f t="shared" si="116"/>
        <v>0</v>
      </c>
      <c r="N380" s="45">
        <f t="shared" si="117"/>
        <v>0</v>
      </c>
      <c r="O380" s="45">
        <f t="shared" si="118"/>
        <v>0</v>
      </c>
      <c r="P380" s="45">
        <f t="shared" si="119"/>
        <v>0</v>
      </c>
      <c r="Q380" s="45">
        <f t="shared" si="120"/>
        <v>0</v>
      </c>
      <c r="R380" s="45">
        <f t="shared" si="121"/>
        <v>0</v>
      </c>
      <c r="S380" s="45">
        <f t="shared" si="122"/>
        <v>0</v>
      </c>
      <c r="T380" s="45">
        <f t="shared" si="123"/>
        <v>0</v>
      </c>
      <c r="U380" s="45">
        <f t="shared" si="124"/>
        <v>0</v>
      </c>
      <c r="V380" s="45">
        <f t="shared" si="125"/>
        <v>0</v>
      </c>
      <c r="W380" s="45">
        <f t="shared" si="126"/>
        <v>0</v>
      </c>
      <c r="X380" s="45">
        <f t="shared" si="127"/>
        <v>0</v>
      </c>
      <c r="Y380" s="45">
        <f t="shared" si="128"/>
        <v>0</v>
      </c>
      <c r="Z380" s="45">
        <f t="shared" si="129"/>
        <v>0</v>
      </c>
      <c r="AA380" s="45">
        <f t="shared" si="130"/>
        <v>0</v>
      </c>
      <c r="AB380" s="45">
        <f t="shared" si="131"/>
        <v>0</v>
      </c>
      <c r="AC380" s="45">
        <f t="shared" si="132"/>
        <v>0</v>
      </c>
      <c r="AD380" s="45">
        <f t="shared" si="133"/>
        <v>0</v>
      </c>
      <c r="AE380" s="45">
        <f t="shared" si="134"/>
        <v>0</v>
      </c>
      <c r="AF380" s="45">
        <f t="shared" si="135"/>
        <v>0</v>
      </c>
      <c r="AG380" s="69">
        <f t="shared" si="99"/>
        <v>0</v>
      </c>
      <c r="AH380" s="14" t="str">
        <f t="shared" si="100"/>
        <v>ok</v>
      </c>
      <c r="AJ380" s="32">
        <f>AJ365</f>
        <v>1</v>
      </c>
      <c r="AK380" s="26">
        <v>13285.72411105522</v>
      </c>
    </row>
    <row r="381" spans="1:41" x14ac:dyDescent="0.2">
      <c r="A381" s="157">
        <v>1.17</v>
      </c>
      <c r="B381" s="156" t="s">
        <v>1168</v>
      </c>
      <c r="D381" s="2" t="s">
        <v>261</v>
      </c>
      <c r="E381" s="69">
        <v>0</v>
      </c>
      <c r="F381" s="45">
        <f t="shared" si="109"/>
        <v>0</v>
      </c>
      <c r="G381" s="45">
        <f t="shared" si="110"/>
        <v>0</v>
      </c>
      <c r="H381" s="45">
        <f t="shared" si="111"/>
        <v>0</v>
      </c>
      <c r="I381" s="45">
        <f t="shared" si="112"/>
        <v>0</v>
      </c>
      <c r="J381" s="45">
        <f t="shared" si="113"/>
        <v>0</v>
      </c>
      <c r="K381" s="45">
        <f t="shared" si="114"/>
        <v>0</v>
      </c>
      <c r="L381" s="45">
        <f t="shared" si="115"/>
        <v>0</v>
      </c>
      <c r="M381" s="45">
        <f t="shared" si="116"/>
        <v>0</v>
      </c>
      <c r="N381" s="45">
        <f t="shared" si="117"/>
        <v>0</v>
      </c>
      <c r="O381" s="45">
        <f t="shared" si="118"/>
        <v>0</v>
      </c>
      <c r="P381" s="45">
        <f t="shared" si="119"/>
        <v>0</v>
      </c>
      <c r="Q381" s="45">
        <f t="shared" si="120"/>
        <v>0</v>
      </c>
      <c r="R381" s="45">
        <f t="shared" si="121"/>
        <v>0</v>
      </c>
      <c r="S381" s="45">
        <f t="shared" si="122"/>
        <v>0</v>
      </c>
      <c r="T381" s="45">
        <f t="shared" si="123"/>
        <v>0</v>
      </c>
      <c r="U381" s="45">
        <f t="shared" si="124"/>
        <v>0</v>
      </c>
      <c r="V381" s="45">
        <f t="shared" si="125"/>
        <v>0</v>
      </c>
      <c r="W381" s="45">
        <f t="shared" si="126"/>
        <v>0</v>
      </c>
      <c r="X381" s="45">
        <f t="shared" si="127"/>
        <v>0</v>
      </c>
      <c r="Y381" s="45">
        <f t="shared" si="128"/>
        <v>0</v>
      </c>
      <c r="Z381" s="45">
        <f t="shared" si="129"/>
        <v>0</v>
      </c>
      <c r="AA381" s="45">
        <f t="shared" si="130"/>
        <v>0</v>
      </c>
      <c r="AB381" s="45">
        <f t="shared" si="131"/>
        <v>0</v>
      </c>
      <c r="AC381" s="45">
        <f t="shared" si="132"/>
        <v>0</v>
      </c>
      <c r="AD381" s="45">
        <f t="shared" si="133"/>
        <v>0</v>
      </c>
      <c r="AE381" s="45">
        <f t="shared" si="134"/>
        <v>0</v>
      </c>
      <c r="AF381" s="45">
        <f t="shared" si="135"/>
        <v>0</v>
      </c>
      <c r="AG381" s="69">
        <f t="shared" ref="AG381" si="136">SUM(F381:AF381)</f>
        <v>0</v>
      </c>
      <c r="AH381" s="14" t="str">
        <f t="shared" ref="AH381" si="137">IF(ABS(E381-AG381)&lt;0.01,"ok","err")</f>
        <v>ok</v>
      </c>
      <c r="AJ381" s="32">
        <v>0</v>
      </c>
    </row>
    <row r="382" spans="1:41" hidden="1" x14ac:dyDescent="0.2">
      <c r="A382" s="13">
        <v>18</v>
      </c>
      <c r="D382" s="2" t="s">
        <v>261</v>
      </c>
      <c r="E382" s="69">
        <v>0</v>
      </c>
      <c r="F382" s="45">
        <f t="shared" si="109"/>
        <v>0</v>
      </c>
      <c r="G382" s="45">
        <f t="shared" si="110"/>
        <v>0</v>
      </c>
      <c r="H382" s="45">
        <f t="shared" si="111"/>
        <v>0</v>
      </c>
      <c r="I382" s="45">
        <f t="shared" si="112"/>
        <v>0</v>
      </c>
      <c r="J382" s="45">
        <f t="shared" si="113"/>
        <v>0</v>
      </c>
      <c r="K382" s="45">
        <f t="shared" si="114"/>
        <v>0</v>
      </c>
      <c r="L382" s="45">
        <f t="shared" si="115"/>
        <v>0</v>
      </c>
      <c r="M382" s="45">
        <f t="shared" si="116"/>
        <v>0</v>
      </c>
      <c r="N382" s="45">
        <f t="shared" si="117"/>
        <v>0</v>
      </c>
      <c r="O382" s="45">
        <f t="shared" si="118"/>
        <v>0</v>
      </c>
      <c r="P382" s="45">
        <f t="shared" si="119"/>
        <v>0</v>
      </c>
      <c r="Q382" s="45">
        <f t="shared" si="120"/>
        <v>0</v>
      </c>
      <c r="R382" s="45">
        <f t="shared" si="121"/>
        <v>0</v>
      </c>
      <c r="S382" s="45">
        <f t="shared" si="122"/>
        <v>0</v>
      </c>
      <c r="T382" s="45">
        <f t="shared" si="123"/>
        <v>0</v>
      </c>
      <c r="U382" s="45">
        <f t="shared" si="124"/>
        <v>0</v>
      </c>
      <c r="V382" s="45">
        <f t="shared" si="125"/>
        <v>0</v>
      </c>
      <c r="W382" s="45">
        <f t="shared" si="126"/>
        <v>0</v>
      </c>
      <c r="X382" s="45">
        <f t="shared" si="127"/>
        <v>0</v>
      </c>
      <c r="Y382" s="45">
        <f t="shared" si="128"/>
        <v>0</v>
      </c>
      <c r="Z382" s="45">
        <f t="shared" si="129"/>
        <v>0</v>
      </c>
      <c r="AA382" s="45">
        <f t="shared" si="130"/>
        <v>0</v>
      </c>
      <c r="AB382" s="45">
        <f t="shared" si="131"/>
        <v>0</v>
      </c>
      <c r="AC382" s="45">
        <f t="shared" si="132"/>
        <v>0</v>
      </c>
      <c r="AD382" s="45">
        <f t="shared" si="133"/>
        <v>0</v>
      </c>
      <c r="AE382" s="45">
        <f t="shared" si="134"/>
        <v>0</v>
      </c>
      <c r="AF382" s="45">
        <f t="shared" si="135"/>
        <v>0</v>
      </c>
      <c r="AG382" s="69">
        <f>SUM(F382:AF382)</f>
        <v>0</v>
      </c>
      <c r="AH382" s="14" t="str">
        <f>IF(ABS(E382-AG382)&lt;0.01,"ok","err")</f>
        <v>ok</v>
      </c>
    </row>
    <row r="383" spans="1:41" hidden="1" x14ac:dyDescent="0.2">
      <c r="A383" s="13">
        <v>19</v>
      </c>
      <c r="D383" s="2" t="s">
        <v>261</v>
      </c>
      <c r="E383" s="69">
        <v>0</v>
      </c>
      <c r="F383" s="45">
        <f t="shared" si="109"/>
        <v>0</v>
      </c>
      <c r="G383" s="45">
        <f t="shared" si="110"/>
        <v>0</v>
      </c>
      <c r="H383" s="45">
        <f t="shared" si="111"/>
        <v>0</v>
      </c>
      <c r="I383" s="45">
        <f t="shared" si="112"/>
        <v>0</v>
      </c>
      <c r="J383" s="45">
        <f t="shared" si="113"/>
        <v>0</v>
      </c>
      <c r="K383" s="45">
        <f t="shared" si="114"/>
        <v>0</v>
      </c>
      <c r="L383" s="45">
        <f t="shared" si="115"/>
        <v>0</v>
      </c>
      <c r="M383" s="45">
        <f t="shared" si="116"/>
        <v>0</v>
      </c>
      <c r="N383" s="45">
        <f t="shared" si="117"/>
        <v>0</v>
      </c>
      <c r="O383" s="45">
        <f t="shared" si="118"/>
        <v>0</v>
      </c>
      <c r="P383" s="45">
        <f t="shared" si="119"/>
        <v>0</v>
      </c>
      <c r="Q383" s="45">
        <f t="shared" si="120"/>
        <v>0</v>
      </c>
      <c r="R383" s="45">
        <f t="shared" si="121"/>
        <v>0</v>
      </c>
      <c r="S383" s="45">
        <f t="shared" si="122"/>
        <v>0</v>
      </c>
      <c r="T383" s="45">
        <f t="shared" si="123"/>
        <v>0</v>
      </c>
      <c r="U383" s="45">
        <f t="shared" si="124"/>
        <v>0</v>
      </c>
      <c r="V383" s="45">
        <f t="shared" si="125"/>
        <v>0</v>
      </c>
      <c r="W383" s="45">
        <f t="shared" si="126"/>
        <v>0</v>
      </c>
      <c r="X383" s="45">
        <f t="shared" si="127"/>
        <v>0</v>
      </c>
      <c r="Y383" s="45">
        <f t="shared" si="128"/>
        <v>0</v>
      </c>
      <c r="Z383" s="45">
        <f t="shared" si="129"/>
        <v>0</v>
      </c>
      <c r="AA383" s="45">
        <f t="shared" si="130"/>
        <v>0</v>
      </c>
      <c r="AB383" s="45">
        <f t="shared" si="131"/>
        <v>0</v>
      </c>
      <c r="AC383" s="45">
        <f t="shared" si="132"/>
        <v>0</v>
      </c>
      <c r="AD383" s="45">
        <f t="shared" si="133"/>
        <v>0</v>
      </c>
      <c r="AE383" s="45">
        <f t="shared" si="134"/>
        <v>0</v>
      </c>
      <c r="AF383" s="45">
        <f t="shared" si="135"/>
        <v>0</v>
      </c>
      <c r="AG383" s="69">
        <f t="shared" ref="AG383:AG386" si="138">SUM(F383:AF383)</f>
        <v>0</v>
      </c>
      <c r="AH383" s="14" t="str">
        <f t="shared" ref="AH383:AH386" si="139">IF(ABS(E383-AG383)&lt;0.01,"ok","err")</f>
        <v>ok</v>
      </c>
    </row>
    <row r="384" spans="1:41" hidden="1" x14ac:dyDescent="0.2">
      <c r="A384" s="2">
        <v>20</v>
      </c>
      <c r="D384" s="2" t="s">
        <v>261</v>
      </c>
      <c r="E384" s="45">
        <v>0</v>
      </c>
      <c r="F384" s="45">
        <f t="shared" si="109"/>
        <v>0</v>
      </c>
      <c r="G384" s="45">
        <f t="shared" si="110"/>
        <v>0</v>
      </c>
      <c r="H384" s="45">
        <f t="shared" si="111"/>
        <v>0</v>
      </c>
      <c r="I384" s="45">
        <f t="shared" si="112"/>
        <v>0</v>
      </c>
      <c r="J384" s="45">
        <f t="shared" si="113"/>
        <v>0</v>
      </c>
      <c r="K384" s="45">
        <f t="shared" si="114"/>
        <v>0</v>
      </c>
      <c r="L384" s="45">
        <f t="shared" si="115"/>
        <v>0</v>
      </c>
      <c r="M384" s="45">
        <f t="shared" si="116"/>
        <v>0</v>
      </c>
      <c r="N384" s="45">
        <f t="shared" si="117"/>
        <v>0</v>
      </c>
      <c r="O384" s="45">
        <f t="shared" si="118"/>
        <v>0</v>
      </c>
      <c r="P384" s="45">
        <f t="shared" si="119"/>
        <v>0</v>
      </c>
      <c r="Q384" s="45">
        <f t="shared" si="120"/>
        <v>0</v>
      </c>
      <c r="R384" s="45">
        <f t="shared" si="121"/>
        <v>0</v>
      </c>
      <c r="S384" s="45">
        <f t="shared" si="122"/>
        <v>0</v>
      </c>
      <c r="T384" s="45">
        <f t="shared" si="123"/>
        <v>0</v>
      </c>
      <c r="U384" s="45">
        <f t="shared" si="124"/>
        <v>0</v>
      </c>
      <c r="V384" s="45">
        <f t="shared" si="125"/>
        <v>0</v>
      </c>
      <c r="W384" s="45">
        <f t="shared" si="126"/>
        <v>0</v>
      </c>
      <c r="X384" s="45">
        <f t="shared" si="127"/>
        <v>0</v>
      </c>
      <c r="Y384" s="45">
        <f t="shared" si="128"/>
        <v>0</v>
      </c>
      <c r="Z384" s="45">
        <f t="shared" si="129"/>
        <v>0</v>
      </c>
      <c r="AA384" s="45">
        <f t="shared" si="130"/>
        <v>0</v>
      </c>
      <c r="AB384" s="45">
        <f t="shared" si="131"/>
        <v>0</v>
      </c>
      <c r="AC384" s="45">
        <f t="shared" si="132"/>
        <v>0</v>
      </c>
      <c r="AD384" s="45">
        <f t="shared" si="133"/>
        <v>0</v>
      </c>
      <c r="AE384" s="45">
        <f t="shared" si="134"/>
        <v>0</v>
      </c>
      <c r="AF384" s="45">
        <f t="shared" si="135"/>
        <v>0</v>
      </c>
      <c r="AG384" s="69">
        <f t="shared" si="138"/>
        <v>0</v>
      </c>
      <c r="AH384" s="14" t="str">
        <f t="shared" si="139"/>
        <v>ok</v>
      </c>
    </row>
    <row r="385" spans="1:36" hidden="1" x14ac:dyDescent="0.2">
      <c r="A385" s="2">
        <v>21</v>
      </c>
      <c r="D385" s="2" t="s">
        <v>261</v>
      </c>
      <c r="E385" s="45">
        <v>0</v>
      </c>
      <c r="F385" s="45">
        <f t="shared" si="109"/>
        <v>0</v>
      </c>
      <c r="G385" s="45">
        <f t="shared" si="110"/>
        <v>0</v>
      </c>
      <c r="H385" s="45">
        <f t="shared" si="111"/>
        <v>0</v>
      </c>
      <c r="I385" s="45">
        <f t="shared" si="112"/>
        <v>0</v>
      </c>
      <c r="J385" s="45">
        <f t="shared" si="113"/>
        <v>0</v>
      </c>
      <c r="K385" s="45">
        <f t="shared" si="114"/>
        <v>0</v>
      </c>
      <c r="L385" s="45">
        <f t="shared" si="115"/>
        <v>0</v>
      </c>
      <c r="M385" s="45">
        <f t="shared" si="116"/>
        <v>0</v>
      </c>
      <c r="N385" s="45">
        <f t="shared" si="117"/>
        <v>0</v>
      </c>
      <c r="O385" s="45">
        <f t="shared" si="118"/>
        <v>0</v>
      </c>
      <c r="P385" s="45">
        <f t="shared" si="119"/>
        <v>0</v>
      </c>
      <c r="Q385" s="45">
        <f t="shared" si="120"/>
        <v>0</v>
      </c>
      <c r="R385" s="45">
        <f t="shared" si="121"/>
        <v>0</v>
      </c>
      <c r="S385" s="45">
        <f t="shared" si="122"/>
        <v>0</v>
      </c>
      <c r="T385" s="45">
        <f t="shared" si="123"/>
        <v>0</v>
      </c>
      <c r="U385" s="45">
        <f t="shared" si="124"/>
        <v>0</v>
      </c>
      <c r="V385" s="45">
        <f t="shared" si="125"/>
        <v>0</v>
      </c>
      <c r="W385" s="45">
        <f t="shared" si="126"/>
        <v>0</v>
      </c>
      <c r="X385" s="45">
        <f t="shared" si="127"/>
        <v>0</v>
      </c>
      <c r="Y385" s="45">
        <f t="shared" si="128"/>
        <v>0</v>
      </c>
      <c r="Z385" s="45">
        <f t="shared" si="129"/>
        <v>0</v>
      </c>
      <c r="AA385" s="45">
        <f t="shared" si="130"/>
        <v>0</v>
      </c>
      <c r="AB385" s="45">
        <f t="shared" si="131"/>
        <v>0</v>
      </c>
      <c r="AC385" s="45">
        <f t="shared" si="132"/>
        <v>0</v>
      </c>
      <c r="AD385" s="45">
        <f t="shared" si="133"/>
        <v>0</v>
      </c>
      <c r="AE385" s="45">
        <f t="shared" si="134"/>
        <v>0</v>
      </c>
      <c r="AF385" s="45">
        <f t="shared" si="135"/>
        <v>0</v>
      </c>
      <c r="AG385" s="69">
        <f t="shared" si="138"/>
        <v>0</v>
      </c>
      <c r="AH385" s="14" t="str">
        <f t="shared" si="139"/>
        <v>ok</v>
      </c>
    </row>
    <row r="386" spans="1:36" hidden="1" x14ac:dyDescent="0.2">
      <c r="A386" s="13">
        <v>22</v>
      </c>
      <c r="D386" s="2" t="s">
        <v>261</v>
      </c>
      <c r="E386" s="45">
        <v>0</v>
      </c>
      <c r="F386" s="45">
        <f t="shared" si="109"/>
        <v>0</v>
      </c>
      <c r="G386" s="45">
        <f t="shared" si="110"/>
        <v>0</v>
      </c>
      <c r="H386" s="45">
        <f t="shared" si="111"/>
        <v>0</v>
      </c>
      <c r="I386" s="45">
        <f t="shared" si="112"/>
        <v>0</v>
      </c>
      <c r="J386" s="45">
        <f t="shared" si="113"/>
        <v>0</v>
      </c>
      <c r="K386" s="45">
        <f t="shared" si="114"/>
        <v>0</v>
      </c>
      <c r="L386" s="45">
        <f t="shared" si="115"/>
        <v>0</v>
      </c>
      <c r="M386" s="45">
        <f t="shared" si="116"/>
        <v>0</v>
      </c>
      <c r="N386" s="45">
        <f t="shared" si="117"/>
        <v>0</v>
      </c>
      <c r="O386" s="45">
        <f t="shared" si="118"/>
        <v>0</v>
      </c>
      <c r="P386" s="45">
        <f t="shared" si="119"/>
        <v>0</v>
      </c>
      <c r="Q386" s="45">
        <f t="shared" si="120"/>
        <v>0</v>
      </c>
      <c r="R386" s="45">
        <f t="shared" si="121"/>
        <v>0</v>
      </c>
      <c r="S386" s="45">
        <f t="shared" si="122"/>
        <v>0</v>
      </c>
      <c r="T386" s="45">
        <f t="shared" si="123"/>
        <v>0</v>
      </c>
      <c r="U386" s="45">
        <f t="shared" si="124"/>
        <v>0</v>
      </c>
      <c r="V386" s="45">
        <f t="shared" si="125"/>
        <v>0</v>
      </c>
      <c r="W386" s="45">
        <f t="shared" si="126"/>
        <v>0</v>
      </c>
      <c r="X386" s="45">
        <f t="shared" si="127"/>
        <v>0</v>
      </c>
      <c r="Y386" s="45">
        <f t="shared" si="128"/>
        <v>0</v>
      </c>
      <c r="Z386" s="45">
        <f t="shared" si="129"/>
        <v>0</v>
      </c>
      <c r="AA386" s="45">
        <f t="shared" si="130"/>
        <v>0</v>
      </c>
      <c r="AB386" s="45">
        <f t="shared" si="131"/>
        <v>0</v>
      </c>
      <c r="AC386" s="45">
        <f t="shared" si="132"/>
        <v>0</v>
      </c>
      <c r="AD386" s="45">
        <f t="shared" si="133"/>
        <v>0</v>
      </c>
      <c r="AE386" s="45">
        <f t="shared" si="134"/>
        <v>0</v>
      </c>
      <c r="AF386" s="45">
        <f t="shared" si="135"/>
        <v>0</v>
      </c>
      <c r="AG386" s="69">
        <f t="shared" si="138"/>
        <v>0</v>
      </c>
      <c r="AH386" s="14" t="str">
        <f t="shared" si="139"/>
        <v>ok</v>
      </c>
    </row>
    <row r="387" spans="1:36" hidden="1" x14ac:dyDescent="0.2">
      <c r="A387" s="13">
        <v>23</v>
      </c>
      <c r="D387" s="2" t="s">
        <v>261</v>
      </c>
      <c r="E387" s="45">
        <v>0</v>
      </c>
      <c r="F387" s="45">
        <f t="shared" si="109"/>
        <v>0</v>
      </c>
      <c r="G387" s="45">
        <f t="shared" si="110"/>
        <v>0</v>
      </c>
      <c r="H387" s="45">
        <f t="shared" si="111"/>
        <v>0</v>
      </c>
      <c r="I387" s="45">
        <f t="shared" si="112"/>
        <v>0</v>
      </c>
      <c r="J387" s="45">
        <f t="shared" si="113"/>
        <v>0</v>
      </c>
      <c r="K387" s="45">
        <f t="shared" si="114"/>
        <v>0</v>
      </c>
      <c r="L387" s="45">
        <f t="shared" si="115"/>
        <v>0</v>
      </c>
      <c r="M387" s="45">
        <f t="shared" si="116"/>
        <v>0</v>
      </c>
      <c r="N387" s="45">
        <f t="shared" si="117"/>
        <v>0</v>
      </c>
      <c r="O387" s="45">
        <f t="shared" si="118"/>
        <v>0</v>
      </c>
      <c r="P387" s="45">
        <f t="shared" si="119"/>
        <v>0</v>
      </c>
      <c r="Q387" s="45">
        <f t="shared" si="120"/>
        <v>0</v>
      </c>
      <c r="R387" s="45">
        <f t="shared" si="121"/>
        <v>0</v>
      </c>
      <c r="S387" s="45">
        <f t="shared" si="122"/>
        <v>0</v>
      </c>
      <c r="T387" s="45">
        <f t="shared" si="123"/>
        <v>0</v>
      </c>
      <c r="U387" s="45">
        <f t="shared" si="124"/>
        <v>0</v>
      </c>
      <c r="V387" s="45">
        <f t="shared" si="125"/>
        <v>0</v>
      </c>
      <c r="W387" s="45">
        <f t="shared" si="126"/>
        <v>0</v>
      </c>
      <c r="X387" s="45">
        <f t="shared" si="127"/>
        <v>0</v>
      </c>
      <c r="Y387" s="45">
        <f t="shared" si="128"/>
        <v>0</v>
      </c>
      <c r="Z387" s="45">
        <f t="shared" si="129"/>
        <v>0</v>
      </c>
      <c r="AA387" s="45">
        <f t="shared" si="130"/>
        <v>0</v>
      </c>
      <c r="AB387" s="45">
        <f t="shared" si="131"/>
        <v>0</v>
      </c>
      <c r="AC387" s="45">
        <f t="shared" si="132"/>
        <v>0</v>
      </c>
      <c r="AD387" s="45">
        <f t="shared" si="133"/>
        <v>0</v>
      </c>
      <c r="AE387" s="45">
        <f t="shared" si="134"/>
        <v>0</v>
      </c>
      <c r="AF387" s="45">
        <f t="shared" si="135"/>
        <v>0</v>
      </c>
      <c r="AG387" s="69">
        <f t="shared" ref="AG387:AG388" si="140">SUM(F387:AF387)</f>
        <v>0</v>
      </c>
      <c r="AH387" s="14" t="str">
        <f t="shared" ref="AH387:AH388" si="141">IF(ABS(E387-AG387)&lt;0.01,"ok","err")</f>
        <v>ok</v>
      </c>
    </row>
    <row r="388" spans="1:36" hidden="1" x14ac:dyDescent="0.2">
      <c r="A388" s="2">
        <v>24</v>
      </c>
      <c r="D388" s="2" t="s">
        <v>261</v>
      </c>
      <c r="E388" s="45">
        <v>0</v>
      </c>
      <c r="F388" s="45">
        <f t="shared" si="109"/>
        <v>0</v>
      </c>
      <c r="G388" s="45">
        <f t="shared" si="110"/>
        <v>0</v>
      </c>
      <c r="H388" s="45">
        <f t="shared" si="111"/>
        <v>0</v>
      </c>
      <c r="I388" s="45">
        <f t="shared" si="112"/>
        <v>0</v>
      </c>
      <c r="J388" s="45">
        <f t="shared" si="113"/>
        <v>0</v>
      </c>
      <c r="K388" s="45">
        <f t="shared" si="114"/>
        <v>0</v>
      </c>
      <c r="L388" s="45">
        <f t="shared" si="115"/>
        <v>0</v>
      </c>
      <c r="M388" s="45">
        <f t="shared" si="116"/>
        <v>0</v>
      </c>
      <c r="N388" s="45">
        <f t="shared" si="117"/>
        <v>0</v>
      </c>
      <c r="O388" s="45">
        <f t="shared" si="118"/>
        <v>0</v>
      </c>
      <c r="P388" s="45">
        <f t="shared" si="119"/>
        <v>0</v>
      </c>
      <c r="Q388" s="45">
        <f t="shared" si="120"/>
        <v>0</v>
      </c>
      <c r="R388" s="45">
        <f t="shared" si="121"/>
        <v>0</v>
      </c>
      <c r="S388" s="45">
        <f t="shared" si="122"/>
        <v>0</v>
      </c>
      <c r="T388" s="45">
        <f t="shared" si="123"/>
        <v>0</v>
      </c>
      <c r="U388" s="45">
        <f t="shared" si="124"/>
        <v>0</v>
      </c>
      <c r="V388" s="45">
        <f t="shared" si="125"/>
        <v>0</v>
      </c>
      <c r="W388" s="45">
        <f t="shared" si="126"/>
        <v>0</v>
      </c>
      <c r="X388" s="45">
        <f t="shared" si="127"/>
        <v>0</v>
      </c>
      <c r="Y388" s="45">
        <f t="shared" si="128"/>
        <v>0</v>
      </c>
      <c r="Z388" s="45">
        <f t="shared" si="129"/>
        <v>0</v>
      </c>
      <c r="AA388" s="45">
        <f t="shared" si="130"/>
        <v>0</v>
      </c>
      <c r="AB388" s="45">
        <f t="shared" si="131"/>
        <v>0</v>
      </c>
      <c r="AC388" s="45">
        <f t="shared" si="132"/>
        <v>0</v>
      </c>
      <c r="AD388" s="45">
        <f t="shared" si="133"/>
        <v>0</v>
      </c>
      <c r="AE388" s="45">
        <f t="shared" si="134"/>
        <v>0</v>
      </c>
      <c r="AF388" s="45">
        <f t="shared" si="135"/>
        <v>0</v>
      </c>
      <c r="AG388" s="69">
        <f t="shared" si="140"/>
        <v>0</v>
      </c>
      <c r="AH388" s="14" t="str">
        <f t="shared" si="141"/>
        <v>ok</v>
      </c>
    </row>
    <row r="389" spans="1:36" hidden="1" x14ac:dyDescent="0.2">
      <c r="A389" s="2">
        <v>25</v>
      </c>
      <c r="D389" s="2" t="s">
        <v>261</v>
      </c>
      <c r="E389" s="45">
        <v>0</v>
      </c>
      <c r="F389" s="45">
        <f t="shared" si="109"/>
        <v>0</v>
      </c>
      <c r="G389" s="45">
        <f t="shared" si="110"/>
        <v>0</v>
      </c>
      <c r="H389" s="45">
        <f t="shared" si="111"/>
        <v>0</v>
      </c>
      <c r="I389" s="45">
        <f t="shared" si="112"/>
        <v>0</v>
      </c>
      <c r="J389" s="45">
        <f t="shared" si="113"/>
        <v>0</v>
      </c>
      <c r="K389" s="45">
        <f t="shared" si="114"/>
        <v>0</v>
      </c>
      <c r="L389" s="45">
        <f t="shared" si="115"/>
        <v>0</v>
      </c>
      <c r="M389" s="45">
        <f t="shared" si="116"/>
        <v>0</v>
      </c>
      <c r="N389" s="45">
        <f t="shared" si="117"/>
        <v>0</v>
      </c>
      <c r="O389" s="45">
        <f t="shared" si="118"/>
        <v>0</v>
      </c>
      <c r="P389" s="45">
        <f t="shared" si="119"/>
        <v>0</v>
      </c>
      <c r="Q389" s="45">
        <f t="shared" si="120"/>
        <v>0</v>
      </c>
      <c r="R389" s="45">
        <f t="shared" si="121"/>
        <v>0</v>
      </c>
      <c r="S389" s="45">
        <f t="shared" si="122"/>
        <v>0</v>
      </c>
      <c r="T389" s="45">
        <f t="shared" si="123"/>
        <v>0</v>
      </c>
      <c r="U389" s="45">
        <f t="shared" si="124"/>
        <v>0</v>
      </c>
      <c r="V389" s="45">
        <f t="shared" si="125"/>
        <v>0</v>
      </c>
      <c r="W389" s="45">
        <f t="shared" si="126"/>
        <v>0</v>
      </c>
      <c r="X389" s="45">
        <f t="shared" si="127"/>
        <v>0</v>
      </c>
      <c r="Y389" s="45">
        <f t="shared" si="128"/>
        <v>0</v>
      </c>
      <c r="Z389" s="45">
        <f t="shared" si="129"/>
        <v>0</v>
      </c>
      <c r="AA389" s="45">
        <f t="shared" si="130"/>
        <v>0</v>
      </c>
      <c r="AB389" s="45">
        <f t="shared" si="131"/>
        <v>0</v>
      </c>
      <c r="AC389" s="45">
        <f t="shared" si="132"/>
        <v>0</v>
      </c>
      <c r="AD389" s="45">
        <f t="shared" si="133"/>
        <v>0</v>
      </c>
      <c r="AE389" s="45">
        <f t="shared" si="134"/>
        <v>0</v>
      </c>
      <c r="AF389" s="45">
        <f t="shared" si="135"/>
        <v>0</v>
      </c>
      <c r="AG389" s="69">
        <f t="shared" ref="AG389" si="142">SUM(F389:AF389)</f>
        <v>0</v>
      </c>
      <c r="AH389" s="14" t="str">
        <f t="shared" ref="AH389" si="143">IF(ABS(E389-AG389)&lt;0.01,"ok","err")</f>
        <v>ok</v>
      </c>
    </row>
    <row r="390" spans="1:36" hidden="1" x14ac:dyDescent="0.2">
      <c r="A390" s="13">
        <v>26</v>
      </c>
      <c r="D390" s="2" t="s">
        <v>261</v>
      </c>
      <c r="E390" s="45">
        <v>0</v>
      </c>
      <c r="F390" s="45">
        <f t="shared" si="109"/>
        <v>0</v>
      </c>
      <c r="G390" s="45">
        <f t="shared" si="110"/>
        <v>0</v>
      </c>
      <c r="H390" s="45">
        <f t="shared" si="111"/>
        <v>0</v>
      </c>
      <c r="I390" s="45">
        <f t="shared" si="112"/>
        <v>0</v>
      </c>
      <c r="J390" s="45">
        <f t="shared" si="113"/>
        <v>0</v>
      </c>
      <c r="K390" s="45">
        <f t="shared" si="114"/>
        <v>0</v>
      </c>
      <c r="L390" s="45">
        <f t="shared" si="115"/>
        <v>0</v>
      </c>
      <c r="M390" s="45">
        <f t="shared" si="116"/>
        <v>0</v>
      </c>
      <c r="N390" s="45">
        <f t="shared" si="117"/>
        <v>0</v>
      </c>
      <c r="O390" s="45">
        <f t="shared" si="118"/>
        <v>0</v>
      </c>
      <c r="P390" s="45">
        <f t="shared" si="119"/>
        <v>0</v>
      </c>
      <c r="Q390" s="45">
        <f t="shared" si="120"/>
        <v>0</v>
      </c>
      <c r="R390" s="45">
        <f t="shared" si="121"/>
        <v>0</v>
      </c>
      <c r="S390" s="45">
        <f t="shared" si="122"/>
        <v>0</v>
      </c>
      <c r="T390" s="45">
        <f t="shared" si="123"/>
        <v>0</v>
      </c>
      <c r="U390" s="45">
        <f t="shared" si="124"/>
        <v>0</v>
      </c>
      <c r="V390" s="45">
        <f t="shared" si="125"/>
        <v>0</v>
      </c>
      <c r="W390" s="45">
        <f t="shared" si="126"/>
        <v>0</v>
      </c>
      <c r="X390" s="45">
        <f t="shared" si="127"/>
        <v>0</v>
      </c>
      <c r="Y390" s="45">
        <f t="shared" si="128"/>
        <v>0</v>
      </c>
      <c r="Z390" s="45">
        <f t="shared" si="129"/>
        <v>0</v>
      </c>
      <c r="AA390" s="45">
        <f t="shared" si="130"/>
        <v>0</v>
      </c>
      <c r="AB390" s="45">
        <f t="shared" si="131"/>
        <v>0</v>
      </c>
      <c r="AC390" s="45">
        <f t="shared" si="132"/>
        <v>0</v>
      </c>
      <c r="AD390" s="45">
        <f t="shared" si="133"/>
        <v>0</v>
      </c>
      <c r="AE390" s="45">
        <f t="shared" si="134"/>
        <v>0</v>
      </c>
      <c r="AF390" s="45">
        <f t="shared" si="135"/>
        <v>0</v>
      </c>
      <c r="AG390" s="69">
        <f t="shared" si="99"/>
        <v>0</v>
      </c>
      <c r="AH390" s="14" t="str">
        <f t="shared" si="100"/>
        <v>ok</v>
      </c>
    </row>
    <row r="391" spans="1:36" x14ac:dyDescent="0.2">
      <c r="B391" s="11" t="s">
        <v>866</v>
      </c>
      <c r="E391" s="162">
        <f>SUM(E365:E390)</f>
        <v>-8382694.7720656302</v>
      </c>
      <c r="F391" s="162">
        <f t="shared" ref="F391:U391" si="144">SUM(F365:F390)</f>
        <v>-5954722.9309706166</v>
      </c>
      <c r="G391" s="162">
        <f t="shared" si="144"/>
        <v>0</v>
      </c>
      <c r="H391" s="162">
        <f t="shared" si="144"/>
        <v>-136.21220036010598</v>
      </c>
      <c r="I391" s="162">
        <f t="shared" si="144"/>
        <v>-441152.07377769687</v>
      </c>
      <c r="J391" s="162">
        <f t="shared" si="144"/>
        <v>-916710.04913575482</v>
      </c>
      <c r="K391" s="162">
        <f t="shared" si="144"/>
        <v>-2015.0123263614541</v>
      </c>
      <c r="L391" s="162">
        <f t="shared" si="144"/>
        <v>0</v>
      </c>
      <c r="M391" s="162">
        <f t="shared" si="144"/>
        <v>-315455.24711593875</v>
      </c>
      <c r="N391" s="162">
        <f t="shared" si="144"/>
        <v>-396583.96769850369</v>
      </c>
      <c r="O391" s="162">
        <f t="shared" si="144"/>
        <v>-98260.304406346491</v>
      </c>
      <c r="P391" s="162">
        <f t="shared" si="144"/>
        <v>-9326.6432978457669</v>
      </c>
      <c r="Q391" s="162">
        <f t="shared" si="144"/>
        <v>-21227.829456994121</v>
      </c>
      <c r="R391" s="162">
        <f t="shared" si="144"/>
        <v>-208392.48608649118</v>
      </c>
      <c r="S391" s="162">
        <f t="shared" si="144"/>
        <v>0</v>
      </c>
      <c r="T391" s="162">
        <f t="shared" si="144"/>
        <v>-7074.4972037898979</v>
      </c>
      <c r="U391" s="162">
        <f t="shared" si="144"/>
        <v>-11637.515535555916</v>
      </c>
      <c r="V391" s="78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162">
        <f t="shared" si="99"/>
        <v>-8382694.7692122562</v>
      </c>
      <c r="AH391" s="14" t="str">
        <f t="shared" si="100"/>
        <v>ok</v>
      </c>
    </row>
    <row r="392" spans="1:36" x14ac:dyDescent="0.2">
      <c r="E392" s="69"/>
    </row>
    <row r="393" spans="1:36" x14ac:dyDescent="0.2">
      <c r="A393" s="2" t="s">
        <v>572</v>
      </c>
      <c r="E393" s="69">
        <f>E362+E391</f>
        <v>49170938.817934364</v>
      </c>
      <c r="F393" s="69">
        <f t="shared" ref="F393:U393" si="145">F362+F391</f>
        <v>34968765.080476098</v>
      </c>
      <c r="G393" s="69">
        <f t="shared" si="145"/>
        <v>0</v>
      </c>
      <c r="H393" s="69">
        <f t="shared" si="145"/>
        <v>1216.3000594571404</v>
      </c>
      <c r="I393" s="69">
        <f t="shared" si="145"/>
        <v>3539869.6748685902</v>
      </c>
      <c r="J393" s="69">
        <f t="shared" si="145"/>
        <v>4236704.0522458572</v>
      </c>
      <c r="K393" s="69">
        <f t="shared" si="145"/>
        <v>22834.411734188277</v>
      </c>
      <c r="L393" s="69">
        <f t="shared" si="145"/>
        <v>0</v>
      </c>
      <c r="M393" s="69">
        <f t="shared" si="145"/>
        <v>1766225.1444693771</v>
      </c>
      <c r="N393" s="69">
        <f t="shared" si="145"/>
        <v>2267781.3922751886</v>
      </c>
      <c r="O393" s="69">
        <f t="shared" si="145"/>
        <v>587265.41039413563</v>
      </c>
      <c r="P393" s="69">
        <f t="shared" si="145"/>
        <v>64544.486484666784</v>
      </c>
      <c r="Q393" s="69">
        <f t="shared" si="145"/>
        <v>169524.94773252081</v>
      </c>
      <c r="R393" s="69">
        <f t="shared" si="145"/>
        <v>1195941.9766630363</v>
      </c>
      <c r="S393" s="69">
        <f t="shared" si="145"/>
        <v>0</v>
      </c>
      <c r="T393" s="69">
        <f t="shared" si="145"/>
        <v>46466.026193196005</v>
      </c>
      <c r="U393" s="69">
        <f t="shared" si="145"/>
        <v>303799.91719143942</v>
      </c>
      <c r="V393" s="69">
        <f t="shared" ref="V393:AF393" si="146">SUM(V362:V392)</f>
        <v>0</v>
      </c>
      <c r="W393" s="69">
        <f t="shared" si="146"/>
        <v>0</v>
      </c>
      <c r="X393" s="69">
        <f t="shared" si="146"/>
        <v>0</v>
      </c>
      <c r="Y393" s="69">
        <f t="shared" si="146"/>
        <v>0</v>
      </c>
      <c r="Z393" s="69">
        <f t="shared" si="146"/>
        <v>0</v>
      </c>
      <c r="AA393" s="69">
        <f t="shared" si="146"/>
        <v>0</v>
      </c>
      <c r="AB393" s="69">
        <f t="shared" si="146"/>
        <v>0</v>
      </c>
      <c r="AC393" s="69">
        <f t="shared" si="146"/>
        <v>0</v>
      </c>
      <c r="AD393" s="69">
        <f t="shared" si="146"/>
        <v>0</v>
      </c>
      <c r="AE393" s="69">
        <f t="shared" si="146"/>
        <v>0</v>
      </c>
      <c r="AF393" s="69">
        <f t="shared" si="146"/>
        <v>0</v>
      </c>
      <c r="AG393" s="69">
        <f>SUM(F393:AF393)</f>
        <v>49170938.820787758</v>
      </c>
      <c r="AH393" s="14" t="str">
        <f>IF(ABS(E393-AG393)&lt;0.01,"ok","err")</f>
        <v>ok</v>
      </c>
    </row>
    <row r="395" spans="1:36" x14ac:dyDescent="0.2">
      <c r="A395" s="1" t="s">
        <v>573</v>
      </c>
      <c r="E395" s="69">
        <f t="shared" ref="E395:AF395" si="147">E358-E393</f>
        <v>4403010.3320656419</v>
      </c>
      <c r="F395" s="69">
        <f t="shared" si="147"/>
        <v>533022.95034455508</v>
      </c>
      <c r="G395" s="69">
        <f t="shared" si="147"/>
        <v>0</v>
      </c>
      <c r="H395" s="69">
        <f t="shared" si="147"/>
        <v>88.003020555184548</v>
      </c>
      <c r="I395" s="69">
        <f t="shared" si="147"/>
        <v>514964.83131334558</v>
      </c>
      <c r="J395" s="69">
        <f t="shared" si="147"/>
        <v>1468955.2006507711</v>
      </c>
      <c r="K395" s="69">
        <f t="shared" si="147"/>
        <v>-6180.374958132561</v>
      </c>
      <c r="L395" s="69">
        <f t="shared" si="147"/>
        <v>0</v>
      </c>
      <c r="M395" s="69">
        <f t="shared" si="147"/>
        <v>374511.11073663039</v>
      </c>
      <c r="N395" s="69">
        <f t="shared" si="147"/>
        <v>365360.91532830475</v>
      </c>
      <c r="O395" s="69">
        <f t="shared" si="147"/>
        <v>117197.94043134968</v>
      </c>
      <c r="P395" s="69">
        <f t="shared" si="147"/>
        <v>44474.226320979556</v>
      </c>
      <c r="Q395" s="69">
        <f t="shared" si="147"/>
        <v>-62263.655883424013</v>
      </c>
      <c r="R395" s="69">
        <f t="shared" si="147"/>
        <v>161587.14605415543</v>
      </c>
      <c r="S395" s="69">
        <f t="shared" si="147"/>
        <v>0</v>
      </c>
      <c r="T395" s="69">
        <f t="shared" si="147"/>
        <v>20456.050052689774</v>
      </c>
      <c r="U395" s="69">
        <f t="shared" si="147"/>
        <v>870835.98571173532</v>
      </c>
      <c r="V395" s="69">
        <f t="shared" si="147"/>
        <v>0</v>
      </c>
      <c r="W395" s="69">
        <f t="shared" si="147"/>
        <v>0</v>
      </c>
      <c r="X395" s="69">
        <f t="shared" si="147"/>
        <v>0</v>
      </c>
      <c r="Y395" s="69">
        <f t="shared" si="147"/>
        <v>0</v>
      </c>
      <c r="Z395" s="69">
        <f t="shared" si="147"/>
        <v>0</v>
      </c>
      <c r="AA395" s="69">
        <f t="shared" si="147"/>
        <v>0</v>
      </c>
      <c r="AB395" s="69">
        <f t="shared" si="147"/>
        <v>0</v>
      </c>
      <c r="AC395" s="69">
        <f t="shared" si="147"/>
        <v>0</v>
      </c>
      <c r="AD395" s="69">
        <f t="shared" si="147"/>
        <v>0</v>
      </c>
      <c r="AE395" s="69">
        <f t="shared" si="147"/>
        <v>0</v>
      </c>
      <c r="AF395" s="69">
        <f t="shared" si="147"/>
        <v>0</v>
      </c>
      <c r="AG395" s="69">
        <f>SUM(F395:AF395)</f>
        <v>4403010.3291235156</v>
      </c>
      <c r="AH395" s="14" t="str">
        <f>IF(ABS(E395-AG395)&lt;0.01,"ok","err")</f>
        <v>ok</v>
      </c>
    </row>
    <row r="397" spans="1:36" x14ac:dyDescent="0.2">
      <c r="A397" s="1" t="s">
        <v>249</v>
      </c>
      <c r="E397" s="69">
        <f t="shared" ref="E397:AF397" si="148">E328</f>
        <v>88072123.171730757</v>
      </c>
      <c r="F397" s="69">
        <f t="shared" si="148"/>
        <v>71692826.027843475</v>
      </c>
      <c r="G397" s="69">
        <f t="shared" si="148"/>
        <v>0</v>
      </c>
      <c r="H397" s="69">
        <f t="shared" si="148"/>
        <v>2721.5343263268774</v>
      </c>
      <c r="I397" s="69">
        <f t="shared" si="148"/>
        <v>5934328.0940072583</v>
      </c>
      <c r="J397" s="69">
        <f t="shared" si="148"/>
        <v>3426180.3692337996</v>
      </c>
      <c r="K397" s="69">
        <f t="shared" si="148"/>
        <v>49260.188867195116</v>
      </c>
      <c r="L397" s="69">
        <f t="shared" si="148"/>
        <v>0</v>
      </c>
      <c r="M397" s="69">
        <f t="shared" si="148"/>
        <v>1006335.0956305987</v>
      </c>
      <c r="N397" s="69">
        <f t="shared" si="148"/>
        <v>1163045.8832072474</v>
      </c>
      <c r="O397" s="69">
        <f t="shared" si="148"/>
        <v>278570.64051221864</v>
      </c>
      <c r="P397" s="69">
        <f t="shared" si="148"/>
        <v>84857.901447562879</v>
      </c>
      <c r="Q397" s="69">
        <f t="shared" si="148"/>
        <v>291115.74032693595</v>
      </c>
      <c r="R397" s="69">
        <f t="shared" si="148"/>
        <v>629717.63438720745</v>
      </c>
      <c r="S397" s="69">
        <f t="shared" si="148"/>
        <v>0</v>
      </c>
      <c r="T397" s="69">
        <f t="shared" si="148"/>
        <v>67182.49413946901</v>
      </c>
      <c r="U397" s="69">
        <f t="shared" si="148"/>
        <v>3445981.5678014602</v>
      </c>
      <c r="V397" s="69">
        <f t="shared" si="148"/>
        <v>0</v>
      </c>
      <c r="W397" s="69">
        <f t="shared" si="148"/>
        <v>0</v>
      </c>
      <c r="X397" s="69">
        <f t="shared" si="148"/>
        <v>0</v>
      </c>
      <c r="Y397" s="69">
        <f t="shared" si="148"/>
        <v>0</v>
      </c>
      <c r="Z397" s="69">
        <f t="shared" si="148"/>
        <v>0</v>
      </c>
      <c r="AA397" s="69">
        <f t="shared" si="148"/>
        <v>0</v>
      </c>
      <c r="AB397" s="69">
        <f t="shared" si="148"/>
        <v>0</v>
      </c>
      <c r="AC397" s="69">
        <f t="shared" si="148"/>
        <v>0</v>
      </c>
      <c r="AD397" s="69">
        <f t="shared" si="148"/>
        <v>0</v>
      </c>
      <c r="AE397" s="69">
        <f t="shared" si="148"/>
        <v>0</v>
      </c>
      <c r="AF397" s="69">
        <f t="shared" si="148"/>
        <v>0</v>
      </c>
      <c r="AG397" s="69">
        <f>SUM(F397:AF397)</f>
        <v>88072123.171730757</v>
      </c>
      <c r="AH397" s="14" t="str">
        <f>IF(ABS(E397-AG397)&lt;0.01,"ok","err")</f>
        <v>ok</v>
      </c>
    </row>
    <row r="398" spans="1:36" x14ac:dyDescent="0.2">
      <c r="A398" s="2" t="s">
        <v>722</v>
      </c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14"/>
    </row>
    <row r="399" spans="1:36" x14ac:dyDescent="0.2">
      <c r="A399" s="1"/>
      <c r="B399" s="2" t="s">
        <v>988</v>
      </c>
      <c r="D399" s="2" t="s">
        <v>261</v>
      </c>
      <c r="E399" s="69">
        <v>0</v>
      </c>
      <c r="F399" s="45">
        <f>IF(VLOOKUP($D399,$C$5:$AT$528,3,)=0,0,(VLOOKUP($D399,$C$5:$AT$528,4,)/VLOOKUP($D399,$C$5:$AT$528,3,))*$E399)</f>
        <v>0</v>
      </c>
      <c r="G399" s="45">
        <f>IF(VLOOKUP($D399,$C$5:$AT$528,3,)=0,0,(VLOOKUP($D399,$C$5:$AT$528,5,)/VLOOKUP($D399,$C$5:$AT$528,3,))*$E399)</f>
        <v>0</v>
      </c>
      <c r="H399" s="45">
        <f>IF(VLOOKUP($D399,$C$5:$AT$528,3,)=0,0,(VLOOKUP($D399,$C$5:$AT$528,6,)/VLOOKUP($D399,$C$5:$AT$528,3,))*$E399)</f>
        <v>0</v>
      </c>
      <c r="I399" s="45">
        <f>IF(VLOOKUP($D399,$C$5:$AT$528,3,)=0,0,(VLOOKUP($D399,$C$5:$AT$528,7,)/VLOOKUP($D399,$C$5:$AT$528,3,))*$E399)</f>
        <v>0</v>
      </c>
      <c r="J399" s="45">
        <f>IF(VLOOKUP($D399,$C$5:$AT$528,3,)=0,0,(VLOOKUP($D399,$C$5:$AT$528,8,)/VLOOKUP($D399,$C$5:$AT$528,3,))*$E399)</f>
        <v>0</v>
      </c>
      <c r="K399" s="45">
        <f>IF(VLOOKUP($D399,$C$5:$AT$528,3,)=0,0,(VLOOKUP($D399,$C$5:$AT$528,9,)/VLOOKUP($D399,$C$5:$AT$528,3,))*$E399)</f>
        <v>0</v>
      </c>
      <c r="L399" s="45">
        <f>IF(VLOOKUP($D399,$C$5:$AT$528,3,)=0,0,(VLOOKUP($D399,$C$5:$AT$528,10,)/VLOOKUP($D399,$C$5:$AT$528,3,))*$E399)</f>
        <v>0</v>
      </c>
      <c r="M399" s="45">
        <f>IF(VLOOKUP($D399,$C$5:$AT$528,3,)=0,0,(VLOOKUP($D399,$C$5:$AT$528,11,)/VLOOKUP($D399,$C$5:$AT$528,3,))*$E399)</f>
        <v>0</v>
      </c>
      <c r="N399" s="45">
        <f>IF(VLOOKUP($D399,$C$5:$AT$528,3,)=0,0,(VLOOKUP($D399,$C$5:$AT$528,12,)/VLOOKUP($D399,$C$5:$AT$528,3,))*$E399)</f>
        <v>0</v>
      </c>
      <c r="O399" s="45">
        <f>IF(VLOOKUP($D399,$C$5:$AT$528,3,)=0,0,(VLOOKUP($D399,$C$5:$AT$528,13,)/VLOOKUP($D399,$C$5:$AT$528,3,))*$E399)</f>
        <v>0</v>
      </c>
      <c r="P399" s="45">
        <f>IF(VLOOKUP($D399,$C$5:$AT$528,3,)=0,0,(VLOOKUP($D399,$C$5:$AT$528,14,)/VLOOKUP($D399,$C$5:$AT$528,3,))*$E399)</f>
        <v>0</v>
      </c>
      <c r="Q399" s="45">
        <f>IF(VLOOKUP($D399,$C$5:$AT$528,3,)=0,0,(VLOOKUP($D399,$C$5:$AT$528,15,)/VLOOKUP($D399,$C$5:$AT$528,3,))*$E399)</f>
        <v>0</v>
      </c>
      <c r="R399" s="45">
        <f>IF(VLOOKUP($D399,$C$5:$AT$528,3,)=0,0,(VLOOKUP($D399,$C$5:$AT$528,16,)/VLOOKUP($D399,$C$5:$AT$528,3,))*$E399)</f>
        <v>0</v>
      </c>
      <c r="S399" s="45">
        <f>IF(VLOOKUP($D399,$C$5:$AT$528,3,)=0,0,(VLOOKUP($D399,$C$5:$AT$528,17,)/VLOOKUP($D399,$C$5:$AT$528,3,))*$E399)</f>
        <v>0</v>
      </c>
      <c r="T399" s="45">
        <f>IF(VLOOKUP($D399,$C$5:$AT$528,3,)=0,0,(VLOOKUP($D399,$C$5:$AT$528,18,)/VLOOKUP($D399,$C$5:$AT$528,3,))*$E399)</f>
        <v>0</v>
      </c>
      <c r="U399" s="45">
        <f>IF(VLOOKUP($D399,$C$5:$AT$528,3,)=0,0,(VLOOKUP($D399,$C$5:$AT$528,19,)/VLOOKUP($D399,$C$5:$AT$528,3,))*$E399)</f>
        <v>0</v>
      </c>
      <c r="V399" s="45">
        <f>IF(VLOOKUP($D399,$C$5:$AT$528,3,)=0,0,(VLOOKUP($D399,$C$5:$AT$528,20,)/VLOOKUP($D399,$C$5:$AT$528,3,))*$E399)</f>
        <v>0</v>
      </c>
      <c r="W399" s="45">
        <f>IF(VLOOKUP($D399,$C$5:$AT$528,3,)=0,0,(VLOOKUP($D399,$C$5:$AT$528,21,)/VLOOKUP($D399,$C$5:$AT$528,3,))*$E399)</f>
        <v>0</v>
      </c>
      <c r="X399" s="45">
        <f>IF(VLOOKUP($D399,$C$5:$AT$528,3,)=0,0,(VLOOKUP($D399,$C$5:$AT$528,22,)/VLOOKUP($D399,$C$5:$AT$528,3,))*$E399)</f>
        <v>0</v>
      </c>
      <c r="Y399" s="45">
        <f>IF(VLOOKUP($D399,$C$5:$AT$528,3,)=0,0,(VLOOKUP($D399,$C$5:$AT$528,23,)/VLOOKUP($D399,$C$5:$AT$528,3,))*$E399)</f>
        <v>0</v>
      </c>
      <c r="Z399" s="45">
        <f>IF(VLOOKUP($D399,$C$5:$AT$528,3,)=0,0,(VLOOKUP($D399,$C$5:$AT$528,24,)/VLOOKUP($D399,$C$5:$AT$528,3,))*$E399)</f>
        <v>0</v>
      </c>
      <c r="AA399" s="45">
        <f>IF(VLOOKUP($D399,$C$5:$AT$528,3,)=0,0,(VLOOKUP($D399,$C$5:$AT$528,25,)/VLOOKUP($D399,$C$5:$AT$528,3,))*$E399)</f>
        <v>0</v>
      </c>
      <c r="AB399" s="45">
        <f>IF(VLOOKUP($D399,$C$5:$AT$528,3,)=0,0,(VLOOKUP($D399,$C$5:$AT$528,26,)/VLOOKUP($D399,$C$5:$AT$528,3,))*$E399)</f>
        <v>0</v>
      </c>
      <c r="AC399" s="45">
        <f>IF(VLOOKUP($D399,$C$5:$AT$528,3,)=0,0,(VLOOKUP($D399,$C$5:$AT$528,27,)/VLOOKUP($D399,$C$5:$AT$528,3,))*$E399)</f>
        <v>0</v>
      </c>
      <c r="AD399" s="45">
        <f>IF(VLOOKUP($D399,$C$5:$AT$528,3,)=0,0,(VLOOKUP($D399,$C$5:$AT$528,28,)/VLOOKUP($D399,$C$5:$AT$528,3,))*$E399)</f>
        <v>0</v>
      </c>
      <c r="AE399" s="45">
        <f>IF(VLOOKUP($D399,$C$5:$AT$528,3,)=0,0,(VLOOKUP($D399,$C$5:$AT$528,29,)/VLOOKUP($D399,$C$5:$AT$528,3,))*$E399)</f>
        <v>0</v>
      </c>
      <c r="AF399" s="45">
        <f>IF(VLOOKUP($D399,$C$5:$AT$528,3,)=0,0,(VLOOKUP($D399,$C$5:$AT$528,30,)/VLOOKUP($D399,$C$5:$AT$528,3,))*$E399)</f>
        <v>0</v>
      </c>
      <c r="AG399" s="69">
        <f>SUM(F399:AF399)</f>
        <v>0</v>
      </c>
      <c r="AH399" s="14" t="str">
        <f>IF(ABS(E399-AG399)&lt;0.01,"ok","err")</f>
        <v>ok</v>
      </c>
      <c r="AJ399" s="32">
        <v>1</v>
      </c>
    </row>
    <row r="400" spans="1:36" x14ac:dyDescent="0.2">
      <c r="A400" s="1"/>
      <c r="E400" s="69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69"/>
      <c r="AH400" s="14"/>
    </row>
    <row r="401" spans="1:34" x14ac:dyDescent="0.2">
      <c r="A401" s="2" t="s">
        <v>721</v>
      </c>
      <c r="E401" s="69">
        <f>E397+E399</f>
        <v>88072123.171730757</v>
      </c>
      <c r="F401" s="69">
        <f t="shared" ref="F401:V401" si="149">F397+F399</f>
        <v>71692826.027843475</v>
      </c>
      <c r="G401" s="69">
        <f t="shared" si="149"/>
        <v>0</v>
      </c>
      <c r="H401" s="69">
        <f t="shared" si="149"/>
        <v>2721.5343263268774</v>
      </c>
      <c r="I401" s="69">
        <f t="shared" si="149"/>
        <v>5934328.0940072583</v>
      </c>
      <c r="J401" s="69">
        <f t="shared" si="149"/>
        <v>3426180.3692337996</v>
      </c>
      <c r="K401" s="69">
        <f t="shared" si="149"/>
        <v>49260.188867195116</v>
      </c>
      <c r="L401" s="69">
        <f t="shared" si="149"/>
        <v>0</v>
      </c>
      <c r="M401" s="69">
        <f t="shared" si="149"/>
        <v>1006335.0956305987</v>
      </c>
      <c r="N401" s="69">
        <f t="shared" si="149"/>
        <v>1163045.8832072474</v>
      </c>
      <c r="O401" s="69">
        <f t="shared" si="149"/>
        <v>278570.64051221864</v>
      </c>
      <c r="P401" s="69">
        <f t="shared" si="149"/>
        <v>84857.901447562879</v>
      </c>
      <c r="Q401" s="69">
        <f t="shared" si="149"/>
        <v>291115.74032693595</v>
      </c>
      <c r="R401" s="69">
        <f t="shared" si="149"/>
        <v>629717.63438720745</v>
      </c>
      <c r="S401" s="69">
        <f t="shared" si="149"/>
        <v>0</v>
      </c>
      <c r="T401" s="69">
        <f t="shared" si="149"/>
        <v>67182.49413946901</v>
      </c>
      <c r="U401" s="69">
        <f t="shared" si="149"/>
        <v>3445981.5678014602</v>
      </c>
      <c r="V401" s="69">
        <f t="shared" si="149"/>
        <v>0</v>
      </c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69">
        <f>SUM(F401:AF401)</f>
        <v>88072123.171730757</v>
      </c>
      <c r="AH401" s="14" t="str">
        <f>IF(ABS(E401-AG401)&lt;0.01,"ok","err")</f>
        <v>ok</v>
      </c>
    </row>
    <row r="402" spans="1:34" ht="13.5" thickBot="1" x14ac:dyDescent="0.25">
      <c r="AG402" s="69"/>
      <c r="AH402" s="14"/>
    </row>
    <row r="403" spans="1:34" ht="13.5" thickBot="1" x14ac:dyDescent="0.25">
      <c r="A403" s="163" t="s">
        <v>334</v>
      </c>
      <c r="B403" s="164"/>
      <c r="C403" s="164"/>
      <c r="D403" s="164"/>
      <c r="E403" s="79">
        <f>IF(E401=0,"NA",E395/E401)</f>
        <v>4.9993234788722717E-2</v>
      </c>
      <c r="F403" s="79">
        <f t="shared" ref="F403:O403" si="150">IF(F401=0,"NA",F395/F401)</f>
        <v>7.4348157253215823E-3</v>
      </c>
      <c r="G403" s="79" t="str">
        <f t="shared" si="150"/>
        <v>NA</v>
      </c>
      <c r="H403" s="79">
        <f t="shared" si="150"/>
        <v>3.2335811348724729E-2</v>
      </c>
      <c r="I403" s="79">
        <f t="shared" si="150"/>
        <v>8.6777276745682363E-2</v>
      </c>
      <c r="J403" s="79">
        <f t="shared" si="150"/>
        <v>0.42874426981182989</v>
      </c>
      <c r="K403" s="79">
        <f t="shared" si="150"/>
        <v>-0.12546389082662227</v>
      </c>
      <c r="L403" s="151" t="str">
        <f t="shared" si="150"/>
        <v>NA</v>
      </c>
      <c r="M403" s="151">
        <f t="shared" si="150"/>
        <v>0.37215348283361904</v>
      </c>
      <c r="N403" s="151">
        <f t="shared" si="150"/>
        <v>0.31414144583941556</v>
      </c>
      <c r="O403" s="151">
        <f t="shared" si="150"/>
        <v>0.42071174555887614</v>
      </c>
      <c r="P403" s="79">
        <f t="shared" ref="P403:R403" si="151">P395/P401</f>
        <v>0.52410235891188017</v>
      </c>
      <c r="Q403" s="79">
        <f t="shared" si="151"/>
        <v>-0.21387938630009889</v>
      </c>
      <c r="R403" s="79">
        <f t="shared" si="151"/>
        <v>0.25660254252114051</v>
      </c>
      <c r="S403" s="79" t="e">
        <f t="shared" ref="S403:AF403" si="152">S395/S397</f>
        <v>#DIV/0!</v>
      </c>
      <c r="T403" s="79">
        <f t="shared" si="152"/>
        <v>0.30448482621415596</v>
      </c>
      <c r="U403" s="79">
        <f t="shared" si="152"/>
        <v>0.2527105756596747</v>
      </c>
      <c r="V403" s="79" t="e">
        <f t="shared" si="152"/>
        <v>#DIV/0!</v>
      </c>
      <c r="W403" s="79" t="e">
        <f t="shared" si="152"/>
        <v>#DIV/0!</v>
      </c>
      <c r="X403" s="79" t="e">
        <f t="shared" si="152"/>
        <v>#DIV/0!</v>
      </c>
      <c r="Y403" s="79" t="e">
        <f t="shared" si="152"/>
        <v>#DIV/0!</v>
      </c>
      <c r="Z403" s="79" t="e">
        <f t="shared" si="152"/>
        <v>#DIV/0!</v>
      </c>
      <c r="AA403" s="79" t="e">
        <f t="shared" si="152"/>
        <v>#DIV/0!</v>
      </c>
      <c r="AB403" s="79" t="e">
        <f t="shared" si="152"/>
        <v>#DIV/0!</v>
      </c>
      <c r="AC403" s="79" t="e">
        <f t="shared" si="152"/>
        <v>#DIV/0!</v>
      </c>
      <c r="AD403" s="79" t="e">
        <f t="shared" si="152"/>
        <v>#DIV/0!</v>
      </c>
      <c r="AE403" s="79" t="e">
        <f t="shared" si="152"/>
        <v>#DIV/0!</v>
      </c>
      <c r="AF403" s="79" t="e">
        <f t="shared" si="152"/>
        <v>#DIV/0!</v>
      </c>
      <c r="AG403" s="69"/>
      <c r="AH403" s="14"/>
    </row>
    <row r="404" spans="1:34" x14ac:dyDescent="0.2">
      <c r="A404" s="1" t="s">
        <v>906</v>
      </c>
      <c r="B404" s="1"/>
      <c r="C404" s="1"/>
      <c r="D404" s="1"/>
      <c r="E404" s="126">
        <f>IF(E403="NA","NA",E403/$E$403)</f>
        <v>1</v>
      </c>
      <c r="F404" s="126">
        <f t="shared" ref="F404:O404" si="153">IF(F403="NA","NA",F403/$E$403)</f>
        <v>0.14871643646869395</v>
      </c>
      <c r="G404" s="126" t="str">
        <f t="shared" si="153"/>
        <v>NA</v>
      </c>
      <c r="H404" s="126">
        <f t="shared" si="153"/>
        <v>0.64680374225392023</v>
      </c>
      <c r="I404" s="126">
        <f t="shared" si="153"/>
        <v>1.735780393335485</v>
      </c>
      <c r="J404" s="126">
        <f t="shared" si="153"/>
        <v>8.5760457714679497</v>
      </c>
      <c r="K404" s="126">
        <f t="shared" si="153"/>
        <v>-2.5096173783682412</v>
      </c>
      <c r="L404" s="35" t="str">
        <f t="shared" si="153"/>
        <v>NA</v>
      </c>
      <c r="M404" s="35">
        <f t="shared" si="153"/>
        <v>7.4440768717284129</v>
      </c>
      <c r="N404" s="35">
        <f t="shared" si="153"/>
        <v>6.2836791251259134</v>
      </c>
      <c r="O404" s="35">
        <f t="shared" si="153"/>
        <v>8.4153735467779462</v>
      </c>
      <c r="P404" s="126">
        <f t="shared" ref="P404:AF404" si="154">P403/$E$403</f>
        <v>10.48346563543644</v>
      </c>
      <c r="Q404" s="126">
        <f t="shared" si="154"/>
        <v>-4.2781665800178423</v>
      </c>
      <c r="R404" s="126">
        <f t="shared" si="154"/>
        <v>5.132745332554955</v>
      </c>
      <c r="S404" s="126" t="e">
        <f t="shared" si="154"/>
        <v>#DIV/0!</v>
      </c>
      <c r="T404" s="126">
        <f t="shared" si="154"/>
        <v>6.0905205974557282</v>
      </c>
      <c r="U404" s="126">
        <f t="shared" si="154"/>
        <v>5.0548954619091822</v>
      </c>
      <c r="V404" s="126" t="e">
        <f t="shared" si="154"/>
        <v>#DIV/0!</v>
      </c>
      <c r="W404" s="126" t="e">
        <f t="shared" si="154"/>
        <v>#DIV/0!</v>
      </c>
      <c r="X404" s="126" t="e">
        <f t="shared" si="154"/>
        <v>#DIV/0!</v>
      </c>
      <c r="Y404" s="126" t="e">
        <f t="shared" si="154"/>
        <v>#DIV/0!</v>
      </c>
      <c r="Z404" s="126" t="e">
        <f t="shared" si="154"/>
        <v>#DIV/0!</v>
      </c>
      <c r="AA404" s="126" t="e">
        <f t="shared" si="154"/>
        <v>#DIV/0!</v>
      </c>
      <c r="AB404" s="126" t="e">
        <f t="shared" si="154"/>
        <v>#DIV/0!</v>
      </c>
      <c r="AC404" s="126" t="e">
        <f t="shared" si="154"/>
        <v>#DIV/0!</v>
      </c>
      <c r="AD404" s="126" t="e">
        <f t="shared" si="154"/>
        <v>#DIV/0!</v>
      </c>
      <c r="AE404" s="126" t="e">
        <f t="shared" si="154"/>
        <v>#DIV/0!</v>
      </c>
      <c r="AF404" s="126" t="e">
        <f t="shared" si="154"/>
        <v>#DIV/0!</v>
      </c>
      <c r="AG404" s="69"/>
      <c r="AH404" s="14"/>
    </row>
    <row r="407" spans="1:34" x14ac:dyDescent="0.2">
      <c r="A407" s="12" t="s">
        <v>567</v>
      </c>
    </row>
    <row r="409" spans="1:34" x14ac:dyDescent="0.2">
      <c r="A409" s="1" t="s">
        <v>335</v>
      </c>
    </row>
    <row r="410" spans="1:34" x14ac:dyDescent="0.2">
      <c r="A410" s="2" t="s">
        <v>336</v>
      </c>
      <c r="C410" s="2" t="s">
        <v>214</v>
      </c>
      <c r="D410" s="2" t="s">
        <v>11</v>
      </c>
      <c r="E410" s="31">
        <v>1</v>
      </c>
      <c r="F410" s="31">
        <f>IF(VLOOKUP($D410,$C$5:$AT$510,3,)=0,0,(VLOOKUP($D410,$C$5:$AT$510,4,)/VLOOKUP($D410,$C$5:$AT$510,3,))*$E410)</f>
        <v>0.64253986132054397</v>
      </c>
      <c r="G410" s="31">
        <f>IF(VLOOKUP($D410,$C$5:$AT$510,3,)=0,0,(VLOOKUP($D410,$C$5:$AT$510,5,)/VLOOKUP($D410,$C$5:$AT$510,3,))*$E410)</f>
        <v>0</v>
      </c>
      <c r="H410" s="31">
        <f>IF(VLOOKUP($D410,$C$5:$AT$510,3,)=0,0,(VLOOKUP($D410,$C$5:$AT$510,6,)/VLOOKUP($D410,$C$5:$AT$510,3,))*$E410)</f>
        <v>2.3031686283198185E-5</v>
      </c>
      <c r="I410" s="31">
        <f>IF(VLOOKUP($D410,$C$5:$AT$510,3,)=0,0,(VLOOKUP($D410,$C$5:$AT$510,7,)/VLOOKUP($D410,$C$5:$AT$510,3,))*$E410)</f>
        <v>7.1231408686450212E-2</v>
      </c>
      <c r="J410" s="31">
        <f>IF(VLOOKUP($D410,$C$5:$AT$510,3,)=0,0,(VLOOKUP($D410,$C$5:$AT$510,8,)/VLOOKUP($D410,$C$5:$AT$510,3,))*$E410)</f>
        <v>0.10974449688722065</v>
      </c>
      <c r="K410" s="31">
        <f>IF(VLOOKUP($D410,$C$5:$AT$510,3,)=0,0,(VLOOKUP($D410,$C$5:$AT$510,9,)/VLOOKUP($D410,$C$5:$AT$510,3,))*$E410)</f>
        <v>5.457145590408468E-4</v>
      </c>
      <c r="L410" s="31">
        <f>IF(VLOOKUP($D410,$C$5:$AT$510,3,)=0,0,(VLOOKUP($D410,$C$5:$AT$510,10,)/VLOOKUP($D410,$C$5:$AT$510,3,))*$E410)</f>
        <v>0</v>
      </c>
      <c r="M410" s="31">
        <f>IF(VLOOKUP($D410,$C$5:$AT$510,3,)=0,0,(VLOOKUP($D410,$C$5:$AT$510,11,)/VLOOKUP($D410,$C$5:$AT$510,3,))*$E410)</f>
        <v>5.0308480582144606E-2</v>
      </c>
      <c r="N410" s="31">
        <f>IF(VLOOKUP($D410,$C$5:$AT$510,3,)=0,0,(VLOOKUP($D410,$C$5:$AT$510,12,)/VLOOKUP($D410,$C$5:$AT$510,3,))*$E410)</f>
        <v>6.8281927642071416E-2</v>
      </c>
      <c r="O410" s="31">
        <f>IF(VLOOKUP($D410,$C$5:$AT$510,3,)=0,0,(VLOOKUP($D410,$C$5:$AT$510,13,)/VLOOKUP($D410,$C$5:$AT$510,3,))*$E410)</f>
        <v>1.6821469466321067E-2</v>
      </c>
      <c r="P410" s="31">
        <f>IF(VLOOKUP($D410,$C$5:$AT$510,3,)=0,0,(VLOOKUP($D410,$C$5:$AT$510,14,)/VLOOKUP($D410,$C$5:$AT$510,3,))*$E410)</f>
        <v>1.5436803126154008E-3</v>
      </c>
      <c r="Q410" s="31">
        <f>IF(VLOOKUP($D410,$C$5:$AT$510,3,)=0,0,(VLOOKUP($D410,$C$5:$AT$510,15,)/VLOOKUP($D410,$C$5:$AT$510,3,))*$E410)</f>
        <v>3.3949910258473472E-3</v>
      </c>
      <c r="R410" s="31">
        <f>IF(VLOOKUP($D410,$C$5:$AT$510,3,)=0,0,(VLOOKUP($D410,$C$5:$AT$510,16,)/VLOOKUP($D410,$C$5:$AT$510,3,))*$E410)</f>
        <v>3.3526889227038031E-2</v>
      </c>
      <c r="S410" s="31">
        <f>IF(VLOOKUP($D410,$C$5:$AT$510,3,)=0,0,(VLOOKUP($D410,$C$5:$AT$510,17,)/VLOOKUP($D410,$C$5:$AT$510,3,))*$E410)</f>
        <v>0</v>
      </c>
      <c r="T410" s="31">
        <f>IF(VLOOKUP($D410,$C$5:$AT$510,3,)=0,0,(VLOOKUP($D410,$C$5:$AT$510,18,)/VLOOKUP($D410,$C$5:$AT$510,3,))*$E410)</f>
        <v>1.1601329673772735E-3</v>
      </c>
      <c r="U410" s="31">
        <f>IF(VLOOKUP($D410,$C$5:$AT$510,3,)=0,0,(VLOOKUP($D410,$C$5:$AT$510,19,)/VLOOKUP($D410,$C$5:$AT$510,3,))*$E410)</f>
        <v>8.7791563704597343E-4</v>
      </c>
      <c r="V410" s="31">
        <f>IF(VLOOKUP($D410,$C$5:$AT$510,3,)=0,0,(VLOOKUP($D410,$C$5:$AT$510,20,)/VLOOKUP($D410,$C$5:$AT$510,3,))*$E410)</f>
        <v>0</v>
      </c>
      <c r="W410" s="31">
        <f>IF(VLOOKUP($D410,$C$5:$AT$510,3,)=0,0,(VLOOKUP($D410,$C$5:$AT$510,21,)/VLOOKUP($D410,$C$5:$AT$510,3,))*$E410)</f>
        <v>0</v>
      </c>
      <c r="X410" s="31">
        <f>IF(VLOOKUP($D410,$C$5:$AT$510,3,)=0,0,(VLOOKUP($D410,$C$5:$AT$510,22,)/VLOOKUP($D410,$C$5:$AT$510,3,))*$E410)</f>
        <v>0</v>
      </c>
      <c r="Y410" s="31">
        <f>IF(VLOOKUP($D410,$C$5:$AT$510,3,)=0,0,(VLOOKUP($D410,$C$5:$AT$510,23,)/VLOOKUP($D410,$C$5:$AT$510,3,))*$E410)</f>
        <v>0</v>
      </c>
      <c r="Z410" s="31">
        <f>IF(VLOOKUP($D410,$C$5:$AT$510,3,)=0,0,(VLOOKUP($D410,$C$5:$AT$510,24,)/VLOOKUP($D410,$C$5:$AT$510,3,))*$E410)</f>
        <v>0</v>
      </c>
      <c r="AA410" s="31">
        <f>IF(VLOOKUP($D410,$C$5:$AT$510,3,)=0,0,(VLOOKUP($D410,$C$5:$AT$510,25,)/VLOOKUP($D410,$C$5:$AT$510,3,))*$E410)</f>
        <v>0</v>
      </c>
      <c r="AB410" s="31">
        <f>IF(VLOOKUP($D410,$C$5:$AT$510,3,)=0,0,(VLOOKUP($D410,$C$5:$AT$510,26,)/VLOOKUP($D410,$C$5:$AT$510,3,))*$E410)</f>
        <v>0</v>
      </c>
      <c r="AC410" s="31">
        <f>IF(VLOOKUP($D410,$C$5:$AT$510,3,)=0,0,(VLOOKUP($D410,$C$5:$AT$510,27,)/VLOOKUP($D410,$C$5:$AT$510,3,))*$E410)</f>
        <v>0</v>
      </c>
      <c r="AD410" s="31">
        <f>IF(VLOOKUP($D410,$C$5:$AT$510,3,)=0,0,(VLOOKUP($D410,$C$5:$AT$510,28,)/VLOOKUP($D410,$C$5:$AT$510,3,))*$E410)</f>
        <v>0</v>
      </c>
      <c r="AE410" s="31">
        <f>IF(VLOOKUP($D410,$C$5:$AT$510,3,)=0,0,(VLOOKUP($D410,$C$5:$AT$510,29,)/VLOOKUP($D410,$C$5:$AT$510,3,))*$E410)</f>
        <v>0</v>
      </c>
      <c r="AF410" s="31">
        <f>IF(VLOOKUP($D410,$C$5:$AT$510,3,)=0,0,(VLOOKUP($D410,$C$5:$AT$510,30,)/VLOOKUP($D410,$C$5:$AT$510,3,))*$E410)</f>
        <v>0</v>
      </c>
      <c r="AG410" s="31">
        <f>SUM(F410:AF410)</f>
        <v>1</v>
      </c>
      <c r="AH410" s="14" t="str">
        <f>IF(ABS(E410-AG410)&lt;0.01,"ok","err")</f>
        <v>ok</v>
      </c>
    </row>
    <row r="412" spans="1:34" x14ac:dyDescent="0.2">
      <c r="A412" s="1" t="s">
        <v>337</v>
      </c>
    </row>
    <row r="413" spans="1:34" x14ac:dyDescent="0.2">
      <c r="A413" s="2" t="s">
        <v>338</v>
      </c>
      <c r="C413" s="2" t="s">
        <v>211</v>
      </c>
      <c r="D413" s="2" t="s">
        <v>910</v>
      </c>
      <c r="E413" s="73">
        <v>1</v>
      </c>
      <c r="F413" s="31">
        <f>IF(VLOOKUP($D413,$C$5:$AT$510,3,)=0,0,(VLOOKUP($D413,$C$5:$AT$510,4,)/VLOOKUP($D413,$C$5:$AT$510,3,))*$E413)</f>
        <v>0.72800471106561437</v>
      </c>
      <c r="G413" s="31">
        <f>IF(VLOOKUP($D413,$C$5:$AT$510,3,)=0,0,(VLOOKUP($D413,$C$5:$AT$510,5,)/VLOOKUP($D413,$C$5:$AT$510,3,))*$E413)</f>
        <v>0</v>
      </c>
      <c r="H413" s="31">
        <f>IF(VLOOKUP($D413,$C$5:$AT$510,3,)=0,0,(VLOOKUP($D413,$C$5:$AT$510,6,)/VLOOKUP($D413,$C$5:$AT$510,3,))*$E413)</f>
        <v>1.3683481913191543E-5</v>
      </c>
      <c r="I413" s="31">
        <f>IF(VLOOKUP($D413,$C$5:$AT$510,3,)=0,0,(VLOOKUP($D413,$C$5:$AT$510,7,)/VLOOKUP($D413,$C$5:$AT$510,3,))*$E413)</f>
        <v>6.5372179041079989E-2</v>
      </c>
      <c r="J413" s="31">
        <f>IF(VLOOKUP($D413,$C$5:$AT$510,3,)=0,0,(VLOOKUP($D413,$C$5:$AT$510,8,)/VLOOKUP($D413,$C$5:$AT$510,3,))*$E413)</f>
        <v>0.10423046447855702</v>
      </c>
      <c r="K413" s="31">
        <f>IF(VLOOKUP($D413,$C$5:$AT$510,3,)=0,0,(VLOOKUP($D413,$C$5:$AT$510,9,)/VLOOKUP($D413,$C$5:$AT$510,3,))*$E413)</f>
        <v>0</v>
      </c>
      <c r="L413" s="31">
        <f>IF(VLOOKUP($D413,$C$5:$AT$510,3,)=0,0,(VLOOKUP($D413,$C$5:$AT$510,10,)/VLOOKUP($D413,$C$5:$AT$510,3,))*$E413)</f>
        <v>0</v>
      </c>
      <c r="M413" s="31">
        <f>IF(VLOOKUP($D413,$C$5:$AT$510,3,)=0,0,(VLOOKUP($D413,$C$5:$AT$510,11,)/VLOOKUP($D413,$C$5:$AT$510,3,))*$E413)</f>
        <v>3.0977551649196217E-2</v>
      </c>
      <c r="N413" s="31">
        <f>IF(VLOOKUP($D413,$C$5:$AT$510,3,)=0,0,(VLOOKUP($D413,$C$5:$AT$510,12,)/VLOOKUP($D413,$C$5:$AT$510,3,))*$E413)</f>
        <v>3.6765595405622915E-2</v>
      </c>
      <c r="O413" s="31">
        <f>IF(VLOOKUP($D413,$C$5:$AT$510,3,)=0,0,(VLOOKUP($D413,$C$5:$AT$510,13,)/VLOOKUP($D413,$C$5:$AT$510,3,))*$E413)</f>
        <v>9.1544843147995485E-3</v>
      </c>
      <c r="P413" s="31">
        <f>IF(VLOOKUP($D413,$C$5:$AT$510,3,)=0,0,(VLOOKUP($D413,$C$5:$AT$510,14,)/VLOOKUP($D413,$C$5:$AT$510,3,))*$E413)</f>
        <v>9.4488342189975026E-4</v>
      </c>
      <c r="Q413" s="31">
        <f>IF(VLOOKUP($D413,$C$5:$AT$510,3,)=0,0,(VLOOKUP($D413,$C$5:$AT$510,15,)/VLOOKUP($D413,$C$5:$AT$510,3,))*$E413)</f>
        <v>3.0182675665004891E-3</v>
      </c>
      <c r="R413" s="31">
        <f>IF(VLOOKUP($D413,$C$5:$AT$510,3,)=0,0,(VLOOKUP($D413,$C$5:$AT$510,16,)/VLOOKUP($D413,$C$5:$AT$510,3,))*$E413)</f>
        <v>2.0324218987175589E-2</v>
      </c>
      <c r="S413" s="31">
        <f>IF(VLOOKUP($D413,$C$5:$AT$510,3,)=0,0,(VLOOKUP($D413,$C$5:$AT$510,17,)/VLOOKUP($D413,$C$5:$AT$510,3,))*$E413)</f>
        <v>0</v>
      </c>
      <c r="T413" s="31">
        <f>IF(VLOOKUP($D413,$C$5:$AT$510,3,)=0,0,(VLOOKUP($D413,$C$5:$AT$510,18,)/VLOOKUP($D413,$C$5:$AT$510,3,))*$E413)</f>
        <v>6.823661452730179E-4</v>
      </c>
      <c r="U413" s="31">
        <f>IF(VLOOKUP($D413,$C$5:$AT$510,3,)=0,0,(VLOOKUP($D413,$C$5:$AT$510,19,)/VLOOKUP($D413,$C$5:$AT$510,3,))*$E413)</f>
        <v>5.115944423677301E-4</v>
      </c>
      <c r="V413" s="31">
        <f>IF(VLOOKUP($D413,$C$5:$AT$510,3,)=0,0,(VLOOKUP($D413,$C$5:$AT$510,20,)/VLOOKUP($D413,$C$5:$AT$510,3,))*$E413)</f>
        <v>0</v>
      </c>
      <c r="W413" s="31">
        <f>IF(VLOOKUP($D413,$C$5:$AT$510,3,)=0,0,(VLOOKUP($D413,$C$5:$AT$510,21,)/VLOOKUP($D413,$C$5:$AT$510,3,))*$E413)</f>
        <v>0</v>
      </c>
      <c r="X413" s="31">
        <f>IF(VLOOKUP($D413,$C$5:$AT$510,3,)=0,0,(VLOOKUP($D413,$C$5:$AT$510,22,)/VLOOKUP($D413,$C$5:$AT$510,3,))*$E413)</f>
        <v>0</v>
      </c>
      <c r="Y413" s="31">
        <f>IF(VLOOKUP($D413,$C$5:$AT$510,3,)=0,0,(VLOOKUP($D413,$C$5:$AT$510,23,)/VLOOKUP($D413,$C$5:$AT$510,3,))*$E413)</f>
        <v>0</v>
      </c>
      <c r="Z413" s="31">
        <f>IF(VLOOKUP($D413,$C$5:$AT$510,3,)=0,0,(VLOOKUP($D413,$C$5:$AT$510,24,)/VLOOKUP($D413,$C$5:$AT$510,3,))*$E413)</f>
        <v>0</v>
      </c>
      <c r="AA413" s="31">
        <f>IF(VLOOKUP($D413,$C$5:$AT$510,3,)=0,0,(VLOOKUP($D413,$C$5:$AT$510,25,)/VLOOKUP($D413,$C$5:$AT$510,3,))*$E413)</f>
        <v>0</v>
      </c>
      <c r="AB413" s="31">
        <f>IF(VLOOKUP($D413,$C$5:$AT$510,3,)=0,0,(VLOOKUP($D413,$C$5:$AT$510,26,)/VLOOKUP($D413,$C$5:$AT$510,3,))*$E413)</f>
        <v>0</v>
      </c>
      <c r="AC413" s="31">
        <f>IF(VLOOKUP($D413,$C$5:$AT$510,3,)=0,0,(VLOOKUP($D413,$C$5:$AT$510,27,)/VLOOKUP($D413,$C$5:$AT$510,3,))*$E413)</f>
        <v>0</v>
      </c>
      <c r="AD413" s="31">
        <f>IF(VLOOKUP($D413,$C$5:$AT$510,3,)=0,0,(VLOOKUP($D413,$C$5:$AT$510,28,)/VLOOKUP($D413,$C$5:$AT$510,3,))*$E413)</f>
        <v>0</v>
      </c>
      <c r="AE413" s="31">
        <f>IF(VLOOKUP($D413,$C$5:$AT$510,3,)=0,0,(VLOOKUP($D413,$C$5:$AT$510,29,)/VLOOKUP($D413,$C$5:$AT$510,3,))*$E413)</f>
        <v>0</v>
      </c>
      <c r="AF413" s="31">
        <f>IF(VLOOKUP($D413,$C$5:$AT$510,3,)=0,0,(VLOOKUP($D413,$C$5:$AT$510,30,)/VLOOKUP($D413,$C$5:$AT$510,3,))*$E413)</f>
        <v>0</v>
      </c>
      <c r="AG413" s="31">
        <f>SUM(F413:AF413)</f>
        <v>1</v>
      </c>
      <c r="AH413" s="14" t="str">
        <f t="shared" ref="AH413:AH418" si="155">IF(ABS(E413-AG413)&lt;0.01,"ok","err")</f>
        <v>ok</v>
      </c>
    </row>
    <row r="414" spans="1:34" x14ac:dyDescent="0.2">
      <c r="A414" s="2" t="s">
        <v>339</v>
      </c>
      <c r="C414" s="2" t="s">
        <v>218</v>
      </c>
      <c r="D414" s="2" t="s">
        <v>566</v>
      </c>
      <c r="E414" s="73">
        <v>1</v>
      </c>
      <c r="F414" s="31">
        <f>IF(VLOOKUP($D414,$C$5:$AT$510,3,)=0,0,(VLOOKUP($D414,$C$5:$AT$510,4,)/VLOOKUP($D414,$C$5:$AT$510,3,))*$E414)</f>
        <v>0.76375908740702492</v>
      </c>
      <c r="G414" s="31">
        <f>IF(VLOOKUP($D414,$C$5:$AT$510,3,)=0,0,(VLOOKUP($D414,$C$5:$AT$510,5,)/VLOOKUP($D414,$C$5:$AT$510,3,))*$E414)</f>
        <v>0</v>
      </c>
      <c r="H414" s="31">
        <f>IF(VLOOKUP($D414,$C$5:$AT$510,3,)=0,0,(VLOOKUP($D414,$C$5:$AT$510,6,)/VLOOKUP($D414,$C$5:$AT$510,3,))*$E414)</f>
        <v>3.0311231909675608E-5</v>
      </c>
      <c r="I414" s="31">
        <f>IF(VLOOKUP($D414,$C$5:$AT$510,3,)=0,0,(VLOOKUP($D414,$C$5:$AT$510,7,)/VLOOKUP($D414,$C$5:$AT$510,3,))*$E414)</f>
        <v>5.2561361022524969E-2</v>
      </c>
      <c r="J414" s="31">
        <f>IF(VLOOKUP($D414,$C$5:$AT$510,3,)=0,0,(VLOOKUP($D414,$C$5:$AT$510,8,)/VLOOKUP($D414,$C$5:$AT$510,3,))*$E414)</f>
        <v>7.7819321265928595E-2</v>
      </c>
      <c r="K414" s="31">
        <f>IF(VLOOKUP($D414,$C$5:$AT$510,3,)=0,0,(VLOOKUP($D414,$C$5:$AT$510,9,)/VLOOKUP($D414,$C$5:$AT$510,3,))*$E414)</f>
        <v>1.191957597277103E-3</v>
      </c>
      <c r="L414" s="31">
        <f>IF(VLOOKUP($D414,$C$5:$AT$510,3,)=0,0,(VLOOKUP($D414,$C$5:$AT$510,10,)/VLOOKUP($D414,$C$5:$AT$510,3,))*$E414)</f>
        <v>0</v>
      </c>
      <c r="M414" s="31">
        <f>IF(VLOOKUP($D414,$C$5:$AT$510,3,)=0,0,(VLOOKUP($D414,$C$5:$AT$510,11,)/VLOOKUP($D414,$C$5:$AT$510,3,))*$E414)</f>
        <v>3.0524464178187667E-2</v>
      </c>
      <c r="N414" s="31">
        <f>IF(VLOOKUP($D414,$C$5:$AT$510,3,)=0,0,(VLOOKUP($D414,$C$5:$AT$510,12,)/VLOOKUP($D414,$C$5:$AT$510,3,))*$E414)</f>
        <v>3.5009001696630099E-2</v>
      </c>
      <c r="O414" s="31">
        <f>IF(VLOOKUP($D414,$C$5:$AT$510,3,)=0,0,(VLOOKUP($D414,$C$5:$AT$510,13,)/VLOOKUP($D414,$C$5:$AT$510,3,))*$E414)</f>
        <v>8.5336326271716785E-3</v>
      </c>
      <c r="P414" s="31">
        <f>IF(VLOOKUP($D414,$C$5:$AT$510,3,)=0,0,(VLOOKUP($D414,$C$5:$AT$510,14,)/VLOOKUP($D414,$C$5:$AT$510,3,))*$E414)</f>
        <v>3.015174831222339E-3</v>
      </c>
      <c r="Q414" s="31">
        <f>IF(VLOOKUP($D414,$C$5:$AT$510,3,)=0,0,(VLOOKUP($D414,$C$5:$AT$510,15,)/VLOOKUP($D414,$C$5:$AT$510,3,))*$E414)</f>
        <v>3.3832098688696744E-3</v>
      </c>
      <c r="R414" s="31">
        <f>IF(VLOOKUP($D414,$C$5:$AT$510,3,)=0,0,(VLOOKUP($D414,$C$5:$AT$510,16,)/VLOOKUP($D414,$C$5:$AT$510,3,))*$E414)</f>
        <v>2.2128141612153651E-2</v>
      </c>
      <c r="S414" s="31">
        <f>IF(VLOOKUP($D414,$C$5:$AT$510,3,)=0,0,(VLOOKUP($D414,$C$5:$AT$510,17,)/VLOOKUP($D414,$C$5:$AT$510,3,))*$E414)</f>
        <v>0</v>
      </c>
      <c r="T414" s="31">
        <f>IF(VLOOKUP($D414,$C$5:$AT$510,3,)=0,0,(VLOOKUP($D414,$C$5:$AT$510,18,)/VLOOKUP($D414,$C$5:$AT$510,3,))*$E414)</f>
        <v>1.3630631178449461E-3</v>
      </c>
      <c r="U414" s="31">
        <f>IF(VLOOKUP($D414,$C$5:$AT$510,3,)=0,0,(VLOOKUP($D414,$C$5:$AT$510,19,)/VLOOKUP($D414,$C$5:$AT$510,3,))*$E414)</f>
        <v>6.8127354325484815E-4</v>
      </c>
      <c r="V414" s="31">
        <f>IF(VLOOKUP($D414,$C$5:$AT$510,3,)=0,0,(VLOOKUP($D414,$C$5:$AT$510,20,)/VLOOKUP($D414,$C$5:$AT$510,3,))*$E414)</f>
        <v>0</v>
      </c>
      <c r="W414" s="31">
        <f>IF(VLOOKUP($D414,$C$5:$AT$510,3,)=0,0,(VLOOKUP($D414,$C$5:$AT$510,21,)/VLOOKUP($D414,$C$5:$AT$510,3,))*$E414)</f>
        <v>0</v>
      </c>
      <c r="X414" s="31">
        <f>IF(VLOOKUP($D414,$C$5:$AT$510,3,)=0,0,(VLOOKUP($D414,$C$5:$AT$510,22,)/VLOOKUP($D414,$C$5:$AT$510,3,))*$E414)</f>
        <v>0</v>
      </c>
      <c r="Y414" s="31">
        <f>IF(VLOOKUP($D414,$C$5:$AT$510,3,)=0,0,(VLOOKUP($D414,$C$5:$AT$510,23,)/VLOOKUP($D414,$C$5:$AT$510,3,))*$E414)</f>
        <v>0</v>
      </c>
      <c r="Z414" s="31">
        <f>IF(VLOOKUP($D414,$C$5:$AT$510,3,)=0,0,(VLOOKUP($D414,$C$5:$AT$510,24,)/VLOOKUP($D414,$C$5:$AT$510,3,))*$E414)</f>
        <v>0</v>
      </c>
      <c r="AA414" s="31">
        <f>IF(VLOOKUP($D414,$C$5:$AT$510,3,)=0,0,(VLOOKUP($D414,$C$5:$AT$510,25,)/VLOOKUP($D414,$C$5:$AT$510,3,))*$E414)</f>
        <v>0</v>
      </c>
      <c r="AB414" s="31">
        <f>IF(VLOOKUP($D414,$C$5:$AT$510,3,)=0,0,(VLOOKUP($D414,$C$5:$AT$510,26,)/VLOOKUP($D414,$C$5:$AT$510,3,))*$E414)</f>
        <v>0</v>
      </c>
      <c r="AC414" s="31">
        <f>IF(VLOOKUP($D414,$C$5:$AT$510,3,)=0,0,(VLOOKUP($D414,$C$5:$AT$510,27,)/VLOOKUP($D414,$C$5:$AT$510,3,))*$E414)</f>
        <v>0</v>
      </c>
      <c r="AD414" s="31">
        <f>IF(VLOOKUP($D414,$C$5:$AT$510,3,)=0,0,(VLOOKUP($D414,$C$5:$AT$510,28,)/VLOOKUP($D414,$C$5:$AT$510,3,))*$E414)</f>
        <v>0</v>
      </c>
      <c r="AE414" s="31">
        <f>IF(VLOOKUP($D414,$C$5:$AT$510,3,)=0,0,(VLOOKUP($D414,$C$5:$AT$510,29,)/VLOOKUP($D414,$C$5:$AT$510,3,))*$E414)</f>
        <v>0</v>
      </c>
      <c r="AF414" s="31">
        <f>IF(VLOOKUP($D414,$C$5:$AT$510,3,)=0,0,(VLOOKUP($D414,$C$5:$AT$510,30,)/VLOOKUP($D414,$C$5:$AT$510,3,))*$E414)</f>
        <v>0</v>
      </c>
      <c r="AG414" s="31">
        <f>SUM(F414:AF414)</f>
        <v>1.0000000000000002</v>
      </c>
      <c r="AH414" s="14" t="str">
        <f t="shared" si="155"/>
        <v>ok</v>
      </c>
    </row>
    <row r="415" spans="1:34" x14ac:dyDescent="0.2">
      <c r="A415" s="2" t="s">
        <v>340</v>
      </c>
      <c r="C415" s="2" t="s">
        <v>220</v>
      </c>
      <c r="D415" s="2" t="s">
        <v>566</v>
      </c>
      <c r="E415" s="73">
        <v>1</v>
      </c>
      <c r="F415" s="31">
        <f>IF(VLOOKUP($D415,$C$5:$AT$510,3,)=0,0,(VLOOKUP($D415,$C$5:$AT$510,4,)/VLOOKUP($D415,$C$5:$AT$510,3,))*$E415)</f>
        <v>0.76375908740702492</v>
      </c>
      <c r="G415" s="31">
        <f>IF(VLOOKUP($D415,$C$5:$AT$510,3,)=0,0,(VLOOKUP($D415,$C$5:$AT$510,5,)/VLOOKUP($D415,$C$5:$AT$510,3,))*$E415)</f>
        <v>0</v>
      </c>
      <c r="H415" s="31">
        <f>IF(VLOOKUP($D415,$C$5:$AT$510,3,)=0,0,(VLOOKUP($D415,$C$5:$AT$510,6,)/VLOOKUP($D415,$C$5:$AT$510,3,))*$E415)</f>
        <v>3.0311231909675608E-5</v>
      </c>
      <c r="I415" s="31">
        <f>IF(VLOOKUP($D415,$C$5:$AT$510,3,)=0,0,(VLOOKUP($D415,$C$5:$AT$510,7,)/VLOOKUP($D415,$C$5:$AT$510,3,))*$E415)</f>
        <v>5.2561361022524969E-2</v>
      </c>
      <c r="J415" s="31">
        <f>IF(VLOOKUP($D415,$C$5:$AT$510,3,)=0,0,(VLOOKUP($D415,$C$5:$AT$510,8,)/VLOOKUP($D415,$C$5:$AT$510,3,))*$E415)</f>
        <v>7.7819321265928595E-2</v>
      </c>
      <c r="K415" s="31">
        <f>IF(VLOOKUP($D415,$C$5:$AT$510,3,)=0,0,(VLOOKUP($D415,$C$5:$AT$510,9,)/VLOOKUP($D415,$C$5:$AT$510,3,))*$E415)</f>
        <v>1.191957597277103E-3</v>
      </c>
      <c r="L415" s="31">
        <f>IF(VLOOKUP($D415,$C$5:$AT$510,3,)=0,0,(VLOOKUP($D415,$C$5:$AT$510,10,)/VLOOKUP($D415,$C$5:$AT$510,3,))*$E415)</f>
        <v>0</v>
      </c>
      <c r="M415" s="31">
        <f>IF(VLOOKUP($D415,$C$5:$AT$510,3,)=0,0,(VLOOKUP($D415,$C$5:$AT$510,11,)/VLOOKUP($D415,$C$5:$AT$510,3,))*$E415)</f>
        <v>3.0524464178187667E-2</v>
      </c>
      <c r="N415" s="31">
        <f>IF(VLOOKUP($D415,$C$5:$AT$510,3,)=0,0,(VLOOKUP($D415,$C$5:$AT$510,12,)/VLOOKUP($D415,$C$5:$AT$510,3,))*$E415)</f>
        <v>3.5009001696630099E-2</v>
      </c>
      <c r="O415" s="31">
        <f>IF(VLOOKUP($D415,$C$5:$AT$510,3,)=0,0,(VLOOKUP($D415,$C$5:$AT$510,13,)/VLOOKUP($D415,$C$5:$AT$510,3,))*$E415)</f>
        <v>8.5336326271716785E-3</v>
      </c>
      <c r="P415" s="31">
        <f>IF(VLOOKUP($D415,$C$5:$AT$510,3,)=0,0,(VLOOKUP($D415,$C$5:$AT$510,14,)/VLOOKUP($D415,$C$5:$AT$510,3,))*$E415)</f>
        <v>3.015174831222339E-3</v>
      </c>
      <c r="Q415" s="31">
        <f>IF(VLOOKUP($D415,$C$5:$AT$510,3,)=0,0,(VLOOKUP($D415,$C$5:$AT$510,15,)/VLOOKUP($D415,$C$5:$AT$510,3,))*$E415)</f>
        <v>3.3832098688696744E-3</v>
      </c>
      <c r="R415" s="31">
        <f>IF(VLOOKUP($D415,$C$5:$AT$510,3,)=0,0,(VLOOKUP($D415,$C$5:$AT$510,16,)/VLOOKUP($D415,$C$5:$AT$510,3,))*$E415)</f>
        <v>2.2128141612153651E-2</v>
      </c>
      <c r="S415" s="31">
        <f>IF(VLOOKUP($D415,$C$5:$AT$510,3,)=0,0,(VLOOKUP($D415,$C$5:$AT$510,17,)/VLOOKUP($D415,$C$5:$AT$510,3,))*$E415)</f>
        <v>0</v>
      </c>
      <c r="T415" s="31">
        <f>IF(VLOOKUP($D415,$C$5:$AT$510,3,)=0,0,(VLOOKUP($D415,$C$5:$AT$510,18,)/VLOOKUP($D415,$C$5:$AT$510,3,))*$E415)</f>
        <v>1.3630631178449461E-3</v>
      </c>
      <c r="U415" s="31">
        <f>IF(VLOOKUP($D415,$C$5:$AT$510,3,)=0,0,(VLOOKUP($D415,$C$5:$AT$510,19,)/VLOOKUP($D415,$C$5:$AT$510,3,))*$E415)</f>
        <v>6.8127354325484815E-4</v>
      </c>
      <c r="V415" s="31">
        <f>IF(VLOOKUP($D415,$C$5:$AT$510,3,)=0,0,(VLOOKUP($D415,$C$5:$AT$510,20,)/VLOOKUP($D415,$C$5:$AT$510,3,))*$E415)</f>
        <v>0</v>
      </c>
      <c r="W415" s="31">
        <f>IF(VLOOKUP($D415,$C$5:$AT$510,3,)=0,0,(VLOOKUP($D415,$C$5:$AT$510,21,)/VLOOKUP($D415,$C$5:$AT$510,3,))*$E415)</f>
        <v>0</v>
      </c>
      <c r="X415" s="31">
        <f>IF(VLOOKUP($D415,$C$5:$AT$510,3,)=0,0,(VLOOKUP($D415,$C$5:$AT$510,22,)/VLOOKUP($D415,$C$5:$AT$510,3,))*$E415)</f>
        <v>0</v>
      </c>
      <c r="Y415" s="31">
        <f>IF(VLOOKUP($D415,$C$5:$AT$510,3,)=0,0,(VLOOKUP($D415,$C$5:$AT$510,23,)/VLOOKUP($D415,$C$5:$AT$510,3,))*$E415)</f>
        <v>0</v>
      </c>
      <c r="Z415" s="31">
        <f>IF(VLOOKUP($D415,$C$5:$AT$510,3,)=0,0,(VLOOKUP($D415,$C$5:$AT$510,24,)/VLOOKUP($D415,$C$5:$AT$510,3,))*$E415)</f>
        <v>0</v>
      </c>
      <c r="AA415" s="31">
        <f>IF(VLOOKUP($D415,$C$5:$AT$510,3,)=0,0,(VLOOKUP($D415,$C$5:$AT$510,25,)/VLOOKUP($D415,$C$5:$AT$510,3,))*$E415)</f>
        <v>0</v>
      </c>
      <c r="AB415" s="31">
        <f>IF(VLOOKUP($D415,$C$5:$AT$510,3,)=0,0,(VLOOKUP($D415,$C$5:$AT$510,26,)/VLOOKUP($D415,$C$5:$AT$510,3,))*$E415)</f>
        <v>0</v>
      </c>
      <c r="AC415" s="31">
        <f>IF(VLOOKUP($D415,$C$5:$AT$510,3,)=0,0,(VLOOKUP($D415,$C$5:$AT$510,27,)/VLOOKUP($D415,$C$5:$AT$510,3,))*$E415)</f>
        <v>0</v>
      </c>
      <c r="AD415" s="31">
        <f>IF(VLOOKUP($D415,$C$5:$AT$510,3,)=0,0,(VLOOKUP($D415,$C$5:$AT$510,28,)/VLOOKUP($D415,$C$5:$AT$510,3,))*$E415)</f>
        <v>0</v>
      </c>
      <c r="AE415" s="31">
        <f>IF(VLOOKUP($D415,$C$5:$AT$510,3,)=0,0,(VLOOKUP($D415,$C$5:$AT$510,29,)/VLOOKUP($D415,$C$5:$AT$510,3,))*$E415)</f>
        <v>0</v>
      </c>
      <c r="AF415" s="31">
        <f>IF(VLOOKUP($D415,$C$5:$AT$510,3,)=0,0,(VLOOKUP($D415,$C$5:$AT$510,30,)/VLOOKUP($D415,$C$5:$AT$510,3,))*$E415)</f>
        <v>0</v>
      </c>
      <c r="AG415" s="31">
        <f>SUM(F415:AF415)</f>
        <v>1.0000000000000002</v>
      </c>
      <c r="AH415" s="14" t="str">
        <f t="shared" si="155"/>
        <v>ok</v>
      </c>
    </row>
    <row r="416" spans="1:34" x14ac:dyDescent="0.2">
      <c r="A416" s="2" t="s">
        <v>698</v>
      </c>
      <c r="C416" s="2" t="s">
        <v>699</v>
      </c>
      <c r="E416" s="73">
        <f>Services!G33</f>
        <v>1</v>
      </c>
      <c r="F416" s="31">
        <f>Services!G6</f>
        <v>0.87165020687261763</v>
      </c>
      <c r="G416" s="31">
        <f>Services!G7</f>
        <v>0</v>
      </c>
      <c r="H416" s="31">
        <f>Services!G8</f>
        <v>3.5470424305062979E-5</v>
      </c>
      <c r="I416" s="31">
        <f>Services!G9</f>
        <v>8.7751996568974103E-2</v>
      </c>
      <c r="J416" s="31">
        <f>Services!G10</f>
        <v>2.9258542259102537E-2</v>
      </c>
      <c r="K416" s="31">
        <f>Services!G11</f>
        <v>2.0488721550797085E-4</v>
      </c>
      <c r="L416" s="31">
        <f>Services!G12</f>
        <v>0</v>
      </c>
      <c r="M416" s="31">
        <f>Services!G13</f>
        <v>4.3496157124813862E-4</v>
      </c>
      <c r="N416" s="31">
        <f>Services!G14</f>
        <v>4.112020371198304E-3</v>
      </c>
      <c r="O416" s="31">
        <f>Services!G15</f>
        <v>7.37828771203741E-4</v>
      </c>
      <c r="P416" s="31">
        <f>Services!$G16</f>
        <v>5.858584063979605E-4</v>
      </c>
      <c r="Q416" s="31">
        <f>Services!$G17</f>
        <v>3.0144210503219538E-3</v>
      </c>
      <c r="R416" s="31">
        <f>Services!$G18</f>
        <v>0</v>
      </c>
      <c r="S416" s="31">
        <f>Services!$G19</f>
        <v>0</v>
      </c>
      <c r="T416" s="31">
        <f>Services!$G20</f>
        <v>2.2138064891226491E-3</v>
      </c>
      <c r="U416" s="31">
        <f>Services!$G21</f>
        <v>0</v>
      </c>
      <c r="V416" s="31">
        <f>Services!$G22</f>
        <v>0</v>
      </c>
      <c r="W416" s="31">
        <f>Services!X6</f>
        <v>0</v>
      </c>
      <c r="X416" s="31">
        <f>Services!Y6</f>
        <v>0</v>
      </c>
      <c r="Y416" s="31">
        <f>Services!Z6</f>
        <v>0</v>
      </c>
      <c r="Z416" s="31">
        <f>Services!AA6</f>
        <v>0</v>
      </c>
      <c r="AA416" s="31">
        <f>Services!AB6</f>
        <v>0</v>
      </c>
      <c r="AB416" s="31">
        <f>Services!AC6</f>
        <v>0</v>
      </c>
      <c r="AC416" s="31">
        <f>Services!AD6</f>
        <v>0</v>
      </c>
      <c r="AD416" s="31">
        <f>Services!AE6</f>
        <v>0</v>
      </c>
      <c r="AE416" s="31">
        <f>Services!AF6</f>
        <v>0</v>
      </c>
      <c r="AF416" s="31">
        <f>Services!AG6</f>
        <v>0</v>
      </c>
      <c r="AG416" s="31">
        <f>SUM(F416:AF416)</f>
        <v>0.99999999999999989</v>
      </c>
      <c r="AH416" s="14" t="str">
        <f t="shared" si="155"/>
        <v>ok</v>
      </c>
    </row>
    <row r="417" spans="1:34" x14ac:dyDescent="0.2">
      <c r="A417" s="2" t="s">
        <v>719</v>
      </c>
      <c r="C417" s="2" t="s">
        <v>720</v>
      </c>
      <c r="E417" s="73">
        <v>1</v>
      </c>
      <c r="F417" s="31">
        <f t="shared" ref="F417:AF417" si="156">F416</f>
        <v>0.87165020687261763</v>
      </c>
      <c r="G417" s="31">
        <f t="shared" si="156"/>
        <v>0</v>
      </c>
      <c r="H417" s="31">
        <f t="shared" si="156"/>
        <v>3.5470424305062979E-5</v>
      </c>
      <c r="I417" s="31">
        <f t="shared" si="156"/>
        <v>8.7751996568974103E-2</v>
      </c>
      <c r="J417" s="31">
        <f t="shared" si="156"/>
        <v>2.9258542259102537E-2</v>
      </c>
      <c r="K417" s="31">
        <f t="shared" si="156"/>
        <v>2.0488721550797085E-4</v>
      </c>
      <c r="L417" s="31">
        <f t="shared" si="156"/>
        <v>0</v>
      </c>
      <c r="M417" s="31">
        <f t="shared" si="156"/>
        <v>4.3496157124813862E-4</v>
      </c>
      <c r="N417" s="31">
        <f t="shared" si="156"/>
        <v>4.112020371198304E-3</v>
      </c>
      <c r="O417" s="31">
        <f t="shared" si="156"/>
        <v>7.37828771203741E-4</v>
      </c>
      <c r="P417" s="31">
        <f t="shared" si="156"/>
        <v>5.858584063979605E-4</v>
      </c>
      <c r="Q417" s="31">
        <f t="shared" si="156"/>
        <v>3.0144210503219538E-3</v>
      </c>
      <c r="R417" s="31">
        <f t="shared" si="156"/>
        <v>0</v>
      </c>
      <c r="S417" s="31">
        <f t="shared" si="156"/>
        <v>0</v>
      </c>
      <c r="T417" s="31">
        <f t="shared" si="156"/>
        <v>2.2138064891226491E-3</v>
      </c>
      <c r="U417" s="31">
        <f t="shared" si="156"/>
        <v>0</v>
      </c>
      <c r="V417" s="31">
        <f t="shared" si="156"/>
        <v>0</v>
      </c>
      <c r="W417" s="31">
        <f t="shared" si="156"/>
        <v>0</v>
      </c>
      <c r="X417" s="31">
        <f t="shared" si="156"/>
        <v>0</v>
      </c>
      <c r="Y417" s="31">
        <f t="shared" si="156"/>
        <v>0</v>
      </c>
      <c r="Z417" s="31">
        <f t="shared" si="156"/>
        <v>0</v>
      </c>
      <c r="AA417" s="31">
        <f t="shared" si="156"/>
        <v>0</v>
      </c>
      <c r="AB417" s="31">
        <f t="shared" si="156"/>
        <v>0</v>
      </c>
      <c r="AC417" s="31">
        <f t="shared" si="156"/>
        <v>0</v>
      </c>
      <c r="AD417" s="31">
        <f t="shared" si="156"/>
        <v>0</v>
      </c>
      <c r="AE417" s="31">
        <f t="shared" si="156"/>
        <v>0</v>
      </c>
      <c r="AF417" s="31">
        <f t="shared" si="156"/>
        <v>0</v>
      </c>
      <c r="AG417" s="31">
        <f>SUM(F417:R417)</f>
        <v>0.99778619351087727</v>
      </c>
      <c r="AH417" s="14" t="str">
        <f t="shared" si="155"/>
        <v>ok</v>
      </c>
    </row>
    <row r="418" spans="1:34" x14ac:dyDescent="0.2">
      <c r="A418" s="2" t="s">
        <v>908</v>
      </c>
      <c r="C418" s="2" t="s">
        <v>909</v>
      </c>
      <c r="E418" s="32">
        <f>F418+G418+K418</f>
        <v>40408206.789999999</v>
      </c>
      <c r="F418" s="32">
        <f>F313</f>
        <v>40389769.719999999</v>
      </c>
      <c r="G418" s="32">
        <f>G313</f>
        <v>0</v>
      </c>
      <c r="H418" s="32">
        <v>0</v>
      </c>
      <c r="I418" s="32">
        <v>0</v>
      </c>
      <c r="J418" s="32">
        <v>0</v>
      </c>
      <c r="K418" s="32">
        <f t="shared" ref="K418" si="157">K313</f>
        <v>18437.07</v>
      </c>
      <c r="L418" s="32">
        <v>0</v>
      </c>
      <c r="M418" s="32">
        <v>0</v>
      </c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2">
        <f>SUM(F418:R418)</f>
        <v>40408206.789999999</v>
      </c>
      <c r="AH418" s="14" t="str">
        <f t="shared" si="155"/>
        <v>ok</v>
      </c>
    </row>
    <row r="419" spans="1:34" x14ac:dyDescent="0.2">
      <c r="F419" s="165"/>
    </row>
    <row r="420" spans="1:34" x14ac:dyDescent="0.2">
      <c r="A420" s="1" t="s">
        <v>341</v>
      </c>
    </row>
    <row r="421" spans="1:34" x14ac:dyDescent="0.2">
      <c r="A421" s="2" t="s">
        <v>342</v>
      </c>
      <c r="C421" s="2" t="s">
        <v>223</v>
      </c>
      <c r="D421" s="2" t="s">
        <v>564</v>
      </c>
      <c r="E421" s="73">
        <v>1</v>
      </c>
      <c r="F421" s="31">
        <f>IF(VLOOKUP($D421,$C$5:$AT$510,3,)=0,0,(VLOOKUP($D421,$C$5:$AT$510,4,)/VLOOKUP($D421,$C$5:$AT$510,3,))*$E421)</f>
        <v>0.92171932915856436</v>
      </c>
      <c r="G421" s="31">
        <f>IF(VLOOKUP($D421,$C$5:$AT$510,3,)=0,0,(VLOOKUP($D421,$C$5:$AT$510,5,)/VLOOKUP($D421,$C$5:$AT$510,3,))*$E421)</f>
        <v>0</v>
      </c>
      <c r="H421" s="31">
        <f>IF(VLOOKUP($D421,$C$5:$AT$510,3,)=0,0,(VLOOKUP($D421,$C$5:$AT$510,6,)/VLOOKUP($D421,$C$5:$AT$510,3,))*$E421)</f>
        <v>3.7507907917252561E-5</v>
      </c>
      <c r="I421" s="31">
        <f>IF(VLOOKUP($D421,$C$5:$AT$510,3,)=0,0,(VLOOKUP($D421,$C$5:$AT$510,7,)/VLOOKUP($D421,$C$5:$AT$510,3,))*$E421)</f>
        <v>6.6313981197702529E-2</v>
      </c>
      <c r="J421" s="31">
        <f>IF(VLOOKUP($D421,$C$5:$AT$510,3,)=0,0,(VLOOKUP($D421,$C$5:$AT$510,8,)/VLOOKUP($D421,$C$5:$AT$510,3,))*$E421)</f>
        <v>3.7132828838080034E-3</v>
      </c>
      <c r="K421" s="31">
        <f>IF(VLOOKUP($D421,$C$5:$AT$510,3,)=0,0,(VLOOKUP($D421,$C$5:$AT$510,9,)/VLOOKUP($D421,$C$5:$AT$510,3,))*$E421)</f>
        <v>6.8347743315882439E-5</v>
      </c>
      <c r="L421" s="31">
        <f>IF(VLOOKUP($D421,$C$5:$AT$510,3,)=0,0,(VLOOKUP($D421,$C$5:$AT$510,10,)/VLOOKUP($D421,$C$5:$AT$510,3,))*$E421)</f>
        <v>0</v>
      </c>
      <c r="M421" s="31">
        <f>IF(VLOOKUP($D421,$C$5:$AT$510,3,)=0,0,(VLOOKUP($D421,$C$5:$AT$510,11,)/VLOOKUP($D421,$C$5:$AT$510,3,))*$E421)</f>
        <v>3.3340362593113389E-6</v>
      </c>
      <c r="N421" s="31">
        <f>IF(VLOOKUP($D421,$C$5:$AT$510,3,)=0,0,(VLOOKUP($D421,$C$5:$AT$510,12,)/VLOOKUP($D421,$C$5:$AT$510,3,))*$E421)</f>
        <v>8.3350906482783473E-7</v>
      </c>
      <c r="O421" s="31">
        <f>IF(VLOOKUP($D421,$C$5:$AT$510,3,)=0,0,(VLOOKUP($D421,$C$5:$AT$510,13,)/VLOOKUP($D421,$C$5:$AT$510,3,))*$E421)</f>
        <v>8.3350906482783473E-7</v>
      </c>
      <c r="P421" s="31">
        <f>IF(VLOOKUP($D421,$C$5:$AT$510,3,)=0,0,(VLOOKUP($D421,$C$5:$AT$510,14,)/VLOOKUP($D421,$C$5:$AT$510,3,))*$E421)</f>
        <v>3.3340362593113389E-6</v>
      </c>
      <c r="Q421" s="31">
        <f>IF(VLOOKUP($D421,$C$5:$AT$510,3,)=0,0,(VLOOKUP($D421,$C$5:$AT$510,15,)/VLOOKUP($D421,$C$5:$AT$510,3,))*$E421)</f>
        <v>3.0006326333802047E-3</v>
      </c>
      <c r="R421" s="31">
        <f>IF(VLOOKUP($D421,$C$5:$AT$510,3,)=0,0,(VLOOKUP($D421,$C$5:$AT$510,16,)/VLOOKUP($D421,$C$5:$AT$510,3,))*$E421)</f>
        <v>3.7507907917252561E-5</v>
      </c>
      <c r="S421" s="31">
        <f>IF(VLOOKUP($D421,$C$5:$AT$510,3,)=0,0,(VLOOKUP($D421,$C$5:$AT$510,17,)/VLOOKUP($D421,$C$5:$AT$510,3,))*$E421)</f>
        <v>0</v>
      </c>
      <c r="T421" s="31">
        <f>IF(VLOOKUP($D421,$C$5:$AT$510,3,)=0,0,(VLOOKUP($D421,$C$5:$AT$510,18,)/VLOOKUP($D421,$C$5:$AT$510,3,))*$E421)</f>
        <v>2.6255535542076794E-4</v>
      </c>
      <c r="U421" s="31">
        <f>IF(VLOOKUP($D421,$C$5:$AT$510,3,)=0,0,(VLOOKUP($D421,$C$5:$AT$510,19,)/VLOOKUP($D421,$C$5:$AT$510,3,))*$E421)</f>
        <v>4.8385201213255805E-3</v>
      </c>
      <c r="V421" s="31">
        <f>IF(VLOOKUP($D421,$C$5:$AT$510,3,)=0,0,(VLOOKUP($D421,$C$5:$AT$510,20,)/VLOOKUP($D421,$C$5:$AT$510,3,))*$E421)</f>
        <v>0</v>
      </c>
      <c r="W421" s="31">
        <f>IF(VLOOKUP($D421,$C$5:$AT$510,3,)=0,0,(VLOOKUP($D421,$C$5:$AT$510,21,)/VLOOKUP($D421,$C$5:$AT$510,3,))*$E421)</f>
        <v>0</v>
      </c>
      <c r="X421" s="31">
        <f>IF(VLOOKUP($D421,$C$5:$AT$510,3,)=0,0,(VLOOKUP($D421,$C$5:$AT$510,22,)/VLOOKUP($D421,$C$5:$AT$510,3,))*$E421)</f>
        <v>0</v>
      </c>
      <c r="Y421" s="31">
        <f>IF(VLOOKUP($D421,$C$5:$AT$510,3,)=0,0,(VLOOKUP($D421,$C$5:$AT$510,23,)/VLOOKUP($D421,$C$5:$AT$510,3,))*$E421)</f>
        <v>0</v>
      </c>
      <c r="Z421" s="31">
        <f>IF(VLOOKUP($D421,$C$5:$AT$510,3,)=0,0,(VLOOKUP($D421,$C$5:$AT$510,24,)/VLOOKUP($D421,$C$5:$AT$510,3,))*$E421)</f>
        <v>0</v>
      </c>
      <c r="AA421" s="31">
        <f>IF(VLOOKUP($D421,$C$5:$AT$510,3,)=0,0,(VLOOKUP($D421,$C$5:$AT$510,25,)/VLOOKUP($D421,$C$5:$AT$510,3,))*$E421)</f>
        <v>0</v>
      </c>
      <c r="AB421" s="31">
        <f>IF(VLOOKUP($D421,$C$5:$AT$510,3,)=0,0,(VLOOKUP($D421,$C$5:$AT$510,26,)/VLOOKUP($D421,$C$5:$AT$510,3,))*$E421)</f>
        <v>0</v>
      </c>
      <c r="AC421" s="31">
        <f>IF(VLOOKUP($D421,$C$5:$AT$510,3,)=0,0,(VLOOKUP($D421,$C$5:$AT$510,27,)/VLOOKUP($D421,$C$5:$AT$510,3,))*$E421)</f>
        <v>0</v>
      </c>
      <c r="AD421" s="31">
        <f>IF(VLOOKUP($D421,$C$5:$AT$510,3,)=0,0,(VLOOKUP($D421,$C$5:$AT$510,28,)/VLOOKUP($D421,$C$5:$AT$510,3,))*$E421)</f>
        <v>0</v>
      </c>
      <c r="AE421" s="31">
        <f>IF(VLOOKUP($D421,$C$5:$AT$510,3,)=0,0,(VLOOKUP($D421,$C$5:$AT$510,29,)/VLOOKUP($D421,$C$5:$AT$510,3,))*$E421)</f>
        <v>0</v>
      </c>
      <c r="AF421" s="31">
        <f>IF(VLOOKUP($D421,$C$5:$AT$510,3,)=0,0,(VLOOKUP($D421,$C$5:$AT$510,30,)/VLOOKUP($D421,$C$5:$AT$510,3,))*$E421)</f>
        <v>0</v>
      </c>
      <c r="AG421" s="77">
        <f t="shared" ref="AG421:AG426" si="158">SUM(F421:AF421)</f>
        <v>1.0000000000000002</v>
      </c>
      <c r="AH421" s="14" t="str">
        <f t="shared" ref="AH421:AH426" si="159">IF(ABS(E421-AG421)&lt;0.01,"ok","err")</f>
        <v>ok</v>
      </c>
    </row>
    <row r="422" spans="1:34" x14ac:dyDescent="0.2">
      <c r="A422" s="2" t="s">
        <v>343</v>
      </c>
      <c r="C422" s="2" t="s">
        <v>227</v>
      </c>
      <c r="D422" s="2" t="s">
        <v>564</v>
      </c>
      <c r="E422" s="73">
        <v>1</v>
      </c>
      <c r="F422" s="31">
        <f>IF(VLOOKUP($D422,$C$5:$AT$510,3,)=0,0,(VLOOKUP($D422,$C$5:$AT$510,4,)/VLOOKUP($D422,$C$5:$AT$510,3,))*$E422)</f>
        <v>0.92171932915856436</v>
      </c>
      <c r="G422" s="31">
        <f>IF(VLOOKUP($D422,$C$5:$AT$510,3,)=0,0,(VLOOKUP($D422,$C$5:$AT$510,5,)/VLOOKUP($D422,$C$5:$AT$510,3,))*$E422)</f>
        <v>0</v>
      </c>
      <c r="H422" s="31">
        <f>IF(VLOOKUP($D422,$C$5:$AT$510,3,)=0,0,(VLOOKUP($D422,$C$5:$AT$510,6,)/VLOOKUP($D422,$C$5:$AT$510,3,))*$E422)</f>
        <v>3.7507907917252561E-5</v>
      </c>
      <c r="I422" s="31">
        <f>IF(VLOOKUP($D422,$C$5:$AT$510,3,)=0,0,(VLOOKUP($D422,$C$5:$AT$510,7,)/VLOOKUP($D422,$C$5:$AT$510,3,))*$E422)</f>
        <v>6.6313981197702529E-2</v>
      </c>
      <c r="J422" s="31">
        <f>IF(VLOOKUP($D422,$C$5:$AT$510,3,)=0,0,(VLOOKUP($D422,$C$5:$AT$510,8,)/VLOOKUP($D422,$C$5:$AT$510,3,))*$E422)</f>
        <v>3.7132828838080034E-3</v>
      </c>
      <c r="K422" s="31">
        <f>IF(VLOOKUP($D422,$C$5:$AT$510,3,)=0,0,(VLOOKUP($D422,$C$5:$AT$510,9,)/VLOOKUP($D422,$C$5:$AT$510,3,))*$E422)</f>
        <v>6.8347743315882439E-5</v>
      </c>
      <c r="L422" s="31">
        <f>IF(VLOOKUP($D422,$C$5:$AT$510,3,)=0,0,(VLOOKUP($D422,$C$5:$AT$510,10,)/VLOOKUP($D422,$C$5:$AT$510,3,))*$E422)</f>
        <v>0</v>
      </c>
      <c r="M422" s="31">
        <f>IF(VLOOKUP($D422,$C$5:$AT$510,3,)=0,0,(VLOOKUP($D422,$C$5:$AT$510,11,)/VLOOKUP($D422,$C$5:$AT$510,3,))*$E422)</f>
        <v>3.3340362593113389E-6</v>
      </c>
      <c r="N422" s="31">
        <f>IF(VLOOKUP($D422,$C$5:$AT$510,3,)=0,0,(VLOOKUP($D422,$C$5:$AT$510,12,)/VLOOKUP($D422,$C$5:$AT$510,3,))*$E422)</f>
        <v>8.3350906482783473E-7</v>
      </c>
      <c r="O422" s="31">
        <f>IF(VLOOKUP($D422,$C$5:$AT$510,3,)=0,0,(VLOOKUP($D422,$C$5:$AT$510,13,)/VLOOKUP($D422,$C$5:$AT$510,3,))*$E422)</f>
        <v>8.3350906482783473E-7</v>
      </c>
      <c r="P422" s="31">
        <f>IF(VLOOKUP($D422,$C$5:$AT$510,3,)=0,0,(VLOOKUP($D422,$C$5:$AT$510,14,)/VLOOKUP($D422,$C$5:$AT$510,3,))*$E422)</f>
        <v>3.3340362593113389E-6</v>
      </c>
      <c r="Q422" s="31">
        <f>IF(VLOOKUP($D422,$C$5:$AT$510,3,)=0,0,(VLOOKUP($D422,$C$5:$AT$510,15,)/VLOOKUP($D422,$C$5:$AT$510,3,))*$E422)</f>
        <v>3.0006326333802047E-3</v>
      </c>
      <c r="R422" s="31">
        <f>IF(VLOOKUP($D422,$C$5:$AT$510,3,)=0,0,(VLOOKUP($D422,$C$5:$AT$510,16,)/VLOOKUP($D422,$C$5:$AT$510,3,))*$E422)</f>
        <v>3.7507907917252561E-5</v>
      </c>
      <c r="S422" s="31">
        <f>IF(VLOOKUP($D422,$C$5:$AT$510,3,)=0,0,(VLOOKUP($D422,$C$5:$AT$510,17,)/VLOOKUP($D422,$C$5:$AT$510,3,))*$E422)</f>
        <v>0</v>
      </c>
      <c r="T422" s="31">
        <f>IF(VLOOKUP($D422,$C$5:$AT$510,3,)=0,0,(VLOOKUP($D422,$C$5:$AT$510,18,)/VLOOKUP($D422,$C$5:$AT$510,3,))*$E422)</f>
        <v>2.6255535542076794E-4</v>
      </c>
      <c r="U422" s="31">
        <f>IF(VLOOKUP($D422,$C$5:$AT$510,3,)=0,0,(VLOOKUP($D422,$C$5:$AT$510,19,)/VLOOKUP($D422,$C$5:$AT$510,3,))*$E422)</f>
        <v>4.8385201213255805E-3</v>
      </c>
      <c r="V422" s="31">
        <f>IF(VLOOKUP($D422,$C$5:$AT$510,3,)=0,0,(VLOOKUP($D422,$C$5:$AT$510,20,)/VLOOKUP($D422,$C$5:$AT$510,3,))*$E422)</f>
        <v>0</v>
      </c>
      <c r="W422" s="31">
        <f>IF(VLOOKUP($D422,$C$5:$AT$510,3,)=0,0,(VLOOKUP($D422,$C$5:$AT$510,21,)/VLOOKUP($D422,$C$5:$AT$510,3,))*$E422)</f>
        <v>0</v>
      </c>
      <c r="X422" s="31">
        <f>IF(VLOOKUP($D422,$C$5:$AT$510,3,)=0,0,(VLOOKUP($D422,$C$5:$AT$510,22,)/VLOOKUP($D422,$C$5:$AT$510,3,))*$E422)</f>
        <v>0</v>
      </c>
      <c r="Y422" s="31">
        <f>IF(VLOOKUP($D422,$C$5:$AT$510,3,)=0,0,(VLOOKUP($D422,$C$5:$AT$510,23,)/VLOOKUP($D422,$C$5:$AT$510,3,))*$E422)</f>
        <v>0</v>
      </c>
      <c r="Z422" s="31">
        <f>IF(VLOOKUP($D422,$C$5:$AT$510,3,)=0,0,(VLOOKUP($D422,$C$5:$AT$510,24,)/VLOOKUP($D422,$C$5:$AT$510,3,))*$E422)</f>
        <v>0</v>
      </c>
      <c r="AA422" s="31">
        <f>IF(VLOOKUP($D422,$C$5:$AT$510,3,)=0,0,(VLOOKUP($D422,$C$5:$AT$510,25,)/VLOOKUP($D422,$C$5:$AT$510,3,))*$E422)</f>
        <v>0</v>
      </c>
      <c r="AB422" s="31">
        <f>IF(VLOOKUP($D422,$C$5:$AT$510,3,)=0,0,(VLOOKUP($D422,$C$5:$AT$510,26,)/VLOOKUP($D422,$C$5:$AT$510,3,))*$E422)</f>
        <v>0</v>
      </c>
      <c r="AC422" s="31">
        <f>IF(VLOOKUP($D422,$C$5:$AT$510,3,)=0,0,(VLOOKUP($D422,$C$5:$AT$510,27,)/VLOOKUP($D422,$C$5:$AT$510,3,))*$E422)</f>
        <v>0</v>
      </c>
      <c r="AD422" s="31">
        <f>IF(VLOOKUP($D422,$C$5:$AT$510,3,)=0,0,(VLOOKUP($D422,$C$5:$AT$510,28,)/VLOOKUP($D422,$C$5:$AT$510,3,))*$E422)</f>
        <v>0</v>
      </c>
      <c r="AE422" s="31">
        <f>IF(VLOOKUP($D422,$C$5:$AT$510,3,)=0,0,(VLOOKUP($D422,$C$5:$AT$510,29,)/VLOOKUP($D422,$C$5:$AT$510,3,))*$E422)</f>
        <v>0</v>
      </c>
      <c r="AF422" s="31">
        <f>IF(VLOOKUP($D422,$C$5:$AT$510,3,)=0,0,(VLOOKUP($D422,$C$5:$AT$510,30,)/VLOOKUP($D422,$C$5:$AT$510,3,))*$E422)</f>
        <v>0</v>
      </c>
      <c r="AG422" s="77">
        <f t="shared" si="158"/>
        <v>1.0000000000000002</v>
      </c>
      <c r="AH422" s="14" t="str">
        <f t="shared" si="159"/>
        <v>ok</v>
      </c>
    </row>
    <row r="423" spans="1:34" x14ac:dyDescent="0.2">
      <c r="A423" s="2" t="s">
        <v>344</v>
      </c>
      <c r="C423" s="2" t="s">
        <v>230</v>
      </c>
      <c r="E423" s="73">
        <f>Meters!$G32</f>
        <v>1</v>
      </c>
      <c r="F423" s="31">
        <f>Meters!$G6</f>
        <v>0.88225156069222332</v>
      </c>
      <c r="G423" s="31">
        <f>Meters!$G7</f>
        <v>0</v>
      </c>
      <c r="H423" s="31">
        <f>Meters!$G8</f>
        <v>3.5901829604143541E-5</v>
      </c>
      <c r="I423" s="31">
        <f>Meters!$G9</f>
        <v>6.3474434740125776E-2</v>
      </c>
      <c r="J423" s="31">
        <f>Meters!$G10</f>
        <v>3.6757339533705594E-2</v>
      </c>
      <c r="K423" s="31">
        <f>Meters!$G11</f>
        <v>2.9439500275397702E-3</v>
      </c>
      <c r="L423" s="31">
        <f>Meters!$G12</f>
        <v>0</v>
      </c>
      <c r="M423" s="31">
        <f>Meters!$G13</f>
        <v>4.6416194575648493E-3</v>
      </c>
      <c r="N423" s="31">
        <f>Meters!$G14</f>
        <v>1.2114612351347934E-3</v>
      </c>
      <c r="O423" s="31">
        <f>Meters!$G15</f>
        <v>1.1604048643912123E-3</v>
      </c>
      <c r="P423" s="31">
        <f>Meters!$G16</f>
        <v>8.4071621083069798E-4</v>
      </c>
      <c r="Q423" s="31">
        <f>Meters!$G17</f>
        <v>2.8721463683314833E-3</v>
      </c>
      <c r="R423" s="31">
        <f>Meters!$G18</f>
        <v>1.2114612351347934E-3</v>
      </c>
      <c r="S423" s="31">
        <f>Meters!$G19</f>
        <v>0</v>
      </c>
      <c r="T423" s="31">
        <f>Meters!$G20</f>
        <v>2.599003805413527E-3</v>
      </c>
      <c r="U423" s="31">
        <f>Meters!$G21</f>
        <v>0</v>
      </c>
      <c r="V423" s="31">
        <f>Meters!$G22</f>
        <v>0</v>
      </c>
      <c r="W423" s="31">
        <f>Meters!Y6</f>
        <v>0</v>
      </c>
      <c r="X423" s="31">
        <f>Meters!Z6</f>
        <v>0</v>
      </c>
      <c r="Y423" s="31">
        <f>Meters!AA6</f>
        <v>0</v>
      </c>
      <c r="Z423" s="31">
        <f>Meters!AB6</f>
        <v>0</v>
      </c>
      <c r="AA423" s="31">
        <f>Meters!AC6</f>
        <v>0</v>
      </c>
      <c r="AB423" s="31">
        <f>Meters!AD6</f>
        <v>0</v>
      </c>
      <c r="AC423" s="31">
        <f>Meters!AE6</f>
        <v>0</v>
      </c>
      <c r="AD423" s="31">
        <f>Meters!AF6</f>
        <v>0</v>
      </c>
      <c r="AE423" s="31">
        <f>Meters!AG6</f>
        <v>0</v>
      </c>
      <c r="AF423" s="31">
        <f>Meters!AH6</f>
        <v>0</v>
      </c>
      <c r="AG423" s="77">
        <f t="shared" si="158"/>
        <v>1</v>
      </c>
      <c r="AH423" s="14" t="str">
        <f t="shared" si="159"/>
        <v>ok</v>
      </c>
    </row>
    <row r="424" spans="1:34" x14ac:dyDescent="0.2">
      <c r="A424" s="2" t="s">
        <v>345</v>
      </c>
      <c r="C424" s="2" t="s">
        <v>232</v>
      </c>
      <c r="D424" s="2" t="s">
        <v>565</v>
      </c>
      <c r="E424" s="73">
        <v>1</v>
      </c>
      <c r="F424" s="31">
        <f>IF(VLOOKUP($D424,$C$5:$AT$510,3,)=0,0,(VLOOKUP($D424,$C$5:$AT$510,4,)/VLOOKUP($D424,$C$5:$AT$510,3,))*$E424)</f>
        <v>0</v>
      </c>
      <c r="G424" s="31">
        <f>IF(VLOOKUP($D424,$C$5:$AT$510,3,)=0,0,(VLOOKUP($D424,$C$5:$AT$510,5,)/VLOOKUP($D424,$C$5:$AT$510,3,))*$E424)</f>
        <v>0</v>
      </c>
      <c r="H424" s="31">
        <f>IF(VLOOKUP($D424,$C$5:$AT$510,3,)=0,0,(VLOOKUP($D424,$C$5:$AT$510,6,)/VLOOKUP($D424,$C$5:$AT$510,3,))*$E424)</f>
        <v>0</v>
      </c>
      <c r="I424" s="31">
        <f>IF(VLOOKUP($D424,$C$5:$AT$510,3,)=0,0,(VLOOKUP($D424,$C$5:$AT$510,7,)/VLOOKUP($D424,$C$5:$AT$510,3,))*$E424)</f>
        <v>0</v>
      </c>
      <c r="J424" s="31">
        <f>IF(VLOOKUP($D424,$C$5:$AT$510,3,)=0,0,(VLOOKUP($D424,$C$5:$AT$510,8,)/VLOOKUP($D424,$C$5:$AT$510,3,))*$E424)</f>
        <v>0</v>
      </c>
      <c r="K424" s="31">
        <v>0</v>
      </c>
      <c r="L424" s="31">
        <f>IF(VLOOKUP($D424,$C$5:$AT$510,3,)=0,0,(VLOOKUP($D424,$C$5:$AT$510,10,)/VLOOKUP($D424,$C$5:$AT$510,3,))*$E424)</f>
        <v>0</v>
      </c>
      <c r="M424" s="31">
        <v>0</v>
      </c>
      <c r="N424" s="31">
        <f>IF(VLOOKUP($D424,$C$5:$AT$510,3,)=0,0,(VLOOKUP($D424,$C$5:$AT$510,12,)/VLOOKUP($D424,$C$5:$AT$510,3,))*$E424)</f>
        <v>0</v>
      </c>
      <c r="O424" s="31">
        <f>IF(VLOOKUP($D424,$C$5:$AT$510,3,)=0,0,(VLOOKUP($D424,$C$5:$AT$510,13,)/VLOOKUP($D424,$C$5:$AT$510,3,))*$E424)</f>
        <v>0</v>
      </c>
      <c r="P424" s="31">
        <f>IF(VLOOKUP($D424,$C$5:$AT$510,3,)=0,0,(VLOOKUP($D424,$C$5:$AT$510,14,)/VLOOKUP($D424,$C$5:$AT$510,3,))*$E424)</f>
        <v>0</v>
      </c>
      <c r="Q424" s="31">
        <f>IF(VLOOKUP($D424,$C$5:$AT$510,3,)=0,0,(VLOOKUP($D424,$C$5:$AT$510,15,)/VLOOKUP($D424,$C$5:$AT$510,3,))*$E424)</f>
        <v>0</v>
      </c>
      <c r="R424" s="31">
        <f>IF(VLOOKUP($D424,$C$5:$AT$510,3,)=0,0,(VLOOKUP($D424,$C$5:$AT$510,16,)/VLOOKUP($D424,$C$5:$AT$510,3,))*$E424)</f>
        <v>0</v>
      </c>
      <c r="S424" s="31">
        <f>IF(VLOOKUP($D424,$C$5:$AT$510,3,)=0,0,(VLOOKUP($D424,$C$5:$AT$510,17,)/VLOOKUP($D424,$C$5:$AT$510,3,))*$E424)</f>
        <v>0</v>
      </c>
      <c r="T424" s="31">
        <f>IF(VLOOKUP($D424,$C$5:$AT$510,3,)=0,0,(VLOOKUP($D424,$C$5:$AT$510,18,)/VLOOKUP($D424,$C$5:$AT$510,3,))*$E424)</f>
        <v>0</v>
      </c>
      <c r="U424" s="31">
        <v>1</v>
      </c>
      <c r="V424" s="31">
        <v>0</v>
      </c>
      <c r="W424" s="31">
        <f>IF(VLOOKUP($D424,$C$5:$AT$510,3,)=0,0,(VLOOKUP($D424,$C$5:$AT$510,21,)/VLOOKUP($D424,$C$5:$AT$510,3,))*$E424)</f>
        <v>0</v>
      </c>
      <c r="X424" s="31">
        <f>IF(VLOOKUP($D424,$C$5:$AT$510,3,)=0,0,(VLOOKUP($D424,$C$5:$AT$510,22,)/VLOOKUP($D424,$C$5:$AT$510,3,))*$E424)</f>
        <v>0</v>
      </c>
      <c r="Y424" s="31">
        <f>IF(VLOOKUP($D424,$C$5:$AT$510,3,)=0,0,(VLOOKUP($D424,$C$5:$AT$510,23,)/VLOOKUP($D424,$C$5:$AT$510,3,))*$E424)</f>
        <v>0</v>
      </c>
      <c r="Z424" s="31">
        <f>IF(VLOOKUP($D424,$C$5:$AT$510,3,)=0,0,(VLOOKUP($D424,$C$5:$AT$510,24,)/VLOOKUP($D424,$C$5:$AT$510,3,))*$E424)</f>
        <v>0</v>
      </c>
      <c r="AA424" s="31">
        <f>IF(VLOOKUP($D424,$C$5:$AT$510,3,)=0,0,(VLOOKUP($D424,$C$5:$AT$510,25,)/VLOOKUP($D424,$C$5:$AT$510,3,))*$E424)</f>
        <v>0</v>
      </c>
      <c r="AB424" s="31">
        <f>IF(VLOOKUP($D424,$C$5:$AT$510,3,)=0,0,(VLOOKUP($D424,$C$5:$AT$510,26,)/VLOOKUP($D424,$C$5:$AT$510,3,))*$E424)</f>
        <v>0</v>
      </c>
      <c r="AC424" s="31">
        <f>IF(VLOOKUP($D424,$C$5:$AT$510,3,)=0,0,(VLOOKUP($D424,$C$5:$AT$510,27,)/VLOOKUP($D424,$C$5:$AT$510,3,))*$E424)</f>
        <v>0</v>
      </c>
      <c r="AD424" s="31">
        <f>IF(VLOOKUP($D424,$C$5:$AT$510,3,)=0,0,(VLOOKUP($D424,$C$5:$AT$510,28,)/VLOOKUP($D424,$C$5:$AT$510,3,))*$E424)</f>
        <v>0</v>
      </c>
      <c r="AE424" s="31">
        <f>IF(VLOOKUP($D424,$C$5:$AT$510,3,)=0,0,(VLOOKUP($D424,$C$5:$AT$510,29,)/VLOOKUP($D424,$C$5:$AT$510,3,))*$E424)</f>
        <v>0</v>
      </c>
      <c r="AF424" s="31">
        <f>IF(VLOOKUP($D424,$C$5:$AT$510,3,)=0,0,(VLOOKUP($D424,$C$5:$AT$510,30,)/VLOOKUP($D424,$C$5:$AT$510,3,))*$E424)</f>
        <v>0</v>
      </c>
      <c r="AG424" s="77">
        <f t="shared" si="158"/>
        <v>1</v>
      </c>
      <c r="AH424" s="14" t="str">
        <f t="shared" si="159"/>
        <v>ok</v>
      </c>
    </row>
    <row r="425" spans="1:34" x14ac:dyDescent="0.2">
      <c r="A425" s="2" t="s">
        <v>346</v>
      </c>
      <c r="C425" s="2" t="s">
        <v>234</v>
      </c>
      <c r="D425" s="2" t="s">
        <v>615</v>
      </c>
      <c r="E425" s="73">
        <v>1</v>
      </c>
      <c r="F425" s="31">
        <f>IF(VLOOKUP($D425,$C$5:$AT$510,3,)=0,0,(VLOOKUP($D425,$C$5:$AT$510,4,)/VLOOKUP($D425,$C$5:$AT$510,3,))*$E425)</f>
        <v>0.92171932915856436</v>
      </c>
      <c r="G425" s="31">
        <f>IF(VLOOKUP($D425,$C$5:$AT$510,3,)=0,0,(VLOOKUP($D425,$C$5:$AT$510,5,)/VLOOKUP($D425,$C$5:$AT$510,3,))*$E425)</f>
        <v>0</v>
      </c>
      <c r="H425" s="31">
        <f>IF(VLOOKUP($D425,$C$5:$AT$510,3,)=0,0,(VLOOKUP($D425,$C$5:$AT$510,6,)/VLOOKUP($D425,$C$5:$AT$510,3,))*$E425)</f>
        <v>3.7507907917252561E-5</v>
      </c>
      <c r="I425" s="31">
        <f>IF(VLOOKUP($D425,$C$5:$AT$510,3,)=0,0,(VLOOKUP($D425,$C$5:$AT$510,7,)/VLOOKUP($D425,$C$5:$AT$510,3,))*$E425)</f>
        <v>6.6313981197702529E-2</v>
      </c>
      <c r="J425" s="31">
        <f>IF(VLOOKUP($D425,$C$5:$AT$510,3,)=0,0,(VLOOKUP($D425,$C$5:$AT$510,8,)/VLOOKUP($D425,$C$5:$AT$510,3,))*$E425)</f>
        <v>3.7132828838080034E-3</v>
      </c>
      <c r="K425" s="31">
        <f>IF(VLOOKUP($D425,$C$5:$AT$510,3,)=0,0,(VLOOKUP($D425,$C$5:$AT$510,9,)/VLOOKUP($D425,$C$5:$AT$510,3,))*$E425)</f>
        <v>6.8347743315882439E-5</v>
      </c>
      <c r="L425" s="31">
        <f>IF(VLOOKUP($D425,$C$5:$AT$510,3,)=0,0,(VLOOKUP($D425,$C$5:$AT$510,10,)/VLOOKUP($D425,$C$5:$AT$510,3,))*$E425)</f>
        <v>0</v>
      </c>
      <c r="M425" s="31">
        <f>IF(VLOOKUP($D425,$C$5:$AT$510,3,)=0,0,(VLOOKUP($D425,$C$5:$AT$510,11,)/VLOOKUP($D425,$C$5:$AT$510,3,))*$E425)</f>
        <v>3.3340362593113389E-6</v>
      </c>
      <c r="N425" s="31">
        <f>IF(VLOOKUP($D425,$C$5:$AT$510,3,)=0,0,(VLOOKUP($D425,$C$5:$AT$510,12,)/VLOOKUP($D425,$C$5:$AT$510,3,))*$E425)</f>
        <v>8.3350906482783473E-7</v>
      </c>
      <c r="O425" s="31">
        <f>IF(VLOOKUP($D425,$C$5:$AT$510,3,)=0,0,(VLOOKUP($D425,$C$5:$AT$510,13,)/VLOOKUP($D425,$C$5:$AT$510,3,))*$E425)</f>
        <v>8.3350906482783473E-7</v>
      </c>
      <c r="P425" s="31">
        <f>IF(VLOOKUP($D425,$C$5:$AT$510,3,)=0,0,(VLOOKUP($D425,$C$5:$AT$510,14,)/VLOOKUP($D425,$C$5:$AT$510,3,))*$E425)</f>
        <v>3.3340362593113389E-6</v>
      </c>
      <c r="Q425" s="31">
        <f>IF(VLOOKUP($D425,$C$5:$AT$510,3,)=0,0,(VLOOKUP($D425,$C$5:$AT$510,15,)/VLOOKUP($D425,$C$5:$AT$510,3,))*$E425)</f>
        <v>3.0006326333802047E-3</v>
      </c>
      <c r="R425" s="31">
        <f>IF(VLOOKUP($D425,$C$5:$AT$510,3,)=0,0,(VLOOKUP($D425,$C$5:$AT$510,16,)/VLOOKUP($D425,$C$5:$AT$510,3,))*$E425)</f>
        <v>3.7507907917252561E-5</v>
      </c>
      <c r="S425" s="31">
        <f>IF(VLOOKUP($D425,$C$5:$AT$510,3,)=0,0,(VLOOKUP($D425,$C$5:$AT$510,17,)/VLOOKUP($D425,$C$5:$AT$510,3,))*$E425)</f>
        <v>0</v>
      </c>
      <c r="T425" s="31">
        <f>IF(VLOOKUP($D425,$C$5:$AT$510,3,)=0,0,(VLOOKUP($D425,$C$5:$AT$510,18,)/VLOOKUP($D425,$C$5:$AT$510,3,))*$E425)</f>
        <v>2.6255535542076794E-4</v>
      </c>
      <c r="U425" s="31">
        <f>IF(VLOOKUP($D425,$C$5:$AT$510,3,)=0,0,(VLOOKUP($D425,$C$5:$AT$510,19,)/VLOOKUP($D425,$C$5:$AT$510,3,))*$E425)</f>
        <v>4.8385201213255805E-3</v>
      </c>
      <c r="V425" s="31">
        <f>IF(VLOOKUP($D425,$C$5:$AT$510,3,)=0,0,(VLOOKUP($D425,$C$5:$AT$510,20,)/VLOOKUP($D425,$C$5:$AT$510,3,))*$E425)</f>
        <v>0</v>
      </c>
      <c r="W425" s="31">
        <f>IF(VLOOKUP($D425,$C$5:$AT$510,3,)=0,0,(VLOOKUP($D425,$C$5:$AT$510,21,)/VLOOKUP($D425,$C$5:$AT$510,3,))*$E425)</f>
        <v>0</v>
      </c>
      <c r="X425" s="31">
        <f>IF(VLOOKUP($D425,$C$5:$AT$510,3,)=0,0,(VLOOKUP($D425,$C$5:$AT$510,22,)/VLOOKUP($D425,$C$5:$AT$510,3,))*$E425)</f>
        <v>0</v>
      </c>
      <c r="Y425" s="31">
        <f>IF(VLOOKUP($D425,$C$5:$AT$510,3,)=0,0,(VLOOKUP($D425,$C$5:$AT$510,23,)/VLOOKUP($D425,$C$5:$AT$510,3,))*$E425)</f>
        <v>0</v>
      </c>
      <c r="Z425" s="31">
        <f>IF(VLOOKUP($D425,$C$5:$AT$510,3,)=0,0,(VLOOKUP($D425,$C$5:$AT$510,24,)/VLOOKUP($D425,$C$5:$AT$510,3,))*$E425)</f>
        <v>0</v>
      </c>
      <c r="AA425" s="31">
        <f>IF(VLOOKUP($D425,$C$5:$AT$510,3,)=0,0,(VLOOKUP($D425,$C$5:$AT$510,25,)/VLOOKUP($D425,$C$5:$AT$510,3,))*$E425)</f>
        <v>0</v>
      </c>
      <c r="AB425" s="31">
        <f>IF(VLOOKUP($D425,$C$5:$AT$510,3,)=0,0,(VLOOKUP($D425,$C$5:$AT$510,26,)/VLOOKUP($D425,$C$5:$AT$510,3,))*$E425)</f>
        <v>0</v>
      </c>
      <c r="AC425" s="31">
        <f>IF(VLOOKUP($D425,$C$5:$AT$510,3,)=0,0,(VLOOKUP($D425,$C$5:$AT$510,27,)/VLOOKUP($D425,$C$5:$AT$510,3,))*$E425)</f>
        <v>0</v>
      </c>
      <c r="AD425" s="31">
        <f>IF(VLOOKUP($D425,$C$5:$AT$510,3,)=0,0,(VLOOKUP($D425,$C$5:$AT$510,28,)/VLOOKUP($D425,$C$5:$AT$510,3,))*$E425)</f>
        <v>0</v>
      </c>
      <c r="AE425" s="31">
        <f>IF(VLOOKUP($D425,$C$5:$AT$510,3,)=0,0,(VLOOKUP($D425,$C$5:$AT$510,29,)/VLOOKUP($D425,$C$5:$AT$510,3,))*$E425)</f>
        <v>0</v>
      </c>
      <c r="AF425" s="31">
        <f>IF(VLOOKUP($D425,$C$5:$AT$510,3,)=0,0,(VLOOKUP($D425,$C$5:$AT$510,30,)/VLOOKUP($D425,$C$5:$AT$510,3,))*$E425)</f>
        <v>0</v>
      </c>
      <c r="AG425" s="77">
        <f t="shared" si="158"/>
        <v>1.0000000000000002</v>
      </c>
      <c r="AH425" s="14" t="str">
        <f t="shared" si="159"/>
        <v>ok</v>
      </c>
    </row>
    <row r="426" spans="1:34" x14ac:dyDescent="0.2">
      <c r="A426" s="2" t="s">
        <v>470</v>
      </c>
      <c r="C426" s="2" t="s">
        <v>235</v>
      </c>
      <c r="D426" s="2" t="s">
        <v>564</v>
      </c>
      <c r="E426" s="73">
        <v>1</v>
      </c>
      <c r="F426" s="31">
        <f>IF(VLOOKUP($D426,$C$5:$AT$510,3,)=0,0,(VLOOKUP($D426,$C$5:$AT$510,4,)/VLOOKUP($D426,$C$5:$AT$510,3,))*$E426)</f>
        <v>0.92171932915856436</v>
      </c>
      <c r="G426" s="31">
        <f>IF(VLOOKUP($D426,$C$5:$AT$510,3,)=0,0,(VLOOKUP($D426,$C$5:$AT$510,5,)/VLOOKUP($D426,$C$5:$AT$510,3,))*$E426)</f>
        <v>0</v>
      </c>
      <c r="H426" s="31">
        <f>IF(VLOOKUP($D426,$C$5:$AT$510,3,)=0,0,(VLOOKUP($D426,$C$5:$AT$510,6,)/VLOOKUP($D426,$C$5:$AT$510,3,))*$E426)</f>
        <v>3.7507907917252561E-5</v>
      </c>
      <c r="I426" s="31">
        <f>IF(VLOOKUP($D426,$C$5:$AT$510,3,)=0,0,(VLOOKUP($D426,$C$5:$AT$510,7,)/VLOOKUP($D426,$C$5:$AT$510,3,))*$E426)</f>
        <v>6.6313981197702529E-2</v>
      </c>
      <c r="J426" s="31">
        <f>IF(VLOOKUP($D426,$C$5:$AT$510,3,)=0,0,(VLOOKUP($D426,$C$5:$AT$510,8,)/VLOOKUP($D426,$C$5:$AT$510,3,))*$E426)</f>
        <v>3.7132828838080034E-3</v>
      </c>
      <c r="K426" s="31">
        <f>IF(VLOOKUP($D426,$C$5:$AT$510,3,)=0,0,(VLOOKUP($D426,$C$5:$AT$510,9,)/VLOOKUP($D426,$C$5:$AT$510,3,))*$E426)</f>
        <v>6.8347743315882439E-5</v>
      </c>
      <c r="L426" s="31">
        <f>IF(VLOOKUP($D426,$C$5:$AT$510,3,)=0,0,(VLOOKUP($D426,$C$5:$AT$510,10,)/VLOOKUP($D426,$C$5:$AT$510,3,))*$E426)</f>
        <v>0</v>
      </c>
      <c r="M426" s="31">
        <f>IF(VLOOKUP($D426,$C$5:$AT$510,3,)=0,0,(VLOOKUP($D426,$C$5:$AT$510,11,)/VLOOKUP($D426,$C$5:$AT$510,3,))*$E426)</f>
        <v>3.3340362593113389E-6</v>
      </c>
      <c r="N426" s="31">
        <f>IF(VLOOKUP($D426,$C$5:$AT$510,3,)=0,0,(VLOOKUP($D426,$C$5:$AT$510,12,)/VLOOKUP($D426,$C$5:$AT$510,3,))*$E426)</f>
        <v>8.3350906482783473E-7</v>
      </c>
      <c r="O426" s="31">
        <f>IF(VLOOKUP($D426,$C$5:$AT$510,3,)=0,0,(VLOOKUP($D426,$C$5:$AT$510,13,)/VLOOKUP($D426,$C$5:$AT$510,3,))*$E426)</f>
        <v>8.3350906482783473E-7</v>
      </c>
      <c r="P426" s="31">
        <f>IF(VLOOKUP($D426,$C$5:$AT$510,3,)=0,0,(VLOOKUP($D426,$C$5:$AT$510,14,)/VLOOKUP($D426,$C$5:$AT$510,3,))*$E426)</f>
        <v>3.3340362593113389E-6</v>
      </c>
      <c r="Q426" s="31">
        <f>IF(VLOOKUP($D426,$C$5:$AT$510,3,)=0,0,(VLOOKUP($D426,$C$5:$AT$510,15,)/VLOOKUP($D426,$C$5:$AT$510,3,))*$E426)</f>
        <v>3.0006326333802047E-3</v>
      </c>
      <c r="R426" s="31">
        <f>IF(VLOOKUP($D426,$C$5:$AT$510,3,)=0,0,(VLOOKUP($D426,$C$5:$AT$510,16,)/VLOOKUP($D426,$C$5:$AT$510,3,))*$E426)</f>
        <v>3.7507907917252561E-5</v>
      </c>
      <c r="S426" s="31">
        <f>IF(VLOOKUP($D426,$C$5:$AT$510,3,)=0,0,(VLOOKUP($D426,$C$5:$AT$510,17,)/VLOOKUP($D426,$C$5:$AT$510,3,))*$E426)</f>
        <v>0</v>
      </c>
      <c r="T426" s="31">
        <f>IF(VLOOKUP($D426,$C$5:$AT$510,3,)=0,0,(VLOOKUP($D426,$C$5:$AT$510,18,)/VLOOKUP($D426,$C$5:$AT$510,3,))*$E426)</f>
        <v>2.6255535542076794E-4</v>
      </c>
      <c r="U426" s="31">
        <f>IF(VLOOKUP($D426,$C$5:$AT$510,3,)=0,0,(VLOOKUP($D426,$C$5:$AT$510,19,)/VLOOKUP($D426,$C$5:$AT$510,3,))*$E426)</f>
        <v>4.8385201213255805E-3</v>
      </c>
      <c r="V426" s="31">
        <f>IF(VLOOKUP($D426,$C$5:$AT$510,3,)=0,0,(VLOOKUP($D426,$C$5:$AT$510,20,)/VLOOKUP($D426,$C$5:$AT$510,3,))*$E426)</f>
        <v>0</v>
      </c>
      <c r="W426" s="31">
        <f>IF(VLOOKUP($D426,$C$5:$AT$510,3,)=0,0,(VLOOKUP($D426,$C$5:$AT$510,21,)/VLOOKUP($D426,$C$5:$AT$510,3,))*$E426)</f>
        <v>0</v>
      </c>
      <c r="X426" s="31">
        <f>IF(VLOOKUP($D426,$C$5:$AT$510,3,)=0,0,(VLOOKUP($D426,$C$5:$AT$510,22,)/VLOOKUP($D426,$C$5:$AT$510,3,))*$E426)</f>
        <v>0</v>
      </c>
      <c r="Y426" s="31">
        <f>IF(VLOOKUP($D426,$C$5:$AT$510,3,)=0,0,(VLOOKUP($D426,$C$5:$AT$510,23,)/VLOOKUP($D426,$C$5:$AT$510,3,))*$E426)</f>
        <v>0</v>
      </c>
      <c r="Z426" s="31">
        <f>IF(VLOOKUP($D426,$C$5:$AT$510,3,)=0,0,(VLOOKUP($D426,$C$5:$AT$510,24,)/VLOOKUP($D426,$C$5:$AT$510,3,))*$E426)</f>
        <v>0</v>
      </c>
      <c r="AA426" s="31">
        <f>IF(VLOOKUP($D426,$C$5:$AT$510,3,)=0,0,(VLOOKUP($D426,$C$5:$AT$510,25,)/VLOOKUP($D426,$C$5:$AT$510,3,))*$E426)</f>
        <v>0</v>
      </c>
      <c r="AB426" s="31">
        <f>IF(VLOOKUP($D426,$C$5:$AT$510,3,)=0,0,(VLOOKUP($D426,$C$5:$AT$510,26,)/VLOOKUP($D426,$C$5:$AT$510,3,))*$E426)</f>
        <v>0</v>
      </c>
      <c r="AC426" s="31">
        <f>IF(VLOOKUP($D426,$C$5:$AT$510,3,)=0,0,(VLOOKUP($D426,$C$5:$AT$510,27,)/VLOOKUP($D426,$C$5:$AT$510,3,))*$E426)</f>
        <v>0</v>
      </c>
      <c r="AD426" s="31">
        <f>IF(VLOOKUP($D426,$C$5:$AT$510,3,)=0,0,(VLOOKUP($D426,$C$5:$AT$510,28,)/VLOOKUP($D426,$C$5:$AT$510,3,))*$E426)</f>
        <v>0</v>
      </c>
      <c r="AE426" s="31">
        <f>IF(VLOOKUP($D426,$C$5:$AT$510,3,)=0,0,(VLOOKUP($D426,$C$5:$AT$510,29,)/VLOOKUP($D426,$C$5:$AT$510,3,))*$E426)</f>
        <v>0</v>
      </c>
      <c r="AF426" s="31">
        <f>IF(VLOOKUP($D426,$C$5:$AT$510,3,)=0,0,(VLOOKUP($D426,$C$5:$AT$510,30,)/VLOOKUP($D426,$C$5:$AT$510,3,))*$E426)</f>
        <v>0</v>
      </c>
      <c r="AG426" s="77">
        <f t="shared" si="158"/>
        <v>1.0000000000000002</v>
      </c>
      <c r="AH426" s="14" t="str">
        <f t="shared" si="159"/>
        <v>ok</v>
      </c>
    </row>
    <row r="428" spans="1:34" x14ac:dyDescent="0.2">
      <c r="A428" s="1" t="s">
        <v>835</v>
      </c>
      <c r="D428" s="166"/>
    </row>
    <row r="429" spans="1:34" x14ac:dyDescent="0.2">
      <c r="A429" s="2" t="s">
        <v>349</v>
      </c>
      <c r="C429" s="2" t="s">
        <v>561</v>
      </c>
      <c r="E429" s="32">
        <f>'Billing Det'!E26</f>
        <v>60684787.910000004</v>
      </c>
      <c r="F429" s="32">
        <f>'Billing Det'!$E8</f>
        <v>40389769.719999999</v>
      </c>
      <c r="G429" s="32">
        <f>'Billing Det'!$E9</f>
        <v>0</v>
      </c>
      <c r="H429" s="32">
        <f>'Billing Det'!$E10</f>
        <v>1396.79</v>
      </c>
      <c r="I429" s="32">
        <f>'Billing Det'!$E11</f>
        <v>4315965.5599999996</v>
      </c>
      <c r="J429" s="32">
        <f>'Billing Det'!$E12</f>
        <v>6598390.4999999991</v>
      </c>
      <c r="K429" s="32">
        <f>'Billing Det'!$E13</f>
        <v>18437.07</v>
      </c>
      <c r="L429" s="32">
        <f>'Billing Det'!$E14</f>
        <v>0</v>
      </c>
      <c r="M429" s="32">
        <f>'Billing Det'!$E15</f>
        <v>2462140.0499999998</v>
      </c>
      <c r="N429" s="32">
        <f>'Billing Det'!$E16</f>
        <v>3030683.5</v>
      </c>
      <c r="O429" s="32">
        <f>'Billing Det'!$E17</f>
        <v>803418.04</v>
      </c>
      <c r="P429" s="32">
        <f>'Billing Det'!$E18</f>
        <v>118009.17999999998</v>
      </c>
      <c r="Q429" s="32">
        <f>'Billing Det'!$E19</f>
        <v>125482.08999999998</v>
      </c>
      <c r="R429" s="32">
        <f>'Billing Det'!$E20</f>
        <v>1570110.42</v>
      </c>
      <c r="S429" s="32">
        <f>'Billing Det'!$E21</f>
        <v>0</v>
      </c>
      <c r="T429" s="32">
        <f>'Billing Det'!$E22</f>
        <v>70913.489999999991</v>
      </c>
      <c r="U429" s="32">
        <f>'Billing Det'!$E23</f>
        <v>1180071.5</v>
      </c>
      <c r="V429" s="32">
        <f>'Billing Det'!$E24</f>
        <v>0</v>
      </c>
      <c r="W429" s="32">
        <v>0</v>
      </c>
      <c r="X429" s="32">
        <v>0</v>
      </c>
      <c r="Y429" s="32">
        <v>0</v>
      </c>
      <c r="Z429" s="32">
        <v>0</v>
      </c>
      <c r="AA429" s="32">
        <v>0</v>
      </c>
      <c r="AB429" s="32">
        <v>0</v>
      </c>
      <c r="AC429" s="32">
        <v>0</v>
      </c>
      <c r="AD429" s="32">
        <v>0</v>
      </c>
      <c r="AE429" s="32"/>
      <c r="AF429" s="32"/>
      <c r="AG429" s="32">
        <f t="shared" ref="AG429:AG439" si="160">SUM(F429:AF429)</f>
        <v>60684787.910000004</v>
      </c>
      <c r="AH429" s="14" t="str">
        <f t="shared" ref="AH429:AH439" si="161">IF(ABS(E429-AG429)&lt;0.01,"ok","err")</f>
        <v>ok</v>
      </c>
    </row>
    <row r="430" spans="1:34" x14ac:dyDescent="0.2">
      <c r="A430" s="2" t="s">
        <v>11</v>
      </c>
      <c r="C430" s="2" t="s">
        <v>214</v>
      </c>
      <c r="E430" s="32">
        <f>'Billing Det'!D26</f>
        <v>484644880</v>
      </c>
      <c r="F430" s="32">
        <f>'Billing Det'!D8</f>
        <v>310421953</v>
      </c>
      <c r="G430" s="32">
        <f>'Billing Det'!D9</f>
        <v>0</v>
      </c>
      <c r="H430" s="32">
        <f>'Billing Det'!D10</f>
        <v>11127</v>
      </c>
      <c r="I430" s="32">
        <f>'Billing Det'!D11</f>
        <v>34413107</v>
      </c>
      <c r="J430" s="32">
        <f>'Billing Det'!D12</f>
        <v>53019436</v>
      </c>
      <c r="K430" s="32">
        <f>'Billing Det'!D13</f>
        <v>263644</v>
      </c>
      <c r="L430" s="32">
        <f>'Billing Det'!D14</f>
        <v>0</v>
      </c>
      <c r="M430" s="32">
        <f>'Billing Det'!D15</f>
        <v>24304884</v>
      </c>
      <c r="N430" s="32">
        <f>'Billing Det'!D16</f>
        <v>33856272</v>
      </c>
      <c r="O430" s="32">
        <f>'Billing Det'!D17</f>
        <v>8340600</v>
      </c>
      <c r="P430" s="32">
        <f>'Billing Det'!D18</f>
        <v>765404</v>
      </c>
      <c r="Q430" s="32">
        <f>'Billing Det'!D19</f>
        <v>1640178</v>
      </c>
      <c r="R430" s="32">
        <f>'Billing Det'!D20</f>
        <v>16623659</v>
      </c>
      <c r="S430" s="32">
        <f>'Billing Det'!$D21</f>
        <v>0</v>
      </c>
      <c r="T430" s="32">
        <f>'Billing Det'!$D22</f>
        <v>560480</v>
      </c>
      <c r="U430" s="32">
        <f>'Billing Det'!$D23</f>
        <v>424136</v>
      </c>
      <c r="V430" s="32">
        <f>'Billing Det'!$D24</f>
        <v>0</v>
      </c>
      <c r="W430" s="32">
        <v>0</v>
      </c>
      <c r="X430" s="32">
        <v>0</v>
      </c>
      <c r="Y430" s="32">
        <v>0</v>
      </c>
      <c r="Z430" s="32">
        <v>0</v>
      </c>
      <c r="AA430" s="32">
        <v>0</v>
      </c>
      <c r="AB430" s="32">
        <v>0</v>
      </c>
      <c r="AC430" s="32">
        <v>0</v>
      </c>
      <c r="AD430" s="32">
        <v>0</v>
      </c>
      <c r="AE430" s="32"/>
      <c r="AF430" s="32"/>
      <c r="AG430" s="32">
        <f>SUM(F430:AF430)</f>
        <v>484644880</v>
      </c>
      <c r="AH430" s="14" t="str">
        <f t="shared" si="161"/>
        <v>ok</v>
      </c>
    </row>
    <row r="431" spans="1:34" x14ac:dyDescent="0.2">
      <c r="A431" s="2" t="s">
        <v>716</v>
      </c>
      <c r="E431" s="167"/>
      <c r="F431" s="167">
        <v>0.05</v>
      </c>
      <c r="G431" s="167">
        <v>0.05</v>
      </c>
      <c r="H431" s="167">
        <v>0.05</v>
      </c>
      <c r="I431" s="167">
        <v>0.05</v>
      </c>
      <c r="J431" s="131">
        <v>0.05</v>
      </c>
      <c r="K431" s="131">
        <v>0.05</v>
      </c>
      <c r="L431" s="32">
        <v>0.05</v>
      </c>
      <c r="M431" s="32">
        <v>0.05</v>
      </c>
      <c r="N431" s="167">
        <v>2.5000000000000001E-2</v>
      </c>
      <c r="O431" s="167">
        <v>2.5000000000000001E-2</v>
      </c>
      <c r="P431" s="167">
        <v>2.5000000000000001E-2</v>
      </c>
      <c r="Q431" s="167">
        <v>0.05</v>
      </c>
      <c r="R431" s="167">
        <v>2.5000000000000001E-2</v>
      </c>
      <c r="S431" s="167">
        <v>2.5000000000000001E-2</v>
      </c>
      <c r="T431" s="167">
        <v>0.05</v>
      </c>
      <c r="U431" s="167">
        <v>0.05</v>
      </c>
      <c r="V431" s="167"/>
      <c r="W431" s="167"/>
      <c r="X431" s="167"/>
      <c r="Y431" s="167"/>
      <c r="Z431" s="167"/>
      <c r="AA431" s="167"/>
      <c r="AB431" s="167"/>
      <c r="AC431" s="167"/>
      <c r="AD431" s="167"/>
      <c r="AE431" s="167"/>
      <c r="AF431" s="167"/>
      <c r="AG431" s="116"/>
      <c r="AH431" s="14"/>
    </row>
    <row r="432" spans="1:34" x14ac:dyDescent="0.2">
      <c r="A432" s="2" t="s">
        <v>717</v>
      </c>
      <c r="C432" s="2" t="s">
        <v>11</v>
      </c>
      <c r="E432" s="32">
        <v>508544247.90823215</v>
      </c>
      <c r="F432" s="32">
        <f t="shared" ref="F432:AF432" si="162">F430/(1-F431)</f>
        <v>326759950.52631581</v>
      </c>
      <c r="G432" s="32">
        <f t="shared" si="162"/>
        <v>0</v>
      </c>
      <c r="H432" s="32">
        <f t="shared" si="162"/>
        <v>11712.631578947368</v>
      </c>
      <c r="I432" s="32">
        <f t="shared" si="162"/>
        <v>36224323.157894738</v>
      </c>
      <c r="J432" s="32">
        <f t="shared" si="162"/>
        <v>55809932.631578952</v>
      </c>
      <c r="K432" s="32">
        <f t="shared" si="162"/>
        <v>277520</v>
      </c>
      <c r="L432" s="32">
        <f t="shared" si="162"/>
        <v>0</v>
      </c>
      <c r="M432" s="32">
        <f t="shared" si="162"/>
        <v>25584088.421052631</v>
      </c>
      <c r="N432" s="32">
        <f t="shared" si="162"/>
        <v>34724381.538461536</v>
      </c>
      <c r="O432" s="32">
        <f t="shared" si="162"/>
        <v>8554461.538461538</v>
      </c>
      <c r="P432" s="32">
        <f t="shared" si="162"/>
        <v>785029.74358974362</v>
      </c>
      <c r="Q432" s="32">
        <f t="shared" si="162"/>
        <v>1726503.1578947369</v>
      </c>
      <c r="R432" s="32">
        <f t="shared" si="162"/>
        <v>17049906.666666668</v>
      </c>
      <c r="S432" s="32">
        <f t="shared" si="162"/>
        <v>0</v>
      </c>
      <c r="T432" s="32">
        <f t="shared" si="162"/>
        <v>589978.94736842113</v>
      </c>
      <c r="U432" s="32">
        <f t="shared" si="162"/>
        <v>446458.94736842107</v>
      </c>
      <c r="V432" s="32">
        <f t="shared" si="162"/>
        <v>0</v>
      </c>
      <c r="W432" s="32">
        <f t="shared" si="162"/>
        <v>0</v>
      </c>
      <c r="X432" s="32">
        <f t="shared" si="162"/>
        <v>0</v>
      </c>
      <c r="Y432" s="32">
        <f t="shared" si="162"/>
        <v>0</v>
      </c>
      <c r="Z432" s="32">
        <f t="shared" si="162"/>
        <v>0</v>
      </c>
      <c r="AA432" s="32">
        <f t="shared" si="162"/>
        <v>0</v>
      </c>
      <c r="AB432" s="32">
        <f t="shared" si="162"/>
        <v>0</v>
      </c>
      <c r="AC432" s="32">
        <f t="shared" si="162"/>
        <v>0</v>
      </c>
      <c r="AD432" s="32">
        <f t="shared" si="162"/>
        <v>0</v>
      </c>
      <c r="AE432" s="32">
        <f t="shared" si="162"/>
        <v>0</v>
      </c>
      <c r="AF432" s="32">
        <f t="shared" si="162"/>
        <v>0</v>
      </c>
      <c r="AG432" s="32">
        <f t="shared" si="160"/>
        <v>508544247.90823215</v>
      </c>
      <c r="AH432" s="14" t="str">
        <f t="shared" si="161"/>
        <v>ok</v>
      </c>
    </row>
    <row r="433" spans="1:34" x14ac:dyDescent="0.2">
      <c r="A433" s="2" t="s">
        <v>558</v>
      </c>
      <c r="E433" s="32">
        <f>'Billing Det'!C26*12</f>
        <v>321084</v>
      </c>
      <c r="F433" s="32">
        <f>'Billing Det'!$C8*12</f>
        <v>294888</v>
      </c>
      <c r="G433" s="32">
        <f>'Billing Det'!$C9*12</f>
        <v>0</v>
      </c>
      <c r="H433" s="32">
        <f>'Billing Det'!$C10*12</f>
        <v>12</v>
      </c>
      <c r="I433" s="32">
        <f>'Billing Det'!$C11*12</f>
        <v>21216</v>
      </c>
      <c r="J433" s="32">
        <f>'Billing Det'!$C12*12</f>
        <v>1188</v>
      </c>
      <c r="K433" s="32">
        <f>'Billing Det'!$C13*12</f>
        <v>984</v>
      </c>
      <c r="L433" s="32">
        <f>'Billing Det'!$C14*12</f>
        <v>72</v>
      </c>
      <c r="M433" s="32">
        <f>'Billing Det'!$C15*12</f>
        <v>48</v>
      </c>
      <c r="N433" s="32">
        <f>'Billing Det'!$C16*12</f>
        <v>12</v>
      </c>
      <c r="O433" s="32">
        <f>'Billing Det'!$C17*12</f>
        <v>12</v>
      </c>
      <c r="P433" s="32">
        <f>'Billing Det'!$C18*12</f>
        <v>48</v>
      </c>
      <c r="Q433" s="32">
        <f>'Billing Det'!$C19*12</f>
        <v>960</v>
      </c>
      <c r="R433" s="32">
        <f>'Billing Det'!$C20*12</f>
        <v>12</v>
      </c>
      <c r="S433" s="32">
        <f>'Billing Det'!$C21*12</f>
        <v>0</v>
      </c>
      <c r="T433" s="32">
        <f>'Billing Det'!$C22*12</f>
        <v>84</v>
      </c>
      <c r="U433" s="32">
        <f>'Billing Det'!$C23*12</f>
        <v>1548</v>
      </c>
      <c r="V433" s="32">
        <f>'Billing Det'!$C24*12</f>
        <v>0</v>
      </c>
      <c r="W433" s="32">
        <v>0</v>
      </c>
      <c r="X433" s="32">
        <v>0</v>
      </c>
      <c r="Y433" s="32">
        <v>0</v>
      </c>
      <c r="Z433" s="32">
        <v>0</v>
      </c>
      <c r="AA433" s="32">
        <v>0</v>
      </c>
      <c r="AB433" s="32">
        <v>0</v>
      </c>
      <c r="AC433" s="32">
        <v>0</v>
      </c>
      <c r="AD433" s="32">
        <v>0</v>
      </c>
      <c r="AE433" s="32"/>
      <c r="AF433" s="32"/>
      <c r="AG433" s="32">
        <f t="shared" si="160"/>
        <v>321084</v>
      </c>
      <c r="AH433" s="14" t="str">
        <f t="shared" si="161"/>
        <v>ok</v>
      </c>
    </row>
    <row r="434" spans="1:34" x14ac:dyDescent="0.2">
      <c r="A434" s="2" t="s">
        <v>559</v>
      </c>
      <c r="C434" s="2" t="s">
        <v>562</v>
      </c>
      <c r="E434" s="32">
        <f>'Billing Det'!C26</f>
        <v>26757</v>
      </c>
      <c r="F434" s="32">
        <f>F433/12</f>
        <v>24574</v>
      </c>
      <c r="G434" s="32">
        <f t="shared" ref="G434:AF434" si="163">G433/12</f>
        <v>0</v>
      </c>
      <c r="H434" s="32">
        <f>H433/12</f>
        <v>1</v>
      </c>
      <c r="I434" s="32">
        <f t="shared" si="163"/>
        <v>1768</v>
      </c>
      <c r="J434" s="32">
        <f t="shared" si="163"/>
        <v>99</v>
      </c>
      <c r="K434" s="32">
        <f t="shared" si="163"/>
        <v>82</v>
      </c>
      <c r="L434" s="32">
        <f t="shared" si="163"/>
        <v>6</v>
      </c>
      <c r="M434" s="32">
        <f t="shared" si="163"/>
        <v>4</v>
      </c>
      <c r="N434" s="32">
        <f t="shared" si="163"/>
        <v>1</v>
      </c>
      <c r="O434" s="32">
        <f t="shared" si="163"/>
        <v>1</v>
      </c>
      <c r="P434" s="32">
        <f t="shared" si="163"/>
        <v>4</v>
      </c>
      <c r="Q434" s="32">
        <f t="shared" si="163"/>
        <v>80</v>
      </c>
      <c r="R434" s="32">
        <f t="shared" si="163"/>
        <v>1</v>
      </c>
      <c r="S434" s="32">
        <f t="shared" si="163"/>
        <v>0</v>
      </c>
      <c r="T434" s="32">
        <f t="shared" si="163"/>
        <v>7</v>
      </c>
      <c r="U434" s="32">
        <f t="shared" si="163"/>
        <v>129</v>
      </c>
      <c r="V434" s="32">
        <f t="shared" si="163"/>
        <v>0</v>
      </c>
      <c r="W434" s="32">
        <v>0</v>
      </c>
      <c r="X434" s="32">
        <v>0</v>
      </c>
      <c r="Y434" s="32">
        <v>0</v>
      </c>
      <c r="Z434" s="32">
        <f t="shared" si="163"/>
        <v>0</v>
      </c>
      <c r="AA434" s="32">
        <f t="shared" si="163"/>
        <v>0</v>
      </c>
      <c r="AB434" s="32">
        <f t="shared" si="163"/>
        <v>0</v>
      </c>
      <c r="AC434" s="32">
        <f t="shared" si="163"/>
        <v>0</v>
      </c>
      <c r="AD434" s="32">
        <f t="shared" si="163"/>
        <v>0</v>
      </c>
      <c r="AE434" s="32">
        <f t="shared" si="163"/>
        <v>0</v>
      </c>
      <c r="AF434" s="32">
        <f t="shared" si="163"/>
        <v>0</v>
      </c>
      <c r="AG434" s="32">
        <f t="shared" si="160"/>
        <v>26757</v>
      </c>
      <c r="AH434" s="14" t="str">
        <f t="shared" si="161"/>
        <v>ok</v>
      </c>
    </row>
    <row r="435" spans="1:34" x14ac:dyDescent="0.2">
      <c r="A435" s="2" t="s">
        <v>560</v>
      </c>
      <c r="C435" s="2" t="s">
        <v>563</v>
      </c>
      <c r="E435" s="32">
        <f>E434</f>
        <v>26757</v>
      </c>
      <c r="F435" s="32">
        <f t="shared" ref="F435:O435" si="164">F434</f>
        <v>24574</v>
      </c>
      <c r="G435" s="32">
        <f t="shared" si="164"/>
        <v>0</v>
      </c>
      <c r="H435" s="32">
        <f t="shared" si="164"/>
        <v>1</v>
      </c>
      <c r="I435" s="32">
        <f t="shared" si="164"/>
        <v>1768</v>
      </c>
      <c r="J435" s="32">
        <f t="shared" si="164"/>
        <v>99</v>
      </c>
      <c r="K435" s="32">
        <f t="shared" si="164"/>
        <v>82</v>
      </c>
      <c r="L435" s="32">
        <f t="shared" si="164"/>
        <v>6</v>
      </c>
      <c r="M435" s="32">
        <f t="shared" si="164"/>
        <v>4</v>
      </c>
      <c r="N435" s="32">
        <f t="shared" si="164"/>
        <v>1</v>
      </c>
      <c r="O435" s="32">
        <f t="shared" si="164"/>
        <v>1</v>
      </c>
      <c r="P435" s="32">
        <f t="shared" ref="P435:V435" si="165">P434</f>
        <v>4</v>
      </c>
      <c r="Q435" s="32">
        <f t="shared" si="165"/>
        <v>80</v>
      </c>
      <c r="R435" s="32">
        <f t="shared" si="165"/>
        <v>1</v>
      </c>
      <c r="S435" s="32">
        <f t="shared" si="165"/>
        <v>0</v>
      </c>
      <c r="T435" s="32">
        <f t="shared" si="165"/>
        <v>7</v>
      </c>
      <c r="U435" s="32">
        <f t="shared" si="165"/>
        <v>129</v>
      </c>
      <c r="V435" s="32">
        <f t="shared" si="165"/>
        <v>0</v>
      </c>
      <c r="W435" s="32">
        <v>0</v>
      </c>
      <c r="X435" s="32">
        <v>0</v>
      </c>
      <c r="Y435" s="32">
        <v>0</v>
      </c>
      <c r="Z435" s="19">
        <f t="shared" ref="Z435:AF435" si="166">Z434</f>
        <v>0</v>
      </c>
      <c r="AA435" s="19">
        <f t="shared" si="166"/>
        <v>0</v>
      </c>
      <c r="AB435" s="19">
        <f t="shared" si="166"/>
        <v>0</v>
      </c>
      <c r="AC435" s="19">
        <f t="shared" si="166"/>
        <v>0</v>
      </c>
      <c r="AD435" s="19">
        <f t="shared" si="166"/>
        <v>0</v>
      </c>
      <c r="AE435" s="19">
        <f t="shared" si="166"/>
        <v>0</v>
      </c>
      <c r="AF435" s="19">
        <f t="shared" si="166"/>
        <v>0</v>
      </c>
      <c r="AG435" s="32">
        <f t="shared" si="160"/>
        <v>26757</v>
      </c>
      <c r="AH435" s="14" t="str">
        <f t="shared" si="161"/>
        <v>ok</v>
      </c>
    </row>
    <row r="436" spans="1:34" x14ac:dyDescent="0.2">
      <c r="A436" s="2" t="s">
        <v>867</v>
      </c>
      <c r="C436" s="2" t="s">
        <v>564</v>
      </c>
      <c r="E436" s="32">
        <v>26661.04444444444</v>
      </c>
      <c r="F436" s="19">
        <f>F434</f>
        <v>24574</v>
      </c>
      <c r="G436" s="19">
        <f t="shared" ref="G436:J436" si="167">G434</f>
        <v>0</v>
      </c>
      <c r="H436" s="19">
        <f t="shared" si="167"/>
        <v>1</v>
      </c>
      <c r="I436" s="19">
        <f t="shared" si="167"/>
        <v>1768</v>
      </c>
      <c r="J436" s="19">
        <f t="shared" si="167"/>
        <v>99</v>
      </c>
      <c r="K436" s="19">
        <f>K434/45</f>
        <v>1.8222222222222222</v>
      </c>
      <c r="L436" s="19">
        <v>0</v>
      </c>
      <c r="M436" s="19">
        <f>M434/45</f>
        <v>8.8888888888888892E-2</v>
      </c>
      <c r="N436" s="19">
        <f>N434/45</f>
        <v>2.2222222222222223E-2</v>
      </c>
      <c r="O436" s="19">
        <f>O434/45</f>
        <v>2.2222222222222223E-2</v>
      </c>
      <c r="P436" s="19">
        <f>P434/45</f>
        <v>8.8888888888888892E-2</v>
      </c>
      <c r="Q436" s="19">
        <f t="shared" ref="Q436:R436" si="168">Q434</f>
        <v>80</v>
      </c>
      <c r="R436" s="19">
        <f t="shared" si="168"/>
        <v>1</v>
      </c>
      <c r="S436" s="32">
        <f>S434</f>
        <v>0</v>
      </c>
      <c r="T436" s="32">
        <f>T434</f>
        <v>7</v>
      </c>
      <c r="U436" s="32">
        <f>U434</f>
        <v>129</v>
      </c>
      <c r="V436" s="32">
        <f>V434/45</f>
        <v>0</v>
      </c>
      <c r="W436" s="32">
        <v>0</v>
      </c>
      <c r="X436" s="32">
        <v>0</v>
      </c>
      <c r="Y436" s="32">
        <v>0</v>
      </c>
      <c r="Z436" s="19">
        <f t="shared" ref="Z436:AF436" si="169">Z434</f>
        <v>0</v>
      </c>
      <c r="AA436" s="19">
        <f t="shared" si="169"/>
        <v>0</v>
      </c>
      <c r="AB436" s="19">
        <f t="shared" si="169"/>
        <v>0</v>
      </c>
      <c r="AC436" s="19">
        <f t="shared" si="169"/>
        <v>0</v>
      </c>
      <c r="AD436" s="19">
        <f t="shared" si="169"/>
        <v>0</v>
      </c>
      <c r="AE436" s="19">
        <f t="shared" si="169"/>
        <v>0</v>
      </c>
      <c r="AF436" s="19">
        <f t="shared" si="169"/>
        <v>0</v>
      </c>
      <c r="AG436" s="32">
        <f>SUM(F436:AF436)</f>
        <v>26661.04444444444</v>
      </c>
      <c r="AH436" s="14" t="str">
        <f t="shared" si="161"/>
        <v>ok</v>
      </c>
    </row>
    <row r="437" spans="1:34" x14ac:dyDescent="0.2">
      <c r="A437" s="2" t="s">
        <v>726</v>
      </c>
      <c r="C437" s="2" t="s">
        <v>565</v>
      </c>
      <c r="E437" s="32">
        <v>1</v>
      </c>
      <c r="F437" s="32">
        <v>0</v>
      </c>
      <c r="G437" s="32">
        <v>0</v>
      </c>
      <c r="H437" s="32">
        <v>0</v>
      </c>
      <c r="I437" s="32">
        <v>0</v>
      </c>
      <c r="J437" s="32">
        <v>0</v>
      </c>
      <c r="K437" s="32">
        <v>0</v>
      </c>
      <c r="L437" s="32">
        <v>0</v>
      </c>
      <c r="M437" s="32">
        <v>0</v>
      </c>
      <c r="N437" s="32">
        <v>0</v>
      </c>
      <c r="O437" s="32">
        <v>0</v>
      </c>
      <c r="P437" s="32">
        <v>0</v>
      </c>
      <c r="Q437" s="32">
        <v>0</v>
      </c>
      <c r="R437" s="32">
        <v>0</v>
      </c>
      <c r="S437" s="32">
        <v>0</v>
      </c>
      <c r="T437" s="32">
        <v>0</v>
      </c>
      <c r="U437" s="32">
        <v>1</v>
      </c>
      <c r="V437" s="32"/>
      <c r="W437" s="32">
        <v>0</v>
      </c>
      <c r="X437" s="32">
        <v>0</v>
      </c>
      <c r="Y437" s="32">
        <v>0</v>
      </c>
      <c r="Z437" s="19"/>
      <c r="AA437" s="19"/>
      <c r="AB437" s="19"/>
      <c r="AC437" s="19"/>
      <c r="AD437" s="19"/>
      <c r="AE437" s="19"/>
      <c r="AF437" s="19"/>
      <c r="AG437" s="32">
        <f t="shared" si="160"/>
        <v>1</v>
      </c>
      <c r="AH437" s="14" t="str">
        <f t="shared" si="161"/>
        <v>ok</v>
      </c>
    </row>
    <row r="438" spans="1:34" x14ac:dyDescent="0.2">
      <c r="A438" s="2" t="s">
        <v>614</v>
      </c>
      <c r="C438" s="2" t="s">
        <v>615</v>
      </c>
      <c r="E438" s="32">
        <f>E436</f>
        <v>26661.04444444444</v>
      </c>
      <c r="F438" s="19">
        <f>F436</f>
        <v>24574</v>
      </c>
      <c r="G438" s="19">
        <f t="shared" ref="G438:V438" si="170">G436</f>
        <v>0</v>
      </c>
      <c r="H438" s="19">
        <f t="shared" si="170"/>
        <v>1</v>
      </c>
      <c r="I438" s="19">
        <f t="shared" si="170"/>
        <v>1768</v>
      </c>
      <c r="J438" s="19">
        <f t="shared" si="170"/>
        <v>99</v>
      </c>
      <c r="K438" s="19">
        <f t="shared" si="170"/>
        <v>1.8222222222222222</v>
      </c>
      <c r="L438" s="19">
        <f t="shared" si="170"/>
        <v>0</v>
      </c>
      <c r="M438" s="19">
        <f t="shared" si="170"/>
        <v>8.8888888888888892E-2</v>
      </c>
      <c r="N438" s="19">
        <f t="shared" si="170"/>
        <v>2.2222222222222223E-2</v>
      </c>
      <c r="O438" s="19">
        <f t="shared" si="170"/>
        <v>2.2222222222222223E-2</v>
      </c>
      <c r="P438" s="19">
        <f t="shared" si="170"/>
        <v>8.8888888888888892E-2</v>
      </c>
      <c r="Q438" s="19">
        <f t="shared" si="170"/>
        <v>80</v>
      </c>
      <c r="R438" s="19">
        <f t="shared" si="170"/>
        <v>1</v>
      </c>
      <c r="S438" s="19">
        <f t="shared" si="170"/>
        <v>0</v>
      </c>
      <c r="T438" s="19">
        <f t="shared" si="170"/>
        <v>7</v>
      </c>
      <c r="U438" s="19">
        <f t="shared" si="170"/>
        <v>129</v>
      </c>
      <c r="V438" s="19">
        <f t="shared" si="170"/>
        <v>0</v>
      </c>
      <c r="W438" s="32">
        <v>0</v>
      </c>
      <c r="X438" s="32">
        <v>0</v>
      </c>
      <c r="Y438" s="32">
        <v>0</v>
      </c>
      <c r="Z438" s="19">
        <v>0</v>
      </c>
      <c r="AA438" s="19">
        <v>0</v>
      </c>
      <c r="AB438" s="19">
        <v>0</v>
      </c>
      <c r="AC438" s="19">
        <v>0</v>
      </c>
      <c r="AD438" s="19">
        <v>0</v>
      </c>
      <c r="AE438" s="19">
        <v>0</v>
      </c>
      <c r="AF438" s="19">
        <v>0</v>
      </c>
      <c r="AG438" s="32">
        <f t="shared" si="160"/>
        <v>26661.04444444444</v>
      </c>
      <c r="AH438" s="14" t="str">
        <f t="shared" si="161"/>
        <v>ok</v>
      </c>
    </row>
    <row r="439" spans="1:34" x14ac:dyDescent="0.2">
      <c r="A439" s="2" t="s">
        <v>470</v>
      </c>
      <c r="C439" s="2" t="s">
        <v>616</v>
      </c>
      <c r="E439" s="32">
        <f>E435</f>
        <v>26757</v>
      </c>
      <c r="F439" s="19">
        <f>F435</f>
        <v>24574</v>
      </c>
      <c r="G439" s="19">
        <f t="shared" ref="G439:V439" si="171">G435</f>
        <v>0</v>
      </c>
      <c r="H439" s="19">
        <f t="shared" si="171"/>
        <v>1</v>
      </c>
      <c r="I439" s="19">
        <f t="shared" si="171"/>
        <v>1768</v>
      </c>
      <c r="J439" s="19">
        <f t="shared" si="171"/>
        <v>99</v>
      </c>
      <c r="K439" s="19">
        <f t="shared" si="171"/>
        <v>82</v>
      </c>
      <c r="L439" s="19">
        <f t="shared" si="171"/>
        <v>6</v>
      </c>
      <c r="M439" s="19">
        <f t="shared" si="171"/>
        <v>4</v>
      </c>
      <c r="N439" s="19">
        <f t="shared" si="171"/>
        <v>1</v>
      </c>
      <c r="O439" s="19">
        <f t="shared" si="171"/>
        <v>1</v>
      </c>
      <c r="P439" s="19">
        <f t="shared" si="171"/>
        <v>4</v>
      </c>
      <c r="Q439" s="19">
        <f t="shared" si="171"/>
        <v>80</v>
      </c>
      <c r="R439" s="19">
        <f t="shared" si="171"/>
        <v>1</v>
      </c>
      <c r="S439" s="19">
        <f t="shared" si="171"/>
        <v>0</v>
      </c>
      <c r="T439" s="19">
        <f t="shared" si="171"/>
        <v>7</v>
      </c>
      <c r="U439" s="19">
        <f t="shared" si="171"/>
        <v>129</v>
      </c>
      <c r="V439" s="19">
        <f t="shared" si="171"/>
        <v>0</v>
      </c>
      <c r="W439" s="32">
        <v>0</v>
      </c>
      <c r="X439" s="32">
        <v>0</v>
      </c>
      <c r="Y439" s="32">
        <v>0</v>
      </c>
      <c r="Z439" s="19"/>
      <c r="AA439" s="19"/>
      <c r="AB439" s="19"/>
      <c r="AC439" s="19"/>
      <c r="AD439" s="19"/>
      <c r="AE439" s="19"/>
      <c r="AF439" s="19"/>
      <c r="AG439" s="32">
        <f t="shared" si="160"/>
        <v>26757</v>
      </c>
      <c r="AH439" s="14" t="str">
        <f t="shared" si="161"/>
        <v>ok</v>
      </c>
    </row>
    <row r="441" spans="1:34" x14ac:dyDescent="0.2">
      <c r="A441" s="2" t="s">
        <v>689</v>
      </c>
      <c r="C441" s="2" t="s">
        <v>911</v>
      </c>
      <c r="E441" s="32">
        <f>'Billing Det'!$K$26</f>
        <v>827191.09338021139</v>
      </c>
      <c r="F441" s="32">
        <f>'Billing Det'!$K$8</f>
        <v>596494.8073686565</v>
      </c>
      <c r="G441" s="32">
        <f>'Billing Det'!$K$9</f>
        <v>0</v>
      </c>
      <c r="H441" s="32">
        <f>'Billing Det'!$K$10</f>
        <v>12.807811699948797</v>
      </c>
      <c r="I441" s="32">
        <f>'Billing Det'!$K$11</f>
        <v>54584.744581969448</v>
      </c>
      <c r="J441" s="32">
        <f>'Billing Det'!$K$12</f>
        <v>88691.507622854289</v>
      </c>
      <c r="K441" s="32">
        <f>'Billing Det'!$K$13</f>
        <v>0</v>
      </c>
      <c r="L441" s="32">
        <f>'Billing Det'!$K$14</f>
        <v>0</v>
      </c>
      <c r="M441" s="32">
        <f>'Billing Det'!$K$15</f>
        <v>26366.042046807914</v>
      </c>
      <c r="N441" s="32">
        <f>'Billing Det'!$K$16</f>
        <v>31737.239999999998</v>
      </c>
      <c r="O441" s="32">
        <f>'Billing Det'!$K$17</f>
        <v>7829.159999999998</v>
      </c>
      <c r="P441" s="32">
        <f>'Billing Det'!$K$18</f>
        <v>914.02550243215569</v>
      </c>
      <c r="Q441" s="32">
        <f>'Billing Det'!$K$19</f>
        <v>2474.1220620225949</v>
      </c>
      <c r="R441" s="32">
        <f>'Billing Det'!$K$20</f>
        <v>17025.839999999997</v>
      </c>
      <c r="S441" s="32">
        <f>'Billing Det'!$K$21</f>
        <v>0</v>
      </c>
      <c r="T441" s="32">
        <f>'Billing Det'!$K$22</f>
        <v>486.62263824884803</v>
      </c>
      <c r="U441" s="32">
        <f>'Billing Det'!$K$23</f>
        <v>574.17374551971318</v>
      </c>
      <c r="V441" s="32">
        <f>'Billing Det'!$K$24</f>
        <v>0</v>
      </c>
      <c r="W441" s="32">
        <v>0</v>
      </c>
      <c r="X441" s="32">
        <v>0</v>
      </c>
      <c r="Y441" s="32">
        <v>0</v>
      </c>
      <c r="Z441" s="32">
        <v>0</v>
      </c>
      <c r="AA441" s="32">
        <v>0</v>
      </c>
      <c r="AB441" s="32">
        <v>0</v>
      </c>
      <c r="AC441" s="32">
        <v>0</v>
      </c>
      <c r="AD441" s="32">
        <v>0</v>
      </c>
      <c r="AE441" s="32"/>
      <c r="AF441" s="32"/>
      <c r="AG441" s="69">
        <f>SUM(F441:AF441)</f>
        <v>827191.09338021139</v>
      </c>
      <c r="AH441" s="14" t="str">
        <f>IF(ABS(E441-AG441)&lt;0.01,"ok","err")</f>
        <v>ok</v>
      </c>
    </row>
    <row r="442" spans="1:34" x14ac:dyDescent="0.2">
      <c r="A442" s="2" t="s">
        <v>690</v>
      </c>
      <c r="C442" s="2" t="s">
        <v>912</v>
      </c>
      <c r="E442" s="32">
        <f>'Billing Det'!$J$26</f>
        <v>295130.99999976601</v>
      </c>
      <c r="F442" s="32">
        <f>'Billing Det'!$J$8</f>
        <v>220560.96394498958</v>
      </c>
      <c r="G442" s="32">
        <f>'Billing Det'!$J$9</f>
        <v>0</v>
      </c>
      <c r="H442" s="32">
        <f>'Billing Det'!$J$10</f>
        <v>2.5494623655913982</v>
      </c>
      <c r="I442" s="32">
        <f>'Billing Det'!$J$11</f>
        <v>18783.896248226149</v>
      </c>
      <c r="J442" s="32">
        <f>'Billing Det'!$J$12</f>
        <v>28288.64546468723</v>
      </c>
      <c r="K442" s="32">
        <f>'Billing Det'!$J$13</f>
        <v>0</v>
      </c>
      <c r="L442" s="32">
        <f>'Billing Det'!$J$14</f>
        <v>0</v>
      </c>
      <c r="M442" s="32">
        <f>'Billing Det'!$J$15</f>
        <v>8400.7485679043639</v>
      </c>
      <c r="N442" s="32">
        <f>'Billing Det'!$J$16</f>
        <v>9525.6</v>
      </c>
      <c r="O442" s="32">
        <f>'Billing Det'!$J$17</f>
        <v>2445.1200000000008</v>
      </c>
      <c r="P442" s="32">
        <f>'Billing Det'!$J$18</f>
        <v>146.4380376344086</v>
      </c>
      <c r="Q442" s="32">
        <f>'Billing Det'!$J$19</f>
        <v>913.34631159312517</v>
      </c>
      <c r="R442" s="32">
        <f>'Billing Det'!$J$20</f>
        <v>5784.48</v>
      </c>
      <c r="S442" s="32">
        <f>'Billing Det'!$J$21</f>
        <v>0</v>
      </c>
      <c r="T442" s="32">
        <f>'Billing Det'!$J$22</f>
        <v>279.21196236559138</v>
      </c>
      <c r="U442" s="32">
        <f>'Billing Det'!$J$23</f>
        <v>0</v>
      </c>
      <c r="V442" s="32">
        <f>'Billing Det'!$J$24</f>
        <v>0</v>
      </c>
      <c r="W442" s="32">
        <v>0</v>
      </c>
      <c r="X442" s="32">
        <v>0</v>
      </c>
      <c r="Y442" s="32">
        <v>0</v>
      </c>
      <c r="Z442" s="32">
        <v>0</v>
      </c>
      <c r="AA442" s="32">
        <v>0</v>
      </c>
      <c r="AB442" s="32">
        <v>0</v>
      </c>
      <c r="AC442" s="32">
        <v>0</v>
      </c>
      <c r="AD442" s="32">
        <v>0</v>
      </c>
      <c r="AE442" s="32"/>
      <c r="AF442" s="32"/>
      <c r="AG442" s="69">
        <f>SUM(F442:AF442)</f>
        <v>295130.99999976601</v>
      </c>
      <c r="AH442" s="14" t="str">
        <f>IF(ABS(E442-AG442)&lt;0.01,"ok","err")</f>
        <v>ok</v>
      </c>
    </row>
    <row r="443" spans="1:34" x14ac:dyDescent="0.2">
      <c r="A443" s="2" t="s">
        <v>856</v>
      </c>
      <c r="C443" s="2" t="s">
        <v>910</v>
      </c>
      <c r="E443" s="32">
        <f>'Billing Det'!$I$26</f>
        <v>1122322.0933799776</v>
      </c>
      <c r="F443" s="32">
        <f>'Billing Det'!$I$8</f>
        <v>817055.77131364611</v>
      </c>
      <c r="G443" s="32">
        <f>'Billing Det'!$I$9</f>
        <v>0</v>
      </c>
      <c r="H443" s="32">
        <f>'Billing Det'!$I$10</f>
        <v>15.357274065540194</v>
      </c>
      <c r="I443" s="32">
        <f>'Billing Det'!$I$11</f>
        <v>73368.640830195596</v>
      </c>
      <c r="J443" s="32">
        <f>'Billing Det'!$I$12</f>
        <v>116980.15308754152</v>
      </c>
      <c r="K443" s="32">
        <f>'Billing Det'!$I$13</f>
        <v>0</v>
      </c>
      <c r="L443" s="32">
        <f>'Billing Det'!$I$14</f>
        <v>0</v>
      </c>
      <c r="M443" s="32">
        <f>'Billing Det'!$I$15</f>
        <v>34766.790614712278</v>
      </c>
      <c r="N443" s="32">
        <f>'Billing Det'!$I$16</f>
        <v>41262.839999999997</v>
      </c>
      <c r="O443" s="32">
        <f>'Billing Det'!$I$17</f>
        <v>10274.279999999999</v>
      </c>
      <c r="P443" s="32">
        <f>'Billing Det'!$I$18</f>
        <v>1060.4635400665643</v>
      </c>
      <c r="Q443" s="32">
        <f>'Billing Det'!$I$19</f>
        <v>3387.4683736157199</v>
      </c>
      <c r="R443" s="32">
        <f>'Billing Det'!$I$20</f>
        <v>22810.319999999996</v>
      </c>
      <c r="S443" s="32">
        <f>'Billing Det'!$I$21</f>
        <v>0</v>
      </c>
      <c r="T443" s="32">
        <f>'Billing Det'!$I$22</f>
        <v>765.83460061443941</v>
      </c>
      <c r="U443" s="32">
        <f>'Billing Det'!$I$23</f>
        <v>574.17374551971318</v>
      </c>
      <c r="V443" s="32">
        <f>'Billing Det'!$I$24</f>
        <v>0</v>
      </c>
      <c r="W443" s="32">
        <v>0</v>
      </c>
      <c r="X443" s="32">
        <v>0</v>
      </c>
      <c r="Y443" s="32">
        <v>0</v>
      </c>
      <c r="Z443" s="32">
        <v>0</v>
      </c>
      <c r="AA443" s="32">
        <v>0</v>
      </c>
      <c r="AB443" s="32">
        <v>0</v>
      </c>
      <c r="AC443" s="32">
        <v>0</v>
      </c>
      <c r="AD443" s="32">
        <v>0</v>
      </c>
      <c r="AE443" s="32"/>
      <c r="AF443" s="32"/>
      <c r="AG443" s="69">
        <f>SUM(F443:AF443)</f>
        <v>1122322.0933799776</v>
      </c>
      <c r="AH443" s="14" t="str">
        <f>IF(ABS(E443-AG443)&lt;0.01,"ok","err")</f>
        <v>ok</v>
      </c>
    </row>
    <row r="444" spans="1:34" x14ac:dyDescent="0.2">
      <c r="A444" s="2" t="s">
        <v>691</v>
      </c>
      <c r="C444" s="2" t="s">
        <v>566</v>
      </c>
      <c r="E444" s="32">
        <f>'Billing Det'!$H$26</f>
        <v>159181.91693356476</v>
      </c>
      <c r="F444" s="32">
        <f>'Billing Det'!$H$8</f>
        <v>121576.63560888027</v>
      </c>
      <c r="G444" s="32">
        <f>'Billing Det'!$H$9</f>
        <v>0</v>
      </c>
      <c r="H444" s="32">
        <f>'Billing Det'!$H$10</f>
        <v>4.8250000000000002</v>
      </c>
      <c r="I444" s="32">
        <f>'Billing Det'!$H$11</f>
        <v>8366.8182042026783</v>
      </c>
      <c r="J444" s="32">
        <f>'Billing Det'!$H$12</f>
        <v>12387.428733579434</v>
      </c>
      <c r="K444" s="32">
        <f>'Billing Det'!$H$13</f>
        <v>189.73809523809524</v>
      </c>
      <c r="L444" s="32">
        <f>'Billing Det'!$H$14</f>
        <v>0</v>
      </c>
      <c r="M444" s="32">
        <f>'Billing Det'!$H$15</f>
        <v>4858.9427212538421</v>
      </c>
      <c r="N444" s="32">
        <f>'Billing Det'!$H$16</f>
        <v>5572.8</v>
      </c>
      <c r="O444" s="32">
        <f>'Billing Det'!$H$17</f>
        <v>1358.4</v>
      </c>
      <c r="P444" s="32">
        <f>'Billing Det'!$H$18</f>
        <v>479.96130952380952</v>
      </c>
      <c r="Q444" s="32">
        <f>'Billing Det'!$H$19</f>
        <v>538.54583231522906</v>
      </c>
      <c r="R444" s="32">
        <f>'Billing Det'!$H$20</f>
        <v>3522.4</v>
      </c>
      <c r="S444" s="32">
        <f>'Billing Det'!$H$21</f>
        <v>0</v>
      </c>
      <c r="T444" s="32">
        <f>'Billing Det'!$H$22</f>
        <v>216.97499999999999</v>
      </c>
      <c r="U444" s="32">
        <f>'Billing Det'!$H$23</f>
        <v>108.44642857142857</v>
      </c>
      <c r="V444" s="32">
        <f>'Billing Det'!$H$24</f>
        <v>0</v>
      </c>
      <c r="W444" s="32">
        <v>0</v>
      </c>
      <c r="X444" s="32">
        <v>0</v>
      </c>
      <c r="Y444" s="32">
        <v>0</v>
      </c>
      <c r="Z444" s="32">
        <v>0</v>
      </c>
      <c r="AA444" s="32">
        <v>0</v>
      </c>
      <c r="AB444" s="32">
        <v>0</v>
      </c>
      <c r="AC444" s="32">
        <v>0</v>
      </c>
      <c r="AD444" s="32">
        <v>0</v>
      </c>
      <c r="AE444" s="32"/>
      <c r="AF444" s="32"/>
      <c r="AG444" s="69">
        <f>SUM(F444:AF444)</f>
        <v>159181.91693356476</v>
      </c>
      <c r="AH444" s="14" t="str">
        <f>IF(ABS(E444-AG444)&lt;0.01,"ok","err")</f>
        <v>ok</v>
      </c>
    </row>
    <row r="445" spans="1:34" x14ac:dyDescent="0.2">
      <c r="A445" s="2" t="s">
        <v>718</v>
      </c>
      <c r="C445" s="2" t="s">
        <v>857</v>
      </c>
      <c r="E445" s="32">
        <f>'Billing Det'!$F$26</f>
        <v>2950499.8547825725</v>
      </c>
      <c r="F445" s="32">
        <f>'Billing Det'!$F$8</f>
        <v>2368087.875508477</v>
      </c>
      <c r="G445" s="32">
        <f>'Billing Det'!$F$9</f>
        <v>0</v>
      </c>
      <c r="H445" s="32">
        <f>'Billing Det'!$F$10</f>
        <v>85.318189253001094</v>
      </c>
      <c r="I445" s="32">
        <f>'Billing Det'!$F$11</f>
        <v>205248.73142489811</v>
      </c>
      <c r="J445" s="32">
        <f>'Billing Det'!$F$12</f>
        <v>176752.71999999997</v>
      </c>
      <c r="K445" s="32">
        <f>'Billing Det'!$F$13</f>
        <v>2029.9696691699382</v>
      </c>
      <c r="L445" s="32">
        <f>'Billing Det'!$F$14</f>
        <v>0</v>
      </c>
      <c r="M445" s="32">
        <f>'Billing Det'!$F$15</f>
        <v>59907.600000000006</v>
      </c>
      <c r="N445" s="32">
        <f>'Billing Det'!$F$16</f>
        <v>65131.200000000012</v>
      </c>
      <c r="O445" s="32">
        <f>'Billing Det'!$F$17</f>
        <v>16229.999999999998</v>
      </c>
      <c r="P445" s="32">
        <f>'Billing Det'!$F$18</f>
        <v>4766.2</v>
      </c>
      <c r="Q445" s="32">
        <f>'Billing Det'!$F$19</f>
        <v>11252.52342549923</v>
      </c>
      <c r="R445" s="32">
        <f>'Billing Det'!$F$20</f>
        <v>38017.199999999997</v>
      </c>
      <c r="S445" s="32">
        <f>'Billing Det'!$F$21</f>
        <v>0</v>
      </c>
      <c r="T445" s="32">
        <f>'Billing Det'!$F$22</f>
        <v>1827.176588316466</v>
      </c>
      <c r="U445" s="32">
        <f>'Billing Det'!$F$23</f>
        <v>1163.3399769585253</v>
      </c>
      <c r="V445" s="32">
        <f>'Billing Det'!$F$24</f>
        <v>0</v>
      </c>
      <c r="W445" s="32">
        <v>0</v>
      </c>
      <c r="X445" s="32">
        <v>0</v>
      </c>
      <c r="Y445" s="32">
        <v>0</v>
      </c>
      <c r="Z445" s="32">
        <v>0</v>
      </c>
      <c r="AA445" s="32">
        <v>0</v>
      </c>
      <c r="AB445" s="32">
        <v>0</v>
      </c>
      <c r="AC445" s="32">
        <v>0</v>
      </c>
      <c r="AD445" s="32">
        <v>0</v>
      </c>
      <c r="AE445" s="32"/>
      <c r="AF445" s="32"/>
      <c r="AG445" s="69">
        <f>SUM(F445:AF445)</f>
        <v>2950499.8547825725</v>
      </c>
      <c r="AH445" s="14" t="str">
        <f>IF(ABS(E445-AG445)&lt;0.01,"ok","err")</f>
        <v>ok</v>
      </c>
    </row>
    <row r="447" spans="1:34" x14ac:dyDescent="0.2">
      <c r="A447" s="12" t="s">
        <v>868</v>
      </c>
    </row>
    <row r="448" spans="1:34" x14ac:dyDescent="0.2"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14"/>
    </row>
    <row r="449" spans="1:34" x14ac:dyDescent="0.2">
      <c r="A449" s="2" t="s">
        <v>595</v>
      </c>
      <c r="C449" s="2" t="s">
        <v>596</v>
      </c>
      <c r="E449" s="32">
        <f t="shared" ref="E449:V449" si="172">E443</f>
        <v>1122322.0933799776</v>
      </c>
      <c r="F449" s="32">
        <f t="shared" si="172"/>
        <v>817055.77131364611</v>
      </c>
      <c r="G449" s="32">
        <f t="shared" si="172"/>
        <v>0</v>
      </c>
      <c r="H449" s="32">
        <f t="shared" si="172"/>
        <v>15.357274065540194</v>
      </c>
      <c r="I449" s="32">
        <f t="shared" si="172"/>
        <v>73368.640830195596</v>
      </c>
      <c r="J449" s="32">
        <f t="shared" si="172"/>
        <v>116980.15308754152</v>
      </c>
      <c r="K449" s="32">
        <f t="shared" si="172"/>
        <v>0</v>
      </c>
      <c r="L449" s="32">
        <f t="shared" si="172"/>
        <v>0</v>
      </c>
      <c r="M449" s="32">
        <f t="shared" si="172"/>
        <v>34766.790614712278</v>
      </c>
      <c r="N449" s="32">
        <f t="shared" si="172"/>
        <v>41262.839999999997</v>
      </c>
      <c r="O449" s="32">
        <f t="shared" si="172"/>
        <v>10274.279999999999</v>
      </c>
      <c r="P449" s="32">
        <f t="shared" si="172"/>
        <v>1060.4635400665643</v>
      </c>
      <c r="Q449" s="32">
        <f t="shared" si="172"/>
        <v>3387.4683736157199</v>
      </c>
      <c r="R449" s="32">
        <f t="shared" si="172"/>
        <v>22810.319999999996</v>
      </c>
      <c r="S449" s="32">
        <f t="shared" si="172"/>
        <v>0</v>
      </c>
      <c r="T449" s="32">
        <f t="shared" si="172"/>
        <v>765.83460061443941</v>
      </c>
      <c r="U449" s="32">
        <f t="shared" si="172"/>
        <v>574.17374551971318</v>
      </c>
      <c r="V449" s="32">
        <f t="shared" si="172"/>
        <v>0</v>
      </c>
      <c r="W449" s="32">
        <f t="shared" ref="W449:AF449" si="173">W444</f>
        <v>0</v>
      </c>
      <c r="X449" s="32">
        <f t="shared" si="173"/>
        <v>0</v>
      </c>
      <c r="Y449" s="32">
        <f t="shared" si="173"/>
        <v>0</v>
      </c>
      <c r="Z449" s="32">
        <f t="shared" si="173"/>
        <v>0</v>
      </c>
      <c r="AA449" s="32">
        <f t="shared" si="173"/>
        <v>0</v>
      </c>
      <c r="AB449" s="32">
        <f t="shared" si="173"/>
        <v>0</v>
      </c>
      <c r="AC449" s="32">
        <f t="shared" si="173"/>
        <v>0</v>
      </c>
      <c r="AD449" s="32">
        <f t="shared" si="173"/>
        <v>0</v>
      </c>
      <c r="AE449" s="32">
        <f t="shared" si="173"/>
        <v>0</v>
      </c>
      <c r="AF449" s="32">
        <f t="shared" si="173"/>
        <v>0</v>
      </c>
      <c r="AG449" s="32">
        <f>SUM(F449:AF449)</f>
        <v>1122322.0933799776</v>
      </c>
      <c r="AH449" s="14" t="str">
        <f t="shared" ref="AH449:AH454" si="174">IF(ABS(E449-AG449)&lt;0.01,"ok","err")</f>
        <v>ok</v>
      </c>
    </row>
    <row r="450" spans="1:34" x14ac:dyDescent="0.2">
      <c r="A450" s="2" t="s">
        <v>594</v>
      </c>
      <c r="E450" s="69">
        <f>'Func &amp; Classif'!K46</f>
        <v>0</v>
      </c>
      <c r="AG450" s="69">
        <f>E450</f>
        <v>0</v>
      </c>
      <c r="AH450" s="14" t="str">
        <f t="shared" si="174"/>
        <v>ok</v>
      </c>
    </row>
    <row r="451" spans="1:34" x14ac:dyDescent="0.2">
      <c r="A451" s="2" t="s">
        <v>592</v>
      </c>
      <c r="E451" s="45"/>
      <c r="M451" s="32">
        <v>0</v>
      </c>
      <c r="N451" s="32">
        <v>0</v>
      </c>
      <c r="O451" s="32"/>
      <c r="P451" s="32"/>
      <c r="AG451" s="69">
        <f>SUM(F451:AF451)</f>
        <v>0</v>
      </c>
      <c r="AH451" s="14" t="str">
        <f t="shared" si="174"/>
        <v>ok</v>
      </c>
    </row>
    <row r="452" spans="1:34" x14ac:dyDescent="0.2">
      <c r="A452" s="2" t="s">
        <v>593</v>
      </c>
      <c r="D452" s="2" t="s">
        <v>596</v>
      </c>
      <c r="E452" s="69">
        <f>E450-E451</f>
        <v>0</v>
      </c>
      <c r="F452" s="45">
        <f>IF(VLOOKUP($D452,$C$5:$AT$528,3,)=0,0,(VLOOKUP($D452,$C$5:$AT$528,4,)/VLOOKUP($D452,$C$5:$AT$528,3,))*$E452)</f>
        <v>0</v>
      </c>
      <c r="G452" s="45">
        <f>IF(VLOOKUP($D452,$C$5:$AT$528,3,)=0,0,(VLOOKUP($D452,$C$5:$AT$528,5,)/VLOOKUP($D452,$C$5:$AT$528,3,))*$E452)</f>
        <v>0</v>
      </c>
      <c r="H452" s="45">
        <f>IF(VLOOKUP($D452,$C$5:$AT$528,3,)=0,0,(VLOOKUP($D452,$C$5:$AT$528,6,)/VLOOKUP($D452,$C$5:$AT$528,3,))*$E452)</f>
        <v>0</v>
      </c>
      <c r="I452" s="45">
        <f>IF(VLOOKUP($D452,$C$5:$AT$528,3,)=0,0,(VLOOKUP($D452,$C$5:$AT$528,7,)/VLOOKUP($D452,$C$5:$AT$528,3,))*$E452)</f>
        <v>0</v>
      </c>
      <c r="J452" s="45">
        <f>IF(VLOOKUP($D452,$C$5:$AT$528,3,)=0,0,(VLOOKUP($D452,$C$5:$AT$528,8,)/VLOOKUP($D452,$C$5:$AT$528,3,))*$E452)</f>
        <v>0</v>
      </c>
      <c r="K452" s="45">
        <f>IF(VLOOKUP($D452,$C$5:$AT$528,3,)=0,0,(VLOOKUP($D452,$C$5:$AT$528,9,)/VLOOKUP($D452,$C$5:$AT$528,3,))*$E452)</f>
        <v>0</v>
      </c>
      <c r="L452" s="45">
        <f>IF(VLOOKUP($D452,$C$5:$AT$528,3,)=0,0,(VLOOKUP($D452,$C$5:$AT$528,10,)/VLOOKUP($D452,$C$5:$AT$528,3,))*$E452)</f>
        <v>0</v>
      </c>
      <c r="M452" s="45">
        <f>IF(VLOOKUP($D452,$C$5:$AT$528,3,)=0,0,(VLOOKUP($D452,$C$5:$AT$528,11,)/VLOOKUP($D452,$C$5:$AT$528,3,))*$E452)</f>
        <v>0</v>
      </c>
      <c r="N452" s="45">
        <f>IF(VLOOKUP($D452,$C$5:$AT$528,3,)=0,0,(VLOOKUP($D452,$C$5:$AT$528,12,)/VLOOKUP($D452,$C$5:$AT$528,3,))*$E452)</f>
        <v>0</v>
      </c>
      <c r="O452" s="45">
        <f>IF(VLOOKUP($D452,$C$5:$AT$528,3,)=0,0,(VLOOKUP($D452,$C$5:$AT$528,13,)/VLOOKUP($D452,$C$5:$AT$528,3,))*$E452)</f>
        <v>0</v>
      </c>
      <c r="P452" s="45">
        <f>IF(VLOOKUP($D452,$C$5:$AT$528,3,)=0,0,(VLOOKUP($D452,$C$5:$AT$528,14,)/VLOOKUP($D452,$C$5:$AT$528,3,))*$E452)</f>
        <v>0</v>
      </c>
      <c r="Q452" s="45">
        <f>IF(VLOOKUP($D452,$C$5:$AT$528,3,)=0,0,(VLOOKUP($D452,$C$5:$AT$528,15,)/VLOOKUP($D452,$C$5:$AT$528,3,))*$E452)</f>
        <v>0</v>
      </c>
      <c r="R452" s="45">
        <f>IF(VLOOKUP($D452,$C$5:$AT$528,3,)=0,0,(VLOOKUP($D452,$C$5:$AT$528,16,)/VLOOKUP($D452,$C$5:$AT$528,3,))*$E452)</f>
        <v>0</v>
      </c>
      <c r="S452" s="45">
        <f>IF(VLOOKUP($D452,$C$5:$AT$528,3,)=0,0,(VLOOKUP($D452,$C$5:$AT$528,17,)/VLOOKUP($D452,$C$5:$AT$528,3,))*$E452)</f>
        <v>0</v>
      </c>
      <c r="T452" s="45">
        <f>IF(VLOOKUP($D452,$C$5:$AT$528,3,)=0,0,(VLOOKUP($D452,$C$5:$AT$528,18,)/VLOOKUP($D452,$C$5:$AT$528,3,))*$E452)</f>
        <v>0</v>
      </c>
      <c r="U452" s="45">
        <f>IF(VLOOKUP($D452,$C$5:$AT$528,3,)=0,0,(VLOOKUP($D452,$C$5:$AT$528,19,)/VLOOKUP($D452,$C$5:$AT$528,3,))*$E452)</f>
        <v>0</v>
      </c>
      <c r="V452" s="45">
        <f>IF(VLOOKUP($D452,$C$5:$AT$528,3,)=0,0,(VLOOKUP($D452,$C$5:$AT$528,20,)/VLOOKUP($D452,$C$5:$AT$528,3,))*$E452)</f>
        <v>0</v>
      </c>
      <c r="W452" s="45">
        <f>IF(VLOOKUP($D452,$C$5:$AT$528,3,)=0,0,(VLOOKUP($D452,$C$5:$AT$528,21,)/VLOOKUP($D452,$C$5:$AT$528,3,))*$E452)</f>
        <v>0</v>
      </c>
      <c r="X452" s="45">
        <f>IF(VLOOKUP($D452,$C$5:$AT$528,3,)=0,0,(VLOOKUP($D452,$C$5:$AT$528,22,)/VLOOKUP($D452,$C$5:$AT$528,3,))*$E452)</f>
        <v>0</v>
      </c>
      <c r="Y452" s="45">
        <f>IF(VLOOKUP($D452,$C$5:$AT$528,3,)=0,0,(VLOOKUP($D452,$C$5:$AT$528,23,)/VLOOKUP($D452,$C$5:$AT$528,3,))*$E452)</f>
        <v>0</v>
      </c>
      <c r="Z452" s="45">
        <f>IF(VLOOKUP($D452,$C$5:$AT$528,3,)=0,0,(VLOOKUP($D452,$C$5:$AT$528,24,)/VLOOKUP($D452,$C$5:$AT$528,3,))*$E452)</f>
        <v>0</v>
      </c>
      <c r="AA452" s="45">
        <f>IF(VLOOKUP($D452,$C$5:$AT$528,3,)=0,0,(VLOOKUP($D452,$C$5:$AT$528,25,)/VLOOKUP($D452,$C$5:$AT$528,3,))*$E452)</f>
        <v>0</v>
      </c>
      <c r="AB452" s="45">
        <f>IF(VLOOKUP($D452,$C$5:$AT$528,3,)=0,0,(VLOOKUP($D452,$C$5:$AT$528,26,)/VLOOKUP($D452,$C$5:$AT$528,3,))*$E452)</f>
        <v>0</v>
      </c>
      <c r="AC452" s="45">
        <f>IF(VLOOKUP($D452,$C$5:$AT$528,3,)=0,0,(VLOOKUP($D452,$C$5:$AT$528,27,)/VLOOKUP($D452,$C$5:$AT$528,3,))*$E452)</f>
        <v>0</v>
      </c>
      <c r="AD452" s="45">
        <f>IF(VLOOKUP($D452,$C$5:$AT$528,3,)=0,0,(VLOOKUP($D452,$C$5:$AT$528,28,)/VLOOKUP($D452,$C$5:$AT$528,3,))*$E452)</f>
        <v>0</v>
      </c>
      <c r="AE452" s="45">
        <f>IF(VLOOKUP($D452,$C$5:$AT$528,3,)=0,0,(VLOOKUP($D452,$C$5:$AT$528,29,)/VLOOKUP($D452,$C$5:$AT$528,3,))*$E452)</f>
        <v>0</v>
      </c>
      <c r="AF452" s="45">
        <f>IF(VLOOKUP($D452,$C$5:$AT$528,3,)=0,0,(VLOOKUP($D452,$C$5:$AT$528,30,)/VLOOKUP($D452,$C$5:$AT$528,3,))*$E452)</f>
        <v>0</v>
      </c>
      <c r="AG452" s="69">
        <f>SUM(F452:AF452)</f>
        <v>0</v>
      </c>
      <c r="AH452" s="14" t="str">
        <f t="shared" si="174"/>
        <v>ok</v>
      </c>
    </row>
    <row r="453" spans="1:34" x14ac:dyDescent="0.2">
      <c r="A453" s="2" t="s">
        <v>598</v>
      </c>
      <c r="C453" s="2" t="s">
        <v>597</v>
      </c>
      <c r="E453" s="69">
        <f>E451+E452</f>
        <v>0</v>
      </c>
      <c r="F453" s="69">
        <f t="shared" ref="F453:U453" si="175">F451+F452</f>
        <v>0</v>
      </c>
      <c r="G453" s="69">
        <f t="shared" si="175"/>
        <v>0</v>
      </c>
      <c r="H453" s="69">
        <f t="shared" si="175"/>
        <v>0</v>
      </c>
      <c r="I453" s="69">
        <f t="shared" si="175"/>
        <v>0</v>
      </c>
      <c r="J453" s="69">
        <f t="shared" si="175"/>
        <v>0</v>
      </c>
      <c r="K453" s="69">
        <f t="shared" si="175"/>
        <v>0</v>
      </c>
      <c r="L453" s="69">
        <f t="shared" si="175"/>
        <v>0</v>
      </c>
      <c r="M453" s="69">
        <f t="shared" si="175"/>
        <v>0</v>
      </c>
      <c r="N453" s="69">
        <f t="shared" si="175"/>
        <v>0</v>
      </c>
      <c r="O453" s="69">
        <f t="shared" si="175"/>
        <v>0</v>
      </c>
      <c r="P453" s="69">
        <f t="shared" si="175"/>
        <v>0</v>
      </c>
      <c r="Q453" s="69">
        <f t="shared" si="175"/>
        <v>0</v>
      </c>
      <c r="R453" s="69">
        <f t="shared" si="175"/>
        <v>0</v>
      </c>
      <c r="S453" s="69">
        <f t="shared" si="175"/>
        <v>0</v>
      </c>
      <c r="T453" s="69">
        <f t="shared" si="175"/>
        <v>0</v>
      </c>
      <c r="U453" s="69">
        <f t="shared" si="175"/>
        <v>0</v>
      </c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>
        <f>SUM(F453:AF453)</f>
        <v>0</v>
      </c>
      <c r="AH453" s="14" t="str">
        <f t="shared" si="174"/>
        <v>ok</v>
      </c>
    </row>
    <row r="454" spans="1:34" x14ac:dyDescent="0.2">
      <c r="A454" s="2" t="s">
        <v>621</v>
      </c>
      <c r="C454" s="2" t="s">
        <v>599</v>
      </c>
      <c r="D454" s="2" t="s">
        <v>597</v>
      </c>
      <c r="E454" s="31">
        <v>0</v>
      </c>
      <c r="F454" s="77">
        <f>IF(VLOOKUP($D454,$C$5:$AT$528,3,)=0,0,(VLOOKUP($D454,$C$5:$AT$528,4,)/VLOOKUP($D454,$C$5:$AT$528,3,))*$E454)</f>
        <v>0</v>
      </c>
      <c r="G454" s="77">
        <f>IF(VLOOKUP($D454,$C$5:$AT$528,3,)=0,0,(VLOOKUP($D454,$C$5:$AT$528,5,)/VLOOKUP($D454,$C$5:$AT$528,3,))*$E454)</f>
        <v>0</v>
      </c>
      <c r="H454" s="77">
        <f>IF(VLOOKUP($D454,$C$5:$AT$528,3,)=0,0,(VLOOKUP($D454,$C$5:$AT$528,6,)/VLOOKUP($D454,$C$5:$AT$528,3,))*$E454)</f>
        <v>0</v>
      </c>
      <c r="I454" s="77">
        <f>IF(VLOOKUP($D454,$C$5:$AT$528,3,)=0,0,(VLOOKUP($D454,$C$5:$AT$528,7,)/VLOOKUP($D454,$C$5:$AT$528,3,))*$E454)</f>
        <v>0</v>
      </c>
      <c r="J454" s="77">
        <f>IF(VLOOKUP($D454,$C$5:$AT$528,3,)=0,0,(VLOOKUP($D454,$C$5:$AT$528,8,)/VLOOKUP($D454,$C$5:$AT$528,3,))*$E454)</f>
        <v>0</v>
      </c>
      <c r="K454" s="77">
        <f>IF(VLOOKUP($D454,$C$5:$AT$528,3,)=0,0,(VLOOKUP($D454,$C$5:$AT$528,9,)/VLOOKUP($D454,$C$5:$AT$528,3,))*$E454)</f>
        <v>0</v>
      </c>
      <c r="L454" s="77">
        <f>IF(VLOOKUP($D454,$C$5:$AT$528,3,)=0,0,(VLOOKUP($D454,$C$5:$AT$528,10,)/VLOOKUP($D454,$C$5:$AT$528,3,))*$E454)</f>
        <v>0</v>
      </c>
      <c r="M454" s="77">
        <f>IF(VLOOKUP($D454,$C$5:$AT$528,3,)=0,0,(VLOOKUP($D454,$C$5:$AT$528,11,)/VLOOKUP($D454,$C$5:$AT$528,3,))*$E454)</f>
        <v>0</v>
      </c>
      <c r="N454" s="77">
        <f>IF(VLOOKUP($D454,$C$5:$AT$528,3,)=0,0,(VLOOKUP($D454,$C$5:$AT$528,12,)/VLOOKUP($D454,$C$5:$AT$528,3,))*$E454)</f>
        <v>0</v>
      </c>
      <c r="O454" s="77">
        <f>IF(VLOOKUP($D454,$C$5:$AT$528,3,)=0,0,(VLOOKUP($D454,$C$5:$AT$528,13,)/VLOOKUP($D454,$C$5:$AT$528,3,))*$E454)</f>
        <v>0</v>
      </c>
      <c r="P454" s="77">
        <f>IF(VLOOKUP($D454,$C$5:$AT$528,3,)=0,0,(VLOOKUP($D454,$C$5:$AT$528,14,)/VLOOKUP($D454,$C$5:$AT$528,3,))*$E454)</f>
        <v>0</v>
      </c>
      <c r="Q454" s="77">
        <f>IF(VLOOKUP($D454,$C$5:$AT$528,3,)=0,0,(VLOOKUP($D454,$C$5:$AT$528,15,)/VLOOKUP($D454,$C$5:$AT$528,3,))*$E454)</f>
        <v>0</v>
      </c>
      <c r="R454" s="77">
        <f>IF(VLOOKUP($D454,$C$5:$AT$528,3,)=0,0,(VLOOKUP($D454,$C$5:$AT$528,16,)/VLOOKUP($D454,$C$5:$AT$528,3,))*$E454)</f>
        <v>0</v>
      </c>
      <c r="S454" s="77">
        <f>IF(VLOOKUP($D454,$C$5:$AT$528,3,)=0,0,(VLOOKUP($D454,$C$5:$AT$528,17,)/VLOOKUP($D454,$C$5:$AT$528,3,))*$E454)</f>
        <v>0</v>
      </c>
      <c r="T454" s="77">
        <f>IF(VLOOKUP($D454,$C$5:$AT$528,3,)=0,0,(VLOOKUP($D454,$C$5:$AT$528,18,)/VLOOKUP($D454,$C$5:$AT$528,3,))*$E454)</f>
        <v>0</v>
      </c>
      <c r="U454" s="77">
        <f>IF(VLOOKUP($D454,$C$5:$AT$528,3,)=0,0,(VLOOKUP($D454,$C$5:$AT$528,19,)/VLOOKUP($D454,$C$5:$AT$528,3,))*$E454)</f>
        <v>0</v>
      </c>
      <c r="V454" s="77">
        <f>IF(VLOOKUP($D454,$C$5:$AT$528,3,)=0,0,(VLOOKUP($D454,$C$5:$AT$528,20,)/VLOOKUP($D454,$C$5:$AT$528,3,))*$E454)</f>
        <v>0</v>
      </c>
      <c r="W454" s="77">
        <f>IF(VLOOKUP($D454,$C$5:$AT$528,3,)=0,0,(VLOOKUP($D454,$C$5:$AT$528,21,)/VLOOKUP($D454,$C$5:$AT$528,3,))*$E454)</f>
        <v>0</v>
      </c>
      <c r="X454" s="77">
        <f>IF(VLOOKUP($D454,$C$5:$AT$528,3,)=0,0,(VLOOKUP($D454,$C$5:$AT$528,22,)/VLOOKUP($D454,$C$5:$AT$528,3,))*$E454)</f>
        <v>0</v>
      </c>
      <c r="Y454" s="77">
        <f>IF(VLOOKUP($D454,$C$5:$AT$528,3,)=0,0,(VLOOKUP($D454,$C$5:$AT$528,23,)/VLOOKUP($D454,$C$5:$AT$528,3,))*$E454)</f>
        <v>0</v>
      </c>
      <c r="Z454" s="77">
        <f>IF(VLOOKUP($D454,$C$5:$AT$528,3,)=0,0,(VLOOKUP($D454,$C$5:$AT$528,24,)/VLOOKUP($D454,$C$5:$AT$528,3,))*$E454)</f>
        <v>0</v>
      </c>
      <c r="AA454" s="77">
        <f>IF(VLOOKUP($D454,$C$5:$AT$528,3,)=0,0,(VLOOKUP($D454,$C$5:$AT$528,25,)/VLOOKUP($D454,$C$5:$AT$528,3,))*$E454)</f>
        <v>0</v>
      </c>
      <c r="AB454" s="77">
        <f>IF(VLOOKUP($D454,$C$5:$AT$528,3,)=0,0,(VLOOKUP($D454,$C$5:$AT$528,26,)/VLOOKUP($D454,$C$5:$AT$528,3,))*$E454)</f>
        <v>0</v>
      </c>
      <c r="AC454" s="77">
        <f>IF(VLOOKUP($D454,$C$5:$AT$528,3,)=0,0,(VLOOKUP($D454,$C$5:$AT$528,27,)/VLOOKUP($D454,$C$5:$AT$528,3,))*$E454)</f>
        <v>0</v>
      </c>
      <c r="AD454" s="77">
        <f>IF(VLOOKUP($D454,$C$5:$AT$528,3,)=0,0,(VLOOKUP($D454,$C$5:$AT$528,28,)/VLOOKUP($D454,$C$5:$AT$528,3,))*$E454)</f>
        <v>0</v>
      </c>
      <c r="AE454" s="77">
        <f>IF(VLOOKUP($D454,$C$5:$AT$528,3,)=0,0,(VLOOKUP($D454,$C$5:$AT$528,29,)/VLOOKUP($D454,$C$5:$AT$528,3,))*$E454)</f>
        <v>0</v>
      </c>
      <c r="AF454" s="77">
        <f>IF(VLOOKUP($D454,$C$5:$AT$528,3,)=0,0,(VLOOKUP($D454,$C$5:$AT$528,30,)/VLOOKUP($D454,$C$5:$AT$528,3,))*$E454)</f>
        <v>0</v>
      </c>
      <c r="AG454" s="77">
        <f>SUM(F454:AF454)</f>
        <v>0</v>
      </c>
      <c r="AH454" s="14" t="str">
        <f t="shared" si="174"/>
        <v>ok</v>
      </c>
    </row>
    <row r="455" spans="1:34" x14ac:dyDescent="0.2"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14"/>
    </row>
    <row r="456" spans="1:34" x14ac:dyDescent="0.2">
      <c r="A456" s="2" t="s">
        <v>595</v>
      </c>
      <c r="C456" s="2" t="s">
        <v>622</v>
      </c>
      <c r="E456" s="32">
        <f t="shared" ref="E456:AF456" si="176">E449</f>
        <v>1122322.0933799776</v>
      </c>
      <c r="F456" s="32">
        <f t="shared" si="176"/>
        <v>817055.77131364611</v>
      </c>
      <c r="G456" s="32">
        <f t="shared" si="176"/>
        <v>0</v>
      </c>
      <c r="H456" s="32">
        <f t="shared" si="176"/>
        <v>15.357274065540194</v>
      </c>
      <c r="I456" s="32">
        <f t="shared" si="176"/>
        <v>73368.640830195596</v>
      </c>
      <c r="J456" s="32">
        <f t="shared" si="176"/>
        <v>116980.15308754152</v>
      </c>
      <c r="K456" s="32">
        <f t="shared" si="176"/>
        <v>0</v>
      </c>
      <c r="L456" s="32">
        <f t="shared" si="176"/>
        <v>0</v>
      </c>
      <c r="M456" s="32">
        <f t="shared" si="176"/>
        <v>34766.790614712278</v>
      </c>
      <c r="N456" s="32">
        <f t="shared" si="176"/>
        <v>41262.839999999997</v>
      </c>
      <c r="O456" s="32">
        <f t="shared" si="176"/>
        <v>10274.279999999999</v>
      </c>
      <c r="P456" s="32">
        <f t="shared" si="176"/>
        <v>1060.4635400665643</v>
      </c>
      <c r="Q456" s="32">
        <f t="shared" si="176"/>
        <v>3387.4683736157199</v>
      </c>
      <c r="R456" s="32">
        <f t="shared" si="176"/>
        <v>22810.319999999996</v>
      </c>
      <c r="S456" s="32">
        <f t="shared" si="176"/>
        <v>0</v>
      </c>
      <c r="T456" s="32">
        <f t="shared" si="176"/>
        <v>765.83460061443941</v>
      </c>
      <c r="U456" s="32">
        <f t="shared" si="176"/>
        <v>574.17374551971318</v>
      </c>
      <c r="V456" s="32">
        <f t="shared" si="176"/>
        <v>0</v>
      </c>
      <c r="W456" s="32">
        <f t="shared" si="176"/>
        <v>0</v>
      </c>
      <c r="X456" s="32">
        <f t="shared" si="176"/>
        <v>0</v>
      </c>
      <c r="Y456" s="32">
        <f t="shared" si="176"/>
        <v>0</v>
      </c>
      <c r="Z456" s="32">
        <f t="shared" si="176"/>
        <v>0</v>
      </c>
      <c r="AA456" s="32">
        <f t="shared" si="176"/>
        <v>0</v>
      </c>
      <c r="AB456" s="32">
        <f t="shared" si="176"/>
        <v>0</v>
      </c>
      <c r="AC456" s="32">
        <f t="shared" si="176"/>
        <v>0</v>
      </c>
      <c r="AD456" s="32">
        <f t="shared" si="176"/>
        <v>0</v>
      </c>
      <c r="AE456" s="32">
        <f t="shared" si="176"/>
        <v>0</v>
      </c>
      <c r="AF456" s="32">
        <f t="shared" si="176"/>
        <v>0</v>
      </c>
      <c r="AG456" s="32">
        <f>SUM(F456:AF456)</f>
        <v>1122322.0933799776</v>
      </c>
      <c r="AH456" s="14" t="str">
        <f t="shared" ref="AH456:AH461" si="177">IF(ABS(E456-AG456)&lt;0.01,"ok","err")</f>
        <v>ok</v>
      </c>
    </row>
    <row r="457" spans="1:34" x14ac:dyDescent="0.2">
      <c r="A457" s="2" t="s">
        <v>594</v>
      </c>
      <c r="E457" s="69">
        <f>E450</f>
        <v>0</v>
      </c>
      <c r="AG457" s="69">
        <f>E457</f>
        <v>0</v>
      </c>
      <c r="AH457" s="14" t="str">
        <f t="shared" si="177"/>
        <v>ok</v>
      </c>
    </row>
    <row r="458" spans="1:34" x14ac:dyDescent="0.2">
      <c r="A458" s="2" t="s">
        <v>592</v>
      </c>
      <c r="E458" s="45">
        <f>E451</f>
        <v>0</v>
      </c>
      <c r="F458" s="30">
        <f>F451</f>
        <v>0</v>
      </c>
      <c r="G458" s="30">
        <f t="shared" ref="G458:S458" si="178">G451</f>
        <v>0</v>
      </c>
      <c r="H458" s="30">
        <f t="shared" si="178"/>
        <v>0</v>
      </c>
      <c r="I458" s="30">
        <f t="shared" si="178"/>
        <v>0</v>
      </c>
      <c r="J458" s="30">
        <f t="shared" si="178"/>
        <v>0</v>
      </c>
      <c r="K458" s="30">
        <f t="shared" si="178"/>
        <v>0</v>
      </c>
      <c r="L458" s="30">
        <f t="shared" si="178"/>
        <v>0</v>
      </c>
      <c r="M458" s="30">
        <f t="shared" si="178"/>
        <v>0</v>
      </c>
      <c r="N458" s="30">
        <f t="shared" si="178"/>
        <v>0</v>
      </c>
      <c r="O458" s="32">
        <f t="shared" si="178"/>
        <v>0</v>
      </c>
      <c r="P458" s="32">
        <f t="shared" si="178"/>
        <v>0</v>
      </c>
      <c r="Q458" s="2">
        <f t="shared" si="178"/>
        <v>0</v>
      </c>
      <c r="R458" s="2">
        <f t="shared" si="178"/>
        <v>0</v>
      </c>
      <c r="S458" s="2">
        <f t="shared" si="178"/>
        <v>0</v>
      </c>
      <c r="AG458" s="69">
        <f>SUM(F458:AF458)</f>
        <v>0</v>
      </c>
      <c r="AH458" s="14" t="str">
        <f t="shared" si="177"/>
        <v>ok</v>
      </c>
    </row>
    <row r="459" spans="1:34" x14ac:dyDescent="0.2">
      <c r="A459" s="2" t="s">
        <v>593</v>
      </c>
      <c r="D459" s="2" t="s">
        <v>622</v>
      </c>
      <c r="E459" s="69">
        <f>E457-E458</f>
        <v>0</v>
      </c>
      <c r="F459" s="45">
        <f>IF(VLOOKUP($D459,$C$5:$AT$528,3,)=0,0,(VLOOKUP($D459,$C$5:$AT$528,4,)/VLOOKUP($D459,$C$5:$AT$528,3,))*$E459)</f>
        <v>0</v>
      </c>
      <c r="G459" s="45">
        <f>IF(VLOOKUP($D459,$C$5:$AT$528,3,)=0,0,(VLOOKUP($D459,$C$5:$AT$528,5,)/VLOOKUP($D459,$C$5:$AT$528,3,))*$E459)</f>
        <v>0</v>
      </c>
      <c r="H459" s="45">
        <f>IF(VLOOKUP($D459,$C$5:$AT$528,3,)=0,0,(VLOOKUP($D459,$C$5:$AT$528,6,)/VLOOKUP($D459,$C$5:$AT$528,3,))*$E459)</f>
        <v>0</v>
      </c>
      <c r="I459" s="45">
        <f>IF(VLOOKUP($D459,$C$5:$AT$528,3,)=0,0,(VLOOKUP($D459,$C$5:$AT$528,7,)/VLOOKUP($D459,$C$5:$AT$528,3,))*$E459)</f>
        <v>0</v>
      </c>
      <c r="J459" s="45">
        <f>IF(VLOOKUP($D459,$C$5:$AT$528,3,)=0,0,(VLOOKUP($D459,$C$5:$AT$528,8,)/VLOOKUP($D459,$C$5:$AT$528,3,))*$E459)</f>
        <v>0</v>
      </c>
      <c r="K459" s="45">
        <f>IF(VLOOKUP($D459,$C$5:$AT$528,3,)=0,0,(VLOOKUP($D459,$C$5:$AT$528,9,)/VLOOKUP($D459,$C$5:$AT$528,3,))*$E459)</f>
        <v>0</v>
      </c>
      <c r="L459" s="45">
        <f>IF(VLOOKUP($D459,$C$5:$AT$528,3,)=0,0,(VLOOKUP($D459,$C$5:$AT$528,10,)/VLOOKUP($D459,$C$5:$AT$528,3,))*$E459)</f>
        <v>0</v>
      </c>
      <c r="M459" s="45">
        <f>IF(VLOOKUP($D459,$C$5:$AT$528,3,)=0,0,(VLOOKUP($D459,$C$5:$AT$528,11,)/VLOOKUP($D459,$C$5:$AT$528,3,))*$E459)</f>
        <v>0</v>
      </c>
      <c r="N459" s="45">
        <f>IF(VLOOKUP($D459,$C$5:$AT$528,3,)=0,0,(VLOOKUP($D459,$C$5:$AT$528,12,)/VLOOKUP($D459,$C$5:$AT$528,3,))*$E459)</f>
        <v>0</v>
      </c>
      <c r="O459" s="45">
        <f>IF(VLOOKUP($D459,$C$5:$AT$528,3,)=0,0,(VLOOKUP($D459,$C$5:$AT$528,13,)/VLOOKUP($D459,$C$5:$AT$528,3,))*$E459)</f>
        <v>0</v>
      </c>
      <c r="P459" s="45">
        <f>IF(VLOOKUP($D459,$C$5:$AT$528,3,)=0,0,(VLOOKUP($D459,$C$5:$AT$528,14,)/VLOOKUP($D459,$C$5:$AT$528,3,))*$E459)</f>
        <v>0</v>
      </c>
      <c r="Q459" s="45">
        <f>IF(VLOOKUP($D459,$C$5:$AT$528,3,)=0,0,(VLOOKUP($D459,$C$5:$AT$528,15,)/VLOOKUP($D459,$C$5:$AT$528,3,))*$E459)</f>
        <v>0</v>
      </c>
      <c r="R459" s="45">
        <f>IF(VLOOKUP($D459,$C$5:$AT$528,3,)=0,0,(VLOOKUP($D459,$C$5:$AT$528,16,)/VLOOKUP($D459,$C$5:$AT$528,3,))*$E459)</f>
        <v>0</v>
      </c>
      <c r="S459" s="45">
        <f>IF(VLOOKUP($D459,$C$5:$AT$528,3,)=0,0,(VLOOKUP($D459,$C$5:$AT$528,17,)/VLOOKUP($D459,$C$5:$AT$528,3,))*$E459)</f>
        <v>0</v>
      </c>
      <c r="T459" s="45">
        <f>IF(VLOOKUP($D459,$C$5:$AT$528,3,)=0,0,(VLOOKUP($D459,$C$5:$AT$528,18,)/VLOOKUP($D459,$C$5:$AT$528,3,))*$E459)</f>
        <v>0</v>
      </c>
      <c r="U459" s="45">
        <f>IF(VLOOKUP($D459,$C$5:$AT$528,3,)=0,0,(VLOOKUP($D459,$C$5:$AT$528,19,)/VLOOKUP($D459,$C$5:$AT$528,3,))*$E459)</f>
        <v>0</v>
      </c>
      <c r="V459" s="45">
        <f>IF(VLOOKUP($D459,$C$5:$AT$528,3,)=0,0,(VLOOKUP($D459,$C$5:$AT$528,20,)/VLOOKUP($D459,$C$5:$AT$528,3,))*$E459)</f>
        <v>0</v>
      </c>
      <c r="W459" s="45">
        <f>IF(VLOOKUP($D459,$C$5:$AT$528,3,)=0,0,(VLOOKUP($D459,$C$5:$AT$528,21,)/VLOOKUP($D459,$C$5:$AT$528,3,))*$E459)</f>
        <v>0</v>
      </c>
      <c r="X459" s="45">
        <f>IF(VLOOKUP($D459,$C$5:$AT$528,3,)=0,0,(VLOOKUP($D459,$C$5:$AT$528,22,)/VLOOKUP($D459,$C$5:$AT$528,3,))*$E459)</f>
        <v>0</v>
      </c>
      <c r="Y459" s="45">
        <f>IF(VLOOKUP($D459,$C$5:$AT$528,3,)=0,0,(VLOOKUP($D459,$C$5:$AT$528,23,)/VLOOKUP($D459,$C$5:$AT$528,3,))*$E459)</f>
        <v>0</v>
      </c>
      <c r="Z459" s="45">
        <f>IF(VLOOKUP($D459,$C$5:$AT$528,3,)=0,0,(VLOOKUP($D459,$C$5:$AT$528,24,)/VLOOKUP($D459,$C$5:$AT$528,3,))*$E459)</f>
        <v>0</v>
      </c>
      <c r="AA459" s="45">
        <f>IF(VLOOKUP($D459,$C$5:$AT$528,3,)=0,0,(VLOOKUP($D459,$C$5:$AT$528,25,)/VLOOKUP($D459,$C$5:$AT$528,3,))*$E459)</f>
        <v>0</v>
      </c>
      <c r="AB459" s="45">
        <f>IF(VLOOKUP($D459,$C$5:$AT$528,3,)=0,0,(VLOOKUP($D459,$C$5:$AT$528,26,)/VLOOKUP($D459,$C$5:$AT$528,3,))*$E459)</f>
        <v>0</v>
      </c>
      <c r="AC459" s="45">
        <f>IF(VLOOKUP($D459,$C$5:$AT$528,3,)=0,0,(VLOOKUP($D459,$C$5:$AT$528,27,)/VLOOKUP($D459,$C$5:$AT$528,3,))*$E459)</f>
        <v>0</v>
      </c>
      <c r="AD459" s="45">
        <f>IF(VLOOKUP($D459,$C$5:$AT$528,3,)=0,0,(VLOOKUP($D459,$C$5:$AT$528,28,)/VLOOKUP($D459,$C$5:$AT$528,3,))*$E459)</f>
        <v>0</v>
      </c>
      <c r="AE459" s="45">
        <f>IF(VLOOKUP($D459,$C$5:$AT$528,3,)=0,0,(VLOOKUP($D459,$C$5:$AT$528,29,)/VLOOKUP($D459,$C$5:$AT$528,3,))*$E459)</f>
        <v>0</v>
      </c>
      <c r="AF459" s="45">
        <f>IF(VLOOKUP($D459,$C$5:$AT$528,3,)=0,0,(VLOOKUP($D459,$C$5:$AT$528,30,)/VLOOKUP($D459,$C$5:$AT$528,3,))*$E459)</f>
        <v>0</v>
      </c>
      <c r="AG459" s="69">
        <f>SUM(F459:AF459)</f>
        <v>0</v>
      </c>
      <c r="AH459" s="14" t="str">
        <f t="shared" si="177"/>
        <v>ok</v>
      </c>
    </row>
    <row r="460" spans="1:34" x14ac:dyDescent="0.2">
      <c r="A460" s="2" t="s">
        <v>598</v>
      </c>
      <c r="C460" s="2" t="s">
        <v>623</v>
      </c>
      <c r="E460" s="69">
        <f t="shared" ref="E460:U460" si="179">E458+E459</f>
        <v>0</v>
      </c>
      <c r="F460" s="69">
        <f t="shared" si="179"/>
        <v>0</v>
      </c>
      <c r="G460" s="69">
        <f t="shared" si="179"/>
        <v>0</v>
      </c>
      <c r="H460" s="69">
        <f t="shared" si="179"/>
        <v>0</v>
      </c>
      <c r="I460" s="69">
        <f t="shared" si="179"/>
        <v>0</v>
      </c>
      <c r="J460" s="69">
        <f t="shared" si="179"/>
        <v>0</v>
      </c>
      <c r="K460" s="69">
        <f t="shared" si="179"/>
        <v>0</v>
      </c>
      <c r="L460" s="69">
        <f t="shared" si="179"/>
        <v>0</v>
      </c>
      <c r="M460" s="69">
        <f t="shared" si="179"/>
        <v>0</v>
      </c>
      <c r="N460" s="69">
        <f t="shared" si="179"/>
        <v>0</v>
      </c>
      <c r="O460" s="69">
        <f t="shared" si="179"/>
        <v>0</v>
      </c>
      <c r="P460" s="69">
        <f t="shared" si="179"/>
        <v>0</v>
      </c>
      <c r="Q460" s="69">
        <f t="shared" si="179"/>
        <v>0</v>
      </c>
      <c r="R460" s="69">
        <f t="shared" si="179"/>
        <v>0</v>
      </c>
      <c r="S460" s="69">
        <f t="shared" si="179"/>
        <v>0</v>
      </c>
      <c r="T460" s="69">
        <f t="shared" si="179"/>
        <v>0</v>
      </c>
      <c r="U460" s="69">
        <f t="shared" si="179"/>
        <v>0</v>
      </c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>
        <f>SUM(F460:AF460)</f>
        <v>0</v>
      </c>
      <c r="AH460" s="14" t="str">
        <f t="shared" si="177"/>
        <v>ok</v>
      </c>
    </row>
    <row r="461" spans="1:34" x14ac:dyDescent="0.2">
      <c r="A461" s="2" t="s">
        <v>631</v>
      </c>
      <c r="C461" s="2" t="s">
        <v>624</v>
      </c>
      <c r="D461" s="2" t="s">
        <v>623</v>
      </c>
      <c r="E461" s="31">
        <v>0</v>
      </c>
      <c r="F461" s="77">
        <f>IF(VLOOKUP($D461,$C$5:$AT$528,3,)=0,0,(VLOOKUP($D461,$C$5:$AT$528,4,)/VLOOKUP($D461,$C$5:$AT$528,3,))*$E461)</f>
        <v>0</v>
      </c>
      <c r="G461" s="77">
        <f>IF(VLOOKUP($D461,$C$5:$AT$528,3,)=0,0,(VLOOKUP($D461,$C$5:$AT$528,5,)/VLOOKUP($D461,$C$5:$AT$528,3,))*$E461)</f>
        <v>0</v>
      </c>
      <c r="H461" s="77">
        <f>IF(VLOOKUP($D461,$C$5:$AT$528,3,)=0,0,(VLOOKUP($D461,$C$5:$AT$528,6,)/VLOOKUP($D461,$C$5:$AT$528,3,))*$E461)</f>
        <v>0</v>
      </c>
      <c r="I461" s="77">
        <f>IF(VLOOKUP($D461,$C$5:$AT$528,3,)=0,0,(VLOOKUP($D461,$C$5:$AT$528,7,)/VLOOKUP($D461,$C$5:$AT$528,3,))*$E461)</f>
        <v>0</v>
      </c>
      <c r="J461" s="77">
        <f>IF(VLOOKUP($D461,$C$5:$AT$528,3,)=0,0,(VLOOKUP($D461,$C$5:$AT$528,8,)/VLOOKUP($D461,$C$5:$AT$528,3,))*$E461)</f>
        <v>0</v>
      </c>
      <c r="K461" s="77">
        <f>IF(VLOOKUP($D461,$C$5:$AT$528,3,)=0,0,(VLOOKUP($D461,$C$5:$AT$528,9,)/VLOOKUP($D461,$C$5:$AT$528,3,))*$E461)</f>
        <v>0</v>
      </c>
      <c r="L461" s="77">
        <f>IF(VLOOKUP($D461,$C$5:$AT$528,3,)=0,0,(VLOOKUP($D461,$C$5:$AT$528,10,)/VLOOKUP($D461,$C$5:$AT$528,3,))*$E461)</f>
        <v>0</v>
      </c>
      <c r="M461" s="77">
        <f>IF(VLOOKUP($D461,$C$5:$AT$528,3,)=0,0,(VLOOKUP($D461,$C$5:$AT$528,11,)/VLOOKUP($D461,$C$5:$AT$528,3,))*$E461)</f>
        <v>0</v>
      </c>
      <c r="N461" s="77">
        <f>IF(VLOOKUP($D461,$C$5:$AT$528,3,)=0,0,(VLOOKUP($D461,$C$5:$AT$528,12,)/VLOOKUP($D461,$C$5:$AT$528,3,))*$E461)</f>
        <v>0</v>
      </c>
      <c r="O461" s="77">
        <f>IF(VLOOKUP($D461,$C$5:$AT$528,3,)=0,0,(VLOOKUP($D461,$C$5:$AT$528,13,)/VLOOKUP($D461,$C$5:$AT$528,3,))*$E461)</f>
        <v>0</v>
      </c>
      <c r="P461" s="77">
        <f>IF(VLOOKUP($D461,$C$5:$AT$528,3,)=0,0,(VLOOKUP($D461,$C$5:$AT$528,14,)/VLOOKUP($D461,$C$5:$AT$528,3,))*$E461)</f>
        <v>0</v>
      </c>
      <c r="Q461" s="77">
        <f>IF(VLOOKUP($D461,$C$5:$AT$528,3,)=0,0,(VLOOKUP($D461,$C$5:$AT$528,15,)/VLOOKUP($D461,$C$5:$AT$528,3,))*$E461)</f>
        <v>0</v>
      </c>
      <c r="R461" s="77">
        <f>IF(VLOOKUP($D461,$C$5:$AT$528,3,)=0,0,(VLOOKUP($D461,$C$5:$AT$528,16,)/VLOOKUP($D461,$C$5:$AT$528,3,))*$E461)</f>
        <v>0</v>
      </c>
      <c r="S461" s="77">
        <f>IF(VLOOKUP($D461,$C$5:$AT$528,3,)=0,0,(VLOOKUP($D461,$C$5:$AT$528,17,)/VLOOKUP($D461,$C$5:$AT$528,3,))*$E461)</f>
        <v>0</v>
      </c>
      <c r="T461" s="77">
        <f>IF(VLOOKUP($D461,$C$5:$AT$528,3,)=0,0,(VLOOKUP($D461,$C$5:$AT$528,18,)/VLOOKUP($D461,$C$5:$AT$528,3,))*$E461)</f>
        <v>0</v>
      </c>
      <c r="U461" s="77">
        <f>IF(VLOOKUP($D461,$C$5:$AT$528,3,)=0,0,(VLOOKUP($D461,$C$5:$AT$528,19,)/VLOOKUP($D461,$C$5:$AT$528,3,))*$E461)</f>
        <v>0</v>
      </c>
      <c r="V461" s="77">
        <f>IF(VLOOKUP($D461,$C$5:$AT$528,3,)=0,0,(VLOOKUP($D461,$C$5:$AT$528,20,)/VLOOKUP($D461,$C$5:$AT$528,3,))*$E461)</f>
        <v>0</v>
      </c>
      <c r="W461" s="77">
        <f>IF(VLOOKUP($D461,$C$5:$AT$528,3,)=0,0,(VLOOKUP($D461,$C$5:$AT$528,21,)/VLOOKUP($D461,$C$5:$AT$528,3,))*$E461)</f>
        <v>0</v>
      </c>
      <c r="X461" s="77">
        <f>IF(VLOOKUP($D461,$C$5:$AT$528,3,)=0,0,(VLOOKUP($D461,$C$5:$AT$528,22,)/VLOOKUP($D461,$C$5:$AT$528,3,))*$E461)</f>
        <v>0</v>
      </c>
      <c r="Y461" s="77">
        <f>IF(VLOOKUP($D461,$C$5:$AT$528,3,)=0,0,(VLOOKUP($D461,$C$5:$AT$528,23,)/VLOOKUP($D461,$C$5:$AT$528,3,))*$E461)</f>
        <v>0</v>
      </c>
      <c r="Z461" s="77">
        <f>IF(VLOOKUP($D461,$C$5:$AT$528,3,)=0,0,(VLOOKUP($D461,$C$5:$AT$528,24,)/VLOOKUP($D461,$C$5:$AT$528,3,))*$E461)</f>
        <v>0</v>
      </c>
      <c r="AA461" s="77">
        <f>IF(VLOOKUP($D461,$C$5:$AT$528,3,)=0,0,(VLOOKUP($D461,$C$5:$AT$528,25,)/VLOOKUP($D461,$C$5:$AT$528,3,))*$E461)</f>
        <v>0</v>
      </c>
      <c r="AB461" s="77">
        <f>IF(VLOOKUP($D461,$C$5:$AT$528,3,)=0,0,(VLOOKUP($D461,$C$5:$AT$528,26,)/VLOOKUP($D461,$C$5:$AT$528,3,))*$E461)</f>
        <v>0</v>
      </c>
      <c r="AC461" s="77">
        <f>IF(VLOOKUP($D461,$C$5:$AT$528,3,)=0,0,(VLOOKUP($D461,$C$5:$AT$528,27,)/VLOOKUP($D461,$C$5:$AT$528,3,))*$E461)</f>
        <v>0</v>
      </c>
      <c r="AD461" s="77">
        <f>IF(VLOOKUP($D461,$C$5:$AT$528,3,)=0,0,(VLOOKUP($D461,$C$5:$AT$528,28,)/VLOOKUP($D461,$C$5:$AT$528,3,))*$E461)</f>
        <v>0</v>
      </c>
      <c r="AE461" s="77">
        <f>IF(VLOOKUP($D461,$C$5:$AT$528,3,)=0,0,(VLOOKUP($D461,$C$5:$AT$528,29,)/VLOOKUP($D461,$C$5:$AT$528,3,))*$E461)</f>
        <v>0</v>
      </c>
      <c r="AF461" s="77">
        <f>IF(VLOOKUP($D461,$C$5:$AT$528,3,)=0,0,(VLOOKUP($D461,$C$5:$AT$528,30,)/VLOOKUP($D461,$C$5:$AT$528,3,))*$E461)</f>
        <v>0</v>
      </c>
      <c r="AG461" s="77">
        <f>SUM(F461:AF461)</f>
        <v>0</v>
      </c>
      <c r="AH461" s="14" t="str">
        <f t="shared" si="177"/>
        <v>ok</v>
      </c>
    </row>
    <row r="462" spans="1:34" x14ac:dyDescent="0.2"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14"/>
    </row>
    <row r="463" spans="1:34" x14ac:dyDescent="0.2">
      <c r="A463" s="2" t="s">
        <v>600</v>
      </c>
      <c r="B463" s="32"/>
      <c r="C463" s="2" t="s">
        <v>604</v>
      </c>
      <c r="E463" s="32">
        <v>2950499.8547825725</v>
      </c>
      <c r="F463" s="32">
        <f>F445</f>
        <v>2368087.875508477</v>
      </c>
      <c r="G463" s="32">
        <f t="shared" ref="G463:V463" si="180">G445</f>
        <v>0</v>
      </c>
      <c r="H463" s="32">
        <f t="shared" si="180"/>
        <v>85.318189253001094</v>
      </c>
      <c r="I463" s="32">
        <f t="shared" si="180"/>
        <v>205248.73142489811</v>
      </c>
      <c r="J463" s="32">
        <f t="shared" si="180"/>
        <v>176752.71999999997</v>
      </c>
      <c r="K463" s="32">
        <f t="shared" si="180"/>
        <v>2029.9696691699382</v>
      </c>
      <c r="L463" s="32">
        <f t="shared" si="180"/>
        <v>0</v>
      </c>
      <c r="M463" s="32">
        <f t="shared" si="180"/>
        <v>59907.600000000006</v>
      </c>
      <c r="N463" s="32">
        <f t="shared" si="180"/>
        <v>65131.200000000012</v>
      </c>
      <c r="O463" s="32">
        <f t="shared" si="180"/>
        <v>16229.999999999998</v>
      </c>
      <c r="P463" s="32">
        <f t="shared" si="180"/>
        <v>4766.2</v>
      </c>
      <c r="Q463" s="32">
        <f t="shared" si="180"/>
        <v>11252.52342549923</v>
      </c>
      <c r="R463" s="32">
        <f t="shared" si="180"/>
        <v>38017.199999999997</v>
      </c>
      <c r="S463" s="32">
        <f t="shared" si="180"/>
        <v>0</v>
      </c>
      <c r="T463" s="32">
        <f t="shared" si="180"/>
        <v>1827.176588316466</v>
      </c>
      <c r="U463" s="32">
        <f t="shared" si="180"/>
        <v>1163.3399769585253</v>
      </c>
      <c r="V463" s="32">
        <f t="shared" si="180"/>
        <v>0</v>
      </c>
      <c r="W463" s="32">
        <f t="shared" ref="W463:Z463" si="181">W445</f>
        <v>0</v>
      </c>
      <c r="X463" s="32">
        <f t="shared" si="181"/>
        <v>0</v>
      </c>
      <c r="Y463" s="32">
        <f t="shared" si="181"/>
        <v>0</v>
      </c>
      <c r="Z463" s="32">
        <f t="shared" si="181"/>
        <v>0</v>
      </c>
      <c r="AA463" s="32">
        <f>AA445*0.5</f>
        <v>0</v>
      </c>
      <c r="AB463" s="32">
        <f>AB445*0.1</f>
        <v>0</v>
      </c>
      <c r="AC463" s="32">
        <f>AC445*0.5</f>
        <v>0</v>
      </c>
      <c r="AD463" s="32">
        <f>AD445*0.07</f>
        <v>0</v>
      </c>
      <c r="AE463" s="32">
        <f>AE445*0.07</f>
        <v>0</v>
      </c>
      <c r="AF463" s="32">
        <f>AF445</f>
        <v>0</v>
      </c>
      <c r="AG463" s="32">
        <f>SUM(F463:AF463)</f>
        <v>2950499.8547825725</v>
      </c>
      <c r="AH463" s="14" t="str">
        <f t="shared" ref="AH463:AH468" si="182">IF(ABS(E463-AG463)&lt;0.01,"ok","err")</f>
        <v>ok</v>
      </c>
    </row>
    <row r="464" spans="1:34" x14ac:dyDescent="0.2">
      <c r="A464" s="2" t="s">
        <v>601</v>
      </c>
      <c r="E464" s="69">
        <f>'Func &amp; Classif'!O65</f>
        <v>60213799.656527176</v>
      </c>
      <c r="AG464" s="69">
        <f>E464</f>
        <v>60213799.656527176</v>
      </c>
      <c r="AH464" s="14" t="str">
        <f t="shared" si="182"/>
        <v>ok</v>
      </c>
    </row>
    <row r="465" spans="1:34" x14ac:dyDescent="0.2">
      <c r="A465" s="2" t="s">
        <v>592</v>
      </c>
      <c r="E465" s="45"/>
      <c r="M465" s="32">
        <v>0</v>
      </c>
      <c r="N465" s="32">
        <v>0</v>
      </c>
      <c r="P465" s="32"/>
      <c r="Q465" s="32">
        <f>(1/70)*'Func &amp; Classif'!F64</f>
        <v>0</v>
      </c>
      <c r="AA465" s="45">
        <v>0</v>
      </c>
      <c r="AB465" s="45">
        <v>0</v>
      </c>
      <c r="AC465" s="45">
        <v>0</v>
      </c>
      <c r="AD465" s="45">
        <v>0</v>
      </c>
      <c r="AE465" s="45">
        <v>0</v>
      </c>
      <c r="AG465" s="69">
        <f>SUM(F465:AF465)</f>
        <v>0</v>
      </c>
      <c r="AH465" s="14" t="str">
        <f t="shared" si="182"/>
        <v>ok</v>
      </c>
    </row>
    <row r="466" spans="1:34" x14ac:dyDescent="0.2">
      <c r="A466" s="2" t="s">
        <v>602</v>
      </c>
      <c r="D466" s="2" t="s">
        <v>625</v>
      </c>
      <c r="E466" s="69">
        <f>E464-E465</f>
        <v>60213799.656527176</v>
      </c>
      <c r="F466" s="80">
        <f>IF(VLOOKUP($D466,$C$5:$AT$528,3,)=0,0,(VLOOKUP($D466,$C$5:$AT$528,4,)/VLOOKUP($D466,$C$5:$AT$528,3,))*$E466)</f>
        <v>48327936.255881071</v>
      </c>
      <c r="G466" s="45">
        <f>IF(VLOOKUP($D466,$C$5:$AT$528,3,)=0,0,(VLOOKUP($D466,$C$5:$AT$528,5,)/VLOOKUP($D466,$C$5:$AT$528,3,))*$E466)</f>
        <v>0</v>
      </c>
      <c r="H466" s="45">
        <f>IF(VLOOKUP($D466,$C$5:$AT$528,3,)=0,0,(VLOOKUP($D466,$C$5:$AT$528,6,)/VLOOKUP($D466,$C$5:$AT$528,3,))*$E466)</f>
        <v>1741.1735663740465</v>
      </c>
      <c r="I466" s="45">
        <f>IF(VLOOKUP($D466,$C$5:$AT$528,3,)=0,0,(VLOOKUP($D466,$C$5:$AT$528,7,)/VLOOKUP($D466,$C$5:$AT$528,3,))*$E466)</f>
        <v>4188716.0149295824</v>
      </c>
      <c r="J466" s="45">
        <f>IF(VLOOKUP($D466,$C$5:$AT$528,3,)=0,0,(VLOOKUP($D466,$C$5:$AT$528,8,)/VLOOKUP($D466,$C$5:$AT$528,3,))*$E466)</f>
        <v>3607169.4270971385</v>
      </c>
      <c r="K466" s="45">
        <f>IF(VLOOKUP($D466,$C$5:$AT$528,3,)=0,0,(VLOOKUP($D466,$C$5:$AT$528,9,)/VLOOKUP($D466,$C$5:$AT$528,3,))*$E466)</f>
        <v>41427.620059053661</v>
      </c>
      <c r="L466" s="45">
        <f>IF(VLOOKUP($D466,$C$5:$AT$528,3,)=0,0,(VLOOKUP($D466,$C$5:$AT$528,10,)/VLOOKUP($D466,$C$5:$AT$528,3,))*$E466)</f>
        <v>0</v>
      </c>
      <c r="M466" s="45">
        <f>IF(VLOOKUP($D466,$C$5:$AT$528,3,)=0,0,(VLOOKUP($D466,$C$5:$AT$528,11,)/VLOOKUP($D466,$C$5:$AT$528,3,))*$E466)</f>
        <v>1222594.2727827022</v>
      </c>
      <c r="N466" s="45">
        <f>IF(VLOOKUP($D466,$C$5:$AT$528,3,)=0,0,(VLOOKUP($D466,$C$5:$AT$528,12,)/VLOOKUP($D466,$C$5:$AT$528,3,))*$E466)</f>
        <v>1329197.4991397543</v>
      </c>
      <c r="O466" s="45">
        <f>IF(VLOOKUP($D466,$C$5:$AT$528,3,)=0,0,(VLOOKUP($D466,$C$5:$AT$528,13,)/VLOOKUP($D466,$C$5:$AT$528,3,))*$E466)</f>
        <v>331221.83240963175</v>
      </c>
      <c r="P466" s="45">
        <f>IF(VLOOKUP($D466,$C$5:$AT$528,3,)=0,0,(VLOOKUP($D466,$C$5:$AT$528,14,)/VLOOKUP($D466,$C$5:$AT$528,3,))*$E466)</f>
        <v>97268.607370966536</v>
      </c>
      <c r="Q466" s="45">
        <f>IF(VLOOKUP($D466,$C$5:$AT$528,3,)=0,0,(VLOOKUP($D466,$C$5:$AT$528,15,)/VLOOKUP($D466,$C$5:$AT$528,3,))*$E466)</f>
        <v>229641.49280506233</v>
      </c>
      <c r="R466" s="45">
        <f>IF(VLOOKUP($D466,$C$5:$AT$528,3,)=0,0,(VLOOKUP($D466,$C$5:$AT$528,16,)/VLOOKUP($D466,$C$5:$AT$528,3,))*$E466)</f>
        <v>775854.99982029886</v>
      </c>
      <c r="S466" s="45">
        <f>IF(VLOOKUP($D466,$C$5:$AT$528,3,)=0,0,(VLOOKUP($D466,$C$5:$AT$528,17,)/VLOOKUP($D466,$C$5:$AT$528,3,))*$E466)</f>
        <v>0</v>
      </c>
      <c r="T466" s="45">
        <f>IF(VLOOKUP($D466,$C$5:$AT$528,3,)=0,0,(VLOOKUP($D466,$C$5:$AT$528,18,)/VLOOKUP($D466,$C$5:$AT$528,3,))*$E466)</f>
        <v>37289.018959837289</v>
      </c>
      <c r="U466" s="45">
        <f>IF(VLOOKUP($D466,$C$5:$AT$528,3,)=0,0,(VLOOKUP($D466,$C$5:$AT$528,19,)/VLOOKUP($D466,$C$5:$AT$528,3,))*$E466)</f>
        <v>23741.441705704347</v>
      </c>
      <c r="V466" s="45">
        <f>IF(VLOOKUP($D466,$C$5:$AT$528,3,)=0,0,(VLOOKUP($D466,$C$5:$AT$528,20,)/VLOOKUP($D466,$C$5:$AT$528,3,))*$E466)</f>
        <v>0</v>
      </c>
      <c r="W466" s="45">
        <f>IF(VLOOKUP($D466,$C$5:$AT$528,3,)=0,0,(VLOOKUP($D466,$C$5:$AT$528,21,)/VLOOKUP($D466,$C$5:$AT$528,3,))*$E466)</f>
        <v>0</v>
      </c>
      <c r="X466" s="45">
        <f>IF(VLOOKUP($D466,$C$5:$AT$528,3,)=0,0,(VLOOKUP($D466,$C$5:$AT$528,22,)/VLOOKUP($D466,$C$5:$AT$528,3,))*$E466)</f>
        <v>0</v>
      </c>
      <c r="Y466" s="45">
        <f>IF(VLOOKUP($D466,$C$5:$AT$528,3,)=0,0,(VLOOKUP($D466,$C$5:$AT$528,23,)/VLOOKUP($D466,$C$5:$AT$528,3,))*$E466)</f>
        <v>0</v>
      </c>
      <c r="Z466" s="45">
        <f>IF(VLOOKUP($D466,$C$5:$AT$528,3,)=0,0,(VLOOKUP($D466,$C$5:$AT$528,24,)/VLOOKUP($D466,$C$5:$AT$528,3,))*$E466)</f>
        <v>0</v>
      </c>
      <c r="AA466" s="45">
        <f>IF(VLOOKUP($D466,$C$5:$AT$528,3,)=0,0,(VLOOKUP($D466,$C$5:$AT$528,25,)/VLOOKUP($D466,$C$5:$AT$528,3,))*$E466)</f>
        <v>0</v>
      </c>
      <c r="AB466" s="45">
        <f>IF(VLOOKUP($D466,$C$5:$AT$528,3,)=0,0,(VLOOKUP($D466,$C$5:$AT$528,26,)/VLOOKUP($D466,$C$5:$AT$528,3,))*$E466)</f>
        <v>0</v>
      </c>
      <c r="AC466" s="45">
        <f>IF(VLOOKUP($D466,$C$5:$AT$528,3,)=0,0,(VLOOKUP($D466,$C$5:$AT$528,27,)/VLOOKUP($D466,$C$5:$AT$528,3,))*$E466)</f>
        <v>0</v>
      </c>
      <c r="AD466" s="45">
        <f>IF(VLOOKUP($D466,$C$5:$AT$528,3,)=0,0,(VLOOKUP($D466,$C$5:$AT$528,28,)/VLOOKUP($D466,$C$5:$AT$528,3,))*$E466)</f>
        <v>0</v>
      </c>
      <c r="AE466" s="45">
        <f>IF(VLOOKUP($D466,$C$5:$AT$528,3,)=0,0,(VLOOKUP($D466,$C$5:$AT$528,29,)/VLOOKUP($D466,$C$5:$AT$528,3,))*$E466)</f>
        <v>0</v>
      </c>
      <c r="AF466" s="45">
        <f>IF(VLOOKUP($D466,$C$5:$AT$528,3,)=0,0,(VLOOKUP($D466,$C$5:$AT$528,30,)/VLOOKUP($D466,$C$5:$AT$528,3,))*$E466)</f>
        <v>0</v>
      </c>
      <c r="AG466" s="69">
        <f>SUM(F466:AF466)</f>
        <v>60213799.656527184</v>
      </c>
      <c r="AH466" s="14" t="str">
        <f t="shared" si="182"/>
        <v>ok</v>
      </c>
    </row>
    <row r="467" spans="1:34" x14ac:dyDescent="0.2">
      <c r="A467" s="2" t="s">
        <v>603</v>
      </c>
      <c r="C467" s="2" t="s">
        <v>606</v>
      </c>
      <c r="E467" s="69">
        <f t="shared" ref="E467:AF467" si="183">E465+E466</f>
        <v>60213799.656527176</v>
      </c>
      <c r="F467" s="168">
        <f t="shared" si="183"/>
        <v>48327936.255881071</v>
      </c>
      <c r="G467" s="69">
        <f t="shared" si="183"/>
        <v>0</v>
      </c>
      <c r="H467" s="69">
        <f t="shared" si="183"/>
        <v>1741.1735663740465</v>
      </c>
      <c r="I467" s="69">
        <f t="shared" si="183"/>
        <v>4188716.0149295824</v>
      </c>
      <c r="J467" s="69">
        <f t="shared" si="183"/>
        <v>3607169.4270971385</v>
      </c>
      <c r="K467" s="69">
        <f t="shared" si="183"/>
        <v>41427.620059053661</v>
      </c>
      <c r="L467" s="69">
        <f t="shared" si="183"/>
        <v>0</v>
      </c>
      <c r="M467" s="69">
        <f t="shared" si="183"/>
        <v>1222594.2727827022</v>
      </c>
      <c r="N467" s="69">
        <f t="shared" si="183"/>
        <v>1329197.4991397543</v>
      </c>
      <c r="O467" s="69">
        <f t="shared" si="183"/>
        <v>331221.83240963175</v>
      </c>
      <c r="P467" s="69">
        <f>P465+P466</f>
        <v>97268.607370966536</v>
      </c>
      <c r="Q467" s="69">
        <f t="shared" si="183"/>
        <v>229641.49280506233</v>
      </c>
      <c r="R467" s="69">
        <f t="shared" si="183"/>
        <v>775854.99982029886</v>
      </c>
      <c r="S467" s="69">
        <f t="shared" si="183"/>
        <v>0</v>
      </c>
      <c r="T467" s="69">
        <f t="shared" si="183"/>
        <v>37289.018959837289</v>
      </c>
      <c r="U467" s="69">
        <f t="shared" si="183"/>
        <v>23741.441705704347</v>
      </c>
      <c r="V467" s="69">
        <f t="shared" si="183"/>
        <v>0</v>
      </c>
      <c r="W467" s="69">
        <f t="shared" si="183"/>
        <v>0</v>
      </c>
      <c r="X467" s="69">
        <f t="shared" si="183"/>
        <v>0</v>
      </c>
      <c r="Y467" s="69">
        <f t="shared" si="183"/>
        <v>0</v>
      </c>
      <c r="Z467" s="69">
        <f t="shared" si="183"/>
        <v>0</v>
      </c>
      <c r="AA467" s="69">
        <f t="shared" si="183"/>
        <v>0</v>
      </c>
      <c r="AB467" s="69">
        <f t="shared" si="183"/>
        <v>0</v>
      </c>
      <c r="AC467" s="69">
        <f t="shared" si="183"/>
        <v>0</v>
      </c>
      <c r="AD467" s="69">
        <f t="shared" si="183"/>
        <v>0</v>
      </c>
      <c r="AE467" s="69">
        <f t="shared" si="183"/>
        <v>0</v>
      </c>
      <c r="AF467" s="69">
        <f t="shared" si="183"/>
        <v>0</v>
      </c>
      <c r="AG467" s="69">
        <f>SUM(F467:AF467)</f>
        <v>60213799.656527184</v>
      </c>
      <c r="AH467" s="14" t="str">
        <f t="shared" si="182"/>
        <v>ok</v>
      </c>
    </row>
    <row r="468" spans="1:34" x14ac:dyDescent="0.2">
      <c r="A468" s="2" t="s">
        <v>633</v>
      </c>
      <c r="C468" s="2" t="s">
        <v>605</v>
      </c>
      <c r="D468" s="2" t="s">
        <v>606</v>
      </c>
      <c r="E468" s="31">
        <v>1</v>
      </c>
      <c r="F468" s="77">
        <f>IF(VLOOKUP($D468,$C$5:$AT$528,3,)=0,0,(VLOOKUP($D468,$C$5:$AT$528,4,)/VLOOKUP($D468,$C$5:$AT$528,3,))*$E468)</f>
        <v>0.80260565736682121</v>
      </c>
      <c r="G468" s="77">
        <f>IF(VLOOKUP($D468,$C$5:$AT$528,3,)=0,0,(VLOOKUP($D468,$C$5:$AT$528,5,)/VLOOKUP($D468,$C$5:$AT$528,3,))*$E468)</f>
        <v>0</v>
      </c>
      <c r="H468" s="77">
        <f>IF(VLOOKUP($D468,$C$5:$AT$528,3,)=0,0,(VLOOKUP($D468,$C$5:$AT$528,6,)/VLOOKUP($D468,$C$5:$AT$528,3,))*$E468)</f>
        <v>2.8916520404061616E-5</v>
      </c>
      <c r="I468" s="77">
        <f>IF(VLOOKUP($D468,$C$5:$AT$528,3,)=0,0,(VLOOKUP($D468,$C$5:$AT$528,7,)/VLOOKUP($D468,$C$5:$AT$528,3,))*$E468)</f>
        <v>6.9564054067721093E-2</v>
      </c>
      <c r="J468" s="77">
        <f>IF(VLOOKUP($D468,$C$5:$AT$528,3,)=0,0,(VLOOKUP($D468,$C$5:$AT$528,8,)/VLOOKUP($D468,$C$5:$AT$528,3,))*$E468)</f>
        <v>5.9906025656464634E-2</v>
      </c>
      <c r="K468" s="77">
        <f>IF(VLOOKUP($D468,$C$5:$AT$528,3,)=0,0,(VLOOKUP($D468,$C$5:$AT$528,9,)/VLOOKUP($D468,$C$5:$AT$528,3,))*$E468)</f>
        <v>6.8800873380132064E-4</v>
      </c>
      <c r="L468" s="77">
        <f>IF(VLOOKUP($D468,$C$5:$AT$528,3,)=0,0,(VLOOKUP($D468,$C$5:$AT$528,10,)/VLOOKUP($D468,$C$5:$AT$528,3,))*$E468)</f>
        <v>0</v>
      </c>
      <c r="M468" s="77">
        <f>IF(VLOOKUP($D468,$C$5:$AT$528,3,)=0,0,(VLOOKUP($D468,$C$5:$AT$528,11,)/VLOOKUP($D468,$C$5:$AT$528,3,))*$E468)</f>
        <v>2.0304220623123773E-2</v>
      </c>
      <c r="N468" s="77">
        <f>IF(VLOOKUP($D468,$C$5:$AT$528,3,)=0,0,(VLOOKUP($D468,$C$5:$AT$528,12,)/VLOOKUP($D468,$C$5:$AT$528,3,))*$E468)</f>
        <v>2.2074632504870823E-2</v>
      </c>
      <c r="O468" s="77">
        <f>IF(VLOOKUP($D468,$C$5:$AT$528,3,)=0,0,(VLOOKUP($D468,$C$5:$AT$528,13,)/VLOOKUP($D468,$C$5:$AT$528,3,))*$E468)</f>
        <v>5.5007628533491372E-3</v>
      </c>
      <c r="P468" s="77">
        <f>IF(VLOOKUP($D468,$C$5:$AT$528,3,)=0,0,(VLOOKUP($D468,$C$5:$AT$528,14,)/VLOOKUP($D468,$C$5:$AT$528,3,))*$E468)</f>
        <v>1.6153873020106383E-3</v>
      </c>
      <c r="Q468" s="77">
        <f>IF(VLOOKUP($D468,$C$5:$AT$528,3,)=0,0,(VLOOKUP($D468,$C$5:$AT$528,15,)/VLOOKUP($D468,$C$5:$AT$528,3,))*$E468)</f>
        <v>3.8137685068038918E-3</v>
      </c>
      <c r="R468" s="77">
        <f>IF(VLOOKUP($D468,$C$5:$AT$528,3,)=0,0,(VLOOKUP($D468,$C$5:$AT$528,16,)/VLOOKUP($D468,$C$5:$AT$528,3,))*$E468)</f>
        <v>1.2885003176114899E-2</v>
      </c>
      <c r="S468" s="77">
        <f>IF(VLOOKUP($D468,$C$5:$AT$528,3,)=0,0,(VLOOKUP($D468,$C$5:$AT$528,17,)/VLOOKUP($D468,$C$5:$AT$528,3,))*$E468)</f>
        <v>0</v>
      </c>
      <c r="T468" s="77">
        <f>IF(VLOOKUP($D468,$C$5:$AT$528,3,)=0,0,(VLOOKUP($D468,$C$5:$AT$528,18,)/VLOOKUP($D468,$C$5:$AT$528,3,))*$E468)</f>
        <v>6.192769626321889E-4</v>
      </c>
      <c r="U468" s="77">
        <f>IF(VLOOKUP($D468,$C$5:$AT$528,3,)=0,0,(VLOOKUP($D468,$C$5:$AT$528,19,)/VLOOKUP($D468,$C$5:$AT$528,3,))*$E468)</f>
        <v>3.9428572588228578E-4</v>
      </c>
      <c r="V468" s="77">
        <f>IF(VLOOKUP($D468,$C$5:$AT$528,3,)=0,0,(VLOOKUP($D468,$C$5:$AT$528,20,)/VLOOKUP($D468,$C$5:$AT$528,3,))*$E468)</f>
        <v>0</v>
      </c>
      <c r="W468" s="77">
        <f>IF(VLOOKUP($D468,$C$5:$AT$528,3,)=0,0,(VLOOKUP($D468,$C$5:$AT$528,21,)/VLOOKUP($D468,$C$5:$AT$528,3,))*$E468)</f>
        <v>0</v>
      </c>
      <c r="X468" s="77">
        <f>IF(VLOOKUP($D468,$C$5:$AT$528,3,)=0,0,(VLOOKUP($D468,$C$5:$AT$528,22,)/VLOOKUP($D468,$C$5:$AT$528,3,))*$E468)</f>
        <v>0</v>
      </c>
      <c r="Y468" s="77">
        <f>IF(VLOOKUP($D468,$C$5:$AT$528,3,)=0,0,(VLOOKUP($D468,$C$5:$AT$528,23,)/VLOOKUP($D468,$C$5:$AT$528,3,))*$E468)</f>
        <v>0</v>
      </c>
      <c r="Z468" s="77">
        <f>IF(VLOOKUP($D468,$C$5:$AT$528,3,)=0,0,(VLOOKUP($D468,$C$5:$AT$528,24,)/VLOOKUP($D468,$C$5:$AT$528,3,))*$E468)</f>
        <v>0</v>
      </c>
      <c r="AA468" s="77">
        <f>IF(VLOOKUP($D468,$C$5:$AT$528,3,)=0,0,(VLOOKUP($D468,$C$5:$AT$528,25,)/VLOOKUP($D468,$C$5:$AT$528,3,))*$E468)</f>
        <v>0</v>
      </c>
      <c r="AB468" s="77">
        <f>IF(VLOOKUP($D468,$C$5:$AT$528,3,)=0,0,(VLOOKUP($D468,$C$5:$AT$528,26,)/VLOOKUP($D468,$C$5:$AT$528,3,))*$E468)</f>
        <v>0</v>
      </c>
      <c r="AC468" s="77">
        <f>IF(VLOOKUP($D468,$C$5:$AT$528,3,)=0,0,(VLOOKUP($D468,$C$5:$AT$528,27,)/VLOOKUP($D468,$C$5:$AT$528,3,))*$E468)</f>
        <v>0</v>
      </c>
      <c r="AD468" s="77">
        <f>IF(VLOOKUP($D468,$C$5:$AT$528,3,)=0,0,(VLOOKUP($D468,$C$5:$AT$528,28,)/VLOOKUP($D468,$C$5:$AT$528,3,))*$E468)</f>
        <v>0</v>
      </c>
      <c r="AE468" s="77">
        <f>IF(VLOOKUP($D468,$C$5:$AT$528,3,)=0,0,(VLOOKUP($D468,$C$5:$AT$528,29,)/VLOOKUP($D468,$C$5:$AT$528,3,))*$E468)</f>
        <v>0</v>
      </c>
      <c r="AF468" s="77">
        <f>IF(VLOOKUP($D468,$C$5:$AT$528,3,)=0,0,(VLOOKUP($D468,$C$5:$AT$528,30,)/VLOOKUP($D468,$C$5:$AT$528,3,))*$E468)</f>
        <v>0</v>
      </c>
      <c r="AG468" s="77">
        <f>SUM(F468:AF468)</f>
        <v>0.99999999999999989</v>
      </c>
      <c r="AH468" s="14" t="str">
        <f t="shared" si="182"/>
        <v>ok</v>
      </c>
    </row>
    <row r="470" spans="1:34" x14ac:dyDescent="0.2">
      <c r="A470" s="2" t="s">
        <v>600</v>
      </c>
      <c r="C470" s="2" t="s">
        <v>625</v>
      </c>
      <c r="E470" s="32">
        <f>E463</f>
        <v>2950499.8547825725</v>
      </c>
      <c r="F470" s="30">
        <f>F463</f>
        <v>2368087.875508477</v>
      </c>
      <c r="G470" s="32">
        <f t="shared" ref="G470:Q470" si="184">G463</f>
        <v>0</v>
      </c>
      <c r="H470" s="32">
        <f t="shared" si="184"/>
        <v>85.318189253001094</v>
      </c>
      <c r="I470" s="32">
        <f t="shared" si="184"/>
        <v>205248.73142489811</v>
      </c>
      <c r="J470" s="32">
        <f t="shared" si="184"/>
        <v>176752.71999999997</v>
      </c>
      <c r="K470" s="32">
        <f t="shared" si="184"/>
        <v>2029.9696691699382</v>
      </c>
      <c r="L470" s="32">
        <f t="shared" si="184"/>
        <v>0</v>
      </c>
      <c r="M470" s="32">
        <f t="shared" si="184"/>
        <v>59907.600000000006</v>
      </c>
      <c r="N470" s="32">
        <f t="shared" si="184"/>
        <v>65131.200000000012</v>
      </c>
      <c r="O470" s="32">
        <f t="shared" si="184"/>
        <v>16229.999999999998</v>
      </c>
      <c r="P470" s="32">
        <f t="shared" si="184"/>
        <v>4766.2</v>
      </c>
      <c r="Q470" s="32">
        <f t="shared" si="184"/>
        <v>11252.52342549923</v>
      </c>
      <c r="R470" s="32">
        <f>R463</f>
        <v>38017.199999999997</v>
      </c>
      <c r="S470" s="32">
        <f>S463</f>
        <v>0</v>
      </c>
      <c r="T470" s="32">
        <f>T463</f>
        <v>1827.176588316466</v>
      </c>
      <c r="U470" s="32">
        <f t="shared" ref="U470:AF470" si="185">U463</f>
        <v>1163.3399769585253</v>
      </c>
      <c r="V470" s="32">
        <f t="shared" si="185"/>
        <v>0</v>
      </c>
      <c r="W470" s="32">
        <f t="shared" si="185"/>
        <v>0</v>
      </c>
      <c r="X470" s="32">
        <f t="shared" si="185"/>
        <v>0</v>
      </c>
      <c r="Y470" s="32">
        <f t="shared" si="185"/>
        <v>0</v>
      </c>
      <c r="Z470" s="32">
        <f t="shared" si="185"/>
        <v>0</v>
      </c>
      <c r="AA470" s="32">
        <f t="shared" si="185"/>
        <v>0</v>
      </c>
      <c r="AB470" s="32">
        <f t="shared" si="185"/>
        <v>0</v>
      </c>
      <c r="AC470" s="32">
        <f t="shared" si="185"/>
        <v>0</v>
      </c>
      <c r="AD470" s="32">
        <f t="shared" si="185"/>
        <v>0</v>
      </c>
      <c r="AE470" s="32">
        <f t="shared" si="185"/>
        <v>0</v>
      </c>
      <c r="AF470" s="32">
        <f t="shared" si="185"/>
        <v>0</v>
      </c>
      <c r="AG470" s="32">
        <f>SUM(F470:AF470)</f>
        <v>2950499.8547825725</v>
      </c>
      <c r="AH470" s="14" t="str">
        <f t="shared" ref="AH470:AH475" si="186">IF(ABS(E470-AG470)&lt;0.01,"ok","err")</f>
        <v>ok</v>
      </c>
    </row>
    <row r="471" spans="1:34" x14ac:dyDescent="0.2">
      <c r="A471" s="2" t="s">
        <v>601</v>
      </c>
      <c r="E471" s="69">
        <f>E464</f>
        <v>60213799.656527176</v>
      </c>
      <c r="AG471" s="69">
        <f>E471</f>
        <v>60213799.656527176</v>
      </c>
      <c r="AH471" s="14" t="str">
        <f t="shared" si="186"/>
        <v>ok</v>
      </c>
    </row>
    <row r="472" spans="1:34" x14ac:dyDescent="0.2">
      <c r="A472" s="2" t="s">
        <v>592</v>
      </c>
      <c r="E472" s="45"/>
      <c r="M472" s="32">
        <v>0</v>
      </c>
      <c r="N472" s="32">
        <v>0</v>
      </c>
      <c r="P472" s="32"/>
      <c r="Q472" s="85"/>
      <c r="R472" s="2">
        <v>0</v>
      </c>
      <c r="S472" s="2">
        <v>0</v>
      </c>
      <c r="AA472" s="45">
        <v>0</v>
      </c>
      <c r="AB472" s="45">
        <v>0</v>
      </c>
      <c r="AC472" s="45">
        <v>0</v>
      </c>
      <c r="AD472" s="69">
        <f>AD465</f>
        <v>0</v>
      </c>
      <c r="AE472" s="45">
        <v>0</v>
      </c>
      <c r="AG472" s="69">
        <f>SUM(F472:AF472)</f>
        <v>0</v>
      </c>
      <c r="AH472" s="14" t="str">
        <f t="shared" si="186"/>
        <v>ok</v>
      </c>
    </row>
    <row r="473" spans="1:34" x14ac:dyDescent="0.2">
      <c r="A473" s="2" t="s">
        <v>602</v>
      </c>
      <c r="D473" s="2" t="s">
        <v>625</v>
      </c>
      <c r="E473" s="69">
        <f>E471-E472</f>
        <v>60213799.656527176</v>
      </c>
      <c r="F473" s="80">
        <f>IF(VLOOKUP($D473,$C$5:$AT$528,3,)=0,0,(VLOOKUP($D473,$C$5:$AT$528,4,)/VLOOKUP($D473,$C$5:$AT$528,3,))*$E473)</f>
        <v>48327936.255881071</v>
      </c>
      <c r="G473" s="45">
        <f>IF(VLOOKUP($D473,$C$5:$AT$528,3,)=0,0,(VLOOKUP($D473,$C$5:$AT$528,5,)/VLOOKUP($D473,$C$5:$AT$528,3,))*$E473)</f>
        <v>0</v>
      </c>
      <c r="H473" s="45">
        <f>IF(VLOOKUP($D473,$C$5:$AT$528,3,)=0,0,(VLOOKUP($D473,$C$5:$AT$528,6,)/VLOOKUP($D473,$C$5:$AT$528,3,))*$E473)</f>
        <v>1741.1735663740465</v>
      </c>
      <c r="I473" s="45">
        <f>IF(VLOOKUP($D473,$C$5:$AT$528,3,)=0,0,(VLOOKUP($D473,$C$5:$AT$528,7,)/VLOOKUP($D473,$C$5:$AT$528,3,))*$E473)</f>
        <v>4188716.0149295824</v>
      </c>
      <c r="J473" s="45">
        <f>IF(VLOOKUP($D473,$C$5:$AT$528,3,)=0,0,(VLOOKUP($D473,$C$5:$AT$528,8,)/VLOOKUP($D473,$C$5:$AT$528,3,))*$E473)</f>
        <v>3607169.4270971385</v>
      </c>
      <c r="K473" s="45">
        <f>IF(VLOOKUP($D473,$C$5:$AT$528,3,)=0,0,(VLOOKUP($D473,$C$5:$AT$528,9,)/VLOOKUP($D473,$C$5:$AT$528,3,))*$E473)</f>
        <v>41427.620059053661</v>
      </c>
      <c r="L473" s="45">
        <f>IF(VLOOKUP($D473,$C$5:$AT$528,3,)=0,0,(VLOOKUP($D473,$C$5:$AT$528,10,)/VLOOKUP($D473,$C$5:$AT$528,3,))*$E473)</f>
        <v>0</v>
      </c>
      <c r="M473" s="45">
        <f>IF(VLOOKUP($D473,$C$5:$AT$528,3,)=0,0,(VLOOKUP($D473,$C$5:$AT$528,11,)/VLOOKUP($D473,$C$5:$AT$528,3,))*$E473)</f>
        <v>1222594.2727827022</v>
      </c>
      <c r="N473" s="45">
        <f>IF(VLOOKUP($D473,$C$5:$AT$528,3,)=0,0,(VLOOKUP($D473,$C$5:$AT$528,12,)/VLOOKUP($D473,$C$5:$AT$528,3,))*$E473)</f>
        <v>1329197.4991397543</v>
      </c>
      <c r="O473" s="45">
        <f>IF(VLOOKUP($D473,$C$5:$AT$528,3,)=0,0,(VLOOKUP($D473,$C$5:$AT$528,13,)/VLOOKUP($D473,$C$5:$AT$528,3,))*$E473)</f>
        <v>331221.83240963175</v>
      </c>
      <c r="P473" s="45">
        <f>IF(VLOOKUP($D473,$C$5:$AT$528,3,)=0,0,(VLOOKUP($D473,$C$5:$AT$528,14,)/VLOOKUP($D473,$C$5:$AT$528,3,))*$E473)</f>
        <v>97268.607370966536</v>
      </c>
      <c r="Q473" s="45">
        <f>IF(VLOOKUP($D473,$C$5:$AT$528,3,)=0,0,(VLOOKUP($D473,$C$5:$AT$528,15,)/VLOOKUP($D473,$C$5:$AT$528,3,))*$E473)</f>
        <v>229641.49280506233</v>
      </c>
      <c r="R473" s="45">
        <f>IF(VLOOKUP($D473,$C$5:$AT$528,3,)=0,0,(VLOOKUP($D473,$C$5:$AT$528,16,)/VLOOKUP($D473,$C$5:$AT$528,3,))*$E473)</f>
        <v>775854.99982029886</v>
      </c>
      <c r="S473" s="45">
        <f>IF(VLOOKUP($D473,$C$5:$AT$528,3,)=0,0,(VLOOKUP($D473,$C$5:$AT$528,17,)/VLOOKUP($D473,$C$5:$AT$528,3,))*$E473)</f>
        <v>0</v>
      </c>
      <c r="T473" s="45">
        <f>IF(VLOOKUP($D473,$C$5:$AT$528,3,)=0,0,(VLOOKUP($D473,$C$5:$AT$528,18,)/VLOOKUP($D473,$C$5:$AT$528,3,))*$E473)</f>
        <v>37289.018959837289</v>
      </c>
      <c r="U473" s="45">
        <f>IF(VLOOKUP($D473,$C$5:$AT$528,3,)=0,0,(VLOOKUP($D473,$C$5:$AT$528,19,)/VLOOKUP($D473,$C$5:$AT$528,3,))*$E473)</f>
        <v>23741.441705704347</v>
      </c>
      <c r="V473" s="45">
        <f>IF(VLOOKUP($D473,$C$5:$AT$528,3,)=0,0,(VLOOKUP($D473,$C$5:$AT$528,20,)/VLOOKUP($D473,$C$5:$AT$528,3,))*$E473)</f>
        <v>0</v>
      </c>
      <c r="W473" s="45">
        <f>IF(VLOOKUP($D473,$C$5:$AT$528,3,)=0,0,(VLOOKUP($D473,$C$5:$AT$528,21,)/VLOOKUP($D473,$C$5:$AT$528,3,))*$E473)</f>
        <v>0</v>
      </c>
      <c r="X473" s="45">
        <f>IF(VLOOKUP($D473,$C$5:$AT$528,3,)=0,0,(VLOOKUP($D473,$C$5:$AT$528,22,)/VLOOKUP($D473,$C$5:$AT$528,3,))*$E473)</f>
        <v>0</v>
      </c>
      <c r="Y473" s="45">
        <f>IF(VLOOKUP($D473,$C$5:$AT$528,3,)=0,0,(VLOOKUP($D473,$C$5:$AT$528,23,)/VLOOKUP($D473,$C$5:$AT$528,3,))*$E473)</f>
        <v>0</v>
      </c>
      <c r="Z473" s="45">
        <f>IF(VLOOKUP($D473,$C$5:$AT$528,3,)=0,0,(VLOOKUP($D473,$C$5:$AT$528,24,)/VLOOKUP($D473,$C$5:$AT$528,3,))*$E473)</f>
        <v>0</v>
      </c>
      <c r="AA473" s="45">
        <f>IF(VLOOKUP($D473,$C$5:$AT$528,3,)=0,0,(VLOOKUP($D473,$C$5:$AT$528,25,)/VLOOKUP($D473,$C$5:$AT$528,3,))*$E473)</f>
        <v>0</v>
      </c>
      <c r="AB473" s="45">
        <f>IF(VLOOKUP($D473,$C$5:$AT$528,3,)=0,0,(VLOOKUP($D473,$C$5:$AT$528,26,)/VLOOKUP($D473,$C$5:$AT$528,3,))*$E473)</f>
        <v>0</v>
      </c>
      <c r="AC473" s="45">
        <f>IF(VLOOKUP($D473,$C$5:$AT$528,3,)=0,0,(VLOOKUP($D473,$C$5:$AT$528,27,)/VLOOKUP($D473,$C$5:$AT$528,3,))*$E473)</f>
        <v>0</v>
      </c>
      <c r="AD473" s="45">
        <f>IF(VLOOKUP($D473,$C$5:$AT$528,3,)=0,0,(VLOOKUP($D473,$C$5:$AT$528,28,)/VLOOKUP($D473,$C$5:$AT$528,3,))*$E473)</f>
        <v>0</v>
      </c>
      <c r="AE473" s="45">
        <f>IF(VLOOKUP($D473,$C$5:$AT$528,3,)=0,0,(VLOOKUP($D473,$C$5:$AT$528,29,)/VLOOKUP($D473,$C$5:$AT$528,3,))*$E473)</f>
        <v>0</v>
      </c>
      <c r="AF473" s="45">
        <f>IF(VLOOKUP($D473,$C$5:$AT$528,3,)=0,0,(VLOOKUP($D473,$C$5:$AT$528,30,)/VLOOKUP($D473,$C$5:$AT$528,3,))*$E473)</f>
        <v>0</v>
      </c>
      <c r="AG473" s="69">
        <f>SUM(F473:AF473)</f>
        <v>60213799.656527184</v>
      </c>
      <c r="AH473" s="14" t="str">
        <f t="shared" si="186"/>
        <v>ok</v>
      </c>
    </row>
    <row r="474" spans="1:34" x14ac:dyDescent="0.2">
      <c r="A474" s="2" t="s">
        <v>603</v>
      </c>
      <c r="C474" s="2" t="s">
        <v>626</v>
      </c>
      <c r="E474" s="69">
        <f t="shared" ref="E474:AF474" si="187">E472+E473</f>
        <v>60213799.656527176</v>
      </c>
      <c r="F474" s="168">
        <f t="shared" si="187"/>
        <v>48327936.255881071</v>
      </c>
      <c r="G474" s="69">
        <f t="shared" si="187"/>
        <v>0</v>
      </c>
      <c r="H474" s="69">
        <f t="shared" si="187"/>
        <v>1741.1735663740465</v>
      </c>
      <c r="I474" s="69">
        <f t="shared" si="187"/>
        <v>4188716.0149295824</v>
      </c>
      <c r="J474" s="69">
        <f t="shared" si="187"/>
        <v>3607169.4270971385</v>
      </c>
      <c r="K474" s="69">
        <f t="shared" si="187"/>
        <v>41427.620059053661</v>
      </c>
      <c r="L474" s="69">
        <f t="shared" si="187"/>
        <v>0</v>
      </c>
      <c r="M474" s="69">
        <f t="shared" si="187"/>
        <v>1222594.2727827022</v>
      </c>
      <c r="N474" s="69">
        <f t="shared" si="187"/>
        <v>1329197.4991397543</v>
      </c>
      <c r="O474" s="69">
        <f t="shared" si="187"/>
        <v>331221.83240963175</v>
      </c>
      <c r="P474" s="69">
        <f t="shared" si="187"/>
        <v>97268.607370966536</v>
      </c>
      <c r="Q474" s="69">
        <f t="shared" si="187"/>
        <v>229641.49280506233</v>
      </c>
      <c r="R474" s="69">
        <f t="shared" si="187"/>
        <v>775854.99982029886</v>
      </c>
      <c r="S474" s="69">
        <f t="shared" si="187"/>
        <v>0</v>
      </c>
      <c r="T474" s="69">
        <f t="shared" si="187"/>
        <v>37289.018959837289</v>
      </c>
      <c r="U474" s="69">
        <f t="shared" si="187"/>
        <v>23741.441705704347</v>
      </c>
      <c r="V474" s="69">
        <f t="shared" si="187"/>
        <v>0</v>
      </c>
      <c r="W474" s="69">
        <f t="shared" si="187"/>
        <v>0</v>
      </c>
      <c r="X474" s="69">
        <f t="shared" si="187"/>
        <v>0</v>
      </c>
      <c r="Y474" s="69">
        <f t="shared" si="187"/>
        <v>0</v>
      </c>
      <c r="Z474" s="69">
        <f t="shared" si="187"/>
        <v>0</v>
      </c>
      <c r="AA474" s="69">
        <f t="shared" si="187"/>
        <v>0</v>
      </c>
      <c r="AB474" s="69">
        <f t="shared" si="187"/>
        <v>0</v>
      </c>
      <c r="AC474" s="69">
        <f t="shared" si="187"/>
        <v>0</v>
      </c>
      <c r="AD474" s="69">
        <f t="shared" si="187"/>
        <v>0</v>
      </c>
      <c r="AE474" s="69">
        <f t="shared" si="187"/>
        <v>0</v>
      </c>
      <c r="AF474" s="69">
        <f t="shared" si="187"/>
        <v>0</v>
      </c>
      <c r="AG474" s="69">
        <f>SUM(F474:AF474)</f>
        <v>60213799.656527184</v>
      </c>
      <c r="AH474" s="14" t="str">
        <f t="shared" si="186"/>
        <v>ok</v>
      </c>
    </row>
    <row r="475" spans="1:34" x14ac:dyDescent="0.2">
      <c r="A475" s="2" t="s">
        <v>632</v>
      </c>
      <c r="C475" s="2" t="s">
        <v>627</v>
      </c>
      <c r="D475" s="2" t="s">
        <v>626</v>
      </c>
      <c r="E475" s="31">
        <v>1</v>
      </c>
      <c r="F475" s="77">
        <f>IF(VLOOKUP($D475,$C$5:$AT$528,3,)=0,0,(VLOOKUP($D475,$C$5:$AT$528,4,)/VLOOKUP($D475,$C$5:$AT$528,3,))*$E475)</f>
        <v>0.80260565736682121</v>
      </c>
      <c r="G475" s="77">
        <f>IF(VLOOKUP($D475,$C$5:$AT$528,3,)=0,0,(VLOOKUP($D475,$C$5:$AT$528,5,)/VLOOKUP($D475,$C$5:$AT$528,3,))*$E475)</f>
        <v>0</v>
      </c>
      <c r="H475" s="77">
        <f>IF(VLOOKUP($D475,$C$5:$AT$528,3,)=0,0,(VLOOKUP($D475,$C$5:$AT$528,6,)/VLOOKUP($D475,$C$5:$AT$528,3,))*$E475)</f>
        <v>2.8916520404061616E-5</v>
      </c>
      <c r="I475" s="77">
        <f>IF(VLOOKUP($D475,$C$5:$AT$528,3,)=0,0,(VLOOKUP($D475,$C$5:$AT$528,7,)/VLOOKUP($D475,$C$5:$AT$528,3,))*$E475)</f>
        <v>6.9564054067721093E-2</v>
      </c>
      <c r="J475" s="77">
        <f>IF(VLOOKUP($D475,$C$5:$AT$528,3,)=0,0,(VLOOKUP($D475,$C$5:$AT$528,8,)/VLOOKUP($D475,$C$5:$AT$528,3,))*$E475)</f>
        <v>5.9906025656464634E-2</v>
      </c>
      <c r="K475" s="77">
        <f>IF(VLOOKUP($D475,$C$5:$AT$528,3,)=0,0,(VLOOKUP($D475,$C$5:$AT$528,9,)/VLOOKUP($D475,$C$5:$AT$528,3,))*$E475)</f>
        <v>6.8800873380132064E-4</v>
      </c>
      <c r="L475" s="77">
        <f>IF(VLOOKUP($D475,$C$5:$AT$528,3,)=0,0,(VLOOKUP($D475,$C$5:$AT$528,10,)/VLOOKUP($D475,$C$5:$AT$528,3,))*$E475)</f>
        <v>0</v>
      </c>
      <c r="M475" s="77">
        <f>IF(VLOOKUP($D475,$C$5:$AT$528,3,)=0,0,(VLOOKUP($D475,$C$5:$AT$528,11,)/VLOOKUP($D475,$C$5:$AT$528,3,))*$E475)</f>
        <v>2.0304220623123773E-2</v>
      </c>
      <c r="N475" s="77">
        <f>IF(VLOOKUP($D475,$C$5:$AT$528,3,)=0,0,(VLOOKUP($D475,$C$5:$AT$528,12,)/VLOOKUP($D475,$C$5:$AT$528,3,))*$E475)</f>
        <v>2.2074632504870823E-2</v>
      </c>
      <c r="O475" s="77">
        <f>IF(VLOOKUP($D475,$C$5:$AT$528,3,)=0,0,(VLOOKUP($D475,$C$5:$AT$528,13,)/VLOOKUP($D475,$C$5:$AT$528,3,))*$E475)</f>
        <v>5.5007628533491372E-3</v>
      </c>
      <c r="P475" s="77">
        <f>IF(VLOOKUP($D475,$C$5:$AT$528,3,)=0,0,(VLOOKUP($D475,$C$5:$AT$528,14,)/VLOOKUP($D475,$C$5:$AT$528,3,))*$E475)</f>
        <v>1.6153873020106383E-3</v>
      </c>
      <c r="Q475" s="77">
        <f>IF(VLOOKUP($D475,$C$5:$AT$528,3,)=0,0,(VLOOKUP($D475,$C$5:$AT$528,15,)/VLOOKUP($D475,$C$5:$AT$528,3,))*$E475)</f>
        <v>3.8137685068038918E-3</v>
      </c>
      <c r="R475" s="77">
        <f>IF(VLOOKUP($D475,$C$5:$AT$528,3,)=0,0,(VLOOKUP($D475,$C$5:$AT$528,16,)/VLOOKUP($D475,$C$5:$AT$528,3,))*$E475)</f>
        <v>1.2885003176114899E-2</v>
      </c>
      <c r="S475" s="77">
        <f>IF(VLOOKUP($D475,$C$5:$AT$528,3,)=0,0,(VLOOKUP($D475,$C$5:$AT$528,17,)/VLOOKUP($D475,$C$5:$AT$528,3,))*$E475)</f>
        <v>0</v>
      </c>
      <c r="T475" s="77">
        <f>IF(VLOOKUP($D475,$C$5:$AT$528,3,)=0,0,(VLOOKUP($D475,$C$5:$AT$528,18,)/VLOOKUP($D475,$C$5:$AT$528,3,))*$E475)</f>
        <v>6.192769626321889E-4</v>
      </c>
      <c r="U475" s="77">
        <f>IF(VLOOKUP($D475,$C$5:$AT$528,3,)=0,0,(VLOOKUP($D475,$C$5:$AT$528,19,)/VLOOKUP($D475,$C$5:$AT$528,3,))*$E475)</f>
        <v>3.9428572588228578E-4</v>
      </c>
      <c r="V475" s="77">
        <f>IF(VLOOKUP($D475,$C$5:$AT$528,3,)=0,0,(VLOOKUP($D475,$C$5:$AT$528,20,)/VLOOKUP($D475,$C$5:$AT$528,3,))*$E475)</f>
        <v>0</v>
      </c>
      <c r="W475" s="77">
        <f>IF(VLOOKUP($D475,$C$5:$AT$528,3,)=0,0,(VLOOKUP($D475,$C$5:$AT$528,21,)/VLOOKUP($D475,$C$5:$AT$528,3,))*$E475)</f>
        <v>0</v>
      </c>
      <c r="X475" s="77">
        <f>IF(VLOOKUP($D475,$C$5:$AT$528,3,)=0,0,(VLOOKUP($D475,$C$5:$AT$528,22,)/VLOOKUP($D475,$C$5:$AT$528,3,))*$E475)</f>
        <v>0</v>
      </c>
      <c r="Y475" s="77">
        <f>IF(VLOOKUP($D475,$C$5:$AT$528,3,)=0,0,(VLOOKUP($D475,$C$5:$AT$528,23,)/VLOOKUP($D475,$C$5:$AT$528,3,))*$E475)</f>
        <v>0</v>
      </c>
      <c r="Z475" s="77">
        <f>IF(VLOOKUP($D475,$C$5:$AT$528,3,)=0,0,(VLOOKUP($D475,$C$5:$AT$528,24,)/VLOOKUP($D475,$C$5:$AT$528,3,))*$E475)</f>
        <v>0</v>
      </c>
      <c r="AA475" s="77">
        <f>IF(VLOOKUP($D475,$C$5:$AT$528,3,)=0,0,(VLOOKUP($D475,$C$5:$AT$528,25,)/VLOOKUP($D475,$C$5:$AT$528,3,))*$E475)</f>
        <v>0</v>
      </c>
      <c r="AB475" s="77">
        <f>IF(VLOOKUP($D475,$C$5:$AT$528,3,)=0,0,(VLOOKUP($D475,$C$5:$AT$528,26,)/VLOOKUP($D475,$C$5:$AT$528,3,))*$E475)</f>
        <v>0</v>
      </c>
      <c r="AC475" s="77">
        <f>IF(VLOOKUP($D475,$C$5:$AT$528,3,)=0,0,(VLOOKUP($D475,$C$5:$AT$528,27,)/VLOOKUP($D475,$C$5:$AT$528,3,))*$E475)</f>
        <v>0</v>
      </c>
      <c r="AD475" s="77">
        <f>IF(VLOOKUP($D475,$C$5:$AT$528,3,)=0,0,(VLOOKUP($D475,$C$5:$AT$528,28,)/VLOOKUP($D475,$C$5:$AT$528,3,))*$E475)</f>
        <v>0</v>
      </c>
      <c r="AE475" s="77">
        <f>IF(VLOOKUP($D475,$C$5:$AT$528,3,)=0,0,(VLOOKUP($D475,$C$5:$AT$528,29,)/VLOOKUP($D475,$C$5:$AT$528,3,))*$E475)</f>
        <v>0</v>
      </c>
      <c r="AF475" s="77">
        <f>IF(VLOOKUP($D475,$C$5:$AT$528,3,)=0,0,(VLOOKUP($D475,$C$5:$AT$528,30,)/VLOOKUP($D475,$C$5:$AT$528,3,))*$E475)</f>
        <v>0</v>
      </c>
      <c r="AG475" s="77">
        <f>SUM(F475:AF475)</f>
        <v>0.99999999999999989</v>
      </c>
      <c r="AH475" s="14" t="str">
        <f t="shared" si="186"/>
        <v>ok</v>
      </c>
    </row>
    <row r="477" spans="1:34" x14ac:dyDescent="0.2">
      <c r="A477" s="2" t="s">
        <v>607</v>
      </c>
      <c r="C477" s="2" t="s">
        <v>611</v>
      </c>
      <c r="E477" s="32">
        <v>1122322.0933799776</v>
      </c>
      <c r="F477" s="32">
        <f t="shared" ref="F477:V477" si="188">F456</f>
        <v>817055.77131364611</v>
      </c>
      <c r="G477" s="32">
        <f t="shared" si="188"/>
        <v>0</v>
      </c>
      <c r="H477" s="32">
        <f t="shared" si="188"/>
        <v>15.357274065540194</v>
      </c>
      <c r="I477" s="32">
        <f t="shared" si="188"/>
        <v>73368.640830195596</v>
      </c>
      <c r="J477" s="32">
        <f t="shared" si="188"/>
        <v>116980.15308754152</v>
      </c>
      <c r="K477" s="32">
        <f t="shared" si="188"/>
        <v>0</v>
      </c>
      <c r="L477" s="32">
        <f t="shared" si="188"/>
        <v>0</v>
      </c>
      <c r="M477" s="32">
        <f t="shared" si="188"/>
        <v>34766.790614712278</v>
      </c>
      <c r="N477" s="32">
        <f t="shared" si="188"/>
        <v>41262.839999999997</v>
      </c>
      <c r="O477" s="32">
        <f t="shared" si="188"/>
        <v>10274.279999999999</v>
      </c>
      <c r="P477" s="32">
        <f t="shared" si="188"/>
        <v>1060.4635400665643</v>
      </c>
      <c r="Q477" s="32">
        <f t="shared" si="188"/>
        <v>3387.4683736157199</v>
      </c>
      <c r="R477" s="32">
        <f t="shared" si="188"/>
        <v>22810.319999999996</v>
      </c>
      <c r="S477" s="32">
        <f t="shared" si="188"/>
        <v>0</v>
      </c>
      <c r="T477" s="32">
        <f t="shared" si="188"/>
        <v>765.83460061443941</v>
      </c>
      <c r="U477" s="32">
        <f t="shared" si="188"/>
        <v>574.17374551971318</v>
      </c>
      <c r="V477" s="32">
        <f t="shared" si="188"/>
        <v>0</v>
      </c>
      <c r="W477" s="32">
        <f t="shared" ref="W477:AC477" si="189">W444</f>
        <v>0</v>
      </c>
      <c r="X477" s="32">
        <f t="shared" si="189"/>
        <v>0</v>
      </c>
      <c r="Y477" s="32">
        <f t="shared" si="189"/>
        <v>0</v>
      </c>
      <c r="Z477" s="32">
        <f t="shared" si="189"/>
        <v>0</v>
      </c>
      <c r="AA477" s="32">
        <f t="shared" si="189"/>
        <v>0</v>
      </c>
      <c r="AB477" s="32">
        <f t="shared" si="189"/>
        <v>0</v>
      </c>
      <c r="AC477" s="32">
        <f t="shared" si="189"/>
        <v>0</v>
      </c>
      <c r="AD477" s="32">
        <v>0</v>
      </c>
      <c r="AE477" s="32">
        <v>0</v>
      </c>
      <c r="AF477" s="32">
        <f>AF444</f>
        <v>0</v>
      </c>
      <c r="AG477" s="69">
        <f>SUM(F477:AF477)</f>
        <v>1122322.0933799776</v>
      </c>
      <c r="AH477" s="14" t="str">
        <f t="shared" ref="AH477:AH482" si="190">IF(ABS(E477-AG477)&lt;0.01,"ok","err")</f>
        <v>ok</v>
      </c>
    </row>
    <row r="478" spans="1:34" x14ac:dyDescent="0.2">
      <c r="A478" s="2" t="s">
        <v>608</v>
      </c>
      <c r="E478" s="69">
        <f>'Func &amp; Classif'!M65</f>
        <v>41355.769999999997</v>
      </c>
      <c r="AG478" s="69">
        <f>E478</f>
        <v>41355.769999999997</v>
      </c>
      <c r="AH478" s="14" t="str">
        <f t="shared" si="190"/>
        <v>ok</v>
      </c>
    </row>
    <row r="479" spans="1:34" x14ac:dyDescent="0.2">
      <c r="A479" s="2" t="s">
        <v>592</v>
      </c>
      <c r="E479" s="32"/>
      <c r="F479" s="32">
        <v>0</v>
      </c>
      <c r="G479" s="32">
        <v>0</v>
      </c>
      <c r="H479" s="32">
        <v>0</v>
      </c>
      <c r="I479" s="32">
        <v>0</v>
      </c>
      <c r="J479" s="32">
        <v>0</v>
      </c>
      <c r="K479" s="32">
        <v>0</v>
      </c>
      <c r="L479" s="32">
        <v>0</v>
      </c>
      <c r="M479" s="32">
        <v>0</v>
      </c>
      <c r="N479" s="32">
        <v>0</v>
      </c>
      <c r="O479" s="45"/>
      <c r="P479" s="32"/>
      <c r="Q479" s="2">
        <v>0</v>
      </c>
      <c r="R479" s="2">
        <v>0</v>
      </c>
      <c r="S479" s="2">
        <v>0</v>
      </c>
      <c r="AG479" s="69">
        <f>SUM(F479:AF479)</f>
        <v>0</v>
      </c>
      <c r="AH479" s="14" t="str">
        <f t="shared" si="190"/>
        <v>ok</v>
      </c>
    </row>
    <row r="480" spans="1:34" x14ac:dyDescent="0.2">
      <c r="A480" s="2" t="s">
        <v>609</v>
      </c>
      <c r="D480" s="2" t="s">
        <v>611</v>
      </c>
      <c r="E480" s="69">
        <f>E478-E479</f>
        <v>41355.769999999997</v>
      </c>
      <c r="F480" s="45">
        <f>IF(VLOOKUP($D480,$C$5:$AU$528,3,)=0,0,(VLOOKUP($D480,$C$5:$AU$528,4,)/VLOOKUP($D480,$C$5:$AU$528,3,))*$E480)</f>
        <v>30107.195389746001</v>
      </c>
      <c r="G480" s="45">
        <f>IF(VLOOKUP($D480,$C$5:$AU$528,3,)=0,0,(VLOOKUP($D480,$C$5:$AU$528,5,)/VLOOKUP($D480,$C$5:$AU$528,3,))*$E480)</f>
        <v>0</v>
      </c>
      <c r="H480" s="45">
        <f>IF(VLOOKUP($D480,$C$5:$AU$528,3,)=0,0,(VLOOKUP($D480,$C$5:$AU$528,6,)/VLOOKUP($D480,$C$5:$AU$528,3,))*$E480)</f>
        <v>0.56589093080110942</v>
      </c>
      <c r="I480" s="45">
        <f>IF(VLOOKUP($D480,$C$5:$AU$528,3,)=0,0,(VLOOKUP($D480,$C$5:$AU$528,7,)/VLOOKUP($D480,$C$5:$AU$528,3,))*$E480)</f>
        <v>2703.5168008217242</v>
      </c>
      <c r="J480" s="45">
        <f>IF(VLOOKUP($D480,$C$5:$AU$528,3,)=0,0,(VLOOKUP($D480,$C$5:$AU$528,8,)/VLOOKUP($D480,$C$5:$AU$528,3,))*$E480)</f>
        <v>4310.5311159683743</v>
      </c>
      <c r="K480" s="45">
        <f>IF(VLOOKUP($D480,$C$5:$AU$528,3,)=0,0,(VLOOKUP($D480,$C$5:$AU$528,9,)/VLOOKUP($D480,$C$5:$AU$528,3,))*$E480)</f>
        <v>0</v>
      </c>
      <c r="L480" s="45">
        <f>IF(VLOOKUP($D480,$C$5:$AU$528,3,)=0,0,(VLOOKUP($D480,$C$5:$AU$528,10,)/VLOOKUP($D480,$C$5:$AU$528,3,))*$E480)</f>
        <v>0</v>
      </c>
      <c r="M480" s="45">
        <f>IF(VLOOKUP($D480,$C$5:$AU$528,3,)=0,0,(VLOOKUP($D480,$C$5:$AU$528,11,)/VLOOKUP($D480,$C$5:$AU$528,3,))*$E480)</f>
        <v>1281.1005011672794</v>
      </c>
      <c r="N480" s="45">
        <f>IF(VLOOKUP($D480,$C$5:$AT$528,3,)=0,0,(VLOOKUP($D480,$C$5:$AT$528,12,)/VLOOKUP($D480,$C$5:$AT$528,3,))*$E480)</f>
        <v>1520.4695075079978</v>
      </c>
      <c r="O480" s="45">
        <f>IF(VLOOKUP($D480,$C$5:$AT$528,3,)=0,0,(VLOOKUP($D480,$C$5:$AT$528,13,)/VLOOKUP($D480,$C$5:$AT$528,3,))*$E480)</f>
        <v>378.59074779145772</v>
      </c>
      <c r="P480" s="45">
        <f>IF(VLOOKUP($D480,$C$5:$AT$528,3,)=0,0,(VLOOKUP($D480,$C$5:$AT$528,14,)/VLOOKUP($D480,$C$5:$AT$528,3,))*$E480)</f>
        <v>39.07638147289903</v>
      </c>
      <c r="Q480" s="45">
        <f>IF(VLOOKUP($D480,$C$5:$AT$528,3,)=0,0,(VLOOKUP($D480,$C$5:$AT$528,15,)/VLOOKUP($D480,$C$5:$AT$528,3,))*$E480)</f>
        <v>124.82277927865393</v>
      </c>
      <c r="R480" s="45">
        <f>IF(VLOOKUP($D480,$C$5:$AT$528,3,)=0,0,(VLOOKUP($D480,$C$5:$AT$528,16,)/VLOOKUP($D480,$C$5:$AT$528,3,))*$E480)</f>
        <v>840.52372586326658</v>
      </c>
      <c r="S480" s="45">
        <f>IF(VLOOKUP($D480,$C$5:$AT$528,3,)=0,0,(VLOOKUP($D480,$C$5:$AT$528,17,)/VLOOKUP($D480,$C$5:$AT$528,3,))*$E480)</f>
        <v>0</v>
      </c>
      <c r="T480" s="45">
        <f>IF(VLOOKUP($D480,$C$5:$AT$528,3,)=0,0,(VLOOKUP($D480,$C$5:$AT$528,18,)/VLOOKUP($D480,$C$5:$AT$528,3,))*$E480)</f>
        <v>28.219777359697513</v>
      </c>
      <c r="U480" s="45">
        <f>IF(VLOOKUP($D480,$C$5:$AT$528,3,)=0,0,(VLOOKUP($D480,$C$5:$AT$528,19,)/VLOOKUP($D480,$C$5:$AT$528,3,))*$E480)</f>
        <v>21.157382091838098</v>
      </c>
      <c r="V480" s="45">
        <f>IF(VLOOKUP($D480,$C$5:$AT$528,3,)=0,0,(VLOOKUP($D480,$C$5:$AT$528,20,)/VLOOKUP($D480,$C$5:$AT$528,3,))*$E480)</f>
        <v>0</v>
      </c>
      <c r="W480" s="45">
        <f>IF(VLOOKUP($D480,$C$5:$AT$528,3,)=0,0,(VLOOKUP($D480,$C$5:$AT$528,21,)/VLOOKUP($D480,$C$5:$AT$528,3,))*$E480)</f>
        <v>0</v>
      </c>
      <c r="X480" s="45">
        <f>IF(VLOOKUP($D480,$C$5:$AT$528,3,)=0,0,(VLOOKUP($D480,$C$5:$AT$528,22,)/VLOOKUP($D480,$C$5:$AT$528,3,))*$E480)</f>
        <v>0</v>
      </c>
      <c r="Y480" s="45">
        <f>IF(VLOOKUP($D480,$C$5:$AT$528,3,)=0,0,(VLOOKUP($D480,$C$5:$AT$528,23,)/VLOOKUP($D480,$C$5:$AT$528,3,))*$E480)</f>
        <v>0</v>
      </c>
      <c r="Z480" s="45">
        <f>IF(VLOOKUP($D480,$C$5:$AT$528,3,)=0,0,(VLOOKUP($D480,$C$5:$AT$528,24,)/VLOOKUP($D480,$C$5:$AT$528,3,))*$E480)</f>
        <v>0</v>
      </c>
      <c r="AA480" s="45">
        <f>IF(VLOOKUP($D480,$C$5:$AT$528,3,)=0,0,(VLOOKUP($D480,$C$5:$AT$528,25,)/VLOOKUP($D480,$C$5:$AT$528,3,))*$E480)</f>
        <v>0</v>
      </c>
      <c r="AB480" s="45">
        <f>IF(VLOOKUP($D480,$C$5:$AT$528,3,)=0,0,(VLOOKUP($D480,$C$5:$AT$528,26,)/VLOOKUP($D480,$C$5:$AT$528,3,))*$E480)</f>
        <v>0</v>
      </c>
      <c r="AC480" s="45">
        <f>IF(VLOOKUP($D480,$C$5:$AT$528,3,)=0,0,(VLOOKUP($D480,$C$5:$AT$528,27,)/VLOOKUP($D480,$C$5:$AT$528,3,))*$E480)</f>
        <v>0</v>
      </c>
      <c r="AD480" s="45">
        <f>IF(VLOOKUP($D480,$C$5:$AT$528,3,)=0,0,(VLOOKUP($D480,$C$5:$AT$528,28,)/VLOOKUP($D480,$C$5:$AT$528,3,))*$E480)</f>
        <v>0</v>
      </c>
      <c r="AE480" s="45">
        <f>IF(VLOOKUP($D480,$C$5:$AT$528,3,)=0,0,(VLOOKUP($D480,$C$5:$AT$528,29,)/VLOOKUP($D480,$C$5:$AT$528,3,))*$E480)</f>
        <v>0</v>
      </c>
      <c r="AF480" s="45">
        <f>IF(VLOOKUP($D480,$C$5:$AT$528,3,)=0,0,(VLOOKUP($D480,$C$5:$AT$528,30,)/VLOOKUP($D480,$C$5:$AT$528,3,))*$E480)</f>
        <v>0</v>
      </c>
      <c r="AG480" s="69">
        <f>SUM(F480:AF480)</f>
        <v>41355.769999999997</v>
      </c>
      <c r="AH480" s="14" t="str">
        <f t="shared" si="190"/>
        <v>ok</v>
      </c>
    </row>
    <row r="481" spans="1:34" x14ac:dyDescent="0.2">
      <c r="A481" s="2" t="s">
        <v>610</v>
      </c>
      <c r="C481" s="2" t="s">
        <v>612</v>
      </c>
      <c r="E481" s="69">
        <f t="shared" ref="E481:M481" si="191">E479+E480</f>
        <v>41355.769999999997</v>
      </c>
      <c r="F481" s="69">
        <f t="shared" si="191"/>
        <v>30107.195389746001</v>
      </c>
      <c r="G481" s="69">
        <f t="shared" si="191"/>
        <v>0</v>
      </c>
      <c r="H481" s="69">
        <f t="shared" si="191"/>
        <v>0.56589093080110942</v>
      </c>
      <c r="I481" s="69">
        <f t="shared" si="191"/>
        <v>2703.5168008217242</v>
      </c>
      <c r="J481" s="69">
        <f t="shared" si="191"/>
        <v>4310.5311159683743</v>
      </c>
      <c r="K481" s="69">
        <f t="shared" si="191"/>
        <v>0</v>
      </c>
      <c r="L481" s="69">
        <f t="shared" si="191"/>
        <v>0</v>
      </c>
      <c r="M481" s="69">
        <f t="shared" si="191"/>
        <v>1281.1005011672794</v>
      </c>
      <c r="N481" s="69">
        <f t="shared" ref="N481:AF481" si="192">N479+N480</f>
        <v>1520.4695075079978</v>
      </c>
      <c r="O481" s="69">
        <f t="shared" si="192"/>
        <v>378.59074779145772</v>
      </c>
      <c r="P481" s="69">
        <f t="shared" si="192"/>
        <v>39.07638147289903</v>
      </c>
      <c r="Q481" s="69">
        <f t="shared" si="192"/>
        <v>124.82277927865393</v>
      </c>
      <c r="R481" s="69">
        <f t="shared" si="192"/>
        <v>840.52372586326658</v>
      </c>
      <c r="S481" s="69">
        <f t="shared" si="192"/>
        <v>0</v>
      </c>
      <c r="T481" s="69">
        <f t="shared" si="192"/>
        <v>28.219777359697513</v>
      </c>
      <c r="U481" s="69">
        <f t="shared" si="192"/>
        <v>21.157382091838098</v>
      </c>
      <c r="V481" s="69">
        <f t="shared" si="192"/>
        <v>0</v>
      </c>
      <c r="W481" s="69">
        <f t="shared" si="192"/>
        <v>0</v>
      </c>
      <c r="X481" s="69">
        <f t="shared" si="192"/>
        <v>0</v>
      </c>
      <c r="Y481" s="69">
        <f t="shared" si="192"/>
        <v>0</v>
      </c>
      <c r="Z481" s="69">
        <f t="shared" si="192"/>
        <v>0</v>
      </c>
      <c r="AA481" s="69">
        <f t="shared" si="192"/>
        <v>0</v>
      </c>
      <c r="AB481" s="69">
        <f t="shared" si="192"/>
        <v>0</v>
      </c>
      <c r="AC481" s="69">
        <f t="shared" si="192"/>
        <v>0</v>
      </c>
      <c r="AD481" s="69">
        <f t="shared" si="192"/>
        <v>0</v>
      </c>
      <c r="AE481" s="69">
        <f t="shared" si="192"/>
        <v>0</v>
      </c>
      <c r="AF481" s="69">
        <f t="shared" si="192"/>
        <v>0</v>
      </c>
      <c r="AG481" s="69">
        <f>SUM(F481:AF481)</f>
        <v>41355.769999999997</v>
      </c>
      <c r="AH481" s="14" t="str">
        <f t="shared" si="190"/>
        <v>ok</v>
      </c>
    </row>
    <row r="482" spans="1:34" x14ac:dyDescent="0.2">
      <c r="A482" s="2" t="s">
        <v>634</v>
      </c>
      <c r="C482" s="2" t="s">
        <v>613</v>
      </c>
      <c r="D482" s="2" t="s">
        <v>612</v>
      </c>
      <c r="E482" s="31">
        <v>1</v>
      </c>
      <c r="F482" s="77">
        <f>IF(VLOOKUP($D482,$C$5:$AU$528,3,)=0,0,(VLOOKUP($D482,$C$5:$AU$528,4,)/VLOOKUP($D482,$C$5:$AU$528,3,))*$E482)</f>
        <v>0.72800471106561437</v>
      </c>
      <c r="G482" s="77">
        <f>IF(VLOOKUP($D482,$C$5:$AU$528,3,)=0,0,(VLOOKUP($D482,$C$5:$AU$528,5,)/VLOOKUP($D482,$C$5:$AU$528,3,))*$E482)</f>
        <v>0</v>
      </c>
      <c r="H482" s="77">
        <f>IF(VLOOKUP($D482,$C$5:$AU$528,3,)=0,0,(VLOOKUP($D482,$C$5:$AU$528,6,)/VLOOKUP($D482,$C$5:$AU$528,3,))*$E482)</f>
        <v>1.3683481913191543E-5</v>
      </c>
      <c r="I482" s="77">
        <f>IF(VLOOKUP($D482,$C$5:$AU$528,3,)=0,0,(VLOOKUP($D482,$C$5:$AU$528,7,)/VLOOKUP($D482,$C$5:$AU$528,3,))*$E482)</f>
        <v>6.5372179041079989E-2</v>
      </c>
      <c r="J482" s="77">
        <f>IF(VLOOKUP($D482,$C$5:$AU$528,3,)=0,0,(VLOOKUP($D482,$C$5:$AU$528,8,)/VLOOKUP($D482,$C$5:$AU$528,3,))*$E482)</f>
        <v>0.10423046447855704</v>
      </c>
      <c r="K482" s="77">
        <f>IF(VLOOKUP($D482,$C$5:$AU$528,3,)=0,0,(VLOOKUP($D482,$C$5:$AU$528,9,)/VLOOKUP($D482,$C$5:$AU$528,3,))*$E482)</f>
        <v>0</v>
      </c>
      <c r="L482" s="77">
        <f>IF(VLOOKUP($D482,$C$5:$AU$528,3,)=0,0,(VLOOKUP($D482,$C$5:$AU$528,10,)/VLOOKUP($D482,$C$5:$AU$528,3,))*$E482)</f>
        <v>0</v>
      </c>
      <c r="M482" s="77">
        <f>IF(VLOOKUP($D482,$C$5:$AU$528,3,)=0,0,(VLOOKUP($D482,$C$5:$AU$528,11,)/VLOOKUP($D482,$C$5:$AU$528,3,))*$E482)</f>
        <v>3.0977551649196217E-2</v>
      </c>
      <c r="N482" s="77">
        <f>IF(VLOOKUP($D482,$C$5:$AT$528,3,)=0,0,(VLOOKUP($D482,$C$5:$AT$528,12,)/VLOOKUP($D482,$C$5:$AT$528,3,))*$E482)</f>
        <v>3.6765595405622915E-2</v>
      </c>
      <c r="O482" s="77">
        <f>IF(VLOOKUP($D482,$C$5:$AT$528,3,)=0,0,(VLOOKUP($D482,$C$5:$AT$528,13,)/VLOOKUP($D482,$C$5:$AT$528,3,))*$E482)</f>
        <v>9.1544843147995485E-3</v>
      </c>
      <c r="P482" s="77">
        <f>IF(VLOOKUP($D482,$C$5:$AT$528,3,)=0,0,(VLOOKUP($D482,$C$5:$AT$528,14,)/VLOOKUP($D482,$C$5:$AT$528,3,))*$E482)</f>
        <v>9.4488342189975026E-4</v>
      </c>
      <c r="Q482" s="77">
        <f>IF(VLOOKUP($D482,$C$5:$AT$528,3,)=0,0,(VLOOKUP($D482,$C$5:$AT$528,15,)/VLOOKUP($D482,$C$5:$AT$528,3,))*$E482)</f>
        <v>3.0182675665004891E-3</v>
      </c>
      <c r="R482" s="77">
        <f>IF(VLOOKUP($D482,$C$5:$AT$528,3,)=0,0,(VLOOKUP($D482,$C$5:$AT$528,16,)/VLOOKUP($D482,$C$5:$AT$528,3,))*$E482)</f>
        <v>2.0324218987175589E-2</v>
      </c>
      <c r="S482" s="77">
        <f>IF(VLOOKUP($D482,$C$5:$AT$528,3,)=0,0,(VLOOKUP($D482,$C$5:$AT$528,17,)/VLOOKUP($D482,$C$5:$AT$528,3,))*$E482)</f>
        <v>0</v>
      </c>
      <c r="T482" s="77">
        <f>IF(VLOOKUP($D482,$C$5:$AT$528,3,)=0,0,(VLOOKUP($D482,$C$5:$AT$528,18,)/VLOOKUP($D482,$C$5:$AT$528,3,))*$E482)</f>
        <v>6.823661452730179E-4</v>
      </c>
      <c r="U482" s="77">
        <f>IF(VLOOKUP($D482,$C$5:$AT$528,3,)=0,0,(VLOOKUP($D482,$C$5:$AT$528,19,)/VLOOKUP($D482,$C$5:$AT$528,3,))*$E482)</f>
        <v>5.115944423677301E-4</v>
      </c>
      <c r="V482" s="77">
        <f>IF(VLOOKUP($D482,$C$5:$AT$528,3,)=0,0,(VLOOKUP($D482,$C$5:$AT$528,20,)/VLOOKUP($D482,$C$5:$AT$528,3,))*$E482)</f>
        <v>0</v>
      </c>
      <c r="W482" s="77">
        <f>IF(VLOOKUP($D482,$C$5:$AT$528,3,)=0,0,(VLOOKUP($D482,$C$5:$AT$528,21,)/VLOOKUP($D482,$C$5:$AT$528,3,))*$E482)</f>
        <v>0</v>
      </c>
      <c r="X482" s="77">
        <f>IF(VLOOKUP($D482,$C$5:$AT$528,3,)=0,0,(VLOOKUP($D482,$C$5:$AT$528,22,)/VLOOKUP($D482,$C$5:$AT$528,3,))*$E482)</f>
        <v>0</v>
      </c>
      <c r="Y482" s="77">
        <f>IF(VLOOKUP($D482,$C$5:$AT$528,3,)=0,0,(VLOOKUP($D482,$C$5:$AT$528,23,)/VLOOKUP($D482,$C$5:$AT$528,3,))*$E482)</f>
        <v>0</v>
      </c>
      <c r="Z482" s="77">
        <f>IF(VLOOKUP($D482,$C$5:$AT$528,3,)=0,0,(VLOOKUP($D482,$C$5:$AT$528,24,)/VLOOKUP($D482,$C$5:$AT$528,3,))*$E482)</f>
        <v>0</v>
      </c>
      <c r="AA482" s="77">
        <f>IF(VLOOKUP($D482,$C$5:$AT$528,3,)=0,0,(VLOOKUP($D482,$C$5:$AT$528,25,)/VLOOKUP($D482,$C$5:$AT$528,3,))*$E482)</f>
        <v>0</v>
      </c>
      <c r="AB482" s="77">
        <f>IF(VLOOKUP($D482,$C$5:$AT$528,3,)=0,0,(VLOOKUP($D482,$C$5:$AT$528,26,)/VLOOKUP($D482,$C$5:$AT$528,3,))*$E482)</f>
        <v>0</v>
      </c>
      <c r="AC482" s="77">
        <f>IF(VLOOKUP($D482,$C$5:$AT$528,3,)=0,0,(VLOOKUP($D482,$C$5:$AT$528,27,)/VLOOKUP($D482,$C$5:$AT$528,3,))*$E482)</f>
        <v>0</v>
      </c>
      <c r="AD482" s="77">
        <f>IF(VLOOKUP($D482,$C$5:$AT$528,3,)=0,0,(VLOOKUP($D482,$C$5:$AT$528,28,)/VLOOKUP($D482,$C$5:$AT$528,3,))*$E482)</f>
        <v>0</v>
      </c>
      <c r="AE482" s="77">
        <f>IF(VLOOKUP($D482,$C$5:$AT$528,3,)=0,0,(VLOOKUP($D482,$C$5:$AT$528,29,)/VLOOKUP($D482,$C$5:$AT$528,3,))*$E482)</f>
        <v>0</v>
      </c>
      <c r="AF482" s="77">
        <f>IF(VLOOKUP($D482,$C$5:$AT$528,3,)=0,0,(VLOOKUP($D482,$C$5:$AT$528,30,)/VLOOKUP($D482,$C$5:$AT$528,3,))*$E482)</f>
        <v>0</v>
      </c>
      <c r="AG482" s="77">
        <f>SUM(F482:AF482)</f>
        <v>1</v>
      </c>
      <c r="AH482" s="14" t="str">
        <f t="shared" si="190"/>
        <v>ok</v>
      </c>
    </row>
    <row r="484" spans="1:34" x14ac:dyDescent="0.2">
      <c r="A484" s="2" t="s">
        <v>607</v>
      </c>
      <c r="C484" s="2" t="s">
        <v>628</v>
      </c>
      <c r="E484" s="45">
        <f>E477</f>
        <v>1122322.0933799776</v>
      </c>
      <c r="F484" s="32">
        <f>F477</f>
        <v>817055.77131364611</v>
      </c>
      <c r="G484" s="32">
        <f t="shared" ref="G484:M484" si="193">G477</f>
        <v>0</v>
      </c>
      <c r="H484" s="32">
        <f t="shared" si="193"/>
        <v>15.357274065540194</v>
      </c>
      <c r="I484" s="32">
        <f t="shared" si="193"/>
        <v>73368.640830195596</v>
      </c>
      <c r="J484" s="32">
        <f t="shared" si="193"/>
        <v>116980.15308754152</v>
      </c>
      <c r="K484" s="32">
        <f t="shared" si="193"/>
        <v>0</v>
      </c>
      <c r="L484" s="32">
        <f t="shared" si="193"/>
        <v>0</v>
      </c>
      <c r="M484" s="32">
        <f t="shared" si="193"/>
        <v>34766.790614712278</v>
      </c>
      <c r="N484" s="32">
        <f t="shared" ref="N484:AF484" si="194">N477</f>
        <v>41262.839999999997</v>
      </c>
      <c r="O484" s="32">
        <f t="shared" si="194"/>
        <v>10274.279999999999</v>
      </c>
      <c r="P484" s="32">
        <f t="shared" si="194"/>
        <v>1060.4635400665643</v>
      </c>
      <c r="Q484" s="32">
        <f t="shared" si="194"/>
        <v>3387.4683736157199</v>
      </c>
      <c r="R484" s="32">
        <f t="shared" si="194"/>
        <v>22810.319999999996</v>
      </c>
      <c r="S484" s="32">
        <f t="shared" si="194"/>
        <v>0</v>
      </c>
      <c r="T484" s="32">
        <f t="shared" si="194"/>
        <v>765.83460061443941</v>
      </c>
      <c r="U484" s="32">
        <f t="shared" si="194"/>
        <v>574.17374551971318</v>
      </c>
      <c r="V484" s="32">
        <f t="shared" si="194"/>
        <v>0</v>
      </c>
      <c r="W484" s="32">
        <f t="shared" si="194"/>
        <v>0</v>
      </c>
      <c r="X484" s="32">
        <f t="shared" si="194"/>
        <v>0</v>
      </c>
      <c r="Y484" s="32">
        <f t="shared" si="194"/>
        <v>0</v>
      </c>
      <c r="Z484" s="32">
        <f t="shared" si="194"/>
        <v>0</v>
      </c>
      <c r="AA484" s="32">
        <f t="shared" si="194"/>
        <v>0</v>
      </c>
      <c r="AB484" s="32">
        <f t="shared" si="194"/>
        <v>0</v>
      </c>
      <c r="AC484" s="32">
        <f t="shared" si="194"/>
        <v>0</v>
      </c>
      <c r="AD484" s="32">
        <f t="shared" si="194"/>
        <v>0</v>
      </c>
      <c r="AE484" s="32">
        <f t="shared" si="194"/>
        <v>0</v>
      </c>
      <c r="AF484" s="32">
        <f t="shared" si="194"/>
        <v>0</v>
      </c>
      <c r="AG484" s="69">
        <f>SUM(F484:AF484)</f>
        <v>1122322.0933799776</v>
      </c>
      <c r="AH484" s="14" t="str">
        <f t="shared" ref="AH484:AH489" si="195">IF(ABS(E484-AG484)&lt;0.01,"ok","err")</f>
        <v>ok</v>
      </c>
    </row>
    <row r="485" spans="1:34" x14ac:dyDescent="0.2">
      <c r="A485" s="2" t="s">
        <v>608</v>
      </c>
      <c r="E485" s="69">
        <f>E478</f>
        <v>41355.769999999997</v>
      </c>
      <c r="AG485" s="69">
        <f>E485</f>
        <v>41355.769999999997</v>
      </c>
      <c r="AH485" s="14" t="str">
        <f t="shared" si="195"/>
        <v>ok</v>
      </c>
    </row>
    <row r="486" spans="1:34" x14ac:dyDescent="0.2">
      <c r="A486" s="2" t="s">
        <v>592</v>
      </c>
      <c r="E486" s="32"/>
      <c r="M486" s="32">
        <v>0</v>
      </c>
      <c r="N486" s="32">
        <v>0</v>
      </c>
      <c r="O486" s="32"/>
      <c r="P486" s="32"/>
      <c r="Q486" s="2">
        <v>0</v>
      </c>
      <c r="R486" s="2">
        <v>0</v>
      </c>
      <c r="S486" s="2">
        <v>0</v>
      </c>
      <c r="AD486" s="45">
        <v>0</v>
      </c>
      <c r="AE486" s="45"/>
      <c r="AG486" s="69">
        <f>SUM(F486:AF486)</f>
        <v>0</v>
      </c>
      <c r="AH486" s="14" t="str">
        <f t="shared" si="195"/>
        <v>ok</v>
      </c>
    </row>
    <row r="487" spans="1:34" x14ac:dyDescent="0.2">
      <c r="A487" s="2" t="s">
        <v>609</v>
      </c>
      <c r="D487" s="2" t="s">
        <v>628</v>
      </c>
      <c r="E487" s="69">
        <f>E485-E486</f>
        <v>41355.769999999997</v>
      </c>
      <c r="F487" s="45">
        <f>IF(VLOOKUP($D487,$C$5:$AU$528,3,)=0,0,(VLOOKUP($D487,$C$5:$AU$528,4,)/VLOOKUP($D487,$C$5:$AU$528,3,))*$E487)</f>
        <v>30107.195389746001</v>
      </c>
      <c r="G487" s="45">
        <f>IF(VLOOKUP($D487,$C$5:$AU$528,3,)=0,0,(VLOOKUP($D487,$C$5:$AU$528,5,)/VLOOKUP($D487,$C$5:$AU$528,3,))*$E487)</f>
        <v>0</v>
      </c>
      <c r="H487" s="45">
        <f>IF(VLOOKUP($D487,$C$5:$AU$528,3,)=0,0,(VLOOKUP($D487,$C$5:$AU$528,6,)/VLOOKUP($D487,$C$5:$AU$528,3,))*$E487)</f>
        <v>0.56589093080110942</v>
      </c>
      <c r="I487" s="45">
        <f>IF(VLOOKUP($D487,$C$5:$AU$528,3,)=0,0,(VLOOKUP($D487,$C$5:$AU$528,7,)/VLOOKUP($D487,$C$5:$AU$528,3,))*$E487)</f>
        <v>2703.5168008217242</v>
      </c>
      <c r="J487" s="45">
        <f>IF(VLOOKUP($D487,$C$5:$AU$528,3,)=0,0,(VLOOKUP($D487,$C$5:$AU$528,8,)/VLOOKUP($D487,$C$5:$AU$528,3,))*$E487)</f>
        <v>4310.5311159683743</v>
      </c>
      <c r="K487" s="45">
        <f>IF(VLOOKUP($D487,$C$5:$AU$528,3,)=0,0,(VLOOKUP($D487,$C$5:$AU$528,9,)/VLOOKUP($D487,$C$5:$AU$528,3,))*$E487)</f>
        <v>0</v>
      </c>
      <c r="L487" s="45">
        <f>IF(VLOOKUP($D487,$C$5:$AU$528,3,)=0,0,(VLOOKUP($D487,$C$5:$AU$528,10,)/VLOOKUP($D487,$C$5:$AU$528,3,))*$E487)</f>
        <v>0</v>
      </c>
      <c r="M487" s="45">
        <f>IF(VLOOKUP($D487,$C$5:$AU$528,3,)=0,0,(VLOOKUP($D487,$C$5:$AU$528,11,)/VLOOKUP($D487,$C$5:$AU$528,3,))*$E487)</f>
        <v>1281.1005011672794</v>
      </c>
      <c r="N487" s="45">
        <f>IF(VLOOKUP($D487,$C$5:$AT$528,3,)=0,0,(VLOOKUP($D487,$C$5:$AT$528,12,)/VLOOKUP($D487,$C$5:$AT$528,3,))*$E487)</f>
        <v>1520.4695075079978</v>
      </c>
      <c r="O487" s="45">
        <f>IF(VLOOKUP($D487,$C$5:$AT$528,3,)=0,0,(VLOOKUP($D487,$C$5:$AT$528,13,)/VLOOKUP($D487,$C$5:$AT$528,3,))*$E487)</f>
        <v>378.59074779145772</v>
      </c>
      <c r="P487" s="45">
        <f>IF(VLOOKUP($D487,$C$5:$AT$528,3,)=0,0,(VLOOKUP($D487,$C$5:$AT$528,14,)/VLOOKUP($D487,$C$5:$AT$528,3,))*$E487)</f>
        <v>39.07638147289903</v>
      </c>
      <c r="Q487" s="45">
        <f>IF(VLOOKUP($D487,$C$5:$AT$528,3,)=0,0,(VLOOKUP($D487,$C$5:$AT$528,15,)/VLOOKUP($D487,$C$5:$AT$528,3,))*$E487)</f>
        <v>124.82277927865393</v>
      </c>
      <c r="R487" s="45">
        <f>IF(VLOOKUP($D487,$C$5:$AT$528,3,)=0,0,(VLOOKUP($D487,$C$5:$AT$528,16,)/VLOOKUP($D487,$C$5:$AT$528,3,))*$E487)</f>
        <v>840.52372586326658</v>
      </c>
      <c r="S487" s="45">
        <f>IF(VLOOKUP($D487,$C$5:$AT$528,3,)=0,0,(VLOOKUP($D487,$C$5:$AT$528,17,)/VLOOKUP($D487,$C$5:$AT$528,3,))*$E487)</f>
        <v>0</v>
      </c>
      <c r="T487" s="45">
        <f>IF(VLOOKUP($D487,$C$5:$AT$528,3,)=0,0,(VLOOKUP($D487,$C$5:$AT$528,18,)/VLOOKUP($D487,$C$5:$AT$528,3,))*$E487)</f>
        <v>28.219777359697513</v>
      </c>
      <c r="U487" s="45">
        <f>IF(VLOOKUP($D487,$C$5:$AT$528,3,)=0,0,(VLOOKUP($D487,$C$5:$AT$528,19,)/VLOOKUP($D487,$C$5:$AT$528,3,))*$E487)</f>
        <v>21.157382091838098</v>
      </c>
      <c r="V487" s="45">
        <f>IF(VLOOKUP($D487,$C$5:$AT$528,3,)=0,0,(VLOOKUP($D487,$C$5:$AT$528,20,)/VLOOKUP($D487,$C$5:$AT$528,3,))*$E487)</f>
        <v>0</v>
      </c>
      <c r="W487" s="45">
        <f>IF(VLOOKUP($D487,$C$5:$AT$528,3,)=0,0,(VLOOKUP($D487,$C$5:$AT$528,21,)/VLOOKUP($D487,$C$5:$AT$528,3,))*$E487)</f>
        <v>0</v>
      </c>
      <c r="X487" s="45">
        <f>IF(VLOOKUP($D487,$C$5:$AT$528,3,)=0,0,(VLOOKUP($D487,$C$5:$AT$528,22,)/VLOOKUP($D487,$C$5:$AT$528,3,))*$E487)</f>
        <v>0</v>
      </c>
      <c r="Y487" s="45">
        <f>IF(VLOOKUP($D487,$C$5:$AT$528,3,)=0,0,(VLOOKUP($D487,$C$5:$AT$528,23,)/VLOOKUP($D487,$C$5:$AT$528,3,))*$E487)</f>
        <v>0</v>
      </c>
      <c r="Z487" s="45">
        <f>IF(VLOOKUP($D487,$C$5:$AT$528,3,)=0,0,(VLOOKUP($D487,$C$5:$AT$528,24,)/VLOOKUP($D487,$C$5:$AT$528,3,))*$E487)</f>
        <v>0</v>
      </c>
      <c r="AA487" s="45">
        <f>IF(VLOOKUP($D487,$C$5:$AT$528,3,)=0,0,(VLOOKUP($D487,$C$5:$AT$528,25,)/VLOOKUP($D487,$C$5:$AT$528,3,))*$E487)</f>
        <v>0</v>
      </c>
      <c r="AB487" s="45">
        <f>IF(VLOOKUP($D487,$C$5:$AT$528,3,)=0,0,(VLOOKUP($D487,$C$5:$AT$528,26,)/VLOOKUP($D487,$C$5:$AT$528,3,))*$E487)</f>
        <v>0</v>
      </c>
      <c r="AC487" s="45">
        <f>IF(VLOOKUP($D487,$C$5:$AT$528,3,)=0,0,(VLOOKUP($D487,$C$5:$AT$528,27,)/VLOOKUP($D487,$C$5:$AT$528,3,))*$E487)</f>
        <v>0</v>
      </c>
      <c r="AD487" s="45">
        <f>IF(VLOOKUP($D487,$C$5:$AT$528,3,)=0,0,(VLOOKUP($D487,$C$5:$AT$528,28,)/VLOOKUP($D487,$C$5:$AT$528,3,))*$E487)</f>
        <v>0</v>
      </c>
      <c r="AE487" s="45">
        <f>IF(VLOOKUP($D487,$C$5:$AT$528,3,)=0,0,(VLOOKUP($D487,$C$5:$AT$528,29,)/VLOOKUP($D487,$C$5:$AT$528,3,))*$E487)</f>
        <v>0</v>
      </c>
      <c r="AF487" s="45">
        <f>IF(VLOOKUP($D487,$C$5:$AT$528,3,)=0,0,(VLOOKUP($D487,$C$5:$AT$528,30,)/VLOOKUP($D487,$C$5:$AT$528,3,))*$E487)</f>
        <v>0</v>
      </c>
      <c r="AG487" s="69">
        <f>SUM(F487:AF487)</f>
        <v>41355.769999999997</v>
      </c>
      <c r="AH487" s="14" t="str">
        <f t="shared" si="195"/>
        <v>ok</v>
      </c>
    </row>
    <row r="488" spans="1:34" x14ac:dyDescent="0.2">
      <c r="A488" s="2" t="s">
        <v>610</v>
      </c>
      <c r="C488" s="2" t="s">
        <v>629</v>
      </c>
      <c r="E488" s="69">
        <f t="shared" ref="E488:M488" si="196">E486+E487</f>
        <v>41355.769999999997</v>
      </c>
      <c r="F488" s="69">
        <f t="shared" si="196"/>
        <v>30107.195389746001</v>
      </c>
      <c r="G488" s="69">
        <f t="shared" si="196"/>
        <v>0</v>
      </c>
      <c r="H488" s="69">
        <f t="shared" si="196"/>
        <v>0.56589093080110942</v>
      </c>
      <c r="I488" s="69">
        <f t="shared" si="196"/>
        <v>2703.5168008217242</v>
      </c>
      <c r="J488" s="69">
        <f t="shared" si="196"/>
        <v>4310.5311159683743</v>
      </c>
      <c r="K488" s="69">
        <f t="shared" si="196"/>
        <v>0</v>
      </c>
      <c r="L488" s="69">
        <f t="shared" si="196"/>
        <v>0</v>
      </c>
      <c r="M488" s="69">
        <f t="shared" si="196"/>
        <v>1281.1005011672794</v>
      </c>
      <c r="N488" s="69">
        <f t="shared" ref="N488:AF488" si="197">N486+N487</f>
        <v>1520.4695075079978</v>
      </c>
      <c r="O488" s="69">
        <f t="shared" si="197"/>
        <v>378.59074779145772</v>
      </c>
      <c r="P488" s="69">
        <f t="shared" si="197"/>
        <v>39.07638147289903</v>
      </c>
      <c r="Q488" s="69">
        <f t="shared" si="197"/>
        <v>124.82277927865393</v>
      </c>
      <c r="R488" s="69">
        <f t="shared" si="197"/>
        <v>840.52372586326658</v>
      </c>
      <c r="S488" s="69">
        <f t="shared" si="197"/>
        <v>0</v>
      </c>
      <c r="T488" s="69">
        <f t="shared" si="197"/>
        <v>28.219777359697513</v>
      </c>
      <c r="U488" s="69">
        <f t="shared" si="197"/>
        <v>21.157382091838098</v>
      </c>
      <c r="V488" s="69">
        <f t="shared" si="197"/>
        <v>0</v>
      </c>
      <c r="W488" s="69">
        <f t="shared" si="197"/>
        <v>0</v>
      </c>
      <c r="X488" s="69">
        <f t="shared" si="197"/>
        <v>0</v>
      </c>
      <c r="Y488" s="69">
        <f t="shared" si="197"/>
        <v>0</v>
      </c>
      <c r="Z488" s="69">
        <f t="shared" si="197"/>
        <v>0</v>
      </c>
      <c r="AA488" s="69">
        <f t="shared" si="197"/>
        <v>0</v>
      </c>
      <c r="AB488" s="69">
        <f t="shared" si="197"/>
        <v>0</v>
      </c>
      <c r="AC488" s="69">
        <f t="shared" si="197"/>
        <v>0</v>
      </c>
      <c r="AD488" s="69">
        <f t="shared" si="197"/>
        <v>0</v>
      </c>
      <c r="AE488" s="69">
        <f t="shared" si="197"/>
        <v>0</v>
      </c>
      <c r="AF488" s="69">
        <f t="shared" si="197"/>
        <v>0</v>
      </c>
      <c r="AG488" s="69">
        <f>SUM(F488:AF488)</f>
        <v>41355.769999999997</v>
      </c>
      <c r="AH488" s="14" t="str">
        <f t="shared" si="195"/>
        <v>ok</v>
      </c>
    </row>
    <row r="489" spans="1:34" x14ac:dyDescent="0.2">
      <c r="A489" s="2" t="s">
        <v>635</v>
      </c>
      <c r="C489" s="2" t="s">
        <v>630</v>
      </c>
      <c r="D489" s="2" t="s">
        <v>629</v>
      </c>
      <c r="E489" s="31">
        <v>1</v>
      </c>
      <c r="F489" s="77">
        <f>IF(VLOOKUP($D489,$C$5:$AU$528,3,)=0,0,(VLOOKUP($D489,$C$5:$AU$528,4,)/VLOOKUP($D489,$C$5:$AU$528,3,))*$E489)</f>
        <v>0.72800471106561437</v>
      </c>
      <c r="G489" s="77">
        <f>IF(VLOOKUP($D489,$C$5:$AU$528,3,)=0,0,(VLOOKUP($D489,$C$5:$AU$528,5,)/VLOOKUP($D489,$C$5:$AU$528,3,))*$E489)</f>
        <v>0</v>
      </c>
      <c r="H489" s="77">
        <f>IF(VLOOKUP($D489,$C$5:$AU$528,3,)=0,0,(VLOOKUP($D489,$C$5:$AU$528,6,)/VLOOKUP($D489,$C$5:$AU$528,3,))*$E489)</f>
        <v>1.3683481913191543E-5</v>
      </c>
      <c r="I489" s="77">
        <f>IF(VLOOKUP($D489,$C$5:$AU$528,3,)=0,0,(VLOOKUP($D489,$C$5:$AU$528,7,)/VLOOKUP($D489,$C$5:$AU$528,3,))*$E489)</f>
        <v>6.5372179041079989E-2</v>
      </c>
      <c r="J489" s="77">
        <f>IF(VLOOKUP($D489,$C$5:$AU$528,3,)=0,0,(VLOOKUP($D489,$C$5:$AU$528,8,)/VLOOKUP($D489,$C$5:$AU$528,3,))*$E489)</f>
        <v>0.10423046447855704</v>
      </c>
      <c r="K489" s="77">
        <f>IF(VLOOKUP($D489,$C$5:$AU$528,3,)=0,0,(VLOOKUP($D489,$C$5:$AU$528,9,)/VLOOKUP($D489,$C$5:$AU$528,3,))*$E489)</f>
        <v>0</v>
      </c>
      <c r="L489" s="77">
        <f>IF(VLOOKUP($D489,$C$5:$AU$528,3,)=0,0,(VLOOKUP($D489,$C$5:$AU$528,10,)/VLOOKUP($D489,$C$5:$AU$528,3,))*$E489)</f>
        <v>0</v>
      </c>
      <c r="M489" s="77">
        <f>IF(VLOOKUP($D489,$C$5:$AU$528,3,)=0,0,(VLOOKUP($D489,$C$5:$AU$528,11,)/VLOOKUP($D489,$C$5:$AU$528,3,))*$E489)</f>
        <v>3.0977551649196217E-2</v>
      </c>
      <c r="N489" s="77">
        <f>IF(VLOOKUP($D489,$C$5:$AT$528,3,)=0,0,(VLOOKUP($D489,$C$5:$AT$528,12,)/VLOOKUP($D489,$C$5:$AT$528,3,))*$E489)</f>
        <v>3.6765595405622915E-2</v>
      </c>
      <c r="O489" s="77">
        <f>IF(VLOOKUP($D489,$C$5:$AT$528,3,)=0,0,(VLOOKUP($D489,$C$5:$AT$528,13,)/VLOOKUP($D489,$C$5:$AT$528,3,))*$E489)</f>
        <v>9.1544843147995485E-3</v>
      </c>
      <c r="P489" s="77">
        <f>IF(VLOOKUP($D489,$C$5:$AT$528,3,)=0,0,(VLOOKUP($D489,$C$5:$AT$528,14,)/VLOOKUP($D489,$C$5:$AT$528,3,))*$E489)</f>
        <v>9.4488342189975026E-4</v>
      </c>
      <c r="Q489" s="77">
        <f>IF(VLOOKUP($D489,$C$5:$AT$528,3,)=0,0,(VLOOKUP($D489,$C$5:$AT$528,15,)/VLOOKUP($D489,$C$5:$AT$528,3,))*$E489)</f>
        <v>3.0182675665004891E-3</v>
      </c>
      <c r="R489" s="77">
        <f>IF(VLOOKUP($D489,$C$5:$AT$528,3,)=0,0,(VLOOKUP($D489,$C$5:$AT$528,16,)/VLOOKUP($D489,$C$5:$AT$528,3,))*$E489)</f>
        <v>2.0324218987175589E-2</v>
      </c>
      <c r="S489" s="77">
        <f>IF(VLOOKUP($D489,$C$5:$AT$528,3,)=0,0,(VLOOKUP($D489,$C$5:$AT$528,17,)/VLOOKUP($D489,$C$5:$AT$528,3,))*$E489)</f>
        <v>0</v>
      </c>
      <c r="T489" s="77">
        <f>IF(VLOOKUP($D489,$C$5:$AT$528,3,)=0,0,(VLOOKUP($D489,$C$5:$AT$528,18,)/VLOOKUP($D489,$C$5:$AT$528,3,))*$E489)</f>
        <v>6.823661452730179E-4</v>
      </c>
      <c r="U489" s="77">
        <f>IF(VLOOKUP($D489,$C$5:$AT$528,3,)=0,0,(VLOOKUP($D489,$C$5:$AT$528,19,)/VLOOKUP($D489,$C$5:$AT$528,3,))*$E489)</f>
        <v>5.115944423677301E-4</v>
      </c>
      <c r="V489" s="77">
        <f>IF(VLOOKUP($D489,$C$5:$AT$528,3,)=0,0,(VLOOKUP($D489,$C$5:$AT$528,20,)/VLOOKUP($D489,$C$5:$AT$528,3,))*$E489)</f>
        <v>0</v>
      </c>
      <c r="W489" s="77">
        <f>IF(VLOOKUP($D489,$C$5:$AT$528,3,)=0,0,(VLOOKUP($D489,$C$5:$AT$528,21,)/VLOOKUP($D489,$C$5:$AT$528,3,))*$E489)</f>
        <v>0</v>
      </c>
      <c r="X489" s="77">
        <f>IF(VLOOKUP($D489,$C$5:$AT$528,3,)=0,0,(VLOOKUP($D489,$C$5:$AT$528,22,)/VLOOKUP($D489,$C$5:$AT$528,3,))*$E489)</f>
        <v>0</v>
      </c>
      <c r="Y489" s="77">
        <f>IF(VLOOKUP($D489,$C$5:$AT$528,3,)=0,0,(VLOOKUP($D489,$C$5:$AT$528,23,)/VLOOKUP($D489,$C$5:$AT$528,3,))*$E489)</f>
        <v>0</v>
      </c>
      <c r="Z489" s="77">
        <f>IF(VLOOKUP($D489,$C$5:$AT$528,3,)=0,0,(VLOOKUP($D489,$C$5:$AT$528,24,)/VLOOKUP($D489,$C$5:$AT$528,3,))*$E489)</f>
        <v>0</v>
      </c>
      <c r="AA489" s="77">
        <f>IF(VLOOKUP($D489,$C$5:$AT$528,3,)=0,0,(VLOOKUP($D489,$C$5:$AT$528,25,)/VLOOKUP($D489,$C$5:$AT$528,3,))*$E489)</f>
        <v>0</v>
      </c>
      <c r="AB489" s="77">
        <f>IF(VLOOKUP($D489,$C$5:$AT$528,3,)=0,0,(VLOOKUP($D489,$C$5:$AT$528,26,)/VLOOKUP($D489,$C$5:$AT$528,3,))*$E489)</f>
        <v>0</v>
      </c>
      <c r="AC489" s="77">
        <f>IF(VLOOKUP($D489,$C$5:$AT$528,3,)=0,0,(VLOOKUP($D489,$C$5:$AT$528,27,)/VLOOKUP($D489,$C$5:$AT$528,3,))*$E489)</f>
        <v>0</v>
      </c>
      <c r="AD489" s="77">
        <f>IF(VLOOKUP($D489,$C$5:$AT$528,3,)=0,0,(VLOOKUP($D489,$C$5:$AT$528,28,)/VLOOKUP($D489,$C$5:$AT$528,3,))*$E489)</f>
        <v>0</v>
      </c>
      <c r="AE489" s="77">
        <f>IF(VLOOKUP($D489,$C$5:$AT$528,3,)=0,0,(VLOOKUP($D489,$C$5:$AT$528,29,)/VLOOKUP($D489,$C$5:$AT$528,3,))*$E489)</f>
        <v>0</v>
      </c>
      <c r="AF489" s="77">
        <f>IF(VLOOKUP($D489,$C$5:$AT$528,3,)=0,0,(VLOOKUP($D489,$C$5:$AT$528,30,)/VLOOKUP($D489,$C$5:$AT$528,3,))*$E489)</f>
        <v>0</v>
      </c>
      <c r="AG489" s="77">
        <f>SUM(F489:AF489)</f>
        <v>1</v>
      </c>
      <c r="AH489" s="14" t="str">
        <f t="shared" si="195"/>
        <v>ok</v>
      </c>
    </row>
    <row r="491" spans="1:34" x14ac:dyDescent="0.2">
      <c r="A491" s="12" t="s">
        <v>868</v>
      </c>
    </row>
    <row r="493" spans="1:34" x14ac:dyDescent="0.2">
      <c r="A493" s="2" t="s">
        <v>619</v>
      </c>
      <c r="C493" s="2" t="s">
        <v>620</v>
      </c>
      <c r="E493" s="32">
        <f>E463</f>
        <v>2950499.8547825725</v>
      </c>
      <c r="F493" s="32">
        <f t="shared" ref="F493:AF493" si="198">F463</f>
        <v>2368087.875508477</v>
      </c>
      <c r="G493" s="32">
        <f t="shared" si="198"/>
        <v>0</v>
      </c>
      <c r="H493" s="32">
        <f t="shared" si="198"/>
        <v>85.318189253001094</v>
      </c>
      <c r="I493" s="32">
        <f t="shared" si="198"/>
        <v>205248.73142489811</v>
      </c>
      <c r="J493" s="32">
        <f t="shared" si="198"/>
        <v>176752.71999999997</v>
      </c>
      <c r="K493" s="32">
        <f t="shared" si="198"/>
        <v>2029.9696691699382</v>
      </c>
      <c r="L493" s="32">
        <f t="shared" si="198"/>
        <v>0</v>
      </c>
      <c r="M493" s="32">
        <f t="shared" si="198"/>
        <v>59907.600000000006</v>
      </c>
      <c r="N493" s="32">
        <f t="shared" si="198"/>
        <v>65131.200000000012</v>
      </c>
      <c r="O493" s="32">
        <f t="shared" si="198"/>
        <v>16229.999999999998</v>
      </c>
      <c r="P493" s="32">
        <f t="shared" si="198"/>
        <v>4766.2</v>
      </c>
      <c r="Q493" s="32">
        <f t="shared" si="198"/>
        <v>11252.52342549923</v>
      </c>
      <c r="R493" s="32">
        <f t="shared" si="198"/>
        <v>38017.199999999997</v>
      </c>
      <c r="S493" s="32">
        <f t="shared" si="198"/>
        <v>0</v>
      </c>
      <c r="T493" s="32">
        <f t="shared" si="198"/>
        <v>1827.176588316466</v>
      </c>
      <c r="U493" s="32">
        <f t="shared" si="198"/>
        <v>1163.3399769585253</v>
      </c>
      <c r="V493" s="32">
        <f t="shared" si="198"/>
        <v>0</v>
      </c>
      <c r="W493" s="32">
        <f t="shared" si="198"/>
        <v>0</v>
      </c>
      <c r="X493" s="32">
        <f t="shared" si="198"/>
        <v>0</v>
      </c>
      <c r="Y493" s="32">
        <f t="shared" si="198"/>
        <v>0</v>
      </c>
      <c r="Z493" s="32">
        <f t="shared" si="198"/>
        <v>0</v>
      </c>
      <c r="AA493" s="32">
        <f t="shared" si="198"/>
        <v>0</v>
      </c>
      <c r="AB493" s="32">
        <f t="shared" si="198"/>
        <v>0</v>
      </c>
      <c r="AC493" s="32">
        <f t="shared" si="198"/>
        <v>0</v>
      </c>
      <c r="AD493" s="32">
        <f t="shared" si="198"/>
        <v>0</v>
      </c>
      <c r="AE493" s="32">
        <f t="shared" si="198"/>
        <v>0</v>
      </c>
      <c r="AF493" s="32">
        <f t="shared" si="198"/>
        <v>0</v>
      </c>
      <c r="AG493" s="69">
        <f>SUM(F493:AF493)</f>
        <v>2950499.8547825725</v>
      </c>
      <c r="AH493" s="14" t="str">
        <f>IF(ABS(E493-AG493)&lt;0.01,"ok","err")</f>
        <v>ok</v>
      </c>
    </row>
    <row r="494" spans="1:34" x14ac:dyDescent="0.2">
      <c r="A494" s="2" t="s">
        <v>618</v>
      </c>
      <c r="C494" s="2" t="s">
        <v>617</v>
      </c>
      <c r="D494" s="2" t="s">
        <v>620</v>
      </c>
      <c r="E494" s="31">
        <v>1</v>
      </c>
      <c r="F494" s="77">
        <f>IF(VLOOKUP($D494,$C$5:$AT$528,3,)=0,0,(VLOOKUP($D494,$C$5:$AT$528,4,)/VLOOKUP($D494,$C$5:$AT$528,3,))*$E494)</f>
        <v>0.80260565736682121</v>
      </c>
      <c r="G494" s="77">
        <f>IF(VLOOKUP($D494,$C$5:$AT$528,3,)=0,0,(VLOOKUP($D494,$C$5:$AT$528,5,)/VLOOKUP($D494,$C$5:$AT$528,3,))*$E494)</f>
        <v>0</v>
      </c>
      <c r="H494" s="77">
        <f>IF(VLOOKUP($D494,$C$5:$AT$528,3,)=0,0,(VLOOKUP($D494,$C$5:$AT$528,6,)/VLOOKUP($D494,$C$5:$AT$528,3,))*$E494)</f>
        <v>2.8916520404061616E-5</v>
      </c>
      <c r="I494" s="77">
        <f>IF(VLOOKUP($D494,$C$5:$AT$528,3,)=0,0,(VLOOKUP($D494,$C$5:$AT$528,7,)/VLOOKUP($D494,$C$5:$AT$528,3,))*$E494)</f>
        <v>6.9564054067721093E-2</v>
      </c>
      <c r="J494" s="77">
        <f>IF(VLOOKUP($D494,$C$5:$AT$528,3,)=0,0,(VLOOKUP($D494,$C$5:$AT$528,8,)/VLOOKUP($D494,$C$5:$AT$528,3,))*$E494)</f>
        <v>5.9906025656464634E-2</v>
      </c>
      <c r="K494" s="77">
        <f>IF(VLOOKUP($D494,$C$5:$AT$528,3,)=0,0,(VLOOKUP($D494,$C$5:$AT$528,9,)/VLOOKUP($D494,$C$5:$AT$528,3,))*$E494)</f>
        <v>6.8800873380132064E-4</v>
      </c>
      <c r="L494" s="77">
        <f>IF(VLOOKUP($D494,$C$5:$AT$528,3,)=0,0,(VLOOKUP($D494,$C$5:$AT$528,10,)/VLOOKUP($D494,$C$5:$AT$528,3,))*$E494)</f>
        <v>0</v>
      </c>
      <c r="M494" s="77">
        <f>IF(VLOOKUP($D494,$C$5:$AT$528,3,)=0,0,(VLOOKUP($D494,$C$5:$AT$528,11,)/VLOOKUP($D494,$C$5:$AT$528,3,))*$E494)</f>
        <v>2.0304220623123773E-2</v>
      </c>
      <c r="N494" s="77">
        <f>IF(VLOOKUP($D494,$C$5:$AT$528,3,)=0,0,(VLOOKUP($D494,$C$5:$AT$528,12,)/VLOOKUP($D494,$C$5:$AT$528,3,))*$E494)</f>
        <v>2.2074632504870823E-2</v>
      </c>
      <c r="O494" s="77">
        <f>IF(VLOOKUP($D494,$C$5:$AT$528,3,)=0,0,(VLOOKUP($D494,$C$5:$AT$528,13,)/VLOOKUP($D494,$C$5:$AT$528,3,))*$E494)</f>
        <v>5.5007628533491372E-3</v>
      </c>
      <c r="P494" s="77">
        <f>IF(VLOOKUP($D494,$C$5:$AT$528,3,)=0,0,(VLOOKUP($D494,$C$5:$AT$528,14,)/VLOOKUP($D494,$C$5:$AT$528,3,))*$E494)</f>
        <v>1.6153873020106383E-3</v>
      </c>
      <c r="Q494" s="77">
        <f>IF(VLOOKUP($D494,$C$5:$AT$528,3,)=0,0,(VLOOKUP($D494,$C$5:$AT$528,15,)/VLOOKUP($D494,$C$5:$AT$528,3,))*$E494)</f>
        <v>3.8137685068038913E-3</v>
      </c>
      <c r="R494" s="77">
        <f>IF(VLOOKUP($D494,$C$5:$AT$528,3,)=0,0,(VLOOKUP($D494,$C$5:$AT$528,16,)/VLOOKUP($D494,$C$5:$AT$528,3,))*$E494)</f>
        <v>1.2885003176114899E-2</v>
      </c>
      <c r="S494" s="77">
        <f>IF(VLOOKUP($D494,$C$5:$AT$528,3,)=0,0,(VLOOKUP($D494,$C$5:$AT$528,17,)/VLOOKUP($D494,$C$5:$AT$528,3,))*$E494)</f>
        <v>0</v>
      </c>
      <c r="T494" s="77">
        <f>IF(VLOOKUP($D494,$C$5:$AT$528,3,)=0,0,(VLOOKUP($D494,$C$5:$AT$528,18,)/VLOOKUP($D494,$C$5:$AT$528,3,))*$E494)</f>
        <v>6.192769626321889E-4</v>
      </c>
      <c r="U494" s="77">
        <f>IF(VLOOKUP($D494,$C$5:$AT$528,3,)=0,0,(VLOOKUP($D494,$C$5:$AT$528,19,)/VLOOKUP($D494,$C$5:$AT$528,3,))*$E494)</f>
        <v>3.9428572588228578E-4</v>
      </c>
      <c r="V494" s="77">
        <f>IF(VLOOKUP($D494,$C$5:$AT$528,3,)=0,0,(VLOOKUP($D494,$C$5:$AT$528,20,)/VLOOKUP($D494,$C$5:$AT$528,3,))*$E494)</f>
        <v>0</v>
      </c>
      <c r="W494" s="77">
        <f>IF(VLOOKUP($D494,$C$5:$AT$528,3,)=0,0,(VLOOKUP($D494,$C$5:$AT$528,21,)/VLOOKUP($D494,$C$5:$AT$528,3,))*$E494)</f>
        <v>0</v>
      </c>
      <c r="X494" s="77">
        <f>IF(VLOOKUP($D494,$C$5:$AT$528,3,)=0,0,(VLOOKUP($D494,$C$5:$AT$528,22,)/VLOOKUP($D494,$C$5:$AT$528,3,))*$E494)</f>
        <v>0</v>
      </c>
      <c r="Y494" s="77">
        <f>IF(VLOOKUP($D494,$C$5:$AT$528,3,)=0,0,(VLOOKUP($D494,$C$5:$AT$528,23,)/VLOOKUP($D494,$C$5:$AT$528,3,))*$E494)</f>
        <v>0</v>
      </c>
      <c r="Z494" s="77">
        <f>IF(VLOOKUP($D494,$C$5:$AT$528,3,)=0,0,(VLOOKUP($D494,$C$5:$AT$528,24,)/VLOOKUP($D494,$C$5:$AT$528,3,))*$E494)</f>
        <v>0</v>
      </c>
      <c r="AA494" s="77">
        <f>IF(VLOOKUP($D494,$C$5:$AT$528,3,)=0,0,(VLOOKUP($D494,$C$5:$AT$528,25,)/VLOOKUP($D494,$C$5:$AT$528,3,))*$E494)</f>
        <v>0</v>
      </c>
      <c r="AB494" s="77">
        <f>IF(VLOOKUP($D494,$C$5:$AT$528,3,)=0,0,(VLOOKUP($D494,$C$5:$AT$528,26,)/VLOOKUP($D494,$C$5:$AT$528,3,))*$E494)</f>
        <v>0</v>
      </c>
      <c r="AC494" s="77">
        <f>IF(VLOOKUP($D494,$C$5:$AT$528,3,)=0,0,(VLOOKUP($D494,$C$5:$AT$528,27,)/VLOOKUP($D494,$C$5:$AT$528,3,))*$E494)</f>
        <v>0</v>
      </c>
      <c r="AD494" s="77">
        <f>IF(VLOOKUP($D494,$C$5:$AT$528,3,)=0,0,(VLOOKUP($D494,$C$5:$AT$528,28,)/VLOOKUP($D494,$C$5:$AT$528,3,))*$E494)</f>
        <v>0</v>
      </c>
      <c r="AE494" s="77">
        <f>IF(VLOOKUP($D494,$C$5:$AT$528,3,)=0,0,(VLOOKUP($D494,$C$5:$AT$528,29,)/VLOOKUP($D494,$C$5:$AT$528,3,))*$E494)</f>
        <v>0</v>
      </c>
      <c r="AF494" s="77">
        <f>IF(VLOOKUP($D494,$C$5:$AT$528,3,)=0,0,(VLOOKUP($D494,$C$5:$AT$528,30,)/VLOOKUP($D494,$C$5:$AT$528,3,))*$E494)</f>
        <v>0</v>
      </c>
      <c r="AG494" s="77">
        <f>SUM(F494:AF494)</f>
        <v>0.99999999999999989</v>
      </c>
      <c r="AH494" s="14" t="str">
        <f>IF(ABS(E494-AG494)&lt;0.01,"ok","err")</f>
        <v>ok</v>
      </c>
    </row>
    <row r="496" spans="1:34" x14ac:dyDescent="0.2">
      <c r="A496" s="2" t="s">
        <v>649</v>
      </c>
      <c r="C496" s="2" t="s">
        <v>656</v>
      </c>
      <c r="E496" s="32">
        <v>1081059.2533799775</v>
      </c>
      <c r="F496" s="32">
        <f>F443</f>
        <v>817055.77131364611</v>
      </c>
      <c r="G496" s="32">
        <f t="shared" ref="G496:AF496" si="199">G443</f>
        <v>0</v>
      </c>
      <c r="H496" s="32">
        <f t="shared" si="199"/>
        <v>15.357274065540194</v>
      </c>
      <c r="I496" s="32">
        <f t="shared" si="199"/>
        <v>73368.640830195596</v>
      </c>
      <c r="J496" s="32">
        <f t="shared" si="199"/>
        <v>116980.15308754152</v>
      </c>
      <c r="K496" s="32">
        <f t="shared" si="199"/>
        <v>0</v>
      </c>
      <c r="L496" s="32">
        <f t="shared" si="199"/>
        <v>0</v>
      </c>
      <c r="M496" s="32">
        <f t="shared" si="199"/>
        <v>34766.790614712278</v>
      </c>
      <c r="N496" s="32">
        <v>0</v>
      </c>
      <c r="O496" s="32">
        <f t="shared" si="199"/>
        <v>10274.279999999999</v>
      </c>
      <c r="P496" s="32">
        <f t="shared" si="199"/>
        <v>1060.4635400665643</v>
      </c>
      <c r="Q496" s="32">
        <f t="shared" si="199"/>
        <v>3387.4683736157199</v>
      </c>
      <c r="R496" s="32">
        <f t="shared" si="199"/>
        <v>22810.319999999996</v>
      </c>
      <c r="S496" s="32">
        <f t="shared" si="199"/>
        <v>0</v>
      </c>
      <c r="T496" s="32">
        <f t="shared" si="199"/>
        <v>765.83460061443941</v>
      </c>
      <c r="U496" s="32">
        <f t="shared" si="199"/>
        <v>574.17374551971318</v>
      </c>
      <c r="V496" s="32">
        <f t="shared" si="199"/>
        <v>0</v>
      </c>
      <c r="W496" s="32">
        <f t="shared" si="199"/>
        <v>0</v>
      </c>
      <c r="X496" s="32">
        <f t="shared" si="199"/>
        <v>0</v>
      </c>
      <c r="Y496" s="32">
        <f t="shared" si="199"/>
        <v>0</v>
      </c>
      <c r="Z496" s="32">
        <f t="shared" si="199"/>
        <v>0</v>
      </c>
      <c r="AA496" s="32">
        <f t="shared" si="199"/>
        <v>0</v>
      </c>
      <c r="AB496" s="32">
        <f t="shared" si="199"/>
        <v>0</v>
      </c>
      <c r="AC496" s="32">
        <f t="shared" si="199"/>
        <v>0</v>
      </c>
      <c r="AD496" s="32">
        <f t="shared" si="199"/>
        <v>0</v>
      </c>
      <c r="AE496" s="32">
        <f t="shared" si="199"/>
        <v>0</v>
      </c>
      <c r="AF496" s="32">
        <f t="shared" si="199"/>
        <v>0</v>
      </c>
      <c r="AG496" s="69">
        <f>SUM(F496:AF496)</f>
        <v>1081059.2533799775</v>
      </c>
      <c r="AH496" s="14" t="str">
        <f t="shared" ref="AH496:AH501" si="200">IF(ABS(E496-AG496)&lt;0.01,"ok","err")</f>
        <v>ok</v>
      </c>
    </row>
    <row r="497" spans="1:40" x14ac:dyDescent="0.2">
      <c r="A497" s="2" t="s">
        <v>650</v>
      </c>
      <c r="E497" s="69">
        <f>E123</f>
        <v>12119881.312573178</v>
      </c>
      <c r="N497" s="275"/>
      <c r="AG497" s="69">
        <f>E497</f>
        <v>12119881.312573178</v>
      </c>
      <c r="AH497" s="14" t="str">
        <f t="shared" si="200"/>
        <v>ok</v>
      </c>
    </row>
    <row r="498" spans="1:40" x14ac:dyDescent="0.2">
      <c r="A498" s="2" t="s">
        <v>592</v>
      </c>
      <c r="E498" s="45">
        <f>N498</f>
        <v>849824</v>
      </c>
      <c r="F498" s="45">
        <v>0</v>
      </c>
      <c r="G498" s="45">
        <v>0</v>
      </c>
      <c r="H498" s="45">
        <v>0</v>
      </c>
      <c r="I498" s="45">
        <v>0</v>
      </c>
      <c r="J498" s="45">
        <v>0</v>
      </c>
      <c r="K498" s="45">
        <v>0</v>
      </c>
      <c r="L498" s="45"/>
      <c r="M498" s="45">
        <v>0</v>
      </c>
      <c r="N498" s="45">
        <f>'Purchased Power'!O28+'Purchased Power'!O31</f>
        <v>849824</v>
      </c>
      <c r="O498" s="45">
        <v>0</v>
      </c>
      <c r="P498" s="45">
        <v>0</v>
      </c>
      <c r="Q498" s="45">
        <v>0</v>
      </c>
      <c r="R498" s="45">
        <v>0</v>
      </c>
      <c r="S498" s="45">
        <v>0</v>
      </c>
      <c r="T498" s="45">
        <v>0</v>
      </c>
      <c r="U498" s="45">
        <v>0</v>
      </c>
      <c r="V498" s="45">
        <v>0</v>
      </c>
      <c r="W498" s="45">
        <v>0</v>
      </c>
      <c r="X498" s="45">
        <v>0</v>
      </c>
      <c r="Y498" s="45">
        <v>0</v>
      </c>
      <c r="Z498" s="45">
        <v>0</v>
      </c>
      <c r="AA498" s="45">
        <v>0</v>
      </c>
      <c r="AB498" s="45">
        <v>0</v>
      </c>
      <c r="AC498" s="45">
        <v>0</v>
      </c>
      <c r="AD498" s="45">
        <v>0</v>
      </c>
      <c r="AE498" s="45">
        <v>0</v>
      </c>
      <c r="AF498" s="45">
        <v>0</v>
      </c>
      <c r="AG498" s="69">
        <f>SUM(F498:AF498)</f>
        <v>849824</v>
      </c>
      <c r="AH498" s="14" t="str">
        <f t="shared" si="200"/>
        <v>ok</v>
      </c>
    </row>
    <row r="499" spans="1:40" x14ac:dyDescent="0.2">
      <c r="A499" s="2" t="s">
        <v>651</v>
      </c>
      <c r="D499" s="2" t="s">
        <v>656</v>
      </c>
      <c r="E499" s="69">
        <f>E497-E498</f>
        <v>11270057.312573178</v>
      </c>
      <c r="F499" s="45">
        <f>IF(VLOOKUP($D499,$C$5:$AT$528,3,)=0,0,(VLOOKUP($D499,$C$5:$AT$528,4,)/VLOOKUP($D499,$C$5:$AT$528,3,))*$E499)</f>
        <v>8517817.4475482665</v>
      </c>
      <c r="G499" s="45">
        <f>IF(VLOOKUP($D499,$C$5:$AT$528,3,)=0,0,(VLOOKUP($D499,$C$5:$AT$528,5,)/VLOOKUP($D499,$C$5:$AT$528,3,))*$E499)</f>
        <v>0</v>
      </c>
      <c r="H499" s="45">
        <f>IF(VLOOKUP($D499,$C$5:$AT$528,3,)=0,0,(VLOOKUP($D499,$C$5:$AT$528,6,)/VLOOKUP($D499,$C$5:$AT$528,3,))*$E499)</f>
        <v>160.09978948184198</v>
      </c>
      <c r="I499" s="45">
        <f>IF(VLOOKUP($D499,$C$5:$AT$528,3,)=0,0,(VLOOKUP($D499,$C$5:$AT$528,7,)/VLOOKUP($D499,$C$5:$AT$528,3,))*$E499)</f>
        <v>764869.07125271857</v>
      </c>
      <c r="J499" s="45">
        <f>IF(VLOOKUP($D499,$C$5:$AT$528,3,)=0,0,(VLOOKUP($D499,$C$5:$AT$528,8,)/VLOOKUP($D499,$C$5:$AT$528,3,))*$E499)</f>
        <v>1219519.6753630552</v>
      </c>
      <c r="K499" s="45">
        <f>IF(VLOOKUP($D499,$C$5:$AT$528,3,)=0,0,(VLOOKUP($D499,$C$5:$AT$528,9,)/VLOOKUP($D499,$C$5:$AT$528,3,))*$E499)</f>
        <v>0</v>
      </c>
      <c r="L499" s="45">
        <f>IF(VLOOKUP($D499,$C$5:$AT$528,3,)=0,0,(VLOOKUP($D499,$C$5:$AT$528,10,)/VLOOKUP($D499,$C$5:$AT$528,3,))*$E499)</f>
        <v>0</v>
      </c>
      <c r="M499" s="45">
        <f>IF(VLOOKUP($D499,$C$5:$AT$528,3,)=0,0,(VLOOKUP($D499,$C$5:$AT$528,11,)/VLOOKUP($D499,$C$5:$AT$528,3,))*$E499)</f>
        <v>362444.26156751829</v>
      </c>
      <c r="N499" s="45">
        <f>IF(VLOOKUP($D499,$C$5:$AT$528,3,)=0,0,(VLOOKUP($D499,$C$5:$AT$528,12,)/VLOOKUP($D499,$C$5:$AT$528,3,))*$E499)</f>
        <v>0</v>
      </c>
      <c r="O499" s="45">
        <f>IF(VLOOKUP($D499,$C$5:$AT$528,3,)=0,0,(VLOOKUP($D499,$C$5:$AT$528,13,)/VLOOKUP($D499,$C$5:$AT$528,3,))*$E499)</f>
        <v>107109.50771976337</v>
      </c>
      <c r="P499" s="45">
        <f>IF(VLOOKUP($D499,$C$5:$AT$528,3,)=0,0,(VLOOKUP($D499,$C$5:$AT$528,14,)/VLOOKUP($D499,$C$5:$AT$528,3,))*$E499)</f>
        <v>11055.34672320467</v>
      </c>
      <c r="Q499" s="45">
        <f>IF(VLOOKUP($D499,$C$5:$AT$528,3,)=0,0,(VLOOKUP($D499,$C$5:$AT$528,15,)/VLOOKUP($D499,$C$5:$AT$528,3,))*$E499)</f>
        <v>35314.403531366406</v>
      </c>
      <c r="R499" s="45">
        <f>IF(VLOOKUP($D499,$C$5:$AT$528,3,)=0,0,(VLOOKUP($D499,$C$5:$AT$528,16,)/VLOOKUP($D499,$C$5:$AT$528,3,))*$E499)</f>
        <v>237797.89397702544</v>
      </c>
      <c r="S499" s="45">
        <f>IF(VLOOKUP($D499,$C$5:$AT$528,3,)=0,0,(VLOOKUP($D499,$C$5:$AT$528,17,)/VLOOKUP($D499,$C$5:$AT$528,3,))*$E499)</f>
        <v>0</v>
      </c>
      <c r="T499" s="45">
        <f>IF(VLOOKUP($D499,$C$5:$AT$528,3,)=0,0,(VLOOKUP($D499,$C$5:$AT$528,18,)/VLOOKUP($D499,$C$5:$AT$528,3,))*$E499)</f>
        <v>7983.8360514385631</v>
      </c>
      <c r="U499" s="45">
        <f>IF(VLOOKUP($D499,$C$5:$AT$528,3,)=0,0,(VLOOKUP($D499,$C$5:$AT$528,19,)/VLOOKUP($D499,$C$5:$AT$528,3,))*$E499)</f>
        <v>5985.769049337684</v>
      </c>
      <c r="V499" s="45">
        <f>IF(VLOOKUP($D499,$C$5:$AT$528,3,)=0,0,(VLOOKUP($D499,$C$5:$AT$528,20,)/VLOOKUP($D499,$C$5:$AT$528,3,))*$E499)</f>
        <v>0</v>
      </c>
      <c r="W499" s="45">
        <f>IF(VLOOKUP($D499,$C$5:$AT$528,3,)=0,0,(VLOOKUP($D499,$C$5:$AT$528,21,)/VLOOKUP($D499,$C$5:$AT$528,3,))*$E499)</f>
        <v>0</v>
      </c>
      <c r="X499" s="45">
        <f>IF(VLOOKUP($D499,$C$5:$AT$528,3,)=0,0,(VLOOKUP($D499,$C$5:$AT$528,22,)/VLOOKUP($D499,$C$5:$AT$528,3,))*$E499)</f>
        <v>0</v>
      </c>
      <c r="Y499" s="45">
        <f>IF(VLOOKUP($D499,$C$5:$AT$528,3,)=0,0,(VLOOKUP($D499,$C$5:$AT$528,23,)/VLOOKUP($D499,$C$5:$AT$528,3,))*$E499)</f>
        <v>0</v>
      </c>
      <c r="Z499" s="45">
        <f>IF(VLOOKUP($D499,$C$5:$AT$528,3,)=0,0,(VLOOKUP($D499,$C$5:$AT$528,24,)/VLOOKUP($D499,$C$5:$AT$528,3,))*$E499)</f>
        <v>0</v>
      </c>
      <c r="AA499" s="45">
        <f>IF(VLOOKUP($D499,$C$5:$AT$528,3,)=0,0,(VLOOKUP($D499,$C$5:$AT$528,25,)/VLOOKUP($D499,$C$5:$AT$528,3,))*$E499)</f>
        <v>0</v>
      </c>
      <c r="AB499" s="45">
        <f>IF(VLOOKUP($D499,$C$5:$AT$528,3,)=0,0,(VLOOKUP($D499,$C$5:$AT$528,26,)/VLOOKUP($D499,$C$5:$AT$528,3,))*$E499)</f>
        <v>0</v>
      </c>
      <c r="AC499" s="45">
        <f>IF(VLOOKUP($D499,$C$5:$AT$528,3,)=0,0,(VLOOKUP($D499,$C$5:$AT$528,27,)/VLOOKUP($D499,$C$5:$AT$528,3,))*$E499)</f>
        <v>0</v>
      </c>
      <c r="AD499" s="45">
        <f>IF(VLOOKUP($D499,$C$5:$AT$528,3,)=0,0,(VLOOKUP($D499,$C$5:$AT$528,28,)/VLOOKUP($D499,$C$5:$AT$528,3,))*$E499)</f>
        <v>0</v>
      </c>
      <c r="AE499" s="45">
        <f>IF(VLOOKUP($D499,$C$5:$AT$528,3,)=0,0,(VLOOKUP($D499,$C$5:$AT$528,29,)/VLOOKUP($D499,$C$5:$AT$528,3,))*$E499)</f>
        <v>0</v>
      </c>
      <c r="AF499" s="45">
        <f>IF(VLOOKUP($D499,$C$5:$AT$528,3,)=0,0,(VLOOKUP($D499,$C$5:$AT$528,30,)/VLOOKUP($D499,$C$5:$AT$528,3,))*$E499)</f>
        <v>0</v>
      </c>
      <c r="AG499" s="69">
        <f>SUM(F499:AF499)</f>
        <v>11270057.312573174</v>
      </c>
      <c r="AH499" s="14" t="str">
        <f t="shared" si="200"/>
        <v>ok</v>
      </c>
    </row>
    <row r="500" spans="1:40" x14ac:dyDescent="0.2">
      <c r="A500" s="2" t="s">
        <v>652</v>
      </c>
      <c r="C500" s="2" t="s">
        <v>654</v>
      </c>
      <c r="E500" s="69">
        <f t="shared" ref="E500:AF500" si="201">E498+E499</f>
        <v>12119881.312573178</v>
      </c>
      <c r="F500" s="69">
        <f t="shared" si="201"/>
        <v>8517817.4475482665</v>
      </c>
      <c r="G500" s="69">
        <f t="shared" si="201"/>
        <v>0</v>
      </c>
      <c r="H500" s="69">
        <f t="shared" si="201"/>
        <v>160.09978948184198</v>
      </c>
      <c r="I500" s="69">
        <f t="shared" si="201"/>
        <v>764869.07125271857</v>
      </c>
      <c r="J500" s="69">
        <f t="shared" si="201"/>
        <v>1219519.6753630552</v>
      </c>
      <c r="K500" s="69">
        <f t="shared" si="201"/>
        <v>0</v>
      </c>
      <c r="L500" s="69">
        <f t="shared" si="201"/>
        <v>0</v>
      </c>
      <c r="M500" s="69">
        <f t="shared" si="201"/>
        <v>362444.26156751829</v>
      </c>
      <c r="N500" s="278">
        <f t="shared" si="201"/>
        <v>849824</v>
      </c>
      <c r="O500" s="69">
        <f t="shared" si="201"/>
        <v>107109.50771976337</v>
      </c>
      <c r="P500" s="69">
        <f t="shared" si="201"/>
        <v>11055.34672320467</v>
      </c>
      <c r="Q500" s="69">
        <f t="shared" si="201"/>
        <v>35314.403531366406</v>
      </c>
      <c r="R500" s="69">
        <f t="shared" si="201"/>
        <v>237797.89397702544</v>
      </c>
      <c r="S500" s="69">
        <f t="shared" si="201"/>
        <v>0</v>
      </c>
      <c r="T500" s="69">
        <f t="shared" si="201"/>
        <v>7983.8360514385631</v>
      </c>
      <c r="U500" s="69">
        <f t="shared" si="201"/>
        <v>5985.769049337684</v>
      </c>
      <c r="V500" s="69">
        <f t="shared" si="201"/>
        <v>0</v>
      </c>
      <c r="W500" s="69">
        <f t="shared" si="201"/>
        <v>0</v>
      </c>
      <c r="X500" s="69">
        <f t="shared" si="201"/>
        <v>0</v>
      </c>
      <c r="Y500" s="69">
        <f t="shared" si="201"/>
        <v>0</v>
      </c>
      <c r="Z500" s="69">
        <f t="shared" si="201"/>
        <v>0</v>
      </c>
      <c r="AA500" s="69">
        <f t="shared" si="201"/>
        <v>0</v>
      </c>
      <c r="AB500" s="69">
        <f t="shared" si="201"/>
        <v>0</v>
      </c>
      <c r="AC500" s="69">
        <f t="shared" si="201"/>
        <v>0</v>
      </c>
      <c r="AD500" s="69">
        <f t="shared" si="201"/>
        <v>0</v>
      </c>
      <c r="AE500" s="69">
        <f t="shared" si="201"/>
        <v>0</v>
      </c>
      <c r="AF500" s="69">
        <f t="shared" si="201"/>
        <v>0</v>
      </c>
      <c r="AG500" s="69">
        <f>SUM(F500:AF500)</f>
        <v>12119881.312573174</v>
      </c>
      <c r="AH500" s="14" t="str">
        <f t="shared" si="200"/>
        <v>ok</v>
      </c>
    </row>
    <row r="501" spans="1:40" x14ac:dyDescent="0.2">
      <c r="A501" s="2" t="s">
        <v>653</v>
      </c>
      <c r="C501" s="2" t="s">
        <v>655</v>
      </c>
      <c r="D501" s="2" t="s">
        <v>654</v>
      </c>
      <c r="E501" s="31">
        <v>1</v>
      </c>
      <c r="F501" s="77">
        <f>IF(VLOOKUP($D501,$C$5:$AT$528,3,)=0,0,(VLOOKUP($D501,$C$5:$AT$528,4,)/VLOOKUP($D501,$C$5:$AT$528,3,))*$E501)</f>
        <v>0.7027971007201097</v>
      </c>
      <c r="G501" s="77">
        <f>IF(VLOOKUP($D501,$C$5:$AT$528,3,)=0,0,(VLOOKUP($D501,$C$5:$AT$528,5,)/VLOOKUP($D501,$C$5:$AT$528,3,))*$E501)</f>
        <v>0</v>
      </c>
      <c r="H501" s="77">
        <f>IF(VLOOKUP($D501,$C$5:$AT$528,3,)=0,0,(VLOOKUP($D501,$C$5:$AT$528,6,)/VLOOKUP($D501,$C$5:$AT$528,3,))*$E501)</f>
        <v>1.3209682945966994E-5</v>
      </c>
      <c r="I501" s="77">
        <f>IF(VLOOKUP($D501,$C$5:$AT$528,3,)=0,0,(VLOOKUP($D501,$C$5:$AT$528,7,)/VLOOKUP($D501,$C$5:$AT$528,3,))*$E501)</f>
        <v>6.3108627182614618E-2</v>
      </c>
      <c r="J501" s="77">
        <f>IF(VLOOKUP($D501,$C$5:$AT$528,3,)=0,0,(VLOOKUP($D501,$C$5:$AT$528,8,)/VLOOKUP($D501,$C$5:$AT$528,3,))*$E501)</f>
        <v>0.10062142061555704</v>
      </c>
      <c r="K501" s="77">
        <f>IF(VLOOKUP($D501,$C$5:$AT$528,3,)=0,0,(VLOOKUP($D501,$C$5:$AT$528,9,)/VLOOKUP($D501,$C$5:$AT$528,3,))*$E501)</f>
        <v>0</v>
      </c>
      <c r="L501" s="77">
        <f>IF(VLOOKUP($D501,$C$5:$AT$528,3,)=0,0,(VLOOKUP($D501,$C$5:$AT$528,10,)/VLOOKUP($D501,$C$5:$AT$528,3,))*$E501)</f>
        <v>0</v>
      </c>
      <c r="M501" s="77">
        <f>IF(VLOOKUP($D501,$C$5:$AT$528,3,)=0,0,(VLOOKUP($D501,$C$5:$AT$528,11,)/VLOOKUP($D501,$C$5:$AT$528,3,))*$E501)</f>
        <v>2.9904934893340764E-2</v>
      </c>
      <c r="N501" s="77">
        <f>IF(VLOOKUP($D501,$C$5:$AT$528,3,)=0,0,(VLOOKUP($D501,$C$5:$AT$528,12,)/VLOOKUP($D501,$C$5:$AT$528,3,))*$E501)</f>
        <v>7.0118178394898284E-2</v>
      </c>
      <c r="O501" s="77">
        <f>IF(VLOOKUP($D501,$C$5:$AT$528,3,)=0,0,(VLOOKUP($D501,$C$5:$AT$528,13,)/VLOOKUP($D501,$C$5:$AT$528,3,))*$E501)</f>
        <v>8.8375046716544867E-3</v>
      </c>
      <c r="P501" s="77">
        <f>IF(VLOOKUP($D501,$C$5:$AT$528,3,)=0,0,(VLOOKUP($D501,$C$5:$AT$528,14,)/VLOOKUP($D501,$C$5:$AT$528,3,))*$E501)</f>
        <v>9.1216625295957652E-4</v>
      </c>
      <c r="Q501" s="77">
        <f>IF(VLOOKUP($D501,$C$5:$AT$528,3,)=0,0,(VLOOKUP($D501,$C$5:$AT$528,15,)/VLOOKUP($D501,$C$5:$AT$528,3,))*$E501)</f>
        <v>2.9137581978407007E-3</v>
      </c>
      <c r="R501" s="77">
        <f>IF(VLOOKUP($D501,$C$5:$AT$528,3,)=0,0,(VLOOKUP($D501,$C$5:$AT$528,16,)/VLOOKUP($D501,$C$5:$AT$528,3,))*$E501)</f>
        <v>1.9620480419254079E-2</v>
      </c>
      <c r="S501" s="77">
        <f>IF(VLOOKUP($D501,$C$5:$AT$528,3,)=0,0,(VLOOKUP($D501,$C$5:$AT$528,17,)/VLOOKUP($D501,$C$5:$AT$528,3,))*$E501)</f>
        <v>0</v>
      </c>
      <c r="T501" s="77">
        <f>IF(VLOOKUP($D501,$C$5:$AT$528,3,)=0,0,(VLOOKUP($D501,$C$5:$AT$528,18,)/VLOOKUP($D501,$C$5:$AT$528,3,))*$E501)</f>
        <v>6.5873879830457768E-4</v>
      </c>
      <c r="U501" s="77">
        <f>IF(VLOOKUP($D501,$C$5:$AT$528,3,)=0,0,(VLOOKUP($D501,$C$5:$AT$528,19,)/VLOOKUP($D501,$C$5:$AT$528,3,))*$E501)</f>
        <v>4.9388017052015521E-4</v>
      </c>
      <c r="V501" s="77">
        <f>IF(VLOOKUP($D501,$C$5:$AT$528,3,)=0,0,(VLOOKUP($D501,$C$5:$AT$528,20,)/VLOOKUP($D501,$C$5:$AT$528,3,))*$E501)</f>
        <v>0</v>
      </c>
      <c r="W501" s="77">
        <f>IF(VLOOKUP($D501,$C$5:$AT$528,3,)=0,0,(VLOOKUP($D501,$C$5:$AT$528,21,)/VLOOKUP($D501,$C$5:$AT$528,3,))*$E501)</f>
        <v>0</v>
      </c>
      <c r="X501" s="77">
        <f>IF(VLOOKUP($D501,$C$5:$AT$528,3,)=0,0,(VLOOKUP($D501,$C$5:$AT$528,22,)/VLOOKUP($D501,$C$5:$AT$528,3,))*$E501)</f>
        <v>0</v>
      </c>
      <c r="Y501" s="77">
        <f>IF(VLOOKUP($D501,$C$5:$AT$528,3,)=0,0,(VLOOKUP($D501,$C$5:$AT$528,23,)/VLOOKUP($D501,$C$5:$AT$528,3,))*$E501)</f>
        <v>0</v>
      </c>
      <c r="Z501" s="77">
        <f>IF(VLOOKUP($D501,$C$5:$AT$528,3,)=0,0,(VLOOKUP($D501,$C$5:$AT$528,24,)/VLOOKUP($D501,$C$5:$AT$528,3,))*$E501)</f>
        <v>0</v>
      </c>
      <c r="AA501" s="77">
        <f>IF(VLOOKUP($D501,$C$5:$AT$528,3,)=0,0,(VLOOKUP($D501,$C$5:$AT$528,25,)/VLOOKUP($D501,$C$5:$AT$528,3,))*$E501)</f>
        <v>0</v>
      </c>
      <c r="AB501" s="77">
        <f>IF(VLOOKUP($D501,$C$5:$AT$528,3,)=0,0,(VLOOKUP($D501,$C$5:$AT$528,26,)/VLOOKUP($D501,$C$5:$AT$528,3,))*$E501)</f>
        <v>0</v>
      </c>
      <c r="AC501" s="77">
        <f>IF(VLOOKUP($D501,$C$5:$AT$528,3,)=0,0,(VLOOKUP($D501,$C$5:$AT$528,27,)/VLOOKUP($D501,$C$5:$AT$528,3,))*$E501)</f>
        <v>0</v>
      </c>
      <c r="AD501" s="77">
        <f>IF(VLOOKUP($D501,$C$5:$AT$528,3,)=0,0,(VLOOKUP($D501,$C$5:$AT$528,28,)/VLOOKUP($D501,$C$5:$AT$528,3,))*$E501)</f>
        <v>0</v>
      </c>
      <c r="AE501" s="77">
        <f>IF(VLOOKUP($D501,$C$5:$AT$528,3,)=0,0,(VLOOKUP($D501,$C$5:$AT$528,29,)/VLOOKUP($D501,$C$5:$AT$528,3,))*$E501)</f>
        <v>0</v>
      </c>
      <c r="AF501" s="77">
        <f>IF(VLOOKUP($D501,$C$5:$AT$528,3,)=0,0,(VLOOKUP($D501,$C$5:$AT$528,30,)/VLOOKUP($D501,$C$5:$AT$528,3,))*$E501)</f>
        <v>0</v>
      </c>
      <c r="AG501" s="77">
        <f>SUM(F501:AF501)</f>
        <v>0.99999999999999989</v>
      </c>
      <c r="AH501" s="14" t="str">
        <f t="shared" si="200"/>
        <v>ok</v>
      </c>
    </row>
    <row r="502" spans="1:40" x14ac:dyDescent="0.2">
      <c r="E502" s="31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  <c r="AA502" s="77"/>
      <c r="AB502" s="77"/>
      <c r="AC502" s="77"/>
      <c r="AD502" s="77"/>
      <c r="AE502" s="77"/>
      <c r="AF502" s="77"/>
      <c r="AG502" s="77"/>
      <c r="AH502" s="14"/>
    </row>
    <row r="503" spans="1:40" x14ac:dyDescent="0.2">
      <c r="A503" s="2" t="s">
        <v>657</v>
      </c>
      <c r="C503" s="2" t="s">
        <v>662</v>
      </c>
      <c r="E503" s="32">
        <v>450788608</v>
      </c>
      <c r="F503" s="32">
        <f>F430</f>
        <v>310421953</v>
      </c>
      <c r="G503" s="32">
        <f t="shared" ref="G503:Z503" si="202">G430</f>
        <v>0</v>
      </c>
      <c r="H503" s="32">
        <f t="shared" si="202"/>
        <v>11127</v>
      </c>
      <c r="I503" s="32">
        <f t="shared" si="202"/>
        <v>34413107</v>
      </c>
      <c r="J503" s="32">
        <f t="shared" si="202"/>
        <v>53019436</v>
      </c>
      <c r="K503" s="32">
        <f t="shared" si="202"/>
        <v>263644</v>
      </c>
      <c r="L503" s="32">
        <f t="shared" si="202"/>
        <v>0</v>
      </c>
      <c r="M503" s="32">
        <f t="shared" si="202"/>
        <v>24304884</v>
      </c>
      <c r="N503" s="32">
        <v>0</v>
      </c>
      <c r="O503" s="32">
        <f t="shared" si="202"/>
        <v>8340600</v>
      </c>
      <c r="P503" s="32">
        <f t="shared" si="202"/>
        <v>765404</v>
      </c>
      <c r="Q503" s="32">
        <f t="shared" si="202"/>
        <v>1640178</v>
      </c>
      <c r="R503" s="32">
        <f t="shared" si="202"/>
        <v>16623659</v>
      </c>
      <c r="S503" s="32">
        <f t="shared" si="202"/>
        <v>0</v>
      </c>
      <c r="T503" s="32">
        <f t="shared" si="202"/>
        <v>560480</v>
      </c>
      <c r="U503" s="32">
        <f t="shared" si="202"/>
        <v>424136</v>
      </c>
      <c r="V503" s="32">
        <f t="shared" si="202"/>
        <v>0</v>
      </c>
      <c r="W503" s="32">
        <f t="shared" si="202"/>
        <v>0</v>
      </c>
      <c r="X503" s="32">
        <f t="shared" si="202"/>
        <v>0</v>
      </c>
      <c r="Y503" s="32">
        <f t="shared" si="202"/>
        <v>0</v>
      </c>
      <c r="Z503" s="32">
        <f t="shared" si="202"/>
        <v>0</v>
      </c>
      <c r="AA503" s="32">
        <v>0</v>
      </c>
      <c r="AB503" s="32">
        <v>0</v>
      </c>
      <c r="AC503" s="32">
        <v>0</v>
      </c>
      <c r="AD503" s="32">
        <v>0</v>
      </c>
      <c r="AE503" s="32">
        <v>0</v>
      </c>
      <c r="AF503" s="32">
        <f>AF430</f>
        <v>0</v>
      </c>
      <c r="AG503" s="69">
        <f>SUM(F503:AF503)</f>
        <v>450788608</v>
      </c>
      <c r="AH503" s="14" t="str">
        <f t="shared" ref="AH503:AH508" si="203">IF(ABS(E503-AG503)&lt;0.01,"ok","err")</f>
        <v>ok</v>
      </c>
    </row>
    <row r="504" spans="1:40" x14ac:dyDescent="0.2">
      <c r="A504" s="2" t="s">
        <v>658</v>
      </c>
      <c r="E504" s="69">
        <f>E124</f>
        <v>30449263.092405669</v>
      </c>
      <c r="N504" s="275"/>
      <c r="AG504" s="69">
        <f>E504</f>
        <v>30449263.092405669</v>
      </c>
      <c r="AH504" s="14" t="str">
        <f t="shared" si="203"/>
        <v>ok</v>
      </c>
    </row>
    <row r="505" spans="1:40" x14ac:dyDescent="0.2">
      <c r="A505" s="2" t="s">
        <v>592</v>
      </c>
      <c r="E505" s="45">
        <f>N505</f>
        <v>1633867</v>
      </c>
      <c r="F505" s="32">
        <v>0</v>
      </c>
      <c r="G505" s="32">
        <v>0</v>
      </c>
      <c r="H505" s="32">
        <v>0</v>
      </c>
      <c r="I505" s="32">
        <v>0</v>
      </c>
      <c r="J505" s="32">
        <v>0</v>
      </c>
      <c r="K505" s="32">
        <v>0</v>
      </c>
      <c r="L505" s="32">
        <v>0</v>
      </c>
      <c r="M505" s="32">
        <v>0</v>
      </c>
      <c r="N505" s="32">
        <f>'Purchased Power'!O29+'Purchased Power'!O30</f>
        <v>1633867</v>
      </c>
      <c r="O505" s="32">
        <v>0</v>
      </c>
      <c r="P505" s="32">
        <v>0</v>
      </c>
      <c r="Q505" s="32">
        <v>0</v>
      </c>
      <c r="R505" s="32">
        <v>0</v>
      </c>
      <c r="S505" s="32">
        <v>0</v>
      </c>
      <c r="T505" s="32">
        <v>0</v>
      </c>
      <c r="U505" s="32">
        <v>0</v>
      </c>
      <c r="V505" s="32">
        <v>0</v>
      </c>
      <c r="W505" s="32">
        <v>0</v>
      </c>
      <c r="X505" s="32">
        <v>0</v>
      </c>
      <c r="Y505" s="32">
        <v>0</v>
      </c>
      <c r="Z505" s="32">
        <v>0</v>
      </c>
      <c r="AA505" s="32">
        <v>0</v>
      </c>
      <c r="AB505" s="32">
        <v>0</v>
      </c>
      <c r="AC505" s="32">
        <v>0</v>
      </c>
      <c r="AD505" s="32">
        <v>0</v>
      </c>
      <c r="AE505" s="32">
        <v>0</v>
      </c>
      <c r="AF505" s="32">
        <v>0</v>
      </c>
      <c r="AG505" s="69">
        <f>SUM(F505:AF505)</f>
        <v>1633867</v>
      </c>
      <c r="AH505" s="14" t="str">
        <f t="shared" si="203"/>
        <v>ok</v>
      </c>
    </row>
    <row r="506" spans="1:40" x14ac:dyDescent="0.2">
      <c r="A506" s="2" t="s">
        <v>659</v>
      </c>
      <c r="D506" s="2" t="s">
        <v>662</v>
      </c>
      <c r="E506" s="69">
        <f>E504-E505</f>
        <v>28815396.092405669</v>
      </c>
      <c r="F506" s="45">
        <f>IF(VLOOKUP($D506,$C$5:$AT$528,3,)=0,0,(VLOOKUP($D506,$C$5:$AT$528,4,)/VLOOKUP($D506,$C$5:$AT$528,3,))*$E506)</f>
        <v>19842851.777374856</v>
      </c>
      <c r="G506" s="45">
        <f>IF(VLOOKUP($D506,$C$5:$AT$528,3,)=0,0,(VLOOKUP($D506,$C$5:$AT$528,5,)/VLOOKUP($D506,$C$5:$AT$528,3,))*$E506)</f>
        <v>0</v>
      </c>
      <c r="H506" s="45">
        <f>IF(VLOOKUP($D506,$C$5:$AT$528,3,)=0,0,(VLOOKUP($D506,$C$5:$AT$528,6,)/VLOOKUP($D506,$C$5:$AT$528,3,))*$E506)</f>
        <v>711.26223384996877</v>
      </c>
      <c r="I506" s="45">
        <f>IF(VLOOKUP($D506,$C$5:$AT$528,3,)=0,0,(VLOOKUP($D506,$C$5:$AT$528,7,)/VLOOKUP($D506,$C$5:$AT$528,3,))*$E506)</f>
        <v>2199761.2436899431</v>
      </c>
      <c r="J506" s="45">
        <f>IF(VLOOKUP($D506,$C$5:$AT$528,3,)=0,0,(VLOOKUP($D506,$C$5:$AT$528,8,)/VLOOKUP($D506,$C$5:$AT$528,3,))*$E506)</f>
        <v>3389118.5842388291</v>
      </c>
      <c r="K506" s="45">
        <f>IF(VLOOKUP($D506,$C$5:$AT$528,3,)=0,0,(VLOOKUP($D506,$C$5:$AT$528,9,)/VLOOKUP($D506,$C$5:$AT$528,3,))*$E506)</f>
        <v>16852.702469770931</v>
      </c>
      <c r="L506" s="45">
        <f>IF(VLOOKUP($D506,$C$5:$AT$528,3,)=0,0,(VLOOKUP($D506,$C$5:$AT$528,10,)/VLOOKUP($D506,$C$5:$AT$528,3,))*$E506)</f>
        <v>0</v>
      </c>
      <c r="M506" s="45">
        <f>IF(VLOOKUP($D506,$C$5:$AT$528,3,)=0,0,(VLOOKUP($D506,$C$5:$AT$528,11,)/VLOOKUP($D506,$C$5:$AT$528,3,))*$E506)</f>
        <v>1553621.4691564988</v>
      </c>
      <c r="N506" s="45">
        <f>IF(VLOOKUP($D506,$C$5:$AT$528,3,)=0,0,(VLOOKUP($D506,$C$5:$AT$528,12,)/VLOOKUP($D506,$C$5:$AT$528,3,))*$E506)</f>
        <v>0</v>
      </c>
      <c r="O506" s="45">
        <f>IF(VLOOKUP($D506,$C$5:$AT$528,3,)=0,0,(VLOOKUP($D506,$C$5:$AT$528,13,)/VLOOKUP($D506,$C$5:$AT$528,3,))*$E506)</f>
        <v>533149.43719322805</v>
      </c>
      <c r="P506" s="45">
        <f>IF(VLOOKUP($D506,$C$5:$AT$528,3,)=0,0,(VLOOKUP($D506,$C$5:$AT$528,14,)/VLOOKUP($D506,$C$5:$AT$528,3,))*$E506)</f>
        <v>48926.301683985039</v>
      </c>
      <c r="Q506" s="45">
        <f>IF(VLOOKUP($D506,$C$5:$AT$528,3,)=0,0,(VLOOKUP($D506,$C$5:$AT$528,15,)/VLOOKUP($D506,$C$5:$AT$528,3,))*$E506)</f>
        <v>104843.77354107793</v>
      </c>
      <c r="R506" s="45">
        <f>IF(VLOOKUP($D506,$C$5:$AT$528,3,)=0,0,(VLOOKUP($D506,$C$5:$AT$528,16,)/VLOOKUP($D506,$C$5:$AT$528,3,))*$E506)</f>
        <v>1062620.7275186607</v>
      </c>
      <c r="S506" s="45">
        <f>IF(VLOOKUP($D506,$C$5:$AT$528,3,)=0,0,(VLOOKUP($D506,$C$5:$AT$528,17,)/VLOOKUP($D506,$C$5:$AT$528,3,))*$E506)</f>
        <v>0</v>
      </c>
      <c r="T506" s="45">
        <f>IF(VLOOKUP($D506,$C$5:$AT$528,3,)=0,0,(VLOOKUP($D506,$C$5:$AT$528,18,)/VLOOKUP($D506,$C$5:$AT$528,3,))*$E506)</f>
        <v>35827.110346744899</v>
      </c>
      <c r="U506" s="45">
        <f>IF(VLOOKUP($D506,$C$5:$AT$528,3,)=0,0,(VLOOKUP($D506,$C$5:$AT$528,19,)/VLOOKUP($D506,$C$5:$AT$528,3,))*$E506)</f>
        <v>27111.702958226866</v>
      </c>
      <c r="V506" s="45">
        <f>IF(VLOOKUP($D506,$C$5:$AT$528,3,)=0,0,(VLOOKUP($D506,$C$5:$AT$528,20,)/VLOOKUP($D506,$C$5:$AT$528,3,))*$E506)</f>
        <v>0</v>
      </c>
      <c r="W506" s="45">
        <f>IF(VLOOKUP($D506,$C$5:$AT$528,3,)=0,0,(VLOOKUP($D506,$C$5:$AT$528,21,)/VLOOKUP($D506,$C$5:$AT$528,3,))*$E506)</f>
        <v>0</v>
      </c>
      <c r="X506" s="45">
        <f>IF(VLOOKUP($D506,$C$5:$AT$528,3,)=0,0,(VLOOKUP($D506,$C$5:$AT$528,22,)/VLOOKUP($D506,$C$5:$AT$528,3,))*$E506)</f>
        <v>0</v>
      </c>
      <c r="Y506" s="45">
        <f>IF(VLOOKUP($D506,$C$5:$AT$528,3,)=0,0,(VLOOKUP($D506,$C$5:$AT$528,23,)/VLOOKUP($D506,$C$5:$AT$528,3,))*$E506)</f>
        <v>0</v>
      </c>
      <c r="Z506" s="45">
        <f>IF(VLOOKUP($D506,$C$5:$AT$528,3,)=0,0,(VLOOKUP($D506,$C$5:$AT$528,24,)/VLOOKUP($D506,$C$5:$AT$528,3,))*$E506)</f>
        <v>0</v>
      </c>
      <c r="AA506" s="45">
        <f>IF(VLOOKUP($D506,$C$5:$AT$528,3,)=0,0,(VLOOKUP($D506,$C$5:$AT$528,25,)/VLOOKUP($D506,$C$5:$AT$528,3,))*$E506)</f>
        <v>0</v>
      </c>
      <c r="AB506" s="45">
        <f>IF(VLOOKUP($D506,$C$5:$AT$528,3,)=0,0,(VLOOKUP($D506,$C$5:$AT$528,26,)/VLOOKUP($D506,$C$5:$AT$528,3,))*$E506)</f>
        <v>0</v>
      </c>
      <c r="AC506" s="45">
        <f>IF(VLOOKUP($D506,$C$5:$AT$528,3,)=0,0,(VLOOKUP($D506,$C$5:$AT$528,27,)/VLOOKUP($D506,$C$5:$AT$528,3,))*$E506)</f>
        <v>0</v>
      </c>
      <c r="AD506" s="45">
        <f>IF(VLOOKUP($D506,$C$5:$AT$528,3,)=0,0,(VLOOKUP($D506,$C$5:$AT$528,28,)/VLOOKUP($D506,$C$5:$AT$528,3,))*$E506)</f>
        <v>0</v>
      </c>
      <c r="AE506" s="45">
        <f>IF(VLOOKUP($D506,$C$5:$AT$528,3,)=0,0,(VLOOKUP($D506,$C$5:$AT$528,29,)/VLOOKUP($D506,$C$5:$AT$528,3,))*$E506)</f>
        <v>0</v>
      </c>
      <c r="AF506" s="45">
        <f>IF(VLOOKUP($D506,$C$5:$AT$528,3,)=0,0,(VLOOKUP($D506,$C$5:$AT$528,30,)/VLOOKUP($D506,$C$5:$AT$528,3,))*$E506)</f>
        <v>0</v>
      </c>
      <c r="AG506" s="69">
        <f>SUM(F506:AF506)</f>
        <v>28815396.092405669</v>
      </c>
      <c r="AH506" s="14" t="str">
        <f t="shared" si="203"/>
        <v>ok</v>
      </c>
    </row>
    <row r="507" spans="1:40" x14ac:dyDescent="0.2">
      <c r="A507" s="2" t="s">
        <v>660</v>
      </c>
      <c r="C507" s="2" t="s">
        <v>663</v>
      </c>
      <c r="E507" s="69">
        <f t="shared" ref="E507:AF507" si="204">E505+E506</f>
        <v>30449263.092405669</v>
      </c>
      <c r="F507" s="69">
        <f t="shared" si="204"/>
        <v>19842851.777374856</v>
      </c>
      <c r="G507" s="69">
        <f t="shared" si="204"/>
        <v>0</v>
      </c>
      <c r="H507" s="69">
        <f t="shared" si="204"/>
        <v>711.26223384996877</v>
      </c>
      <c r="I507" s="69">
        <f t="shared" si="204"/>
        <v>2199761.2436899431</v>
      </c>
      <c r="J507" s="69">
        <f t="shared" si="204"/>
        <v>3389118.5842388291</v>
      </c>
      <c r="K507" s="69">
        <f t="shared" si="204"/>
        <v>16852.702469770931</v>
      </c>
      <c r="L507" s="69">
        <f t="shared" si="204"/>
        <v>0</v>
      </c>
      <c r="M507" s="69">
        <f t="shared" si="204"/>
        <v>1553621.4691564988</v>
      </c>
      <c r="N507" s="69">
        <f t="shared" si="204"/>
        <v>1633867</v>
      </c>
      <c r="O507" s="69">
        <f t="shared" si="204"/>
        <v>533149.43719322805</v>
      </c>
      <c r="P507" s="69">
        <f t="shared" si="204"/>
        <v>48926.301683985039</v>
      </c>
      <c r="Q507" s="69">
        <f t="shared" si="204"/>
        <v>104843.77354107793</v>
      </c>
      <c r="R507" s="69">
        <f t="shared" si="204"/>
        <v>1062620.7275186607</v>
      </c>
      <c r="S507" s="69">
        <f t="shared" si="204"/>
        <v>0</v>
      </c>
      <c r="T507" s="69">
        <f t="shared" si="204"/>
        <v>35827.110346744899</v>
      </c>
      <c r="U507" s="69">
        <f t="shared" si="204"/>
        <v>27111.702958226866</v>
      </c>
      <c r="V507" s="69">
        <f t="shared" si="204"/>
        <v>0</v>
      </c>
      <c r="W507" s="69">
        <f t="shared" si="204"/>
        <v>0</v>
      </c>
      <c r="X507" s="69">
        <f t="shared" si="204"/>
        <v>0</v>
      </c>
      <c r="Y507" s="69">
        <f t="shared" si="204"/>
        <v>0</v>
      </c>
      <c r="Z507" s="69">
        <f t="shared" si="204"/>
        <v>0</v>
      </c>
      <c r="AA507" s="69">
        <f t="shared" si="204"/>
        <v>0</v>
      </c>
      <c r="AB507" s="69">
        <f t="shared" si="204"/>
        <v>0</v>
      </c>
      <c r="AC507" s="69">
        <f t="shared" si="204"/>
        <v>0</v>
      </c>
      <c r="AD507" s="69">
        <f t="shared" si="204"/>
        <v>0</v>
      </c>
      <c r="AE507" s="69">
        <f t="shared" si="204"/>
        <v>0</v>
      </c>
      <c r="AF507" s="69">
        <f t="shared" si="204"/>
        <v>0</v>
      </c>
      <c r="AG507" s="69">
        <f>SUM(F507:AF507)</f>
        <v>30449263.092405669</v>
      </c>
      <c r="AH507" s="14" t="str">
        <f t="shared" si="203"/>
        <v>ok</v>
      </c>
    </row>
    <row r="508" spans="1:40" x14ac:dyDescent="0.2">
      <c r="A508" s="2" t="s">
        <v>661</v>
      </c>
      <c r="C508" s="2" t="s">
        <v>664</v>
      </c>
      <c r="D508" s="2" t="s">
        <v>663</v>
      </c>
      <c r="E508" s="31">
        <v>1</v>
      </c>
      <c r="F508" s="77">
        <f>IF(VLOOKUP($D508,$C$5:$AT$528,3,)=0,0,(VLOOKUP($D508,$C$5:$AT$528,4,)/VLOOKUP($D508,$C$5:$AT$528,3,))*$E508)</f>
        <v>0.65166935952298466</v>
      </c>
      <c r="G508" s="77">
        <f>IF(VLOOKUP($D508,$C$5:$AT$528,3,)=0,0,(VLOOKUP($D508,$C$5:$AT$528,5,)/VLOOKUP($D508,$C$5:$AT$528,3,))*$E508)</f>
        <v>0</v>
      </c>
      <c r="H508" s="77">
        <f>IF(VLOOKUP($D508,$C$5:$AT$528,3,)=0,0,(VLOOKUP($D508,$C$5:$AT$528,6,)/VLOOKUP($D508,$C$5:$AT$528,3,))*$E508)</f>
        <v>2.3358930943302998E-5</v>
      </c>
      <c r="I508" s="77">
        <f>IF(VLOOKUP($D508,$C$5:$AT$528,3,)=0,0,(VLOOKUP($D508,$C$5:$AT$528,7,)/VLOOKUP($D508,$C$5:$AT$528,3,))*$E508)</f>
        <v>7.2243496895614004E-2</v>
      </c>
      <c r="J508" s="77">
        <f>IF(VLOOKUP($D508,$C$5:$AT$528,3,)=0,0,(VLOOKUP($D508,$C$5:$AT$528,8,)/VLOOKUP($D508,$C$5:$AT$528,3,))*$E508)</f>
        <v>0.11130379654685656</v>
      </c>
      <c r="K508" s="77">
        <f>IF(VLOOKUP($D508,$C$5:$AT$528,3,)=0,0,(VLOOKUP($D508,$C$5:$AT$528,9,)/VLOOKUP($D508,$C$5:$AT$528,3,))*$E508)</f>
        <v>5.5346831936875843E-4</v>
      </c>
      <c r="L508" s="77">
        <f>IF(VLOOKUP($D508,$C$5:$AT$528,3,)=0,0,(VLOOKUP($D508,$C$5:$AT$528,10,)/VLOOKUP($D508,$C$5:$AT$528,3,))*$E508)</f>
        <v>0</v>
      </c>
      <c r="M508" s="77">
        <f>IF(VLOOKUP($D508,$C$5:$AT$528,3,)=0,0,(VLOOKUP($D508,$C$5:$AT$528,11,)/VLOOKUP($D508,$C$5:$AT$528,3,))*$E508)</f>
        <v>5.1023286325243992E-2</v>
      </c>
      <c r="N508" s="77">
        <f>IF(VLOOKUP($D508,$C$5:$AT$528,3,)=0,0,(VLOOKUP($D508,$C$5:$AT$528,12,)/VLOOKUP($D508,$C$5:$AT$528,3,))*$E508)</f>
        <v>5.3658671313050653E-2</v>
      </c>
      <c r="O508" s="77">
        <f>IF(VLOOKUP($D508,$C$5:$AT$528,3,)=0,0,(VLOOKUP($D508,$C$5:$AT$528,13,)/VLOOKUP($D508,$C$5:$AT$528,3,))*$E508)</f>
        <v>1.7509436454184683E-2</v>
      </c>
      <c r="P508" s="77">
        <f>IF(VLOOKUP($D508,$C$5:$AT$528,3,)=0,0,(VLOOKUP($D508,$C$5:$AT$528,14,)/VLOOKUP($D508,$C$5:$AT$528,3,))*$E508)</f>
        <v>1.6068139821809914E-3</v>
      </c>
      <c r="Q508" s="77">
        <f>IF(VLOOKUP($D508,$C$5:$AT$528,3,)=0,0,(VLOOKUP($D508,$C$5:$AT$528,15,)/VLOOKUP($D508,$C$5:$AT$528,3,))*$E508)</f>
        <v>3.4432286004066532E-3</v>
      </c>
      <c r="R508" s="77">
        <f>IF(VLOOKUP($D508,$C$5:$AT$528,3,)=0,0,(VLOOKUP($D508,$C$5:$AT$528,16,)/VLOOKUP($D508,$C$5:$AT$528,3,))*$E508)</f>
        <v>3.4898076984453796E-2</v>
      </c>
      <c r="S508" s="77">
        <f>IF(VLOOKUP($D508,$C$5:$AT$528,3,)=0,0,(VLOOKUP($D508,$C$5:$AT$528,17,)/VLOOKUP($D508,$C$5:$AT$528,3,))*$E508)</f>
        <v>0</v>
      </c>
      <c r="T508" s="77">
        <f>IF(VLOOKUP($D508,$C$5:$AT$528,3,)=0,0,(VLOOKUP($D508,$C$5:$AT$528,18,)/VLOOKUP($D508,$C$5:$AT$528,3,))*$E508)</f>
        <v>1.1766166635303733E-3</v>
      </c>
      <c r="U508" s="77">
        <f>IF(VLOOKUP($D508,$C$5:$AT$528,3,)=0,0,(VLOOKUP($D508,$C$5:$AT$528,19,)/VLOOKUP($D508,$C$5:$AT$528,3,))*$E508)</f>
        <v>8.9038946118169863E-4</v>
      </c>
      <c r="V508" s="77">
        <f>IF(VLOOKUP($D508,$C$5:$AT$528,3,)=0,0,(VLOOKUP($D508,$C$5:$AT$528,20,)/VLOOKUP($D508,$C$5:$AT$528,3,))*$E508)</f>
        <v>0</v>
      </c>
      <c r="W508" s="77">
        <f>IF(VLOOKUP($D508,$C$5:$AT$528,3,)=0,0,(VLOOKUP($D508,$C$5:$AT$528,21,)/VLOOKUP($D508,$C$5:$AT$528,3,))*$E508)</f>
        <v>0</v>
      </c>
      <c r="X508" s="77">
        <f>IF(VLOOKUP($D508,$C$5:$AT$528,3,)=0,0,(VLOOKUP($D508,$C$5:$AT$528,22,)/VLOOKUP($D508,$C$5:$AT$528,3,))*$E508)</f>
        <v>0</v>
      </c>
      <c r="Y508" s="77">
        <f>IF(VLOOKUP($D508,$C$5:$AT$528,3,)=0,0,(VLOOKUP($D508,$C$5:$AT$528,23,)/VLOOKUP($D508,$C$5:$AT$528,3,))*$E508)</f>
        <v>0</v>
      </c>
      <c r="Z508" s="77">
        <f>IF(VLOOKUP($D508,$C$5:$AT$528,3,)=0,0,(VLOOKUP($D508,$C$5:$AT$528,24,)/VLOOKUP($D508,$C$5:$AT$528,3,))*$E508)</f>
        <v>0</v>
      </c>
      <c r="AA508" s="77">
        <f>IF(VLOOKUP($D508,$C$5:$AT$528,3,)=0,0,(VLOOKUP($D508,$C$5:$AT$528,25,)/VLOOKUP($D508,$C$5:$AT$528,3,))*$E508)</f>
        <v>0</v>
      </c>
      <c r="AB508" s="77">
        <f>IF(VLOOKUP($D508,$C$5:$AT$528,3,)=0,0,(VLOOKUP($D508,$C$5:$AT$528,26,)/VLOOKUP($D508,$C$5:$AT$528,3,))*$E508)</f>
        <v>0</v>
      </c>
      <c r="AC508" s="77">
        <f>IF(VLOOKUP($D508,$C$5:$AT$528,3,)=0,0,(VLOOKUP($D508,$C$5:$AT$528,27,)/VLOOKUP($D508,$C$5:$AT$528,3,))*$E508)</f>
        <v>0</v>
      </c>
      <c r="AD508" s="77">
        <f>IF(VLOOKUP($D508,$C$5:$AT$528,3,)=0,0,(VLOOKUP($D508,$C$5:$AT$528,28,)/VLOOKUP($D508,$C$5:$AT$528,3,))*$E508)</f>
        <v>0</v>
      </c>
      <c r="AE508" s="77">
        <f>IF(VLOOKUP($D508,$C$5:$AT$528,3,)=0,0,(VLOOKUP($D508,$C$5:$AT$528,29,)/VLOOKUP($D508,$C$5:$AT$528,3,))*$E508)</f>
        <v>0</v>
      </c>
      <c r="AF508" s="77">
        <f>IF(VLOOKUP($D508,$C$5:$AT$528,3,)=0,0,(VLOOKUP($D508,$C$5:$AT$528,30,)/VLOOKUP($D508,$C$5:$AT$528,3,))*$E508)</f>
        <v>0</v>
      </c>
      <c r="AG508" s="77">
        <f>SUM(F508:AF508)</f>
        <v>1.0000000000000002</v>
      </c>
      <c r="AH508" s="14" t="str">
        <f t="shared" si="203"/>
        <v>ok</v>
      </c>
    </row>
    <row r="509" spans="1:40" x14ac:dyDescent="0.2">
      <c r="E509" s="31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  <c r="AA509" s="77"/>
      <c r="AB509" s="77"/>
      <c r="AC509" s="77"/>
      <c r="AD509" s="77"/>
      <c r="AE509" s="77"/>
      <c r="AF509" s="77"/>
      <c r="AG509" s="77"/>
      <c r="AH509" s="14"/>
    </row>
    <row r="510" spans="1:40" x14ac:dyDescent="0.2">
      <c r="A510" s="1" t="s">
        <v>327</v>
      </c>
    </row>
    <row r="511" spans="1:40" x14ac:dyDescent="0.2">
      <c r="AJ511" s="124"/>
      <c r="AK511" s="66"/>
      <c r="AL511" s="66"/>
      <c r="AM511" s="66"/>
      <c r="AN511" s="66"/>
    </row>
    <row r="512" spans="1:40" x14ac:dyDescent="0.2">
      <c r="A512" s="2" t="s">
        <v>643</v>
      </c>
      <c r="E512" s="69">
        <f>E123+E199+E237+E275</f>
        <v>12135490.323327789</v>
      </c>
      <c r="F512" s="69">
        <f t="shared" ref="F512:U512" si="205">F123+F199+F237+F275</f>
        <v>8528787.4150517173</v>
      </c>
      <c r="G512" s="69">
        <f t="shared" si="205"/>
        <v>0</v>
      </c>
      <c r="H512" s="69">
        <f t="shared" si="205"/>
        <v>160.3059795650106</v>
      </c>
      <c r="I512" s="69">
        <f t="shared" si="205"/>
        <v>765854.13449312095</v>
      </c>
      <c r="J512" s="69">
        <f t="shared" si="205"/>
        <v>1221090.2761995879</v>
      </c>
      <c r="K512" s="69">
        <f t="shared" si="205"/>
        <v>0</v>
      </c>
      <c r="L512" s="69">
        <f t="shared" si="205"/>
        <v>0</v>
      </c>
      <c r="M512" s="69">
        <f t="shared" si="205"/>
        <v>362911.04801788443</v>
      </c>
      <c r="N512" s="69">
        <f t="shared" si="205"/>
        <v>850918.47540065972</v>
      </c>
      <c r="O512" s="69">
        <f t="shared" si="205"/>
        <v>107247.45242522717</v>
      </c>
      <c r="P512" s="69">
        <f t="shared" si="205"/>
        <v>11069.584736057112</v>
      </c>
      <c r="Q512" s="69">
        <f t="shared" si="205"/>
        <v>35359.884414412845</v>
      </c>
      <c r="R512" s="69">
        <f t="shared" si="205"/>
        <v>238104.15026690028</v>
      </c>
      <c r="S512" s="69">
        <f t="shared" si="205"/>
        <v>0</v>
      </c>
      <c r="T512" s="69">
        <f t="shared" si="205"/>
        <v>7994.1183124257805</v>
      </c>
      <c r="U512" s="69">
        <f t="shared" si="205"/>
        <v>5993.4780302308227</v>
      </c>
      <c r="V512" s="69">
        <f t="shared" ref="V512:AF512" si="206">V123</f>
        <v>0</v>
      </c>
      <c r="W512" s="69">
        <f t="shared" si="206"/>
        <v>0</v>
      </c>
      <c r="X512" s="69">
        <f t="shared" si="206"/>
        <v>0</v>
      </c>
      <c r="Y512" s="69">
        <f t="shared" si="206"/>
        <v>0</v>
      </c>
      <c r="Z512" s="69">
        <f t="shared" si="206"/>
        <v>0</v>
      </c>
      <c r="AA512" s="69">
        <f t="shared" si="206"/>
        <v>0</v>
      </c>
      <c r="AB512" s="69">
        <f t="shared" si="206"/>
        <v>0</v>
      </c>
      <c r="AC512" s="69">
        <f t="shared" si="206"/>
        <v>0</v>
      </c>
      <c r="AD512" s="69">
        <f t="shared" si="206"/>
        <v>0</v>
      </c>
      <c r="AE512" s="69">
        <f t="shared" si="206"/>
        <v>0</v>
      </c>
      <c r="AF512" s="69">
        <f t="shared" si="206"/>
        <v>0</v>
      </c>
      <c r="AG512" s="69">
        <f>SUM(F512:AF512)</f>
        <v>12135490.323327787</v>
      </c>
      <c r="AH512" s="14" t="str">
        <f t="shared" ref="AH512:AH517" si="207">IF(ABS(E512-AG512)&lt;0.01,"ok","err")</f>
        <v>ok</v>
      </c>
      <c r="AJ512" s="55"/>
      <c r="AK512" s="55"/>
      <c r="AL512" s="55"/>
      <c r="AM512" s="55"/>
      <c r="AN512" s="55"/>
    </row>
    <row r="513" spans="1:40" x14ac:dyDescent="0.2">
      <c r="A513" s="2" t="s">
        <v>644</v>
      </c>
      <c r="E513" s="69">
        <f>E124+E200+E238+E276</f>
        <v>30449263.092405669</v>
      </c>
      <c r="F513" s="69">
        <f t="shared" ref="F513:U513" si="208">F124+F200+F238+F276</f>
        <v>19842851.777374856</v>
      </c>
      <c r="G513" s="69">
        <f t="shared" si="208"/>
        <v>0</v>
      </c>
      <c r="H513" s="69">
        <f t="shared" si="208"/>
        <v>711.26223384996877</v>
      </c>
      <c r="I513" s="69">
        <f t="shared" si="208"/>
        <v>2199761.2436899431</v>
      </c>
      <c r="J513" s="69">
        <f t="shared" si="208"/>
        <v>3389118.5842388291</v>
      </c>
      <c r="K513" s="69">
        <f t="shared" si="208"/>
        <v>16852.702469770931</v>
      </c>
      <c r="L513" s="69">
        <f t="shared" si="208"/>
        <v>0</v>
      </c>
      <c r="M513" s="69">
        <f t="shared" si="208"/>
        <v>1553621.4691564988</v>
      </c>
      <c r="N513" s="69">
        <f t="shared" si="208"/>
        <v>1633867</v>
      </c>
      <c r="O513" s="69">
        <f t="shared" si="208"/>
        <v>533149.43719322805</v>
      </c>
      <c r="P513" s="69">
        <f t="shared" si="208"/>
        <v>48926.301683985039</v>
      </c>
      <c r="Q513" s="69">
        <f t="shared" si="208"/>
        <v>104843.77354107793</v>
      </c>
      <c r="R513" s="69">
        <f t="shared" si="208"/>
        <v>1062620.7275186607</v>
      </c>
      <c r="S513" s="69">
        <f t="shared" si="208"/>
        <v>0</v>
      </c>
      <c r="T513" s="69">
        <f t="shared" si="208"/>
        <v>35827.110346744899</v>
      </c>
      <c r="U513" s="69">
        <f t="shared" si="208"/>
        <v>27111.702958226866</v>
      </c>
      <c r="V513" s="69">
        <f t="shared" ref="V513:AF513" si="209">V124</f>
        <v>0</v>
      </c>
      <c r="W513" s="69">
        <f t="shared" si="209"/>
        <v>0</v>
      </c>
      <c r="X513" s="69">
        <f t="shared" si="209"/>
        <v>0</v>
      </c>
      <c r="Y513" s="69">
        <f t="shared" si="209"/>
        <v>0</v>
      </c>
      <c r="Z513" s="69">
        <f t="shared" si="209"/>
        <v>0</v>
      </c>
      <c r="AA513" s="69">
        <f t="shared" si="209"/>
        <v>0</v>
      </c>
      <c r="AB513" s="69">
        <f t="shared" si="209"/>
        <v>0</v>
      </c>
      <c r="AC513" s="69">
        <f t="shared" si="209"/>
        <v>0</v>
      </c>
      <c r="AD513" s="69">
        <f t="shared" si="209"/>
        <v>0</v>
      </c>
      <c r="AE513" s="69">
        <f t="shared" si="209"/>
        <v>0</v>
      </c>
      <c r="AF513" s="69">
        <f t="shared" si="209"/>
        <v>0</v>
      </c>
      <c r="AG513" s="69">
        <f>SUM(F513:AF513)</f>
        <v>30449263.092405669</v>
      </c>
      <c r="AH513" s="14" t="str">
        <f t="shared" si="207"/>
        <v>ok</v>
      </c>
      <c r="AJ513" s="55"/>
      <c r="AK513" s="55"/>
      <c r="AL513" s="55"/>
      <c r="AM513" s="55"/>
      <c r="AN513" s="55"/>
    </row>
    <row r="514" spans="1:40" x14ac:dyDescent="0.2">
      <c r="A514" s="2" t="s">
        <v>858</v>
      </c>
      <c r="E514" s="69">
        <f t="shared" ref="E514:R514" si="210">E128+E204+E242+E280</f>
        <v>0</v>
      </c>
      <c r="F514" s="69">
        <f t="shared" si="210"/>
        <v>0</v>
      </c>
      <c r="G514" s="69">
        <f t="shared" si="210"/>
        <v>0</v>
      </c>
      <c r="H514" s="69">
        <f t="shared" si="210"/>
        <v>0</v>
      </c>
      <c r="I514" s="69">
        <f t="shared" si="210"/>
        <v>0</v>
      </c>
      <c r="J514" s="69">
        <f t="shared" si="210"/>
        <v>0</v>
      </c>
      <c r="K514" s="69">
        <f t="shared" si="210"/>
        <v>0</v>
      </c>
      <c r="L514" s="69">
        <f t="shared" si="210"/>
        <v>0</v>
      </c>
      <c r="M514" s="69">
        <f t="shared" si="210"/>
        <v>0</v>
      </c>
      <c r="N514" s="69">
        <f t="shared" si="210"/>
        <v>0</v>
      </c>
      <c r="O514" s="69">
        <f t="shared" si="210"/>
        <v>0</v>
      </c>
      <c r="P514" s="69">
        <f t="shared" si="210"/>
        <v>0</v>
      </c>
      <c r="Q514" s="69">
        <f t="shared" si="210"/>
        <v>0</v>
      </c>
      <c r="R514" s="69">
        <f t="shared" si="210"/>
        <v>0</v>
      </c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>
        <f>SUM(F514:AF514)</f>
        <v>0</v>
      </c>
      <c r="AH514" s="14" t="str">
        <f t="shared" si="207"/>
        <v>ok</v>
      </c>
      <c r="AJ514" s="55"/>
      <c r="AK514" s="55"/>
      <c r="AL514" s="55"/>
      <c r="AM514" s="55"/>
      <c r="AN514" s="55"/>
    </row>
    <row r="515" spans="1:40" x14ac:dyDescent="0.2">
      <c r="A515" s="2" t="s">
        <v>645</v>
      </c>
      <c r="D515" s="30">
        <f>E515/(E515+E516)</f>
        <v>0.5317741121648788</v>
      </c>
      <c r="E515" s="69">
        <f t="shared" ref="E515:AG515" si="211">E131+E134+E139+E207+E210+E215+E245+E248+E253+E283+E286+E291</f>
        <v>7960062.9647730449</v>
      </c>
      <c r="F515" s="69">
        <f t="shared" si="211"/>
        <v>6388613.415474453</v>
      </c>
      <c r="G515" s="69">
        <f t="shared" si="211"/>
        <v>0</v>
      </c>
      <c r="H515" s="69">
        <f t="shared" si="211"/>
        <v>230.14094541969646</v>
      </c>
      <c r="I515" s="69">
        <f t="shared" si="211"/>
        <v>553724.23992986174</v>
      </c>
      <c r="J515" s="69">
        <f t="shared" si="211"/>
        <v>476961.58651290712</v>
      </c>
      <c r="K515" s="69">
        <f t="shared" si="211"/>
        <v>5474.9498212847111</v>
      </c>
      <c r="L515" s="69">
        <f t="shared" si="211"/>
        <v>0</v>
      </c>
      <c r="M515" s="69">
        <f t="shared" si="211"/>
        <v>161648.36338202161</v>
      </c>
      <c r="N515" s="69">
        <f t="shared" si="211"/>
        <v>175750.54786175053</v>
      </c>
      <c r="O515" s="69">
        <f t="shared" si="211"/>
        <v>43795.144047103422</v>
      </c>
      <c r="P515" s="69">
        <f t="shared" si="211"/>
        <v>12856.983419407803</v>
      </c>
      <c r="Q515" s="69">
        <f t="shared" si="211"/>
        <v>30355.9377271216</v>
      </c>
      <c r="R515" s="69">
        <f t="shared" si="211"/>
        <v>102583.20202772984</v>
      </c>
      <c r="S515" s="69">
        <f t="shared" si="211"/>
        <v>0</v>
      </c>
      <c r="T515" s="69">
        <f t="shared" si="211"/>
        <v>4929.6342772183816</v>
      </c>
      <c r="U515" s="69">
        <f t="shared" si="211"/>
        <v>3138.8193467663959</v>
      </c>
      <c r="V515" s="69">
        <f t="shared" si="211"/>
        <v>0</v>
      </c>
      <c r="W515" s="69">
        <f t="shared" si="211"/>
        <v>0</v>
      </c>
      <c r="X515" s="69">
        <f t="shared" si="211"/>
        <v>0</v>
      </c>
      <c r="Y515" s="69">
        <f t="shared" si="211"/>
        <v>0</v>
      </c>
      <c r="Z515" s="69">
        <f t="shared" si="211"/>
        <v>0</v>
      </c>
      <c r="AA515" s="69">
        <f t="shared" si="211"/>
        <v>0</v>
      </c>
      <c r="AB515" s="69">
        <f t="shared" si="211"/>
        <v>0</v>
      </c>
      <c r="AC515" s="69">
        <f t="shared" si="211"/>
        <v>0</v>
      </c>
      <c r="AD515" s="69">
        <f t="shared" si="211"/>
        <v>0</v>
      </c>
      <c r="AE515" s="69">
        <f t="shared" si="211"/>
        <v>0</v>
      </c>
      <c r="AF515" s="69">
        <f t="shared" si="211"/>
        <v>0</v>
      </c>
      <c r="AG515" s="69">
        <f t="shared" si="211"/>
        <v>7960062.9647730449</v>
      </c>
      <c r="AH515" s="14" t="str">
        <f t="shared" si="207"/>
        <v>ok</v>
      </c>
      <c r="AJ515" s="55"/>
      <c r="AK515" s="55"/>
      <c r="AL515" s="55"/>
      <c r="AM515" s="55"/>
      <c r="AN515" s="55"/>
    </row>
    <row r="516" spans="1:40" x14ac:dyDescent="0.2">
      <c r="A516" s="2" t="s">
        <v>646</v>
      </c>
      <c r="D516" s="30">
        <f>E516/(E515+E516)</f>
        <v>0.46822588783512131</v>
      </c>
      <c r="E516" s="45">
        <f t="shared" ref="E516:AD516" si="212">E135+E140+E144+E147+E150+E153+E211+E216+E220+E223+E226+E229+E249+E254+E258+E261+E264+E267+E287+E292+E296+E299+E302+E305</f>
        <v>7008817.2094934955</v>
      </c>
      <c r="F516" s="45">
        <f t="shared" si="212"/>
        <v>6163235.4035456842</v>
      </c>
      <c r="G516" s="45">
        <f t="shared" si="212"/>
        <v>0</v>
      </c>
      <c r="H516" s="45">
        <f t="shared" si="212"/>
        <v>250.80310098257036</v>
      </c>
      <c r="I516" s="45">
        <f>I135+I140+I144+I147+I150+I153+I211+I216+I220+I223+I226+I229+I249+I254+I258+I261+I264+I267+I287+I292+I296+I299+I302+I305</f>
        <v>461682.13053336239</v>
      </c>
      <c r="J516" s="45">
        <f t="shared" si="212"/>
        <v>66243.654430286857</v>
      </c>
      <c r="K516" s="45">
        <f t="shared" si="212"/>
        <v>2521.7717694940893</v>
      </c>
      <c r="L516" s="45">
        <f t="shared" si="212"/>
        <v>0</v>
      </c>
      <c r="M516" s="45">
        <f t="shared" si="212"/>
        <v>3499.5110289106092</v>
      </c>
      <c r="N516" s="45">
        <f t="shared" si="212"/>
        <v>3829.336711281509</v>
      </c>
      <c r="O516" s="45">
        <f t="shared" si="212"/>
        <v>1333.6811349235841</v>
      </c>
      <c r="P516" s="45">
        <f t="shared" si="212"/>
        <v>1018.2599430625938</v>
      </c>
      <c r="Q516" s="45">
        <f t="shared" si="212"/>
        <v>20193.181506902507</v>
      </c>
      <c r="R516" s="45">
        <f t="shared" si="212"/>
        <v>1026.3829362369122</v>
      </c>
      <c r="S516" s="45">
        <f t="shared" si="212"/>
        <v>0</v>
      </c>
      <c r="T516" s="45">
        <f t="shared" si="212"/>
        <v>4789.6604605968369</v>
      </c>
      <c r="U516" s="45">
        <f t="shared" si="212"/>
        <v>279193.43239177123</v>
      </c>
      <c r="V516" s="45">
        <f t="shared" si="212"/>
        <v>0</v>
      </c>
      <c r="W516" s="45">
        <f t="shared" si="212"/>
        <v>0</v>
      </c>
      <c r="X516" s="45">
        <f t="shared" si="212"/>
        <v>0</v>
      </c>
      <c r="Y516" s="45">
        <f t="shared" si="212"/>
        <v>0</v>
      </c>
      <c r="Z516" s="45">
        <f t="shared" si="212"/>
        <v>0</v>
      </c>
      <c r="AA516" s="45">
        <f t="shared" si="212"/>
        <v>0</v>
      </c>
      <c r="AB516" s="45">
        <f t="shared" si="212"/>
        <v>0</v>
      </c>
      <c r="AC516" s="45">
        <f t="shared" si="212"/>
        <v>0</v>
      </c>
      <c r="AD516" s="45">
        <f t="shared" si="212"/>
        <v>0</v>
      </c>
      <c r="AE516" s="45"/>
      <c r="AF516" s="45">
        <f>AF135+AF140+AF144+AF147+AF150+AF153+AF211+AF216+AF220+AF223+AF226+AF229+AF249+AF254+AF258+AF261+AF264+AF267+AF287+AF292+AF296+AF299+AF302+AF305</f>
        <v>0</v>
      </c>
      <c r="AG516" s="69">
        <f>SUM(F516:AF516)</f>
        <v>7008817.2094934965</v>
      </c>
      <c r="AH516" s="14" t="str">
        <f t="shared" si="207"/>
        <v>ok</v>
      </c>
      <c r="AJ516" s="55"/>
      <c r="AK516" s="55"/>
      <c r="AL516" s="55"/>
      <c r="AM516" s="55"/>
      <c r="AN516" s="55"/>
    </row>
    <row r="517" spans="1:40" x14ac:dyDescent="0.2">
      <c r="A517" s="2" t="s">
        <v>0</v>
      </c>
      <c r="E517" s="162">
        <f>SUM(E512:E516)</f>
        <v>57553633.589999996</v>
      </c>
      <c r="F517" s="162">
        <f t="shared" ref="F517:R517" si="213">SUM(F512:F516)</f>
        <v>40923488.011446714</v>
      </c>
      <c r="G517" s="162">
        <f t="shared" si="213"/>
        <v>0</v>
      </c>
      <c r="H517" s="162">
        <f t="shared" si="213"/>
        <v>1352.5122598172463</v>
      </c>
      <c r="I517" s="162">
        <f t="shared" si="213"/>
        <v>3981021.7486462882</v>
      </c>
      <c r="J517" s="162">
        <f t="shared" si="213"/>
        <v>5153414.1013816111</v>
      </c>
      <c r="K517" s="162">
        <f t="shared" si="213"/>
        <v>24849.424060549733</v>
      </c>
      <c r="L517" s="162">
        <f t="shared" si="213"/>
        <v>0</v>
      </c>
      <c r="M517" s="162">
        <f t="shared" si="213"/>
        <v>2081680.3915853153</v>
      </c>
      <c r="N517" s="162">
        <f t="shared" si="213"/>
        <v>2664365.3599736919</v>
      </c>
      <c r="O517" s="162">
        <f t="shared" si="213"/>
        <v>685525.71480048227</v>
      </c>
      <c r="P517" s="162">
        <f t="shared" si="213"/>
        <v>73871.129782512551</v>
      </c>
      <c r="Q517" s="162">
        <f t="shared" si="213"/>
        <v>190752.77718951489</v>
      </c>
      <c r="R517" s="162">
        <f t="shared" si="213"/>
        <v>1404334.4627495278</v>
      </c>
      <c r="S517" s="162">
        <f t="shared" ref="S517:AG517" si="214">SUM(S512:S516)</f>
        <v>0</v>
      </c>
      <c r="T517" s="162">
        <f t="shared" si="214"/>
        <v>53540.523396985904</v>
      </c>
      <c r="U517" s="162">
        <f t="shared" si="214"/>
        <v>315437.43272699532</v>
      </c>
      <c r="V517" s="162">
        <f t="shared" si="214"/>
        <v>0</v>
      </c>
      <c r="W517" s="162">
        <f t="shared" si="214"/>
        <v>0</v>
      </c>
      <c r="X517" s="162">
        <f t="shared" si="214"/>
        <v>0</v>
      </c>
      <c r="Y517" s="162">
        <f t="shared" si="214"/>
        <v>0</v>
      </c>
      <c r="Z517" s="162">
        <f t="shared" si="214"/>
        <v>0</v>
      </c>
      <c r="AA517" s="162">
        <f t="shared" si="214"/>
        <v>0</v>
      </c>
      <c r="AB517" s="162">
        <f t="shared" si="214"/>
        <v>0</v>
      </c>
      <c r="AC517" s="162">
        <f t="shared" si="214"/>
        <v>0</v>
      </c>
      <c r="AD517" s="162">
        <f t="shared" si="214"/>
        <v>0</v>
      </c>
      <c r="AE517" s="162">
        <f t="shared" si="214"/>
        <v>0</v>
      </c>
      <c r="AF517" s="162">
        <f t="shared" si="214"/>
        <v>0</v>
      </c>
      <c r="AG517" s="162">
        <f t="shared" si="214"/>
        <v>57553633.589999996</v>
      </c>
      <c r="AH517" s="14" t="str">
        <f t="shared" si="207"/>
        <v>ok</v>
      </c>
      <c r="AJ517" s="55"/>
      <c r="AK517" s="55"/>
      <c r="AL517" s="55"/>
      <c r="AM517" s="55"/>
      <c r="AN517" s="55"/>
    </row>
    <row r="519" spans="1:40" x14ac:dyDescent="0.2">
      <c r="A519" s="1" t="s">
        <v>695</v>
      </c>
      <c r="E519" s="69"/>
    </row>
    <row r="520" spans="1:40" x14ac:dyDescent="0.2">
      <c r="AJ520" s="124"/>
      <c r="AK520" s="66"/>
      <c r="AL520" s="66"/>
      <c r="AM520" s="66"/>
      <c r="AN520" s="66"/>
    </row>
    <row r="521" spans="1:40" x14ac:dyDescent="0.2">
      <c r="A521" s="2" t="s">
        <v>643</v>
      </c>
      <c r="D521" s="69"/>
      <c r="E521" s="69">
        <f>E512+E366</f>
        <v>5780664.3233277891</v>
      </c>
      <c r="F521" s="69">
        <f t="shared" ref="F521:J521" si="215">F512+F366</f>
        <v>3902444.1490494637</v>
      </c>
      <c r="G521" s="69">
        <f t="shared" si="215"/>
        <v>0</v>
      </c>
      <c r="H521" s="69">
        <f t="shared" si="215"/>
        <v>73.349832932531243</v>
      </c>
      <c r="I521" s="69">
        <f t="shared" si="215"/>
        <v>350425.31144621078</v>
      </c>
      <c r="J521" s="69">
        <f t="shared" si="215"/>
        <v>558723.81053917727</v>
      </c>
      <c r="K521" s="69">
        <f t="shared" ref="K521:AF521" si="216">K512+K366</f>
        <v>0</v>
      </c>
      <c r="L521" s="69">
        <f t="shared" si="216"/>
        <v>0</v>
      </c>
      <c r="M521" s="69">
        <f t="shared" si="216"/>
        <v>166054.09738122943</v>
      </c>
      <c r="N521" s="69">
        <f t="shared" si="216"/>
        <v>617279.5138115267</v>
      </c>
      <c r="O521" s="69">
        <f t="shared" si="216"/>
        <v>49072.297484946808</v>
      </c>
      <c r="P521" s="69">
        <f t="shared" si="216"/>
        <v>5065.0149995996089</v>
      </c>
      <c r="Q521" s="69">
        <f t="shared" si="216"/>
        <v>16179.319207858807</v>
      </c>
      <c r="R521" s="69">
        <f t="shared" si="216"/>
        <v>108947.27501750318</v>
      </c>
      <c r="S521" s="69">
        <f t="shared" si="216"/>
        <v>0</v>
      </c>
      <c r="T521" s="69">
        <f t="shared" si="216"/>
        <v>3657.8001909250288</v>
      </c>
      <c r="U521" s="69">
        <f t="shared" si="216"/>
        <v>2742.3843664168699</v>
      </c>
      <c r="V521" s="69">
        <f t="shared" si="216"/>
        <v>0</v>
      </c>
      <c r="W521" s="69">
        <f t="shared" si="216"/>
        <v>0</v>
      </c>
      <c r="X521" s="69">
        <f t="shared" si="216"/>
        <v>0</v>
      </c>
      <c r="Y521" s="69">
        <f t="shared" si="216"/>
        <v>0</v>
      </c>
      <c r="Z521" s="69">
        <f t="shared" si="216"/>
        <v>0</v>
      </c>
      <c r="AA521" s="69">
        <f t="shared" si="216"/>
        <v>0</v>
      </c>
      <c r="AB521" s="69">
        <f t="shared" si="216"/>
        <v>0</v>
      </c>
      <c r="AC521" s="69">
        <f t="shared" si="216"/>
        <v>0</v>
      </c>
      <c r="AD521" s="69">
        <f t="shared" si="216"/>
        <v>0</v>
      </c>
      <c r="AE521" s="69">
        <f t="shared" si="216"/>
        <v>0</v>
      </c>
      <c r="AF521" s="69">
        <f t="shared" si="216"/>
        <v>0</v>
      </c>
      <c r="AG521" s="69">
        <f>SUM(F521:AF521)</f>
        <v>5780664.32332779</v>
      </c>
      <c r="AH521" s="14" t="str">
        <f t="shared" ref="AH521:AH526" si="217">IF(ABS(E521-AG521)&lt;0.01,"ok","err")</f>
        <v>ok</v>
      </c>
      <c r="AJ521" s="55"/>
      <c r="AK521" s="55"/>
      <c r="AL521" s="55"/>
      <c r="AM521" s="55"/>
      <c r="AN521" s="55"/>
    </row>
    <row r="522" spans="1:40" x14ac:dyDescent="0.2">
      <c r="A522" s="2" t="s">
        <v>644</v>
      </c>
      <c r="D522" s="69"/>
      <c r="E522" s="69">
        <f>E513+E365+E370</f>
        <v>28140722.832405668</v>
      </c>
      <c r="F522" s="69">
        <f t="shared" ref="F522:U522" si="218">F513+F365+F370</f>
        <v>18287659.673072208</v>
      </c>
      <c r="G522" s="69">
        <f t="shared" si="218"/>
        <v>0</v>
      </c>
      <c r="H522" s="69">
        <f t="shared" si="218"/>
        <v>653.95285737846723</v>
      </c>
      <c r="I522" s="69">
        <f t="shared" si="218"/>
        <v>2154227.0937980106</v>
      </c>
      <c r="J522" s="69">
        <f t="shared" si="218"/>
        <v>3116043.1085463082</v>
      </c>
      <c r="K522" s="69">
        <f t="shared" si="218"/>
        <v>14630.922681779157</v>
      </c>
      <c r="L522" s="69">
        <f t="shared" si="218"/>
        <v>0</v>
      </c>
      <c r="M522" s="69">
        <f t="shared" si="218"/>
        <v>1428439.6818596376</v>
      </c>
      <c r="N522" s="69">
        <f t="shared" si="218"/>
        <v>1463962.1719590761</v>
      </c>
      <c r="O522" s="69">
        <f t="shared" si="218"/>
        <v>491292.84386369277</v>
      </c>
      <c r="P522" s="69">
        <f t="shared" si="218"/>
        <v>45085.186660989137</v>
      </c>
      <c r="Q522" s="69">
        <f t="shared" si="218"/>
        <v>101664.3249033563</v>
      </c>
      <c r="R522" s="69">
        <f t="shared" si="218"/>
        <v>979196.30548524961</v>
      </c>
      <c r="S522" s="69">
        <f t="shared" si="218"/>
        <v>0</v>
      </c>
      <c r="T522" s="69">
        <f t="shared" si="218"/>
        <v>32940.370046147509</v>
      </c>
      <c r="U522" s="69">
        <f t="shared" si="218"/>
        <v>24927.199525215561</v>
      </c>
      <c r="V522" s="69">
        <f t="shared" ref="V522" si="219">V513+V365+V370</f>
        <v>0</v>
      </c>
      <c r="W522" s="69">
        <f t="shared" ref="W522:AF522" si="220">W513+W365+W367+W370</f>
        <v>0</v>
      </c>
      <c r="X522" s="69">
        <f t="shared" si="220"/>
        <v>0</v>
      </c>
      <c r="Y522" s="69">
        <f t="shared" si="220"/>
        <v>0</v>
      </c>
      <c r="Z522" s="69">
        <f t="shared" si="220"/>
        <v>0</v>
      </c>
      <c r="AA522" s="69">
        <f t="shared" si="220"/>
        <v>0</v>
      </c>
      <c r="AB522" s="69">
        <f t="shared" si="220"/>
        <v>0</v>
      </c>
      <c r="AC522" s="69">
        <f t="shared" si="220"/>
        <v>0</v>
      </c>
      <c r="AD522" s="69">
        <f t="shared" si="220"/>
        <v>0</v>
      </c>
      <c r="AE522" s="69">
        <f t="shared" si="220"/>
        <v>0</v>
      </c>
      <c r="AF522" s="69">
        <f t="shared" si="220"/>
        <v>0</v>
      </c>
      <c r="AG522" s="69">
        <f>SUM(F522:AF522)</f>
        <v>28140722.83525905</v>
      </c>
      <c r="AH522" s="14" t="str">
        <f t="shared" si="217"/>
        <v>ok</v>
      </c>
      <c r="AJ522" s="55"/>
      <c r="AK522" s="55"/>
      <c r="AL522" s="55"/>
      <c r="AM522" s="55"/>
      <c r="AN522" s="55"/>
    </row>
    <row r="523" spans="1:40" x14ac:dyDescent="0.2">
      <c r="A523" s="2" t="s">
        <v>858</v>
      </c>
      <c r="D523" s="69"/>
      <c r="E523" s="69">
        <f>E514</f>
        <v>0</v>
      </c>
      <c r="F523" s="69">
        <f t="shared" ref="F523:J523" si="221">F514</f>
        <v>0</v>
      </c>
      <c r="G523" s="69">
        <f t="shared" si="221"/>
        <v>0</v>
      </c>
      <c r="H523" s="69">
        <f t="shared" si="221"/>
        <v>0</v>
      </c>
      <c r="I523" s="69">
        <f t="shared" si="221"/>
        <v>0</v>
      </c>
      <c r="J523" s="69">
        <f t="shared" si="221"/>
        <v>0</v>
      </c>
      <c r="K523" s="69">
        <f t="shared" ref="K523:AF523" si="222">K514</f>
        <v>0</v>
      </c>
      <c r="L523" s="69">
        <f t="shared" si="222"/>
        <v>0</v>
      </c>
      <c r="M523" s="69">
        <f t="shared" si="222"/>
        <v>0</v>
      </c>
      <c r="N523" s="69">
        <f t="shared" si="222"/>
        <v>0</v>
      </c>
      <c r="O523" s="69">
        <f t="shared" si="222"/>
        <v>0</v>
      </c>
      <c r="P523" s="69">
        <f t="shared" si="222"/>
        <v>0</v>
      </c>
      <c r="Q523" s="69">
        <f t="shared" si="222"/>
        <v>0</v>
      </c>
      <c r="R523" s="69">
        <f t="shared" si="222"/>
        <v>0</v>
      </c>
      <c r="S523" s="69">
        <f t="shared" si="222"/>
        <v>0</v>
      </c>
      <c r="T523" s="69">
        <f t="shared" si="222"/>
        <v>0</v>
      </c>
      <c r="U523" s="69">
        <f t="shared" si="222"/>
        <v>0</v>
      </c>
      <c r="V523" s="69">
        <f t="shared" si="222"/>
        <v>0</v>
      </c>
      <c r="W523" s="69">
        <f t="shared" si="222"/>
        <v>0</v>
      </c>
      <c r="X523" s="69">
        <f t="shared" si="222"/>
        <v>0</v>
      </c>
      <c r="Y523" s="69">
        <f t="shared" si="222"/>
        <v>0</v>
      </c>
      <c r="Z523" s="69">
        <f t="shared" si="222"/>
        <v>0</v>
      </c>
      <c r="AA523" s="69">
        <f t="shared" si="222"/>
        <v>0</v>
      </c>
      <c r="AB523" s="69">
        <f t="shared" si="222"/>
        <v>0</v>
      </c>
      <c r="AC523" s="69">
        <f t="shared" si="222"/>
        <v>0</v>
      </c>
      <c r="AD523" s="69">
        <f t="shared" si="222"/>
        <v>0</v>
      </c>
      <c r="AE523" s="69">
        <f t="shared" si="222"/>
        <v>0</v>
      </c>
      <c r="AF523" s="69">
        <f t="shared" si="222"/>
        <v>0</v>
      </c>
      <c r="AG523" s="69">
        <f>SUM(F523:AF523)</f>
        <v>0</v>
      </c>
      <c r="AH523" s="14" t="str">
        <f t="shared" si="217"/>
        <v>ok</v>
      </c>
      <c r="AJ523" s="55"/>
      <c r="AK523" s="55"/>
      <c r="AL523" s="55"/>
      <c r="AM523" s="55"/>
      <c r="AN523" s="55"/>
    </row>
    <row r="524" spans="1:40" x14ac:dyDescent="0.2">
      <c r="A524" s="2" t="s">
        <v>645</v>
      </c>
      <c r="D524" s="30">
        <f>D515</f>
        <v>0.5317741121648788</v>
      </c>
      <c r="E524" s="69">
        <f>E515+(E367+E368+E369+E371+E372+E373+E374+E375+E376+E377+E378)*$D524</f>
        <v>8109316.7960793395</v>
      </c>
      <c r="F524" s="69">
        <f t="shared" ref="F524:U524" si="223">F515+(F367+F368+F369+F371+F372+F373+F374+F375+F376+F377+F378)*$D524</f>
        <v>6509226.3990293946</v>
      </c>
      <c r="G524" s="69">
        <f t="shared" si="223"/>
        <v>0</v>
      </c>
      <c r="H524" s="69">
        <f t="shared" si="223"/>
        <v>234.42349397179774</v>
      </c>
      <c r="I524" s="69">
        <f t="shared" si="223"/>
        <v>564259.16324246791</v>
      </c>
      <c r="J524" s="69">
        <f t="shared" si="223"/>
        <v>486922.72186586441</v>
      </c>
      <c r="K524" s="69">
        <f t="shared" si="223"/>
        <v>5584.9034046177603</v>
      </c>
      <c r="L524" s="69">
        <f t="shared" si="223"/>
        <v>0</v>
      </c>
      <c r="M524" s="69">
        <f t="shared" si="223"/>
        <v>165149.29336648443</v>
      </c>
      <c r="N524" s="69">
        <f t="shared" si="223"/>
        <v>179451.60099022798</v>
      </c>
      <c r="O524" s="69">
        <f t="shared" si="223"/>
        <v>44737.152034849634</v>
      </c>
      <c r="P524" s="69">
        <f t="shared" si="223"/>
        <v>13132.996231830966</v>
      </c>
      <c r="Q524" s="69">
        <f t="shared" si="223"/>
        <v>30958.004074475175</v>
      </c>
      <c r="R524" s="69">
        <f t="shared" si="223"/>
        <v>104810.70338267763</v>
      </c>
      <c r="S524" s="69">
        <f t="shared" si="223"/>
        <v>0</v>
      </c>
      <c r="T524" s="69">
        <f t="shared" si="223"/>
        <v>5008.6352871863819</v>
      </c>
      <c r="U524" s="69">
        <f t="shared" si="223"/>
        <v>-159.20032470859178</v>
      </c>
      <c r="V524" s="69">
        <f t="shared" ref="V524" si="224">V515+(V367+V368+V369+V371+V372+V373+V374+V375+V376+V377)*$D524</f>
        <v>0</v>
      </c>
      <c r="W524" s="69">
        <f>W515+(W368+W371+W372+W373+W374+W375+W376)*AVERAGE(ZeroInt!$D$130:$D$132)</f>
        <v>0</v>
      </c>
      <c r="X524" s="69">
        <f>X515+(X368+X371+X372+X373+X374+X375+X376)*AVERAGE(ZeroInt!$D$130:$D$132)</f>
        <v>0</v>
      </c>
      <c r="Y524" s="69">
        <f>Y515+(Y368+Y371+Y372+Y373+Y374+Y375+Y376)*AVERAGE(ZeroInt!$D$130:$D$132)</f>
        <v>0</v>
      </c>
      <c r="Z524" s="69">
        <f>Z515+(Z368+Z371+Z372+Z373+Z374+Z375+Z376)*AVERAGE(ZeroInt!$D$130:$D$132)</f>
        <v>0</v>
      </c>
      <c r="AA524" s="69">
        <f>AA515+(AA368+AA371+AA372+AA373+AA374+AA375+AA376)*AVERAGE(ZeroInt!$D$130:$D$132)</f>
        <v>0</v>
      </c>
      <c r="AB524" s="69">
        <f>AB515+(AB368+AB371+AB372+AB373+AB374+AB375+AB376)*AVERAGE(ZeroInt!$D$130:$D$132)</f>
        <v>0</v>
      </c>
      <c r="AC524" s="69">
        <f>AC515+(AC368+AC371+AC372+AC373+AC374+AC375+AC376)*AVERAGE(ZeroInt!$D$130:$D$132)</f>
        <v>0</v>
      </c>
      <c r="AD524" s="69">
        <f>AD515+(AD368+AD371+AD372+AD373+AD374+AD375+AD376)*AVERAGE(ZeroInt!$D$130:$D$132)</f>
        <v>0</v>
      </c>
      <c r="AE524" s="69">
        <f>AE515+(AE368+AE371+AE372+AE373+AE374+AE375+AE376)*AVERAGE(ZeroInt!$D$130:$D$132)</f>
        <v>0</v>
      </c>
      <c r="AF524" s="69">
        <f>AF515+(AF368+AF371+AF372+AF373+AF374+AF375+AF376)*AVERAGE(ZeroInt!$D$130:$D$132)</f>
        <v>0</v>
      </c>
      <c r="AG524" s="69">
        <f>SUM(F524:AF524)</f>
        <v>8109316.7960793395</v>
      </c>
      <c r="AH524" s="14" t="str">
        <f t="shared" si="217"/>
        <v>ok</v>
      </c>
      <c r="AJ524" s="55"/>
      <c r="AK524" s="55"/>
      <c r="AL524" s="55"/>
      <c r="AM524" s="55"/>
      <c r="AN524" s="55"/>
    </row>
    <row r="525" spans="1:40" x14ac:dyDescent="0.2">
      <c r="A525" s="2" t="s">
        <v>646</v>
      </c>
      <c r="D525" s="30">
        <f>D516</f>
        <v>0.46822588783512131</v>
      </c>
      <c r="E525" s="69">
        <f>E516+(E367+E368+E369+E371+E372+E373+E374+E375+E376+E377+E378)*$D525</f>
        <v>7140234.8661215696</v>
      </c>
      <c r="F525" s="69">
        <f t="shared" ref="F525:U525" si="225">F516+(F367+F368+F369+F371+F372+F373+F374+F375+F376+F377+F378)*$D525</f>
        <v>6269434.8593250308</v>
      </c>
      <c r="G525" s="69">
        <f t="shared" si="225"/>
        <v>0</v>
      </c>
      <c r="H525" s="69">
        <f t="shared" si="225"/>
        <v>254.57387517434395</v>
      </c>
      <c r="I525" s="69">
        <f t="shared" si="225"/>
        <v>470958.10638190189</v>
      </c>
      <c r="J525" s="69">
        <f t="shared" si="225"/>
        <v>75014.411294506193</v>
      </c>
      <c r="K525" s="69">
        <f t="shared" si="225"/>
        <v>2618.5856477913608</v>
      </c>
      <c r="L525" s="69">
        <f t="shared" si="225"/>
        <v>0</v>
      </c>
      <c r="M525" s="69">
        <f t="shared" si="225"/>
        <v>6582.0718620251246</v>
      </c>
      <c r="N525" s="69">
        <f t="shared" si="225"/>
        <v>7088.1055143574413</v>
      </c>
      <c r="O525" s="69">
        <f t="shared" si="225"/>
        <v>2163.1170106464906</v>
      </c>
      <c r="P525" s="69">
        <f t="shared" si="225"/>
        <v>1261.2885922470691</v>
      </c>
      <c r="Q525" s="69">
        <f t="shared" si="225"/>
        <v>20723.299546830465</v>
      </c>
      <c r="R525" s="69">
        <f t="shared" si="225"/>
        <v>2987.6927776061398</v>
      </c>
      <c r="S525" s="69">
        <f t="shared" si="225"/>
        <v>0</v>
      </c>
      <c r="T525" s="69">
        <f t="shared" si="225"/>
        <v>4859.2206689370823</v>
      </c>
      <c r="U525" s="69">
        <f t="shared" si="225"/>
        <v>276289.53362451558</v>
      </c>
      <c r="V525" s="69">
        <f t="shared" ref="V525" si="226">V516+(V367+V368+V369+V371+V372+V373+V374+V375+V376+V377)*$D525</f>
        <v>0</v>
      </c>
      <c r="W525" s="69">
        <f>W516+(W368+W371+W372+W373+W374+W375+W376)*AVERAGE(ZeroInt!$E$130:$E$132)</f>
        <v>0</v>
      </c>
      <c r="X525" s="69">
        <f>X516+(X368+X371+X372+X373+X374+X375+X376)*AVERAGE(ZeroInt!$E$130:$E$132)</f>
        <v>0</v>
      </c>
      <c r="Y525" s="69">
        <f>Y516+(Y368+Y371+Y372+Y373+Y374+Y375+Y376)*AVERAGE(ZeroInt!$E$130:$E$132)</f>
        <v>0</v>
      </c>
      <c r="Z525" s="69">
        <f>Z516+(Z368+Z371+Z372+Z373+Z374+Z375+Z376)*AVERAGE(ZeroInt!$E$130:$E$132)</f>
        <v>0</v>
      </c>
      <c r="AA525" s="69">
        <f>AA516+(AA368+AA371+AA372+AA373+AA374+AA375+AA376)*AVERAGE(ZeroInt!$E$130:$E$132)</f>
        <v>0</v>
      </c>
      <c r="AB525" s="69">
        <f>AB516+(AB368+AB371+AB372+AB373+AB374+AB375+AB376)*AVERAGE(ZeroInt!$E$130:$E$132)</f>
        <v>0</v>
      </c>
      <c r="AC525" s="69">
        <f>AC516+(AC368+AC371+AC372+AC373+AC374+AC375+AC376)*AVERAGE(ZeroInt!$E$130:$E$132)</f>
        <v>0</v>
      </c>
      <c r="AD525" s="69">
        <f>AD516+(AD368+AD371+AD372+AD373+AD374+AD375+AD376)*AVERAGE(ZeroInt!$E$130:$E$132)</f>
        <v>0</v>
      </c>
      <c r="AE525" s="69">
        <f>AE516+(AE368+AE371+AE372+AE373+AE374+AE375+AE376)*AVERAGE(ZeroInt!$E$130:$E$132)</f>
        <v>0</v>
      </c>
      <c r="AF525" s="69">
        <f>AF516+(AF368+AF371+AF372+AF373+AF374+AF375+AF376)*AVERAGE(ZeroInt!$E$130:$E$132)</f>
        <v>0</v>
      </c>
      <c r="AG525" s="69">
        <f>SUM(F525:AF525)</f>
        <v>7140234.8661215696</v>
      </c>
      <c r="AH525" s="14" t="str">
        <f t="shared" si="217"/>
        <v>ok</v>
      </c>
      <c r="AJ525" s="55"/>
      <c r="AK525" s="55"/>
      <c r="AL525" s="55"/>
      <c r="AM525" s="55"/>
      <c r="AN525" s="55"/>
    </row>
    <row r="526" spans="1:40" x14ac:dyDescent="0.2">
      <c r="A526" s="2" t="s">
        <v>0</v>
      </c>
      <c r="E526" s="162">
        <f>SUM(E521:E525)</f>
        <v>49170938.817934364</v>
      </c>
      <c r="F526" s="162">
        <f t="shared" ref="F526:AF526" si="227">SUM(F521:F525)</f>
        <v>34968765.080476098</v>
      </c>
      <c r="G526" s="162">
        <f t="shared" si="227"/>
        <v>0</v>
      </c>
      <c r="H526" s="162">
        <f t="shared" si="227"/>
        <v>1216.3000594571402</v>
      </c>
      <c r="I526" s="162">
        <f t="shared" si="227"/>
        <v>3539869.6748685916</v>
      </c>
      <c r="J526" s="162">
        <f t="shared" si="227"/>
        <v>4236704.0522458563</v>
      </c>
      <c r="K526" s="162">
        <f t="shared" si="227"/>
        <v>22834.411734188281</v>
      </c>
      <c r="L526" s="162">
        <f t="shared" si="227"/>
        <v>0</v>
      </c>
      <c r="M526" s="162">
        <f t="shared" si="227"/>
        <v>1766225.1444693767</v>
      </c>
      <c r="N526" s="162">
        <f t="shared" si="227"/>
        <v>2267781.3922751881</v>
      </c>
      <c r="O526" s="162">
        <f t="shared" si="227"/>
        <v>587265.41039413575</v>
      </c>
      <c r="P526" s="162">
        <f t="shared" si="227"/>
        <v>64544.486484666784</v>
      </c>
      <c r="Q526" s="162">
        <f t="shared" si="227"/>
        <v>169524.94773252076</v>
      </c>
      <c r="R526" s="162">
        <f t="shared" si="227"/>
        <v>1195941.9766630365</v>
      </c>
      <c r="S526" s="162">
        <f t="shared" si="227"/>
        <v>0</v>
      </c>
      <c r="T526" s="162">
        <f t="shared" si="227"/>
        <v>46466.026193195998</v>
      </c>
      <c r="U526" s="162">
        <f t="shared" si="227"/>
        <v>303799.91719143942</v>
      </c>
      <c r="V526" s="162">
        <f t="shared" si="227"/>
        <v>0</v>
      </c>
      <c r="W526" s="69">
        <f t="shared" si="227"/>
        <v>0</v>
      </c>
      <c r="X526" s="69">
        <f t="shared" si="227"/>
        <v>0</v>
      </c>
      <c r="Y526" s="69">
        <f t="shared" si="227"/>
        <v>0</v>
      </c>
      <c r="Z526" s="69">
        <f t="shared" si="227"/>
        <v>0</v>
      </c>
      <c r="AA526" s="69">
        <f t="shared" si="227"/>
        <v>0</v>
      </c>
      <c r="AB526" s="69">
        <f t="shared" si="227"/>
        <v>0</v>
      </c>
      <c r="AC526" s="69">
        <f t="shared" si="227"/>
        <v>0</v>
      </c>
      <c r="AD526" s="69">
        <f t="shared" si="227"/>
        <v>0</v>
      </c>
      <c r="AE526" s="69">
        <f t="shared" si="227"/>
        <v>0</v>
      </c>
      <c r="AF526" s="69">
        <f t="shared" si="227"/>
        <v>0</v>
      </c>
      <c r="AG526" s="69">
        <f t="shared" ref="AG526" si="228">SUM(F526:AF526)</f>
        <v>49170938.82078775</v>
      </c>
      <c r="AH526" s="14" t="str">
        <f t="shared" si="217"/>
        <v>ok</v>
      </c>
      <c r="AJ526" s="55"/>
      <c r="AK526" s="55"/>
      <c r="AL526" s="55"/>
      <c r="AM526" s="55"/>
      <c r="AN526" s="55"/>
    </row>
    <row r="527" spans="1:40" x14ac:dyDescent="0.2">
      <c r="D527" s="2" t="s">
        <v>1002</v>
      </c>
      <c r="E527" s="69">
        <f>E526-E517</f>
        <v>-8382694.772065632</v>
      </c>
    </row>
    <row r="528" spans="1:40" x14ac:dyDescent="0.2">
      <c r="A528" s="1" t="s">
        <v>76</v>
      </c>
      <c r="D528" s="2" t="s">
        <v>997</v>
      </c>
      <c r="E528" s="69">
        <f>E527-E391</f>
        <v>0</v>
      </c>
      <c r="F528" s="69"/>
      <c r="G528" s="69"/>
      <c r="H528" s="69"/>
      <c r="I528" s="69"/>
      <c r="J528" s="69"/>
      <c r="K528" s="69"/>
    </row>
    <row r="530" spans="1:34" x14ac:dyDescent="0.2">
      <c r="A530" s="2" t="s">
        <v>860</v>
      </c>
      <c r="E530" s="69">
        <f t="shared" ref="E530" si="229">E85</f>
        <v>1501914.1530180934</v>
      </c>
      <c r="F530" s="69">
        <f t="shared" ref="F530:AF530" si="230">F85</f>
        <v>1055540.9122716154</v>
      </c>
      <c r="G530" s="69">
        <f t="shared" si="230"/>
        <v>0</v>
      </c>
      <c r="H530" s="69">
        <f t="shared" si="230"/>
        <v>19.839809773429572</v>
      </c>
      <c r="I530" s="69">
        <f t="shared" si="230"/>
        <v>94783.740343111262</v>
      </c>
      <c r="J530" s="69">
        <f t="shared" si="230"/>
        <v>151124.73571929167</v>
      </c>
      <c r="K530" s="69">
        <f t="shared" si="230"/>
        <v>0</v>
      </c>
      <c r="L530" s="69">
        <f t="shared" si="230"/>
        <v>0</v>
      </c>
      <c r="M530" s="69">
        <f t="shared" si="230"/>
        <v>44914.644961393118</v>
      </c>
      <c r="N530" s="69">
        <f t="shared" si="230"/>
        <v>105311.48451514523</v>
      </c>
      <c r="O530" s="69">
        <f t="shared" si="230"/>
        <v>13273.173343721392</v>
      </c>
      <c r="P530" s="69">
        <f t="shared" si="230"/>
        <v>1369.9954052254704</v>
      </c>
      <c r="Q530" s="69">
        <f t="shared" si="230"/>
        <v>4376.2146758094423</v>
      </c>
      <c r="R530" s="69">
        <f t="shared" si="230"/>
        <v>29468.277230692078</v>
      </c>
      <c r="S530" s="69">
        <f t="shared" si="230"/>
        <v>0</v>
      </c>
      <c r="T530" s="69">
        <f t="shared" si="230"/>
        <v>989.3691243157765</v>
      </c>
      <c r="U530" s="69">
        <f t="shared" si="230"/>
        <v>741.76561799921046</v>
      </c>
      <c r="V530" s="69">
        <f t="shared" si="230"/>
        <v>0</v>
      </c>
      <c r="W530" s="69">
        <f t="shared" si="230"/>
        <v>0</v>
      </c>
      <c r="X530" s="69">
        <f t="shared" si="230"/>
        <v>0</v>
      </c>
      <c r="Y530" s="69">
        <f t="shared" si="230"/>
        <v>0</v>
      </c>
      <c r="Z530" s="69">
        <f t="shared" si="230"/>
        <v>0</v>
      </c>
      <c r="AA530" s="69">
        <f t="shared" si="230"/>
        <v>0</v>
      </c>
      <c r="AB530" s="69">
        <f t="shared" si="230"/>
        <v>0</v>
      </c>
      <c r="AC530" s="69">
        <f t="shared" si="230"/>
        <v>0</v>
      </c>
      <c r="AD530" s="69">
        <f t="shared" si="230"/>
        <v>0</v>
      </c>
      <c r="AE530" s="69">
        <f t="shared" si="230"/>
        <v>0</v>
      </c>
      <c r="AF530" s="69">
        <f t="shared" si="230"/>
        <v>0</v>
      </c>
      <c r="AG530" s="69">
        <f>SUM(F530:AF530)</f>
        <v>1501914.1530180937</v>
      </c>
      <c r="AH530" s="14" t="str">
        <f>IF(ABS(E530-AG530)&lt;0.01,"ok","err")</f>
        <v>ok</v>
      </c>
    </row>
    <row r="531" spans="1:34" x14ac:dyDescent="0.2">
      <c r="A531" s="2" t="s">
        <v>861</v>
      </c>
      <c r="E531" s="69">
        <f t="shared" ref="E531" si="231">E86</f>
        <v>0</v>
      </c>
      <c r="F531" s="69">
        <f t="shared" ref="F531:AF531" si="232">F86</f>
        <v>0</v>
      </c>
      <c r="G531" s="69">
        <f t="shared" si="232"/>
        <v>0</v>
      </c>
      <c r="H531" s="69">
        <f t="shared" si="232"/>
        <v>0</v>
      </c>
      <c r="I531" s="69">
        <f t="shared" si="232"/>
        <v>0</v>
      </c>
      <c r="J531" s="69">
        <f t="shared" si="232"/>
        <v>0</v>
      </c>
      <c r="K531" s="69">
        <f t="shared" si="232"/>
        <v>0</v>
      </c>
      <c r="L531" s="69">
        <f t="shared" si="232"/>
        <v>0</v>
      </c>
      <c r="M531" s="69">
        <f t="shared" si="232"/>
        <v>0</v>
      </c>
      <c r="N531" s="69">
        <f t="shared" si="232"/>
        <v>0</v>
      </c>
      <c r="O531" s="69">
        <f t="shared" si="232"/>
        <v>0</v>
      </c>
      <c r="P531" s="69">
        <f t="shared" si="232"/>
        <v>0</v>
      </c>
      <c r="Q531" s="69">
        <f t="shared" si="232"/>
        <v>0</v>
      </c>
      <c r="R531" s="69">
        <f t="shared" si="232"/>
        <v>0</v>
      </c>
      <c r="S531" s="69">
        <f t="shared" si="232"/>
        <v>0</v>
      </c>
      <c r="T531" s="69">
        <f t="shared" si="232"/>
        <v>0</v>
      </c>
      <c r="U531" s="69">
        <f t="shared" si="232"/>
        <v>0</v>
      </c>
      <c r="V531" s="69">
        <f t="shared" si="232"/>
        <v>0</v>
      </c>
      <c r="W531" s="69">
        <f t="shared" si="232"/>
        <v>0</v>
      </c>
      <c r="X531" s="69">
        <f t="shared" si="232"/>
        <v>0</v>
      </c>
      <c r="Y531" s="69">
        <f t="shared" si="232"/>
        <v>0</v>
      </c>
      <c r="Z531" s="69">
        <f t="shared" si="232"/>
        <v>0</v>
      </c>
      <c r="AA531" s="69">
        <f t="shared" si="232"/>
        <v>0</v>
      </c>
      <c r="AB531" s="69">
        <f t="shared" si="232"/>
        <v>0</v>
      </c>
      <c r="AC531" s="69">
        <f t="shared" si="232"/>
        <v>0</v>
      </c>
      <c r="AD531" s="69">
        <f t="shared" si="232"/>
        <v>0</v>
      </c>
      <c r="AE531" s="69">
        <f t="shared" si="232"/>
        <v>0</v>
      </c>
      <c r="AF531" s="69">
        <f t="shared" si="232"/>
        <v>0</v>
      </c>
      <c r="AG531" s="69"/>
      <c r="AH531" s="14"/>
    </row>
    <row r="532" spans="1:34" x14ac:dyDescent="0.2">
      <c r="A532" s="2" t="s">
        <v>858</v>
      </c>
      <c r="E532" s="69">
        <f t="shared" ref="E532" si="233">E90</f>
        <v>0</v>
      </c>
      <c r="F532" s="69">
        <f t="shared" ref="F532:AF532" si="234">F90</f>
        <v>0</v>
      </c>
      <c r="G532" s="69">
        <f t="shared" si="234"/>
        <v>0</v>
      </c>
      <c r="H532" s="69">
        <f t="shared" si="234"/>
        <v>0</v>
      </c>
      <c r="I532" s="69">
        <f t="shared" si="234"/>
        <v>0</v>
      </c>
      <c r="J532" s="69">
        <f t="shared" si="234"/>
        <v>0</v>
      </c>
      <c r="K532" s="69">
        <f t="shared" si="234"/>
        <v>0</v>
      </c>
      <c r="L532" s="69">
        <f t="shared" si="234"/>
        <v>0</v>
      </c>
      <c r="M532" s="69">
        <f t="shared" si="234"/>
        <v>0</v>
      </c>
      <c r="N532" s="69">
        <f t="shared" si="234"/>
        <v>0</v>
      </c>
      <c r="O532" s="69">
        <f t="shared" si="234"/>
        <v>0</v>
      </c>
      <c r="P532" s="69">
        <f t="shared" si="234"/>
        <v>0</v>
      </c>
      <c r="Q532" s="69">
        <f t="shared" si="234"/>
        <v>0</v>
      </c>
      <c r="R532" s="69">
        <f t="shared" si="234"/>
        <v>0</v>
      </c>
      <c r="S532" s="69">
        <f t="shared" si="234"/>
        <v>0</v>
      </c>
      <c r="T532" s="69">
        <f t="shared" si="234"/>
        <v>0</v>
      </c>
      <c r="U532" s="69">
        <f t="shared" si="234"/>
        <v>0</v>
      </c>
      <c r="V532" s="69">
        <f t="shared" si="234"/>
        <v>0</v>
      </c>
      <c r="W532" s="69">
        <f t="shared" si="234"/>
        <v>0</v>
      </c>
      <c r="X532" s="69">
        <f t="shared" si="234"/>
        <v>0</v>
      </c>
      <c r="Y532" s="69">
        <f t="shared" si="234"/>
        <v>0</v>
      </c>
      <c r="Z532" s="69">
        <f t="shared" si="234"/>
        <v>0</v>
      </c>
      <c r="AA532" s="69">
        <f t="shared" si="234"/>
        <v>0</v>
      </c>
      <c r="AB532" s="69">
        <f t="shared" si="234"/>
        <v>0</v>
      </c>
      <c r="AC532" s="69">
        <f t="shared" si="234"/>
        <v>0</v>
      </c>
      <c r="AD532" s="69">
        <f t="shared" si="234"/>
        <v>0</v>
      </c>
      <c r="AE532" s="69">
        <f t="shared" si="234"/>
        <v>0</v>
      </c>
      <c r="AF532" s="69">
        <f t="shared" si="234"/>
        <v>0</v>
      </c>
      <c r="AG532" s="69">
        <f>SUM(F532:AF532)</f>
        <v>0</v>
      </c>
      <c r="AH532" s="14" t="str">
        <f>IF(ABS(E532-AG532)&lt;0.01,"ok","err")</f>
        <v>ok</v>
      </c>
    </row>
    <row r="533" spans="1:34" x14ac:dyDescent="0.2">
      <c r="A533" s="2" t="s">
        <v>645</v>
      </c>
      <c r="E533" s="69">
        <f t="shared" ref="E533" si="235">E93+E96+E101</f>
        <v>46043226.102285348</v>
      </c>
      <c r="F533" s="69">
        <f t="shared" ref="F533:AF533" si="236">F93+F96+F101</f>
        <v>36952224.928769685</v>
      </c>
      <c r="G533" s="69">
        <f t="shared" si="236"/>
        <v>0</v>
      </c>
      <c r="H533" s="69">
        <f t="shared" si="236"/>
        <v>1330.9343559445851</v>
      </c>
      <c r="I533" s="69">
        <f t="shared" si="236"/>
        <v>3202822.6118979207</v>
      </c>
      <c r="J533" s="69">
        <f t="shared" si="236"/>
        <v>2759650.3641201402</v>
      </c>
      <c r="K533" s="69">
        <f t="shared" si="236"/>
        <v>31656.664061216841</v>
      </c>
      <c r="L533" s="69">
        <f t="shared" si="236"/>
        <v>0</v>
      </c>
      <c r="M533" s="69">
        <f t="shared" si="236"/>
        <v>935205.01130059862</v>
      </c>
      <c r="N533" s="69">
        <f t="shared" si="236"/>
        <v>1016845.9046359163</v>
      </c>
      <c r="O533" s="69">
        <f t="shared" si="236"/>
        <v>253386.92633808983</v>
      </c>
      <c r="P533" s="69">
        <f t="shared" si="236"/>
        <v>74356.711610259255</v>
      </c>
      <c r="Q533" s="69">
        <f t="shared" si="236"/>
        <v>175573.37243727694</v>
      </c>
      <c r="R533" s="69">
        <f t="shared" si="236"/>
        <v>593499.34522500355</v>
      </c>
      <c r="S533" s="69">
        <f t="shared" si="236"/>
        <v>0</v>
      </c>
      <c r="T533" s="69">
        <f t="shared" si="236"/>
        <v>28515.47867100943</v>
      </c>
      <c r="U533" s="69">
        <f t="shared" si="236"/>
        <v>18157.848862288276</v>
      </c>
      <c r="V533" s="69">
        <f t="shared" si="236"/>
        <v>0</v>
      </c>
      <c r="W533" s="69">
        <f t="shared" si="236"/>
        <v>0</v>
      </c>
      <c r="X533" s="69">
        <f t="shared" si="236"/>
        <v>0</v>
      </c>
      <c r="Y533" s="69">
        <f t="shared" si="236"/>
        <v>0</v>
      </c>
      <c r="Z533" s="69">
        <f t="shared" si="236"/>
        <v>0</v>
      </c>
      <c r="AA533" s="69">
        <f t="shared" si="236"/>
        <v>0</v>
      </c>
      <c r="AB533" s="69">
        <f t="shared" si="236"/>
        <v>0</v>
      </c>
      <c r="AC533" s="69">
        <f t="shared" si="236"/>
        <v>0</v>
      </c>
      <c r="AD533" s="69">
        <f t="shared" si="236"/>
        <v>0</v>
      </c>
      <c r="AE533" s="69">
        <f t="shared" si="236"/>
        <v>0</v>
      </c>
      <c r="AF533" s="69">
        <f t="shared" si="236"/>
        <v>0</v>
      </c>
      <c r="AG533" s="69">
        <f>SUM(F533:AF533)</f>
        <v>46043226.102285355</v>
      </c>
      <c r="AH533" s="14" t="str">
        <f>IF(ABS(E533-AG533)&lt;0.01,"ok","err")</f>
        <v>ok</v>
      </c>
    </row>
    <row r="534" spans="1:34" x14ac:dyDescent="0.2">
      <c r="A534" s="2" t="s">
        <v>646</v>
      </c>
      <c r="E534" s="45">
        <f t="shared" ref="E534" si="237">E97+E102+E106+E109+E112+E115</f>
        <v>40526982.916427314</v>
      </c>
      <c r="F534" s="45">
        <f t="shared" ref="F534:AF534" si="238">F97+F102+F106+F109+F112+F115</f>
        <v>33685060.186802179</v>
      </c>
      <c r="G534" s="45">
        <f t="shared" si="238"/>
        <v>0</v>
      </c>
      <c r="H534" s="45">
        <f t="shared" si="238"/>
        <v>1370.7601606088622</v>
      </c>
      <c r="I534" s="45">
        <f t="shared" si="238"/>
        <v>2636721.741766226</v>
      </c>
      <c r="J534" s="45">
        <f t="shared" si="238"/>
        <v>515405.26939436782</v>
      </c>
      <c r="K534" s="45">
        <f t="shared" si="238"/>
        <v>17603.524805978275</v>
      </c>
      <c r="L534" s="45">
        <f t="shared" si="238"/>
        <v>0</v>
      </c>
      <c r="M534" s="45">
        <f t="shared" si="238"/>
        <v>26215.439368606887</v>
      </c>
      <c r="N534" s="45">
        <f t="shared" si="238"/>
        <v>40888.494056185664</v>
      </c>
      <c r="O534" s="45">
        <f t="shared" si="238"/>
        <v>11910.540830407417</v>
      </c>
      <c r="P534" s="45">
        <f t="shared" si="238"/>
        <v>9131.1944320781622</v>
      </c>
      <c r="Q534" s="45">
        <f t="shared" si="238"/>
        <v>111166.15321384958</v>
      </c>
      <c r="R534" s="45">
        <f t="shared" si="238"/>
        <v>6750.0119315118236</v>
      </c>
      <c r="S534" s="45">
        <f t="shared" si="238"/>
        <v>0</v>
      </c>
      <c r="T534" s="45">
        <f t="shared" si="238"/>
        <v>37677.646344143803</v>
      </c>
      <c r="U534" s="45">
        <f t="shared" si="238"/>
        <v>3427081.9533211729</v>
      </c>
      <c r="V534" s="45">
        <f t="shared" si="238"/>
        <v>0</v>
      </c>
      <c r="W534" s="45">
        <f t="shared" si="238"/>
        <v>0</v>
      </c>
      <c r="X534" s="45">
        <f t="shared" si="238"/>
        <v>0</v>
      </c>
      <c r="Y534" s="45">
        <f t="shared" si="238"/>
        <v>0</v>
      </c>
      <c r="Z534" s="45">
        <f t="shared" si="238"/>
        <v>0</v>
      </c>
      <c r="AA534" s="45">
        <f t="shared" si="238"/>
        <v>0</v>
      </c>
      <c r="AB534" s="45">
        <f t="shared" si="238"/>
        <v>0</v>
      </c>
      <c r="AC534" s="45">
        <f t="shared" si="238"/>
        <v>0</v>
      </c>
      <c r="AD534" s="45">
        <f t="shared" si="238"/>
        <v>0</v>
      </c>
      <c r="AE534" s="45">
        <f t="shared" si="238"/>
        <v>0</v>
      </c>
      <c r="AF534" s="45">
        <f t="shared" si="238"/>
        <v>0</v>
      </c>
      <c r="AG534" s="69">
        <f>SUM(F534:AF534)</f>
        <v>40526982.916427322</v>
      </c>
      <c r="AH534" s="14" t="str">
        <f>IF(ABS(E534-AG534)&lt;0.01,"ok","err")</f>
        <v>ok</v>
      </c>
    </row>
    <row r="535" spans="1:34" x14ac:dyDescent="0.2">
      <c r="A535" s="2" t="s">
        <v>0</v>
      </c>
      <c r="E535" s="162">
        <f>SUM(E530:E534)</f>
        <v>88072123.171730757</v>
      </c>
      <c r="F535" s="162">
        <f t="shared" ref="F535:V535" si="239">SUM(F530:F534)</f>
        <v>71692826.027843475</v>
      </c>
      <c r="G535" s="162">
        <f t="shared" si="239"/>
        <v>0</v>
      </c>
      <c r="H535" s="162">
        <f t="shared" si="239"/>
        <v>2721.5343263268769</v>
      </c>
      <c r="I535" s="162">
        <f t="shared" si="239"/>
        <v>5934328.0940072574</v>
      </c>
      <c r="J535" s="162">
        <f t="shared" si="239"/>
        <v>3426180.3692337996</v>
      </c>
      <c r="K535" s="162">
        <f t="shared" si="239"/>
        <v>49260.188867195116</v>
      </c>
      <c r="L535" s="162">
        <f t="shared" si="239"/>
        <v>0</v>
      </c>
      <c r="M535" s="162">
        <f t="shared" si="239"/>
        <v>1006335.0956305986</v>
      </c>
      <c r="N535" s="162">
        <f t="shared" si="239"/>
        <v>1163045.8832072474</v>
      </c>
      <c r="O535" s="162">
        <f t="shared" si="239"/>
        <v>278570.64051221864</v>
      </c>
      <c r="P535" s="162">
        <f t="shared" si="239"/>
        <v>84857.901447562894</v>
      </c>
      <c r="Q535" s="162">
        <f t="shared" si="239"/>
        <v>291115.74032693595</v>
      </c>
      <c r="R535" s="162">
        <f t="shared" si="239"/>
        <v>629717.63438720745</v>
      </c>
      <c r="S535" s="162">
        <f t="shared" si="239"/>
        <v>0</v>
      </c>
      <c r="T535" s="162">
        <f t="shared" si="239"/>
        <v>67182.49413946901</v>
      </c>
      <c r="U535" s="162">
        <f t="shared" si="239"/>
        <v>3445981.5678014602</v>
      </c>
      <c r="V535" s="162">
        <f t="shared" si="239"/>
        <v>0</v>
      </c>
      <c r="W535" s="128"/>
      <c r="X535" s="128"/>
      <c r="Y535" s="128"/>
      <c r="Z535" s="128"/>
      <c r="AA535" s="128"/>
      <c r="AB535" s="128"/>
      <c r="AC535" s="128"/>
      <c r="AD535" s="128"/>
      <c r="AE535" s="128"/>
      <c r="AF535" s="128"/>
      <c r="AG535" s="162">
        <f>SUM(F535:AF535)</f>
        <v>88072123.171730757</v>
      </c>
      <c r="AH535" s="14" t="str">
        <f>IF(ABS(E535-AG535)&lt;0.01,"ok","err")</f>
        <v>ok</v>
      </c>
    </row>
    <row r="538" spans="1:34" x14ac:dyDescent="0.2">
      <c r="A538" s="1" t="s">
        <v>732</v>
      </c>
      <c r="C538" s="127">
        <v>5.7167357897823956E-2</v>
      </c>
      <c r="R538" s="56"/>
    </row>
    <row r="539" spans="1:34" x14ac:dyDescent="0.2">
      <c r="A539" s="2" t="s">
        <v>860</v>
      </c>
      <c r="E539" s="69">
        <f>E521+(E530*$C$538)</f>
        <v>5866524.7872451814</v>
      </c>
      <c r="F539" s="69">
        <f t="shared" ref="F539:R539" si="240">F521+(F530*$C$538)</f>
        <v>3962786.6341570909</v>
      </c>
      <c r="G539" s="69">
        <f t="shared" si="240"/>
        <v>0</v>
      </c>
      <c r="H539" s="69">
        <f t="shared" si="240"/>
        <v>74.48402243847363</v>
      </c>
      <c r="I539" s="69">
        <f t="shared" si="240"/>
        <v>355843.84745329985</v>
      </c>
      <c r="J539" s="69">
        <f t="shared" si="240"/>
        <v>567363.21239325602</v>
      </c>
      <c r="K539" s="69">
        <f t="shared" si="240"/>
        <v>0</v>
      </c>
      <c r="L539" s="69">
        <f t="shared" si="240"/>
        <v>0</v>
      </c>
      <c r="M539" s="69">
        <f t="shared" si="240"/>
        <v>168621.74896459107</v>
      </c>
      <c r="N539" s="69">
        <f t="shared" si="240"/>
        <v>623299.8931375551</v>
      </c>
      <c r="O539" s="69">
        <f t="shared" si="240"/>
        <v>49831.089735927184</v>
      </c>
      <c r="P539" s="69">
        <f t="shared" si="240"/>
        <v>5143.3340172485077</v>
      </c>
      <c r="Q539" s="69">
        <f t="shared" si="240"/>
        <v>16429.495838468516</v>
      </c>
      <c r="R539" s="69">
        <f t="shared" si="240"/>
        <v>110631.89856858246</v>
      </c>
      <c r="S539" s="2">
        <f>S521</f>
        <v>0</v>
      </c>
    </row>
    <row r="540" spans="1:34" x14ac:dyDescent="0.2">
      <c r="A540" s="2" t="s">
        <v>861</v>
      </c>
      <c r="E540" s="69">
        <f>E522+(E531*$C$538)</f>
        <v>28140722.832405668</v>
      </c>
      <c r="F540" s="69">
        <f t="shared" ref="F540:R540" si="241">F522+(F531*$C$538)</f>
        <v>18287659.673072208</v>
      </c>
      <c r="G540" s="69">
        <f t="shared" si="241"/>
        <v>0</v>
      </c>
      <c r="H540" s="69">
        <f t="shared" si="241"/>
        <v>653.95285737846723</v>
      </c>
      <c r="I540" s="69">
        <f t="shared" si="241"/>
        <v>2154227.0937980106</v>
      </c>
      <c r="J540" s="69">
        <f t="shared" si="241"/>
        <v>3116043.1085463082</v>
      </c>
      <c r="K540" s="69">
        <f t="shared" si="241"/>
        <v>14630.922681779157</v>
      </c>
      <c r="L540" s="69">
        <f t="shared" si="241"/>
        <v>0</v>
      </c>
      <c r="M540" s="69">
        <f t="shared" si="241"/>
        <v>1428439.6818596376</v>
      </c>
      <c r="N540" s="69">
        <f t="shared" si="241"/>
        <v>1463962.1719590761</v>
      </c>
      <c r="O540" s="69">
        <f t="shared" si="241"/>
        <v>491292.84386369277</v>
      </c>
      <c r="P540" s="69">
        <f t="shared" si="241"/>
        <v>45085.186660989137</v>
      </c>
      <c r="Q540" s="69">
        <f t="shared" si="241"/>
        <v>101664.3249033563</v>
      </c>
      <c r="R540" s="69">
        <f t="shared" si="241"/>
        <v>979196.30548524961</v>
      </c>
      <c r="S540" s="2">
        <f>S522</f>
        <v>0</v>
      </c>
    </row>
    <row r="541" spans="1:34" x14ac:dyDescent="0.2">
      <c r="A541" s="2" t="s">
        <v>858</v>
      </c>
      <c r="E541" s="69">
        <f>E523+(E532*$C$538)</f>
        <v>0</v>
      </c>
      <c r="F541" s="69">
        <f t="shared" ref="F541:R541" si="242">F523+(F532*$C$538)</f>
        <v>0</v>
      </c>
      <c r="G541" s="69">
        <f t="shared" si="242"/>
        <v>0</v>
      </c>
      <c r="H541" s="69">
        <f t="shared" si="242"/>
        <v>0</v>
      </c>
      <c r="I541" s="69">
        <f t="shared" si="242"/>
        <v>0</v>
      </c>
      <c r="J541" s="69">
        <f t="shared" si="242"/>
        <v>0</v>
      </c>
      <c r="K541" s="69">
        <f t="shared" si="242"/>
        <v>0</v>
      </c>
      <c r="L541" s="69">
        <f t="shared" si="242"/>
        <v>0</v>
      </c>
      <c r="M541" s="69">
        <f t="shared" si="242"/>
        <v>0</v>
      </c>
      <c r="N541" s="69">
        <f t="shared" si="242"/>
        <v>0</v>
      </c>
      <c r="O541" s="69">
        <f t="shared" si="242"/>
        <v>0</v>
      </c>
      <c r="P541" s="69">
        <f t="shared" si="242"/>
        <v>0</v>
      </c>
      <c r="Q541" s="69">
        <f t="shared" si="242"/>
        <v>0</v>
      </c>
      <c r="R541" s="69">
        <f t="shared" si="242"/>
        <v>0</v>
      </c>
    </row>
    <row r="542" spans="1:34" x14ac:dyDescent="0.2">
      <c r="A542" s="2" t="s">
        <v>645</v>
      </c>
      <c r="E542" s="69">
        <f>E524+(E533*$C$538)</f>
        <v>10741486.381439116</v>
      </c>
      <c r="F542" s="69">
        <f t="shared" ref="F542:R542" si="243">F524+(F533*$C$538)</f>
        <v>8621687.4666532632</v>
      </c>
      <c r="G542" s="69">
        <f t="shared" si="243"/>
        <v>0</v>
      </c>
      <c r="H542" s="69">
        <f t="shared" si="243"/>
        <v>310.50949463659163</v>
      </c>
      <c r="I542" s="69">
        <f t="shared" si="243"/>
        <v>747356.06978007965</v>
      </c>
      <c r="J542" s="69">
        <f t="shared" si="243"/>
        <v>644684.64190438064</v>
      </c>
      <c r="K542" s="69">
        <f t="shared" si="243"/>
        <v>7394.6312488565245</v>
      </c>
      <c r="L542" s="69">
        <f t="shared" si="243"/>
        <v>0</v>
      </c>
      <c r="M542" s="69">
        <f t="shared" si="243"/>
        <v>218612.49295534426</v>
      </c>
      <c r="N542" s="69">
        <f t="shared" si="243"/>
        <v>237581.99474748597</v>
      </c>
      <c r="O542" s="69">
        <f t="shared" si="243"/>
        <v>59222.613139448775</v>
      </c>
      <c r="P542" s="69">
        <f t="shared" si="243"/>
        <v>17383.77297655994</v>
      </c>
      <c r="Q542" s="69">
        <f t="shared" si="243"/>
        <v>40995.069893924927</v>
      </c>
      <c r="R542" s="69">
        <f t="shared" si="243"/>
        <v>138739.49286327959</v>
      </c>
      <c r="S542" s="2">
        <f>S524+(S534*$C$538)</f>
        <v>0</v>
      </c>
    </row>
    <row r="543" spans="1:34" x14ac:dyDescent="0.2">
      <c r="A543" s="2" t="s">
        <v>646</v>
      </c>
      <c r="E543" s="69">
        <f>E525+(E534*$C$538)</f>
        <v>9457055.4030239675</v>
      </c>
      <c r="F543" s="69">
        <f t="shared" ref="F543:R543" si="244">F525+(F534*$C$538)</f>
        <v>8195120.750833692</v>
      </c>
      <c r="G543" s="69">
        <f t="shared" si="244"/>
        <v>0</v>
      </c>
      <c r="H543" s="69">
        <f t="shared" si="244"/>
        <v>332.93661186794941</v>
      </c>
      <c r="I543" s="69">
        <f t="shared" si="244"/>
        <v>621692.52187042544</v>
      </c>
      <c r="J543" s="69">
        <f t="shared" si="244"/>
        <v>104478.76879239839</v>
      </c>
      <c r="K543" s="69">
        <f t="shared" si="244"/>
        <v>3624.932650637943</v>
      </c>
      <c r="L543" s="69">
        <f t="shared" si="244"/>
        <v>0</v>
      </c>
      <c r="M543" s="69">
        <f t="shared" si="244"/>
        <v>8080.7392668589782</v>
      </c>
      <c r="N543" s="69">
        <f t="shared" si="244"/>
        <v>9425.5926879704548</v>
      </c>
      <c r="O543" s="69">
        <f t="shared" si="244"/>
        <v>2844.0111610550366</v>
      </c>
      <c r="P543" s="69">
        <f t="shared" si="244"/>
        <v>1783.2948523802988</v>
      </c>
      <c r="Q543" s="69">
        <f t="shared" si="244"/>
        <v>27078.374813730938</v>
      </c>
      <c r="R543" s="69">
        <f t="shared" si="244"/>
        <v>3373.5731255094584</v>
      </c>
      <c r="S543" s="2">
        <f>S525+(S535*$C$538)</f>
        <v>0</v>
      </c>
    </row>
    <row r="544" spans="1:34" x14ac:dyDescent="0.2">
      <c r="A544" s="2" t="s">
        <v>0</v>
      </c>
      <c r="C544" s="32"/>
      <c r="E544" s="169">
        <f>SUM(E539:E543)</f>
        <v>54205789.404113926</v>
      </c>
      <c r="F544" s="162">
        <f t="shared" ref="F544:R544" si="245">SUM(F539:F543)</f>
        <v>39067254.524716251</v>
      </c>
      <c r="G544" s="162">
        <f t="shared" si="245"/>
        <v>0</v>
      </c>
      <c r="H544" s="162">
        <f t="shared" si="245"/>
        <v>1371.8829863214819</v>
      </c>
      <c r="I544" s="162">
        <f t="shared" si="245"/>
        <v>3879119.5329018156</v>
      </c>
      <c r="J544" s="162">
        <f t="shared" si="245"/>
        <v>4432569.7316363435</v>
      </c>
      <c r="K544" s="162">
        <f t="shared" si="245"/>
        <v>25650.486581273624</v>
      </c>
      <c r="L544" s="162">
        <f t="shared" si="245"/>
        <v>0</v>
      </c>
      <c r="M544" s="162">
        <f t="shared" si="245"/>
        <v>1823754.6630464317</v>
      </c>
      <c r="N544" s="162">
        <f t="shared" si="245"/>
        <v>2334269.6525320876</v>
      </c>
      <c r="O544" s="162">
        <f t="shared" si="245"/>
        <v>603190.55790012388</v>
      </c>
      <c r="P544" s="162">
        <f t="shared" si="245"/>
        <v>69395.58850717789</v>
      </c>
      <c r="Q544" s="162">
        <f t="shared" si="245"/>
        <v>186167.26544948068</v>
      </c>
      <c r="R544" s="162">
        <f t="shared" si="245"/>
        <v>1231941.2700426211</v>
      </c>
      <c r="S544" s="2">
        <f>SUM(S539:S543)</f>
        <v>0</v>
      </c>
    </row>
    <row r="545" spans="1:32" x14ac:dyDescent="0.2">
      <c r="E545" s="117">
        <v>54205789.404113919</v>
      </c>
      <c r="F545" s="16" t="s">
        <v>999</v>
      </c>
    </row>
    <row r="546" spans="1:32" x14ac:dyDescent="0.2">
      <c r="E546" s="69">
        <f>E544-E545</f>
        <v>0</v>
      </c>
      <c r="F546" s="16" t="s">
        <v>989</v>
      </c>
    </row>
    <row r="547" spans="1:32" x14ac:dyDescent="0.2">
      <c r="E547" s="69"/>
    </row>
    <row r="548" spans="1:32" x14ac:dyDescent="0.2">
      <c r="A548" s="1" t="s">
        <v>647</v>
      </c>
      <c r="E548" s="69"/>
    </row>
    <row r="550" spans="1:32" x14ac:dyDescent="0.2">
      <c r="A550" s="2" t="s">
        <v>958</v>
      </c>
      <c r="F550" s="77">
        <f t="shared" ref="F550:F553" si="246">F521/F$430</f>
        <v>1.2571418069293133E-2</v>
      </c>
      <c r="G550" s="77" t="e">
        <f t="shared" ref="G550:H550" si="247">G521/G$430</f>
        <v>#DIV/0!</v>
      </c>
      <c r="H550" s="77">
        <f t="shared" si="247"/>
        <v>6.592058320529455E-3</v>
      </c>
      <c r="I550" s="30">
        <f>I521/I$445</f>
        <v>1.707320230500103</v>
      </c>
      <c r="J550" s="30">
        <f>J521/J$445</f>
        <v>3.1610478782967375</v>
      </c>
      <c r="K550" s="77">
        <f t="shared" ref="K550" si="248">K521/K$430</f>
        <v>0</v>
      </c>
      <c r="M550" s="30">
        <f>M521/M$445</f>
        <v>2.7718369185417111</v>
      </c>
      <c r="N550" s="30">
        <f>N521/N$445</f>
        <v>9.4774779800084534</v>
      </c>
      <c r="O550" s="30">
        <f>O521/O$445</f>
        <v>3.0235549898303642</v>
      </c>
      <c r="P550" s="30">
        <f>P521/P$445</f>
        <v>1.0626945993872705</v>
      </c>
      <c r="Q550" s="77">
        <f t="shared" ref="Q550" si="249">Q521/Q$430</f>
        <v>9.8643678965690349E-3</v>
      </c>
      <c r="R550" s="30">
        <f>R521/R$445</f>
        <v>2.8657364302869013</v>
      </c>
      <c r="S550" s="30" t="e">
        <f>S521/S$445</f>
        <v>#DIV/0!</v>
      </c>
      <c r="T550" s="77">
        <f t="shared" ref="T550" si="250">T521/T$430</f>
        <v>6.5261921762150817E-3</v>
      </c>
      <c r="U550" s="77"/>
      <c r="V550" s="77"/>
      <c r="W550" s="30" t="e">
        <f>W512/W433</f>
        <v>#DIV/0!</v>
      </c>
      <c r="X550" s="77" t="e">
        <f>X512/X430</f>
        <v>#DIV/0!</v>
      </c>
      <c r="Y550" s="30" t="e">
        <f>Y512/Y433</f>
        <v>#DIV/0!</v>
      </c>
      <c r="Z550" s="170">
        <f>Z512/3624.9</f>
        <v>0</v>
      </c>
      <c r="AA550" s="68">
        <f>AA512/9725.8</f>
        <v>0</v>
      </c>
      <c r="AB550" s="68">
        <f>AB512/12443</f>
        <v>0</v>
      </c>
      <c r="AC550" s="68">
        <f>AC512/9726</f>
        <v>0</v>
      </c>
      <c r="AD550" s="68">
        <f>AD512/10680</f>
        <v>0</v>
      </c>
      <c r="AE550" s="68"/>
      <c r="AF550" s="68"/>
    </row>
    <row r="551" spans="1:32" x14ac:dyDescent="0.2">
      <c r="A551" s="2" t="s">
        <v>862</v>
      </c>
      <c r="F551" s="77">
        <f t="shared" si="246"/>
        <v>5.8912262796929855E-2</v>
      </c>
      <c r="G551" s="77" t="e">
        <f t="shared" ref="G551:H551" si="251">G522/G$430</f>
        <v>#DIV/0!</v>
      </c>
      <c r="H551" s="77">
        <f t="shared" si="251"/>
        <v>5.8771713613594609E-2</v>
      </c>
      <c r="I551" s="77">
        <f t="shared" ref="I551:K551" si="252">I522/I$430</f>
        <v>6.259902931165183E-2</v>
      </c>
      <c r="J551" s="77">
        <f t="shared" si="252"/>
        <v>5.8771713613594609E-2</v>
      </c>
      <c r="K551" s="77">
        <f t="shared" si="252"/>
        <v>5.5494995834455392E-2</v>
      </c>
      <c r="M551" s="77">
        <f t="shared" ref="M551:Q551" si="253">M522/M$430</f>
        <v>5.8771713613594602E-2</v>
      </c>
      <c r="N551" s="77">
        <f t="shared" si="253"/>
        <v>4.324050125657887E-2</v>
      </c>
      <c r="O551" s="77">
        <f t="shared" si="253"/>
        <v>5.8903777169950933E-2</v>
      </c>
      <c r="P551" s="77">
        <f t="shared" si="253"/>
        <v>5.8903777169950947E-2</v>
      </c>
      <c r="Q551" s="77">
        <f t="shared" si="253"/>
        <v>6.1983714513520062E-2</v>
      </c>
      <c r="R551" s="77">
        <f t="shared" ref="R551:T551" si="254">R522/R$430</f>
        <v>5.8903777169950947E-2</v>
      </c>
      <c r="S551" s="77" t="e">
        <f t="shared" si="254"/>
        <v>#DIV/0!</v>
      </c>
      <c r="T551" s="77">
        <f t="shared" si="254"/>
        <v>5.8771713613594616E-2</v>
      </c>
      <c r="U551" s="77"/>
      <c r="V551" s="77"/>
      <c r="W551" s="30" t="e">
        <f>W513/W$433</f>
        <v>#DIV/0!</v>
      </c>
      <c r="X551" s="77" t="e">
        <f>X513/X$430</f>
        <v>#DIV/0!</v>
      </c>
      <c r="Y551" s="30" t="e">
        <f>Y513/Y$433</f>
        <v>#DIV/0!</v>
      </c>
      <c r="Z551" s="2" t="e">
        <f>Z513/Z$430</f>
        <v>#DIV/0!</v>
      </c>
      <c r="AA551" s="2" t="e">
        <f>AA513/AA$430</f>
        <v>#DIV/0!</v>
      </c>
      <c r="AB551" s="2" t="e">
        <f>AB513/AB$430</f>
        <v>#DIV/0!</v>
      </c>
      <c r="AC551" s="2" t="e">
        <f>AC513/AC$430</f>
        <v>#DIV/0!</v>
      </c>
      <c r="AD551" s="2" t="e">
        <f>AD513/AD$430</f>
        <v>#DIV/0!</v>
      </c>
    </row>
    <row r="552" spans="1:32" x14ac:dyDescent="0.2">
      <c r="A552" s="2" t="s">
        <v>959</v>
      </c>
      <c r="F552" s="77">
        <f t="shared" si="246"/>
        <v>0</v>
      </c>
      <c r="G552" s="77" t="e">
        <f t="shared" ref="G552:H552" si="255">G523/G$430</f>
        <v>#DIV/0!</v>
      </c>
      <c r="H552" s="77">
        <f t="shared" si="255"/>
        <v>0</v>
      </c>
      <c r="I552" s="30">
        <f t="shared" ref="I552:J552" si="256">I523/I$445</f>
        <v>0</v>
      </c>
      <c r="J552" s="30">
        <f t="shared" si="256"/>
        <v>0</v>
      </c>
      <c r="K552" s="77">
        <f t="shared" ref="K552" si="257">K523/K$430</f>
        <v>0</v>
      </c>
      <c r="M552" s="30">
        <f t="shared" ref="M552:P552" si="258">M523/M$445</f>
        <v>0</v>
      </c>
      <c r="N552" s="30">
        <f t="shared" si="258"/>
        <v>0</v>
      </c>
      <c r="O552" s="30">
        <f t="shared" si="258"/>
        <v>0</v>
      </c>
      <c r="P552" s="30">
        <f t="shared" si="258"/>
        <v>0</v>
      </c>
      <c r="Q552" s="77">
        <f t="shared" ref="Q552" si="259">Q523/Q$430</f>
        <v>0</v>
      </c>
      <c r="R552" s="30">
        <f t="shared" ref="R552:S552" si="260">R523/R$445</f>
        <v>0</v>
      </c>
      <c r="S552" s="30" t="e">
        <f t="shared" si="260"/>
        <v>#DIV/0!</v>
      </c>
      <c r="T552" s="77">
        <f t="shared" ref="T552" si="261">T523/T$430</f>
        <v>0</v>
      </c>
      <c r="U552" s="77"/>
      <c r="V552" s="77"/>
      <c r="W552" s="30"/>
      <c r="X552" s="77"/>
      <c r="Y552" s="30"/>
    </row>
    <row r="553" spans="1:32" x14ac:dyDescent="0.2">
      <c r="A553" s="2" t="s">
        <v>960</v>
      </c>
      <c r="F553" s="77">
        <f t="shared" si="246"/>
        <v>2.0968962845966613E-2</v>
      </c>
      <c r="G553" s="77" t="e">
        <f t="shared" ref="G553:H553" si="262">G524/G$430</f>
        <v>#DIV/0!</v>
      </c>
      <c r="H553" s="77">
        <f t="shared" si="262"/>
        <v>2.1067987235714725E-2</v>
      </c>
      <c r="I553" s="30">
        <f>I524/I$445</f>
        <v>2.7491481156799944</v>
      </c>
      <c r="J553" s="30">
        <f>J524/J$445</f>
        <v>2.7548244907680317</v>
      </c>
      <c r="K553" s="77">
        <f t="shared" ref="K553" si="263">K524/K$430</f>
        <v>2.1183502771228477E-2</v>
      </c>
      <c r="M553" s="30">
        <f>M524/M$445</f>
        <v>2.7567335925072012</v>
      </c>
      <c r="N553" s="30">
        <f>N524/N$445</f>
        <v>2.7552325304957983</v>
      </c>
      <c r="O553" s="30">
        <f>O524/O$445</f>
        <v>2.7564480612969589</v>
      </c>
      <c r="P553" s="30">
        <f>P524/P$445</f>
        <v>2.7554437983783657</v>
      </c>
      <c r="Q553" s="77">
        <f t="shared" ref="Q553" si="264">Q524/Q$430</f>
        <v>1.8874783148216338E-2</v>
      </c>
      <c r="R553" s="30">
        <f>R524/R$445</f>
        <v>2.7569285318928705</v>
      </c>
      <c r="S553" s="30" t="e">
        <f>S524/S$445</f>
        <v>#DIV/0!</v>
      </c>
      <c r="T553" s="77">
        <f t="shared" ref="T553" si="265">T524/T$430</f>
        <v>8.9363318712289141E-3</v>
      </c>
      <c r="U553" s="77"/>
      <c r="V553" s="77"/>
      <c r="W553" s="30" t="e">
        <f>W515/W433</f>
        <v>#DIV/0!</v>
      </c>
      <c r="X553" s="77" t="e">
        <f>X515/X430</f>
        <v>#DIV/0!</v>
      </c>
      <c r="Y553" s="30" t="e">
        <f>Y515/Y433</f>
        <v>#DIV/0!</v>
      </c>
      <c r="Z553" s="170">
        <f>Z515/12877</f>
        <v>0</v>
      </c>
      <c r="AA553" s="68">
        <f>AA515/11922</f>
        <v>0</v>
      </c>
      <c r="AB553" s="68">
        <f>AB515/14745</f>
        <v>0</v>
      </c>
      <c r="AC553" s="68">
        <f>AC515/10526</f>
        <v>0</v>
      </c>
      <c r="AD553" s="68">
        <f>AD515/11459</f>
        <v>0</v>
      </c>
      <c r="AE553" s="68"/>
      <c r="AF553" s="68"/>
    </row>
    <row r="554" spans="1:32" s="30" customFormat="1" x14ac:dyDescent="0.2">
      <c r="A554" s="30" t="s">
        <v>863</v>
      </c>
      <c r="F554" s="30">
        <f t="shared" ref="F554:S554" si="266">F525/F433</f>
        <v>21.260393299574858</v>
      </c>
      <c r="G554" s="30" t="e">
        <f t="shared" ref="G554:H554" si="267">G525/G433</f>
        <v>#DIV/0!</v>
      </c>
      <c r="H554" s="30">
        <f t="shared" si="267"/>
        <v>21.214489597861995</v>
      </c>
      <c r="I554" s="30">
        <f t="shared" ref="I554:K554" si="268">I525/I433</f>
        <v>22.198251620564758</v>
      </c>
      <c r="J554" s="30">
        <f t="shared" si="268"/>
        <v>63.143443850594437</v>
      </c>
      <c r="K554" s="30">
        <f t="shared" si="268"/>
        <v>2.6611642762107324</v>
      </c>
      <c r="L554" s="2"/>
      <c r="M554" s="30">
        <f t="shared" ref="M554:Q554" si="269">M525/M433</f>
        <v>137.12649712552343</v>
      </c>
      <c r="N554" s="30">
        <f t="shared" si="269"/>
        <v>590.67545952978674</v>
      </c>
      <c r="O554" s="30">
        <f t="shared" si="269"/>
        <v>180.25975088720756</v>
      </c>
      <c r="P554" s="30">
        <f t="shared" si="269"/>
        <v>26.276845671813941</v>
      </c>
      <c r="Q554" s="30">
        <f t="shared" si="269"/>
        <v>21.586770361281733</v>
      </c>
      <c r="R554" s="30">
        <f t="shared" si="266"/>
        <v>248.97439813384497</v>
      </c>
      <c r="S554" s="30" t="e">
        <f t="shared" si="266"/>
        <v>#DIV/0!</v>
      </c>
      <c r="T554" s="30">
        <f t="shared" ref="T554" si="270">T525/T433</f>
        <v>57.84786510639384</v>
      </c>
      <c r="W554" s="30" t="e">
        <f t="shared" ref="W554:AD554" si="271">W516/W433</f>
        <v>#DIV/0!</v>
      </c>
      <c r="X554" s="30" t="e">
        <f t="shared" si="271"/>
        <v>#DIV/0!</v>
      </c>
      <c r="Y554" s="30" t="e">
        <f t="shared" si="271"/>
        <v>#DIV/0!</v>
      </c>
      <c r="Z554" s="30" t="e">
        <f t="shared" si="271"/>
        <v>#DIV/0!</v>
      </c>
      <c r="AA554" s="30" t="e">
        <f t="shared" si="271"/>
        <v>#DIV/0!</v>
      </c>
      <c r="AB554" s="30" t="e">
        <f t="shared" si="271"/>
        <v>#DIV/0!</v>
      </c>
      <c r="AC554" s="30" t="e">
        <f t="shared" si="271"/>
        <v>#DIV/0!</v>
      </c>
      <c r="AD554" s="30" t="e">
        <f t="shared" si="271"/>
        <v>#DIV/0!</v>
      </c>
    </row>
    <row r="557" spans="1:32" x14ac:dyDescent="0.2">
      <c r="A557" s="1" t="s">
        <v>648</v>
      </c>
    </row>
    <row r="558" spans="1:32" x14ac:dyDescent="0.2">
      <c r="A558" s="1"/>
    </row>
    <row r="559" spans="1:32" x14ac:dyDescent="0.2">
      <c r="A559" s="2" t="s">
        <v>958</v>
      </c>
      <c r="F559" s="77">
        <f t="shared" ref="F559:F562" si="272">F530/F$430</f>
        <v>3.400342347152282E-3</v>
      </c>
      <c r="G559" s="77" t="e">
        <f t="shared" ref="G559:H559" si="273">G530/G$430</f>
        <v>#DIV/0!</v>
      </c>
      <c r="H559" s="77">
        <f t="shared" si="273"/>
        <v>1.7830331422152936E-3</v>
      </c>
      <c r="I559" s="30">
        <f>I530/I$445</f>
        <v>0.46179939668856501</v>
      </c>
      <c r="J559" s="30">
        <f>J530/J$445</f>
        <v>0.85500656351592041</v>
      </c>
      <c r="K559" s="77">
        <f t="shared" ref="K559" si="274">K530/K$430</f>
        <v>0</v>
      </c>
      <c r="M559" s="30">
        <f>M530/M$445</f>
        <v>0.74973200330831336</v>
      </c>
      <c r="N559" s="30">
        <f>N530/N$445</f>
        <v>1.6169130081304384</v>
      </c>
      <c r="O559" s="30">
        <f>O530/O$445</f>
        <v>0.81781721156632114</v>
      </c>
      <c r="P559" s="30">
        <f>P530/P$445</f>
        <v>0.2874397644298331</v>
      </c>
      <c r="Q559" s="77">
        <f t="shared" ref="Q559" si="275">Q530/Q$430</f>
        <v>2.6681339926577737E-3</v>
      </c>
      <c r="R559" s="30">
        <f>R530/R$445</f>
        <v>0.77513013137979858</v>
      </c>
      <c r="S559" s="30" t="e">
        <f>S530/S$445</f>
        <v>#DIV/0!</v>
      </c>
      <c r="T559" s="77">
        <f t="shared" ref="T559" si="276">T530/T$430</f>
        <v>1.7652175355334294E-3</v>
      </c>
      <c r="U559" s="77"/>
      <c r="V559" s="77"/>
    </row>
    <row r="560" spans="1:32" x14ac:dyDescent="0.2">
      <c r="A560" s="2" t="s">
        <v>862</v>
      </c>
      <c r="F560" s="77">
        <f t="shared" si="272"/>
        <v>0</v>
      </c>
      <c r="G560" s="77" t="e">
        <f t="shared" ref="G560:H560" si="277">G531/G$430</f>
        <v>#DIV/0!</v>
      </c>
      <c r="H560" s="77">
        <f t="shared" si="277"/>
        <v>0</v>
      </c>
      <c r="I560" s="77">
        <f>I531/I$430</f>
        <v>0</v>
      </c>
      <c r="J560" s="77">
        <f>J531/J$430</f>
        <v>0</v>
      </c>
      <c r="K560" s="77">
        <f t="shared" ref="K560" si="278">K531/K$430</f>
        <v>0</v>
      </c>
      <c r="M560" s="77">
        <f>M531/M$430</f>
        <v>0</v>
      </c>
      <c r="N560" s="77">
        <f>N531/N$430</f>
        <v>0</v>
      </c>
      <c r="O560" s="77">
        <f>O531/O$430</f>
        <v>0</v>
      </c>
      <c r="P560" s="77">
        <f>P531/P$430</f>
        <v>0</v>
      </c>
      <c r="Q560" s="77">
        <f t="shared" ref="Q560" si="279">Q531/Q$430</f>
        <v>0</v>
      </c>
      <c r="R560" s="77">
        <f>R531/R$430</f>
        <v>0</v>
      </c>
      <c r="S560" s="77" t="e">
        <f>S531/S$430</f>
        <v>#DIV/0!</v>
      </c>
      <c r="T560" s="77">
        <f t="shared" ref="T560" si="280">T531/T$430</f>
        <v>0</v>
      </c>
      <c r="U560" s="77"/>
      <c r="V560" s="77"/>
    </row>
    <row r="561" spans="1:36" x14ac:dyDescent="0.2">
      <c r="A561" s="2" t="s">
        <v>959</v>
      </c>
      <c r="F561" s="77">
        <f t="shared" si="272"/>
        <v>0</v>
      </c>
      <c r="G561" s="77" t="e">
        <f t="shared" ref="G561:H561" si="281">G532/G$430</f>
        <v>#DIV/0!</v>
      </c>
      <c r="H561" s="77">
        <f t="shared" si="281"/>
        <v>0</v>
      </c>
      <c r="I561" s="30">
        <f t="shared" ref="I561:J561" si="282">I532/I$445</f>
        <v>0</v>
      </c>
      <c r="J561" s="30">
        <f t="shared" si="282"/>
        <v>0</v>
      </c>
      <c r="K561" s="77">
        <f t="shared" ref="K561" si="283">K532/K$430</f>
        <v>0</v>
      </c>
      <c r="M561" s="30">
        <f t="shared" ref="M561:P561" si="284">M532/M$445</f>
        <v>0</v>
      </c>
      <c r="N561" s="30">
        <f t="shared" si="284"/>
        <v>0</v>
      </c>
      <c r="O561" s="30">
        <f t="shared" si="284"/>
        <v>0</v>
      </c>
      <c r="P561" s="30">
        <f t="shared" si="284"/>
        <v>0</v>
      </c>
      <c r="Q561" s="77">
        <f t="shared" ref="Q561" si="285">Q532/Q$430</f>
        <v>0</v>
      </c>
      <c r="R561" s="30">
        <f t="shared" ref="R561:S561" si="286">R532/R$445</f>
        <v>0</v>
      </c>
      <c r="S561" s="30" t="e">
        <f t="shared" si="286"/>
        <v>#DIV/0!</v>
      </c>
      <c r="T561" s="77">
        <f t="shared" ref="T561" si="287">T532/T$430</f>
        <v>0</v>
      </c>
      <c r="U561" s="77"/>
      <c r="V561" s="77"/>
    </row>
    <row r="562" spans="1:36" x14ac:dyDescent="0.2">
      <c r="A562" s="2" t="s">
        <v>960</v>
      </c>
      <c r="F562" s="77">
        <f t="shared" si="272"/>
        <v>0.11903869739769882</v>
      </c>
      <c r="G562" s="77" t="e">
        <f t="shared" ref="G562:H562" si="288">G533/G$430</f>
        <v>#DIV/0!</v>
      </c>
      <c r="H562" s="77">
        <f t="shared" si="288"/>
        <v>0.11961304538011909</v>
      </c>
      <c r="I562" s="30">
        <f t="shared" ref="I562:J562" si="289">I533/I$445</f>
        <v>15.6045915103249</v>
      </c>
      <c r="J562" s="30">
        <f t="shared" si="289"/>
        <v>15.613057406528966</v>
      </c>
      <c r="K562" s="77">
        <f t="shared" ref="K562" si="290">K533/K$430</f>
        <v>0.12007352361979351</v>
      </c>
      <c r="M562" s="30">
        <f t="shared" ref="M562:P562" si="291">M533/M$445</f>
        <v>15.610790806184834</v>
      </c>
      <c r="N562" s="30">
        <f t="shared" si="291"/>
        <v>15.612270380952848</v>
      </c>
      <c r="O562" s="30">
        <f t="shared" si="291"/>
        <v>15.612256705982123</v>
      </c>
      <c r="P562" s="30">
        <f t="shared" si="291"/>
        <v>15.600837482745009</v>
      </c>
      <c r="Q562" s="77">
        <f t="shared" ref="Q562" si="292">Q533/Q$430</f>
        <v>0.10704531607988702</v>
      </c>
      <c r="R562" s="30">
        <f t="shared" ref="R562:S562" si="293">R533/R$445</f>
        <v>15.611337637306367</v>
      </c>
      <c r="S562" s="30" t="e">
        <f t="shared" si="293"/>
        <v>#DIV/0!</v>
      </c>
      <c r="T562" s="77">
        <f t="shared" ref="T562" si="294">T533/T$430</f>
        <v>5.087688886491834E-2</v>
      </c>
      <c r="U562" s="77"/>
      <c r="V562" s="77"/>
      <c r="W562" s="30" t="e">
        <f>W533/W433</f>
        <v>#DIV/0!</v>
      </c>
      <c r="X562" s="30" t="e">
        <f>X533/X433</f>
        <v>#DIV/0!</v>
      </c>
      <c r="Y562" s="30" t="e">
        <f>Y533/Y433</f>
        <v>#DIV/0!</v>
      </c>
      <c r="Z562" s="171">
        <f>Z533/12877</f>
        <v>0</v>
      </c>
      <c r="AA562" s="68">
        <f>AA533/11922</f>
        <v>0</v>
      </c>
      <c r="AB562" s="68">
        <f>AB533/14745</f>
        <v>0</v>
      </c>
      <c r="AC562" s="68">
        <f>AC533/10526</f>
        <v>0</v>
      </c>
      <c r="AD562" s="68">
        <f>AD533/11459</f>
        <v>0</v>
      </c>
      <c r="AE562" s="68"/>
      <c r="AF562" s="68"/>
    </row>
    <row r="563" spans="1:36" x14ac:dyDescent="0.2">
      <c r="A563" s="2" t="s">
        <v>863</v>
      </c>
      <c r="F563" s="30">
        <f t="shared" ref="F563" si="295">F534/F$433</f>
        <v>114.23001338407185</v>
      </c>
      <c r="G563" s="30" t="e">
        <f t="shared" ref="G563:H563" si="296">G534/G$433</f>
        <v>#DIV/0!</v>
      </c>
      <c r="H563" s="30">
        <f t="shared" si="296"/>
        <v>114.23001338407185</v>
      </c>
      <c r="I563" s="30">
        <f t="shared" ref="I563:K563" si="297">I534/I$433</f>
        <v>124.27987093543675</v>
      </c>
      <c r="J563" s="30">
        <f t="shared" si="297"/>
        <v>433.84281935552849</v>
      </c>
      <c r="K563" s="30">
        <f t="shared" si="297"/>
        <v>17.889760981685239</v>
      </c>
      <c r="M563" s="30">
        <f t="shared" ref="M563:Q563" si="298">M534/M$433</f>
        <v>546.15498684597685</v>
      </c>
      <c r="N563" s="30">
        <f t="shared" si="298"/>
        <v>3407.3745046821386</v>
      </c>
      <c r="O563" s="30">
        <f t="shared" si="298"/>
        <v>992.54506920061806</v>
      </c>
      <c r="P563" s="30">
        <f t="shared" si="298"/>
        <v>190.23321733496172</v>
      </c>
      <c r="Q563" s="30">
        <f t="shared" si="298"/>
        <v>115.79807626442665</v>
      </c>
      <c r="R563" s="30">
        <f t="shared" ref="R563:T563" si="299">R534/R$433</f>
        <v>562.50099429265197</v>
      </c>
      <c r="S563" s="30" t="e">
        <f t="shared" si="299"/>
        <v>#DIV/0!</v>
      </c>
      <c r="T563" s="30">
        <f t="shared" si="299"/>
        <v>448.54340885885478</v>
      </c>
      <c r="U563" s="30"/>
      <c r="V563" s="30"/>
      <c r="W563" s="30" t="e">
        <f t="shared" ref="W563:AD563" si="300">W534/W$433</f>
        <v>#DIV/0!</v>
      </c>
      <c r="X563" s="30" t="e">
        <f t="shared" si="300"/>
        <v>#DIV/0!</v>
      </c>
      <c r="Y563" s="30" t="e">
        <f t="shared" si="300"/>
        <v>#DIV/0!</v>
      </c>
      <c r="Z563" s="172" t="e">
        <f t="shared" si="300"/>
        <v>#DIV/0!</v>
      </c>
      <c r="AA563" s="172" t="e">
        <f t="shared" si="300"/>
        <v>#DIV/0!</v>
      </c>
      <c r="AB563" s="172" t="e">
        <f t="shared" si="300"/>
        <v>#DIV/0!</v>
      </c>
      <c r="AC563" s="172" t="e">
        <f t="shared" si="300"/>
        <v>#DIV/0!</v>
      </c>
      <c r="AD563" s="172" t="e">
        <f t="shared" si="300"/>
        <v>#DIV/0!</v>
      </c>
      <c r="AE563" s="172"/>
      <c r="AF563" s="172"/>
    </row>
    <row r="566" spans="1:36" x14ac:dyDescent="0.2">
      <c r="A566" s="12" t="s">
        <v>665</v>
      </c>
      <c r="B566" s="129"/>
      <c r="C566" s="2" t="s">
        <v>869</v>
      </c>
      <c r="F566" s="166">
        <f t="shared" ref="F566:S566" si="301">F403</f>
        <v>7.4348157253215823E-3</v>
      </c>
      <c r="G566" s="166" t="str">
        <f t="shared" ref="G566:H566" si="302">G403</f>
        <v>NA</v>
      </c>
      <c r="H566" s="166">
        <f t="shared" si="302"/>
        <v>3.2335811348724729E-2</v>
      </c>
      <c r="I566" s="166">
        <f t="shared" ref="I566:K566" si="303">I403</f>
        <v>8.6777276745682363E-2</v>
      </c>
      <c r="J566" s="166">
        <f t="shared" si="303"/>
        <v>0.42874426981182989</v>
      </c>
      <c r="K566" s="166">
        <f t="shared" si="303"/>
        <v>-0.12546389082662227</v>
      </c>
      <c r="M566" s="166">
        <f t="shared" ref="M566:Q566" si="304">M403</f>
        <v>0.37215348283361904</v>
      </c>
      <c r="N566" s="166">
        <f t="shared" si="304"/>
        <v>0.31414144583941556</v>
      </c>
      <c r="O566" s="166">
        <f t="shared" si="304"/>
        <v>0.42071174555887614</v>
      </c>
      <c r="P566" s="166">
        <f t="shared" si="304"/>
        <v>0.52410235891188017</v>
      </c>
      <c r="Q566" s="166">
        <f t="shared" si="304"/>
        <v>-0.21387938630009889</v>
      </c>
      <c r="R566" s="166">
        <f t="shared" si="301"/>
        <v>0.25660254252114051</v>
      </c>
      <c r="S566" s="166" t="e">
        <f t="shared" si="301"/>
        <v>#DIV/0!</v>
      </c>
      <c r="T566" s="166">
        <f t="shared" ref="T566" si="305">T403</f>
        <v>0.30448482621415596</v>
      </c>
      <c r="U566" s="166"/>
      <c r="V566" s="166"/>
    </row>
    <row r="567" spans="1:36" x14ac:dyDescent="0.2">
      <c r="A567" s="1"/>
    </row>
    <row r="568" spans="1:36" x14ac:dyDescent="0.2">
      <c r="A568" s="1" t="s">
        <v>734</v>
      </c>
    </row>
    <row r="569" spans="1:36" x14ac:dyDescent="0.2">
      <c r="A569" s="2" t="s">
        <v>961</v>
      </c>
      <c r="F569" s="165">
        <f t="shared" ref="F569" si="306">F550</f>
        <v>1.2571418069293133E-2</v>
      </c>
      <c r="G569" s="165" t="e">
        <f t="shared" ref="G569:H569" si="307">G550</f>
        <v>#DIV/0!</v>
      </c>
      <c r="H569" s="165">
        <f t="shared" si="307"/>
        <v>6.592058320529455E-3</v>
      </c>
      <c r="I569" s="30">
        <f t="shared" ref="I569:K569" si="308">I550</f>
        <v>1.707320230500103</v>
      </c>
      <c r="J569" s="30">
        <f t="shared" si="308"/>
        <v>3.1610478782967375</v>
      </c>
      <c r="K569" s="165">
        <f t="shared" si="308"/>
        <v>0</v>
      </c>
      <c r="M569" s="30">
        <f t="shared" ref="M569:Q569" si="309">M550</f>
        <v>2.7718369185417111</v>
      </c>
      <c r="N569" s="30">
        <f t="shared" si="309"/>
        <v>9.4774779800084534</v>
      </c>
      <c r="O569" s="30">
        <f t="shared" si="309"/>
        <v>3.0235549898303642</v>
      </c>
      <c r="P569" s="30">
        <f t="shared" si="309"/>
        <v>1.0626945993872705</v>
      </c>
      <c r="Q569" s="165">
        <f t="shared" si="309"/>
        <v>9.8643678965690349E-3</v>
      </c>
      <c r="R569" s="30">
        <f t="shared" ref="R569:T569" si="310">R550</f>
        <v>2.8657364302869013</v>
      </c>
      <c r="S569" s="30" t="e">
        <f t="shared" si="310"/>
        <v>#DIV/0!</v>
      </c>
      <c r="T569" s="165">
        <f t="shared" si="310"/>
        <v>6.5261921762150817E-3</v>
      </c>
      <c r="U569" s="165"/>
      <c r="V569" s="165"/>
      <c r="W569" s="165" t="e">
        <f>#REF!</f>
        <v>#REF!</v>
      </c>
      <c r="X569" s="165" t="e">
        <f>#REF!</f>
        <v>#REF!</v>
      </c>
      <c r="Y569" s="165" t="e">
        <f>#REF!</f>
        <v>#REF!</v>
      </c>
      <c r="Z569" s="165" t="e">
        <f>#REF!</f>
        <v>#REF!</v>
      </c>
      <c r="AA569" s="165" t="e">
        <f>#REF!</f>
        <v>#REF!</v>
      </c>
      <c r="AB569" s="165" t="e">
        <f>#REF!</f>
        <v>#REF!</v>
      </c>
      <c r="AC569" s="165" t="e">
        <f>#REF!</f>
        <v>#REF!</v>
      </c>
      <c r="AD569" s="165" t="e">
        <f>#REF!</f>
        <v>#REF!</v>
      </c>
      <c r="AE569" s="165" t="e">
        <f>#REF!</f>
        <v>#REF!</v>
      </c>
      <c r="AF569" s="165" t="e">
        <f>#REF!</f>
        <v>#REF!</v>
      </c>
    </row>
    <row r="570" spans="1:36" x14ac:dyDescent="0.2">
      <c r="A570" s="2" t="s">
        <v>962</v>
      </c>
      <c r="F570" s="165">
        <f t="shared" ref="F570" si="311">(F530*F403)/F$430</f>
        <v>2.5280918754084684E-5</v>
      </c>
      <c r="G570" s="165" t="e">
        <f t="shared" ref="G570:H570" si="312">(G530*G403)/G$430</f>
        <v>#VALUE!</v>
      </c>
      <c r="H570" s="165">
        <f t="shared" si="312"/>
        <v>5.7655823315197603E-5</v>
      </c>
      <c r="I570" s="165">
        <f t="shared" ref="I570:K570" si="313">(I530*I403)/I$430</f>
        <v>2.3900994660973403E-4</v>
      </c>
      <c r="J570" s="165">
        <f t="shared" si="313"/>
        <v>1.2220775880466452E-3</v>
      </c>
      <c r="K570" s="165">
        <f t="shared" si="313"/>
        <v>0</v>
      </c>
      <c r="M570" s="165">
        <f t="shared" ref="M570:Q570" si="314">(M530*M403)/M$430</f>
        <v>6.8772768274137446E-4</v>
      </c>
      <c r="N570" s="165">
        <f t="shared" si="314"/>
        <v>9.7715135349464772E-4</v>
      </c>
      <c r="O570" s="165">
        <f t="shared" si="314"/>
        <v>6.6951777168819653E-4</v>
      </c>
      <c r="P570" s="165">
        <f t="shared" si="314"/>
        <v>9.3808998068615557E-4</v>
      </c>
      <c r="Q570" s="165">
        <f t="shared" si="314"/>
        <v>-5.7065886091607729E-4</v>
      </c>
      <c r="R570" s="165">
        <f t="shared" ref="R570:T570" si="315">(R530*R403)/R$430</f>
        <v>4.5487187033332557E-4</v>
      </c>
      <c r="S570" s="165" t="e">
        <f t="shared" si="315"/>
        <v>#DIV/0!</v>
      </c>
      <c r="T570" s="165">
        <f t="shared" si="315"/>
        <v>5.374819545370769E-4</v>
      </c>
      <c r="U570" s="165"/>
      <c r="V570" s="165"/>
      <c r="W570" s="165"/>
      <c r="X570" s="165"/>
      <c r="Y570" s="165"/>
      <c r="Z570" s="165"/>
      <c r="AA570" s="165"/>
      <c r="AB570" s="165"/>
      <c r="AC570" s="165"/>
      <c r="AD570" s="165"/>
      <c r="AE570" s="165"/>
      <c r="AF570" s="165"/>
    </row>
    <row r="571" spans="1:36" x14ac:dyDescent="0.2">
      <c r="A571" s="2" t="s">
        <v>864</v>
      </c>
      <c r="F571" s="165">
        <f t="shared" ref="F571:S571" si="316">F551</f>
        <v>5.8912262796929855E-2</v>
      </c>
      <c r="G571" s="165" t="e">
        <f t="shared" ref="G571:H571" si="317">G551</f>
        <v>#DIV/0!</v>
      </c>
      <c r="H571" s="165">
        <f t="shared" si="317"/>
        <v>5.8771713613594609E-2</v>
      </c>
      <c r="I571" s="165">
        <f t="shared" ref="I571:K571" si="318">I551</f>
        <v>6.259902931165183E-2</v>
      </c>
      <c r="J571" s="165">
        <f t="shared" si="318"/>
        <v>5.8771713613594609E-2</v>
      </c>
      <c r="K571" s="165">
        <f t="shared" si="318"/>
        <v>5.5494995834455392E-2</v>
      </c>
      <c r="M571" s="165">
        <f t="shared" ref="M571:Q571" si="319">M551</f>
        <v>5.8771713613594602E-2</v>
      </c>
      <c r="N571" s="165">
        <f t="shared" si="319"/>
        <v>4.324050125657887E-2</v>
      </c>
      <c r="O571" s="165">
        <f t="shared" si="319"/>
        <v>5.8903777169950933E-2</v>
      </c>
      <c r="P571" s="165">
        <f t="shared" si="319"/>
        <v>5.8903777169950947E-2</v>
      </c>
      <c r="Q571" s="165">
        <f t="shared" si="319"/>
        <v>6.1983714513520062E-2</v>
      </c>
      <c r="R571" s="165">
        <f t="shared" si="316"/>
        <v>5.8903777169950947E-2</v>
      </c>
      <c r="S571" s="165" t="e">
        <f t="shared" si="316"/>
        <v>#DIV/0!</v>
      </c>
      <c r="T571" s="165">
        <f t="shared" ref="T571" si="320">T551</f>
        <v>5.8771713613594616E-2</v>
      </c>
      <c r="U571" s="165"/>
      <c r="V571" s="165"/>
      <c r="W571" s="165" t="e">
        <f>#REF!</f>
        <v>#REF!</v>
      </c>
      <c r="X571" s="165" t="e">
        <f>#REF!</f>
        <v>#REF!</v>
      </c>
      <c r="Y571" s="165" t="e">
        <f>#REF!</f>
        <v>#REF!</v>
      </c>
      <c r="Z571" s="165" t="e">
        <f>#REF!</f>
        <v>#REF!</v>
      </c>
      <c r="AA571" s="165" t="e">
        <f>#REF!</f>
        <v>#REF!</v>
      </c>
      <c r="AB571" s="165" t="e">
        <f>#REF!</f>
        <v>#REF!</v>
      </c>
      <c r="AC571" s="165" t="e">
        <f>#REF!</f>
        <v>#REF!</v>
      </c>
      <c r="AD571" s="165" t="e">
        <f>#REF!</f>
        <v>#REF!</v>
      </c>
      <c r="AE571" s="165" t="e">
        <f>#REF!</f>
        <v>#REF!</v>
      </c>
      <c r="AF571" s="165" t="e">
        <f>#REF!</f>
        <v>#REF!</v>
      </c>
    </row>
    <row r="572" spans="1:36" x14ac:dyDescent="0.2">
      <c r="A572" s="2" t="s">
        <v>865</v>
      </c>
      <c r="F572" s="165">
        <f t="shared" ref="F572:S572" si="321">(F531*F403)/F$430</f>
        <v>0</v>
      </c>
      <c r="G572" s="165" t="e">
        <f t="shared" ref="G572:H572" si="322">(G531*G403)/G$430</f>
        <v>#VALUE!</v>
      </c>
      <c r="H572" s="165">
        <f t="shared" si="322"/>
        <v>0</v>
      </c>
      <c r="I572" s="165">
        <f t="shared" ref="I572:K572" si="323">(I531*I403)/I$430</f>
        <v>0</v>
      </c>
      <c r="J572" s="165">
        <f t="shared" si="323"/>
        <v>0</v>
      </c>
      <c r="K572" s="165">
        <f t="shared" si="323"/>
        <v>0</v>
      </c>
      <c r="M572" s="165">
        <f t="shared" ref="M572:Q572" si="324">(M531*M403)/M$430</f>
        <v>0</v>
      </c>
      <c r="N572" s="165">
        <f t="shared" si="324"/>
        <v>0</v>
      </c>
      <c r="O572" s="165">
        <f t="shared" si="324"/>
        <v>0</v>
      </c>
      <c r="P572" s="165">
        <f t="shared" si="324"/>
        <v>0</v>
      </c>
      <c r="Q572" s="165">
        <f t="shared" si="324"/>
        <v>0</v>
      </c>
      <c r="R572" s="165">
        <f t="shared" si="321"/>
        <v>0</v>
      </c>
      <c r="S572" s="165" t="e">
        <f t="shared" si="321"/>
        <v>#DIV/0!</v>
      </c>
      <c r="T572" s="165">
        <f t="shared" ref="T572" si="325">(T531*T403)/T$430</f>
        <v>0</v>
      </c>
      <c r="U572" s="165"/>
      <c r="V572" s="165"/>
      <c r="W572" s="165"/>
      <c r="X572" s="165"/>
      <c r="Y572" s="165"/>
      <c r="Z572" s="165"/>
      <c r="AA572" s="165"/>
      <c r="AB572" s="165"/>
      <c r="AC572" s="165"/>
      <c r="AD572" s="165"/>
      <c r="AE572" s="165"/>
      <c r="AF572" s="165"/>
    </row>
    <row r="573" spans="1:36" x14ac:dyDescent="0.2">
      <c r="F573" s="165"/>
      <c r="G573" s="165"/>
      <c r="H573" s="165"/>
      <c r="I573" s="165"/>
      <c r="J573" s="165"/>
      <c r="K573" s="165"/>
      <c r="M573" s="165"/>
      <c r="N573" s="165"/>
      <c r="O573" s="165"/>
      <c r="P573" s="165"/>
      <c r="Q573" s="165"/>
      <c r="R573" s="165"/>
      <c r="S573" s="165"/>
      <c r="T573" s="165"/>
      <c r="U573" s="165"/>
      <c r="V573" s="165"/>
      <c r="W573" s="165"/>
      <c r="X573" s="165"/>
      <c r="Y573" s="165"/>
      <c r="Z573" s="165"/>
      <c r="AA573" s="165"/>
      <c r="AB573" s="165"/>
      <c r="AC573" s="165"/>
      <c r="AD573" s="165"/>
      <c r="AE573" s="165"/>
      <c r="AF573" s="165"/>
    </row>
    <row r="574" spans="1:36" x14ac:dyDescent="0.2">
      <c r="A574" s="1" t="s">
        <v>858</v>
      </c>
      <c r="F574" s="165"/>
      <c r="G574" s="165"/>
      <c r="H574" s="165"/>
      <c r="I574" s="165"/>
      <c r="J574" s="165"/>
      <c r="K574" s="165"/>
      <c r="M574" s="165"/>
      <c r="N574" s="165"/>
      <c r="O574" s="165"/>
      <c r="P574" s="165"/>
      <c r="Q574" s="165"/>
      <c r="R574" s="165"/>
      <c r="S574" s="165"/>
      <c r="T574" s="165"/>
      <c r="U574" s="165"/>
      <c r="V574" s="165"/>
      <c r="W574" s="165"/>
      <c r="X574" s="165"/>
      <c r="Y574" s="165"/>
      <c r="Z574" s="165"/>
      <c r="AA574" s="165"/>
      <c r="AB574" s="165"/>
      <c r="AC574" s="165"/>
      <c r="AD574" s="165"/>
      <c r="AE574" s="165"/>
      <c r="AF574" s="165"/>
    </row>
    <row r="575" spans="1:36" x14ac:dyDescent="0.2">
      <c r="A575" s="2" t="s">
        <v>963</v>
      </c>
      <c r="F575" s="165">
        <f t="shared" ref="F575:S575" si="326">F552</f>
        <v>0</v>
      </c>
      <c r="G575" s="165" t="e">
        <f t="shared" ref="G575:H575" si="327">G552</f>
        <v>#DIV/0!</v>
      </c>
      <c r="H575" s="165">
        <f t="shared" si="327"/>
        <v>0</v>
      </c>
      <c r="I575" s="165">
        <f t="shared" ref="I575:K575" si="328">I552</f>
        <v>0</v>
      </c>
      <c r="J575" s="165">
        <f t="shared" si="328"/>
        <v>0</v>
      </c>
      <c r="K575" s="165">
        <f t="shared" si="328"/>
        <v>0</v>
      </c>
      <c r="M575" s="165">
        <f t="shared" ref="M575:Q575" si="329">M552</f>
        <v>0</v>
      </c>
      <c r="N575" s="165">
        <f t="shared" si="329"/>
        <v>0</v>
      </c>
      <c r="O575" s="165">
        <f t="shared" si="329"/>
        <v>0</v>
      </c>
      <c r="P575" s="165">
        <f t="shared" si="329"/>
        <v>0</v>
      </c>
      <c r="Q575" s="165">
        <f t="shared" si="329"/>
        <v>0</v>
      </c>
      <c r="R575" s="165">
        <f t="shared" si="326"/>
        <v>0</v>
      </c>
      <c r="S575" s="165" t="e">
        <f t="shared" si="326"/>
        <v>#DIV/0!</v>
      </c>
      <c r="T575" s="165">
        <f t="shared" ref="T575" si="330">T552</f>
        <v>0</v>
      </c>
      <c r="U575" s="165"/>
      <c r="V575" s="165"/>
      <c r="W575" s="165"/>
      <c r="X575" s="165"/>
      <c r="Y575" s="165"/>
      <c r="Z575" s="165"/>
      <c r="AA575" s="165"/>
      <c r="AB575" s="165"/>
      <c r="AC575" s="165"/>
      <c r="AD575" s="165"/>
      <c r="AE575" s="165"/>
      <c r="AF575" s="165"/>
    </row>
    <row r="576" spans="1:36" s="54" customFormat="1" ht="15" x14ac:dyDescent="0.2">
      <c r="A576" s="54" t="s">
        <v>964</v>
      </c>
      <c r="E576" s="173"/>
      <c r="F576" s="174">
        <f t="shared" ref="F576" si="331">(F532*F403)/F$430</f>
        <v>0</v>
      </c>
      <c r="G576" s="174" t="e">
        <f t="shared" ref="G576:H576" si="332">(G532*G403)/G$430</f>
        <v>#VALUE!</v>
      </c>
      <c r="H576" s="174">
        <f t="shared" si="332"/>
        <v>0</v>
      </c>
      <c r="I576" s="174">
        <f t="shared" ref="I576:K576" si="333">(I532*I403)/I$430</f>
        <v>0</v>
      </c>
      <c r="J576" s="174">
        <f t="shared" si="333"/>
        <v>0</v>
      </c>
      <c r="K576" s="174">
        <f t="shared" si="333"/>
        <v>0</v>
      </c>
      <c r="L576" s="2"/>
      <c r="M576" s="174">
        <f t="shared" ref="M576:Q576" si="334">(M532*M403)/M$430</f>
        <v>0</v>
      </c>
      <c r="N576" s="174">
        <f t="shared" si="334"/>
        <v>0</v>
      </c>
      <c r="O576" s="174">
        <f t="shared" si="334"/>
        <v>0</v>
      </c>
      <c r="P576" s="174">
        <f t="shared" si="334"/>
        <v>0</v>
      </c>
      <c r="Q576" s="174">
        <f t="shared" si="334"/>
        <v>0</v>
      </c>
      <c r="R576" s="174">
        <f t="shared" ref="R576:T576" si="335">(R532*R403)/R$430</f>
        <v>0</v>
      </c>
      <c r="S576" s="174" t="e">
        <f t="shared" si="335"/>
        <v>#DIV/0!</v>
      </c>
      <c r="T576" s="174">
        <f t="shared" si="335"/>
        <v>0</v>
      </c>
      <c r="U576" s="174"/>
      <c r="V576" s="174"/>
      <c r="AJ576" s="57"/>
    </row>
    <row r="577" spans="1:32" x14ac:dyDescent="0.2">
      <c r="B577" s="2" t="s">
        <v>965</v>
      </c>
      <c r="F577" s="175">
        <f t="shared" ref="F577" si="336">F576+F575</f>
        <v>0</v>
      </c>
      <c r="G577" s="175" t="e">
        <f t="shared" ref="G577:H577" si="337">G576+G575</f>
        <v>#VALUE!</v>
      </c>
      <c r="H577" s="175">
        <f t="shared" si="337"/>
        <v>0</v>
      </c>
      <c r="I577" s="175">
        <f t="shared" ref="I577:K577" si="338">I576+I575</f>
        <v>0</v>
      </c>
      <c r="J577" s="175">
        <f t="shared" si="338"/>
        <v>0</v>
      </c>
      <c r="K577" s="175">
        <f t="shared" si="338"/>
        <v>0</v>
      </c>
      <c r="M577" s="175">
        <f t="shared" ref="M577:Q577" si="339">M576+M575</f>
        <v>0</v>
      </c>
      <c r="N577" s="175">
        <f t="shared" si="339"/>
        <v>0</v>
      </c>
      <c r="O577" s="175">
        <f t="shared" si="339"/>
        <v>0</v>
      </c>
      <c r="P577" s="175">
        <f t="shared" si="339"/>
        <v>0</v>
      </c>
      <c r="Q577" s="175">
        <f t="shared" si="339"/>
        <v>0</v>
      </c>
      <c r="R577" s="175">
        <f t="shared" ref="R577:T577" si="340">R576+R575</f>
        <v>0</v>
      </c>
      <c r="S577" s="175" t="e">
        <f t="shared" si="340"/>
        <v>#DIV/0!</v>
      </c>
      <c r="T577" s="175">
        <f t="shared" si="340"/>
        <v>0</v>
      </c>
      <c r="U577" s="175"/>
      <c r="V577" s="175"/>
    </row>
    <row r="579" spans="1:32" x14ac:dyDescent="0.2">
      <c r="A579" s="1" t="s">
        <v>666</v>
      </c>
    </row>
    <row r="580" spans="1:32" x14ac:dyDescent="0.2">
      <c r="A580" s="2" t="s">
        <v>966</v>
      </c>
      <c r="F580" s="165">
        <f t="shared" ref="F580:S580" si="341">F553</f>
        <v>2.0968962845966613E-2</v>
      </c>
      <c r="G580" s="165" t="e">
        <f t="shared" ref="G580:H580" si="342">G553</f>
        <v>#DIV/0!</v>
      </c>
      <c r="H580" s="165">
        <f t="shared" si="342"/>
        <v>2.1067987235714725E-2</v>
      </c>
      <c r="I580" s="30">
        <f t="shared" ref="I580:K580" si="343">I553</f>
        <v>2.7491481156799944</v>
      </c>
      <c r="J580" s="30">
        <f t="shared" si="343"/>
        <v>2.7548244907680317</v>
      </c>
      <c r="K580" s="165">
        <f t="shared" si="343"/>
        <v>2.1183502771228477E-2</v>
      </c>
      <c r="M580" s="30">
        <f t="shared" ref="M580:Q580" si="344">M553</f>
        <v>2.7567335925072012</v>
      </c>
      <c r="N580" s="30">
        <f t="shared" si="344"/>
        <v>2.7552325304957983</v>
      </c>
      <c r="O580" s="30">
        <f t="shared" si="344"/>
        <v>2.7564480612969589</v>
      </c>
      <c r="P580" s="30">
        <f t="shared" si="344"/>
        <v>2.7554437983783657</v>
      </c>
      <c r="Q580" s="165">
        <f t="shared" si="344"/>
        <v>1.8874783148216338E-2</v>
      </c>
      <c r="R580" s="30">
        <f t="shared" si="341"/>
        <v>2.7569285318928705</v>
      </c>
      <c r="S580" s="30" t="e">
        <f t="shared" si="341"/>
        <v>#DIV/0!</v>
      </c>
      <c r="T580" s="165">
        <f t="shared" ref="T580" si="345">T553</f>
        <v>8.9363318712289141E-3</v>
      </c>
      <c r="U580" s="165"/>
      <c r="V580" s="165"/>
      <c r="W580" s="165" t="e">
        <f>#REF!</f>
        <v>#REF!</v>
      </c>
      <c r="X580" s="165" t="e">
        <f>#REF!</f>
        <v>#REF!</v>
      </c>
      <c r="Y580" s="165" t="e">
        <f>#REF!</f>
        <v>#REF!</v>
      </c>
      <c r="Z580" s="165" t="e">
        <f>#REF!</f>
        <v>#REF!</v>
      </c>
      <c r="AA580" s="165" t="e">
        <f>#REF!</f>
        <v>#REF!</v>
      </c>
      <c r="AB580" s="165" t="e">
        <f>#REF!</f>
        <v>#REF!</v>
      </c>
      <c r="AC580" s="165" t="e">
        <f>#REF!</f>
        <v>#REF!</v>
      </c>
      <c r="AD580" s="165" t="e">
        <f>#REF!</f>
        <v>#REF!</v>
      </c>
      <c r="AE580" s="165" t="e">
        <f>#REF!</f>
        <v>#REF!</v>
      </c>
      <c r="AF580" s="165" t="e">
        <f>#REF!</f>
        <v>#REF!</v>
      </c>
    </row>
    <row r="581" spans="1:32" ht="15" x14ac:dyDescent="0.35">
      <c r="A581" s="54" t="s">
        <v>967</v>
      </c>
      <c r="E581" s="165"/>
      <c r="F581" s="176">
        <f t="shared" ref="F581" si="346">(F533*F403)/F$430</f>
        <v>8.8503077933420847E-4</v>
      </c>
      <c r="G581" s="176" t="e">
        <f t="shared" ref="G581:H581" si="347">(G533*G403)/G$430</f>
        <v>#VALUE!</v>
      </c>
      <c r="H581" s="176">
        <f t="shared" si="347"/>
        <v>3.8677848702579811E-3</v>
      </c>
      <c r="I581" s="81">
        <f t="shared" ref="I581:K581" si="348">(I533*I403)/I$430</f>
        <v>8.0763478915168892E-3</v>
      </c>
      <c r="J581" s="81">
        <f t="shared" si="348"/>
        <v>2.2316048030021293E-2</v>
      </c>
      <c r="K581" s="176">
        <f t="shared" si="348"/>
        <v>-1.5064891458601624E-2</v>
      </c>
      <c r="M581" s="81">
        <f t="shared" ref="M581:Q581" si="349">(M533*M403)/M$430</f>
        <v>1.4319747509141448E-2</v>
      </c>
      <c r="N581" s="81">
        <f t="shared" si="349"/>
        <v>9.4349857148541116E-3</v>
      </c>
      <c r="O581" s="81">
        <f t="shared" si="349"/>
        <v>1.2781197525537268E-2</v>
      </c>
      <c r="P581" s="81">
        <f t="shared" si="349"/>
        <v>5.0914978176057696E-2</v>
      </c>
      <c r="Q581" s="176">
        <f t="shared" si="349"/>
        <v>-2.2894786509466344E-2</v>
      </c>
      <c r="R581" s="81">
        <f t="shared" ref="R581:T581" si="350">(R533*R403)/R$430</f>
        <v>9.1612466887926441E-3</v>
      </c>
      <c r="S581" s="81" t="e">
        <f t="shared" si="350"/>
        <v>#DIV/0!</v>
      </c>
      <c r="T581" s="176">
        <f t="shared" si="350"/>
        <v>1.5491240664351588E-2</v>
      </c>
      <c r="U581" s="176"/>
      <c r="V581" s="176"/>
      <c r="W581" s="176" t="e">
        <f>(#REF!*W330)/320.47</f>
        <v>#REF!</v>
      </c>
      <c r="X581" s="176" t="e">
        <f>(#REF!*X330)/26669</f>
        <v>#REF!</v>
      </c>
      <c r="Y581" s="176" t="e">
        <f>(#REF!*Y330)/68503</f>
        <v>#REF!</v>
      </c>
      <c r="Z581" s="176" t="e">
        <f>(#REF!*Z330)/Z$430</f>
        <v>#REF!</v>
      </c>
      <c r="AA581" s="176" t="e">
        <f>(#REF!*AA330)/17492.7</f>
        <v>#REF!</v>
      </c>
      <c r="AB581" s="176" t="e">
        <f>(#REF!*AB330)/10846</f>
        <v>#REF!</v>
      </c>
      <c r="AC581" s="176" t="e">
        <f>(#REF!*AC330)/12274</f>
        <v>#REF!</v>
      </c>
      <c r="AD581" s="176" t="e">
        <f>(#REF!*AD330)/10405</f>
        <v>#REF!</v>
      </c>
      <c r="AE581" s="176" t="e">
        <f>(#REF!*AE330)/12044</f>
        <v>#REF!</v>
      </c>
      <c r="AF581" s="176" t="e">
        <f>(#REF!*#REF!)/AF$443/12</f>
        <v>#REF!</v>
      </c>
    </row>
    <row r="582" spans="1:32" x14ac:dyDescent="0.2">
      <c r="B582" s="2" t="s">
        <v>968</v>
      </c>
      <c r="F582" s="165">
        <f t="shared" ref="F582" si="351">F580+F581</f>
        <v>2.185399362530082E-2</v>
      </c>
      <c r="G582" s="165" t="e">
        <f t="shared" ref="G582:H582" si="352">G580+G581</f>
        <v>#DIV/0!</v>
      </c>
      <c r="H582" s="165">
        <f t="shared" si="352"/>
        <v>2.4935772105972705E-2</v>
      </c>
      <c r="I582" s="30">
        <f t="shared" ref="I582:K582" si="353">I580+I581</f>
        <v>2.7572244635715113</v>
      </c>
      <c r="J582" s="30">
        <f t="shared" si="353"/>
        <v>2.777140538798053</v>
      </c>
      <c r="K582" s="165">
        <f t="shared" si="353"/>
        <v>6.1186113126268527E-3</v>
      </c>
      <c r="M582" s="30">
        <f t="shared" ref="M582:Q582" si="354">M580+M581</f>
        <v>2.7710533400163428</v>
      </c>
      <c r="N582" s="30">
        <f t="shared" si="354"/>
        <v>2.7646675162106522</v>
      </c>
      <c r="O582" s="30">
        <f t="shared" si="354"/>
        <v>2.769229258822496</v>
      </c>
      <c r="P582" s="30">
        <f t="shared" si="354"/>
        <v>2.8063587765544233</v>
      </c>
      <c r="Q582" s="165">
        <f t="shared" si="354"/>
        <v>-4.0200033612500068E-3</v>
      </c>
      <c r="R582" s="30">
        <f t="shared" ref="R582:AF582" si="355">R580+R581</f>
        <v>2.7660897785816632</v>
      </c>
      <c r="S582" s="30" t="e">
        <f t="shared" si="355"/>
        <v>#DIV/0!</v>
      </c>
      <c r="T582" s="165">
        <f t="shared" si="355"/>
        <v>2.4427572535580502E-2</v>
      </c>
      <c r="U582" s="165"/>
      <c r="V582" s="165"/>
      <c r="W582" s="165" t="e">
        <f t="shared" si="355"/>
        <v>#REF!</v>
      </c>
      <c r="X582" s="165" t="e">
        <f t="shared" si="355"/>
        <v>#REF!</v>
      </c>
      <c r="Y582" s="165" t="e">
        <f t="shared" si="355"/>
        <v>#REF!</v>
      </c>
      <c r="Z582" s="165" t="e">
        <f t="shared" si="355"/>
        <v>#REF!</v>
      </c>
      <c r="AA582" s="165" t="e">
        <f t="shared" si="355"/>
        <v>#REF!</v>
      </c>
      <c r="AB582" s="165" t="e">
        <f t="shared" si="355"/>
        <v>#REF!</v>
      </c>
      <c r="AC582" s="165" t="e">
        <f t="shared" si="355"/>
        <v>#REF!</v>
      </c>
      <c r="AD582" s="165" t="e">
        <f t="shared" si="355"/>
        <v>#REF!</v>
      </c>
      <c r="AE582" s="165" t="e">
        <f t="shared" si="355"/>
        <v>#REF!</v>
      </c>
      <c r="AF582" s="165" t="e">
        <f t="shared" si="355"/>
        <v>#REF!</v>
      </c>
    </row>
    <row r="584" spans="1:32" x14ac:dyDescent="0.2">
      <c r="A584" s="1" t="s">
        <v>667</v>
      </c>
    </row>
    <row r="585" spans="1:32" x14ac:dyDescent="0.2">
      <c r="A585" s="2" t="s">
        <v>668</v>
      </c>
      <c r="F585" s="56">
        <f t="shared" ref="F585:S585" si="356">F554</f>
        <v>21.260393299574858</v>
      </c>
      <c r="G585" s="56" t="e">
        <f t="shared" ref="G585:H585" si="357">G554</f>
        <v>#DIV/0!</v>
      </c>
      <c r="H585" s="56">
        <f t="shared" si="357"/>
        <v>21.214489597861995</v>
      </c>
      <c r="I585" s="56">
        <f t="shared" ref="I585:K585" si="358">I554</f>
        <v>22.198251620564758</v>
      </c>
      <c r="J585" s="56">
        <f t="shared" si="358"/>
        <v>63.143443850594437</v>
      </c>
      <c r="K585" s="56">
        <f t="shared" si="358"/>
        <v>2.6611642762107324</v>
      </c>
      <c r="M585" s="56">
        <f t="shared" ref="M585:Q585" si="359">M554</f>
        <v>137.12649712552343</v>
      </c>
      <c r="N585" s="56">
        <f t="shared" si="359"/>
        <v>590.67545952978674</v>
      </c>
      <c r="O585" s="56">
        <f t="shared" si="359"/>
        <v>180.25975088720756</v>
      </c>
      <c r="P585" s="56">
        <f t="shared" si="359"/>
        <v>26.276845671813941</v>
      </c>
      <c r="Q585" s="56">
        <f t="shared" si="359"/>
        <v>21.586770361281733</v>
      </c>
      <c r="R585" s="56">
        <f t="shared" si="356"/>
        <v>248.97439813384497</v>
      </c>
      <c r="S585" s="56" t="e">
        <f t="shared" si="356"/>
        <v>#DIV/0!</v>
      </c>
      <c r="T585" s="56">
        <f t="shared" ref="T585" si="360">T554</f>
        <v>57.84786510639384</v>
      </c>
      <c r="U585" s="56"/>
      <c r="V585" s="56"/>
      <c r="W585" s="56" t="e">
        <f>#REF!</f>
        <v>#REF!</v>
      </c>
      <c r="X585" s="56" t="e">
        <f>#REF!</f>
        <v>#REF!</v>
      </c>
      <c r="Y585" s="56" t="e">
        <f>#REF!</f>
        <v>#REF!</v>
      </c>
      <c r="Z585" s="56" t="e">
        <f>#REF!</f>
        <v>#REF!</v>
      </c>
      <c r="AA585" s="56" t="e">
        <f>#REF!</f>
        <v>#REF!</v>
      </c>
      <c r="AB585" s="56" t="e">
        <f>#REF!</f>
        <v>#REF!</v>
      </c>
      <c r="AC585" s="56" t="e">
        <f>#REF!</f>
        <v>#REF!</v>
      </c>
      <c r="AD585" s="56" t="e">
        <f>#REF!</f>
        <v>#REF!</v>
      </c>
      <c r="AE585" s="56" t="e">
        <f>#REF!</f>
        <v>#REF!</v>
      </c>
      <c r="AF585" s="56" t="e">
        <f>#REF!</f>
        <v>#REF!</v>
      </c>
    </row>
    <row r="586" spans="1:32" ht="15" x14ac:dyDescent="0.35">
      <c r="A586" s="2" t="s">
        <v>669</v>
      </c>
      <c r="E586" s="56"/>
      <c r="F586" s="81">
        <f t="shared" ref="F586:S586" si="361">(F534*F403)/F433</f>
        <v>0.84927909981159211</v>
      </c>
      <c r="G586" s="81" t="e">
        <f t="shared" ref="G586:H586" si="362">(G534*G403)/G433</f>
        <v>#VALUE!</v>
      </c>
      <c r="H586" s="81">
        <f t="shared" si="362"/>
        <v>3.6937201631496479</v>
      </c>
      <c r="I586" s="81">
        <f t="shared" ref="I586:K586" si="363">(I534*I403)/I433</f>
        <v>10.78466875408208</v>
      </c>
      <c r="J586" s="81">
        <f t="shared" si="363"/>
        <v>186.00762279769168</v>
      </c>
      <c r="K586" s="81">
        <f t="shared" si="363"/>
        <v>-2.2445190187205233</v>
      </c>
      <c r="M586" s="81">
        <f t="shared" ref="M586:Q586" si="364">(M534*M403)/M433</f>
        <v>203.25348052167965</v>
      </c>
      <c r="N586" s="81">
        <f t="shared" si="364"/>
        <v>1070.3975534172093</v>
      </c>
      <c r="O586" s="81">
        <f t="shared" si="364"/>
        <v>417.57536860924756</v>
      </c>
      <c r="P586" s="81">
        <f t="shared" si="364"/>
        <v>99.701677948649817</v>
      </c>
      <c r="Q586" s="81">
        <f t="shared" si="364"/>
        <v>-24.766821486167618</v>
      </c>
      <c r="R586" s="81">
        <f t="shared" si="361"/>
        <v>144.33918530616404</v>
      </c>
      <c r="S586" s="81" t="e">
        <f t="shared" si="361"/>
        <v>#DIV/0!</v>
      </c>
      <c r="T586" s="81">
        <f t="shared" ref="T586" si="365">(T534*T403)/T433</f>
        <v>136.57466189589351</v>
      </c>
      <c r="U586" s="81"/>
      <c r="V586" s="81"/>
      <c r="W586" s="81" t="e">
        <f>(#REF!*W330)/W433</f>
        <v>#REF!</v>
      </c>
      <c r="X586" s="81" t="e">
        <f>(#REF!*X330)/X433</f>
        <v>#REF!</v>
      </c>
      <c r="Y586" s="81" t="e">
        <f>(#REF!*Y330)/Y433</f>
        <v>#REF!</v>
      </c>
      <c r="Z586" s="81" t="e">
        <f>(#REF!*Z330)/Z433</f>
        <v>#REF!</v>
      </c>
      <c r="AA586" s="81" t="e">
        <f>(#REF!*AA330)/AA433</f>
        <v>#REF!</v>
      </c>
      <c r="AB586" s="81" t="e">
        <f>(#REF!*AB330)/AB433</f>
        <v>#REF!</v>
      </c>
      <c r="AC586" s="81" t="e">
        <f>(#REF!*AC330)/AC433</f>
        <v>#REF!</v>
      </c>
      <c r="AD586" s="81" t="e">
        <f>(#REF!*AD330)/AD433</f>
        <v>#REF!</v>
      </c>
      <c r="AE586" s="81" t="e">
        <f>(#REF!*AE330)/AE433</f>
        <v>#REF!</v>
      </c>
      <c r="AF586" s="81" t="e">
        <f>(#REF!*#REF!)/#REF!</f>
        <v>#REF!</v>
      </c>
    </row>
    <row r="587" spans="1:32" x14ac:dyDescent="0.2">
      <c r="B587" s="2" t="s">
        <v>670</v>
      </c>
      <c r="F587" s="56">
        <f t="shared" ref="F587" si="366">F585+F586</f>
        <v>22.109672399386451</v>
      </c>
      <c r="G587" s="56" t="e">
        <f t="shared" ref="G587:H587" si="367">G585+G586</f>
        <v>#DIV/0!</v>
      </c>
      <c r="H587" s="56">
        <f t="shared" si="367"/>
        <v>24.908209761011644</v>
      </c>
      <c r="I587" s="56">
        <f t="shared" ref="I587:K587" si="368">I585+I586</f>
        <v>32.982920374646838</v>
      </c>
      <c r="J587" s="56">
        <f t="shared" si="368"/>
        <v>249.15106664828613</v>
      </c>
      <c r="K587" s="56">
        <f t="shared" si="368"/>
        <v>0.41664525749020909</v>
      </c>
      <c r="M587" s="56">
        <f t="shared" ref="M587:Q587" si="369">M585+M586</f>
        <v>340.37997764720308</v>
      </c>
      <c r="N587" s="56">
        <f t="shared" si="369"/>
        <v>1661.0730129469962</v>
      </c>
      <c r="O587" s="56">
        <f t="shared" si="369"/>
        <v>597.83511949645515</v>
      </c>
      <c r="P587" s="56">
        <f t="shared" si="369"/>
        <v>125.97852362046376</v>
      </c>
      <c r="Q587" s="56">
        <f t="shared" si="369"/>
        <v>-3.1800511248858854</v>
      </c>
      <c r="R587" s="56">
        <f t="shared" ref="R587:AF587" si="370">R585+R586</f>
        <v>393.31358344000898</v>
      </c>
      <c r="S587" s="56" t="e">
        <f t="shared" si="370"/>
        <v>#DIV/0!</v>
      </c>
      <c r="T587" s="56">
        <f t="shared" si="370"/>
        <v>194.42252700228735</v>
      </c>
      <c r="U587" s="56"/>
      <c r="V587" s="56"/>
      <c r="W587" s="56" t="e">
        <f t="shared" si="370"/>
        <v>#REF!</v>
      </c>
      <c r="X587" s="56" t="e">
        <f t="shared" si="370"/>
        <v>#REF!</v>
      </c>
      <c r="Y587" s="56" t="e">
        <f t="shared" si="370"/>
        <v>#REF!</v>
      </c>
      <c r="Z587" s="56" t="e">
        <f t="shared" si="370"/>
        <v>#REF!</v>
      </c>
      <c r="AA587" s="56" t="e">
        <f t="shared" si="370"/>
        <v>#REF!</v>
      </c>
      <c r="AB587" s="56" t="e">
        <f t="shared" si="370"/>
        <v>#REF!</v>
      </c>
      <c r="AC587" s="56" t="e">
        <f t="shared" si="370"/>
        <v>#REF!</v>
      </c>
      <c r="AD587" s="56" t="e">
        <f t="shared" si="370"/>
        <v>#REF!</v>
      </c>
      <c r="AE587" s="56" t="e">
        <f t="shared" si="370"/>
        <v>#REF!</v>
      </c>
      <c r="AF587" s="56" t="e">
        <f t="shared" si="370"/>
        <v>#REF!</v>
      </c>
    </row>
    <row r="591" spans="1:32" x14ac:dyDescent="0.2">
      <c r="A591" s="12" t="s">
        <v>671</v>
      </c>
      <c r="B591" s="129"/>
      <c r="C591" s="177">
        <f>E403</f>
        <v>4.9993234788722717E-2</v>
      </c>
      <c r="F591" s="166">
        <f t="shared" ref="F591:T591" si="371">$C$591</f>
        <v>4.9993234788722717E-2</v>
      </c>
      <c r="G591" s="166">
        <f t="shared" si="371"/>
        <v>4.9993234788722717E-2</v>
      </c>
      <c r="H591" s="166">
        <f t="shared" si="371"/>
        <v>4.9993234788722717E-2</v>
      </c>
      <c r="I591" s="166">
        <f t="shared" si="371"/>
        <v>4.9993234788722717E-2</v>
      </c>
      <c r="J591" s="166">
        <f t="shared" si="371"/>
        <v>4.9993234788722717E-2</v>
      </c>
      <c r="K591" s="166">
        <f t="shared" si="371"/>
        <v>4.9993234788722717E-2</v>
      </c>
      <c r="M591" s="166">
        <f t="shared" si="371"/>
        <v>4.9993234788722717E-2</v>
      </c>
      <c r="N591" s="166">
        <f t="shared" si="371"/>
        <v>4.9993234788722717E-2</v>
      </c>
      <c r="O591" s="166">
        <f t="shared" si="371"/>
        <v>4.9993234788722717E-2</v>
      </c>
      <c r="P591" s="166">
        <f t="shared" si="371"/>
        <v>4.9993234788722717E-2</v>
      </c>
      <c r="Q591" s="166">
        <f t="shared" si="371"/>
        <v>4.9993234788722717E-2</v>
      </c>
      <c r="R591" s="166">
        <f t="shared" si="371"/>
        <v>4.9993234788722717E-2</v>
      </c>
      <c r="S591" s="166">
        <f t="shared" si="371"/>
        <v>4.9993234788722717E-2</v>
      </c>
      <c r="T591" s="166">
        <f t="shared" si="371"/>
        <v>4.9993234788722717E-2</v>
      </c>
      <c r="U591" s="166"/>
      <c r="V591" s="166"/>
    </row>
    <row r="592" spans="1:32" x14ac:dyDescent="0.2">
      <c r="A592" s="1"/>
    </row>
    <row r="593" spans="1:36" x14ac:dyDescent="0.2">
      <c r="A593" s="1" t="s">
        <v>734</v>
      </c>
    </row>
    <row r="594" spans="1:36" x14ac:dyDescent="0.2">
      <c r="A594" s="2" t="s">
        <v>961</v>
      </c>
      <c r="F594" s="165">
        <f t="shared" ref="F594" si="372">F569</f>
        <v>1.2571418069293133E-2</v>
      </c>
      <c r="G594" s="165" t="e">
        <f t="shared" ref="G594:H594" si="373">G569</f>
        <v>#DIV/0!</v>
      </c>
      <c r="H594" s="165">
        <f t="shared" si="373"/>
        <v>6.592058320529455E-3</v>
      </c>
      <c r="I594" s="30">
        <f t="shared" ref="I594:K594" si="374">I569</f>
        <v>1.707320230500103</v>
      </c>
      <c r="J594" s="30">
        <f t="shared" si="374"/>
        <v>3.1610478782967375</v>
      </c>
      <c r="K594" s="165">
        <f t="shared" si="374"/>
        <v>0</v>
      </c>
      <c r="M594" s="30">
        <f t="shared" ref="M594:Q594" si="375">M569</f>
        <v>2.7718369185417111</v>
      </c>
      <c r="N594" s="30">
        <f t="shared" si="375"/>
        <v>9.4774779800084534</v>
      </c>
      <c r="O594" s="30">
        <f t="shared" si="375"/>
        <v>3.0235549898303642</v>
      </c>
      <c r="P594" s="30">
        <f t="shared" si="375"/>
        <v>1.0626945993872705</v>
      </c>
      <c r="Q594" s="165">
        <f t="shared" si="375"/>
        <v>9.8643678965690349E-3</v>
      </c>
      <c r="R594" s="30">
        <f t="shared" ref="R594:T594" si="376">R569</f>
        <v>2.8657364302869013</v>
      </c>
      <c r="S594" s="30" t="e">
        <f t="shared" si="376"/>
        <v>#DIV/0!</v>
      </c>
      <c r="T594" s="165">
        <f t="shared" si="376"/>
        <v>6.5261921762150817E-3</v>
      </c>
      <c r="U594" s="165"/>
      <c r="V594" s="165"/>
      <c r="W594" s="165" t="e">
        <f t="shared" ref="W594:AE594" si="377">W550</f>
        <v>#DIV/0!</v>
      </c>
      <c r="X594" s="165" t="e">
        <f t="shared" si="377"/>
        <v>#DIV/0!</v>
      </c>
      <c r="Y594" s="165" t="e">
        <f t="shared" si="377"/>
        <v>#DIV/0!</v>
      </c>
      <c r="Z594" s="165">
        <f t="shared" si="377"/>
        <v>0</v>
      </c>
      <c r="AA594" s="165">
        <f t="shared" si="377"/>
        <v>0</v>
      </c>
      <c r="AB594" s="165">
        <f t="shared" si="377"/>
        <v>0</v>
      </c>
      <c r="AC594" s="165">
        <f t="shared" si="377"/>
        <v>0</v>
      </c>
      <c r="AD594" s="165">
        <f t="shared" si="377"/>
        <v>0</v>
      </c>
      <c r="AE594" s="165">
        <f t="shared" si="377"/>
        <v>0</v>
      </c>
      <c r="AF594" s="165" t="e">
        <f>#REF!</f>
        <v>#REF!</v>
      </c>
    </row>
    <row r="595" spans="1:36" x14ac:dyDescent="0.2">
      <c r="A595" s="2" t="s">
        <v>962</v>
      </c>
      <c r="E595" s="178"/>
      <c r="F595" s="165">
        <f>(F530*$E$403)/F$430</f>
        <v>1.6999411332322052E-4</v>
      </c>
      <c r="G595" s="165" t="e">
        <f>(G530*$E$403)/G$430</f>
        <v>#DIV/0!</v>
      </c>
      <c r="H595" s="165">
        <f>(H530*$E$403)/H$430</f>
        <v>8.9139594514843186E-5</v>
      </c>
      <c r="I595" s="30">
        <f>(I530*$E$403)/I$445</f>
        <v>2.3086845663941931E-2</v>
      </c>
      <c r="J595" s="30">
        <f>(J530*$E$403)/J$445</f>
        <v>4.2744543875750371E-2</v>
      </c>
      <c r="K595" s="165">
        <f>(K530*$E$403)/K$430</f>
        <v>0</v>
      </c>
      <c r="M595" s="30">
        <f>(M530*$E$403)/M$445</f>
        <v>3.7481528070011948E-2</v>
      </c>
      <c r="N595" s="30">
        <f>(N530*$E$403)/N$445</f>
        <v>8.0834711648404931E-2</v>
      </c>
      <c r="O595" s="30">
        <f>(O530*$E$403)/O$445</f>
        <v>4.0885327872093619E-2</v>
      </c>
      <c r="P595" s="30">
        <f>(P530*$E$403)/P$445</f>
        <v>1.4370043630755794E-2</v>
      </c>
      <c r="Q595" s="165">
        <f>(Q530*$E$403)/Q$430</f>
        <v>1.3338864914271226E-4</v>
      </c>
      <c r="R595" s="30">
        <f>(R530*$E$403)/R$445</f>
        <v>3.875126264988376E-2</v>
      </c>
      <c r="S595" s="30" t="e">
        <f>(S530*$E$403)/S$445</f>
        <v>#DIV/0!</v>
      </c>
      <c r="T595" s="165">
        <f>(T530*$E$403)/T$430</f>
        <v>8.8248934707093219E-5</v>
      </c>
      <c r="U595" s="165"/>
      <c r="V595" s="165"/>
      <c r="W595" s="165" t="e">
        <f t="shared" ref="W595:AE595" si="378">W551</f>
        <v>#DIV/0!</v>
      </c>
      <c r="X595" s="165" t="e">
        <f t="shared" si="378"/>
        <v>#DIV/0!</v>
      </c>
      <c r="Y595" s="165" t="e">
        <f t="shared" si="378"/>
        <v>#DIV/0!</v>
      </c>
      <c r="Z595" s="165" t="e">
        <f t="shared" si="378"/>
        <v>#DIV/0!</v>
      </c>
      <c r="AA595" s="165" t="e">
        <f t="shared" si="378"/>
        <v>#DIV/0!</v>
      </c>
      <c r="AB595" s="165" t="e">
        <f t="shared" si="378"/>
        <v>#DIV/0!</v>
      </c>
      <c r="AC595" s="165" t="e">
        <f t="shared" si="378"/>
        <v>#DIV/0!</v>
      </c>
      <c r="AD595" s="165" t="e">
        <f t="shared" si="378"/>
        <v>#DIV/0!</v>
      </c>
      <c r="AE595" s="165">
        <f t="shared" si="378"/>
        <v>0</v>
      </c>
      <c r="AF595" s="165" t="e">
        <f>#REF!</f>
        <v>#REF!</v>
      </c>
    </row>
    <row r="596" spans="1:36" x14ac:dyDescent="0.2">
      <c r="A596" s="2" t="s">
        <v>864</v>
      </c>
      <c r="F596" s="165">
        <f t="shared" ref="F596" si="379">F571</f>
        <v>5.8912262796929855E-2</v>
      </c>
      <c r="G596" s="165" t="e">
        <f t="shared" ref="G596:H596" si="380">G571</f>
        <v>#DIV/0!</v>
      </c>
      <c r="H596" s="165">
        <f t="shared" si="380"/>
        <v>5.8771713613594609E-2</v>
      </c>
      <c r="I596" s="165">
        <f t="shared" ref="I596:K596" si="381">I571</f>
        <v>6.259902931165183E-2</v>
      </c>
      <c r="J596" s="165">
        <f t="shared" si="381"/>
        <v>5.8771713613594609E-2</v>
      </c>
      <c r="K596" s="165">
        <f t="shared" si="381"/>
        <v>5.5494995834455392E-2</v>
      </c>
      <c r="M596" s="165">
        <f t="shared" ref="M596:Q596" si="382">M571</f>
        <v>5.8771713613594602E-2</v>
      </c>
      <c r="N596" s="165">
        <f t="shared" si="382"/>
        <v>4.324050125657887E-2</v>
      </c>
      <c r="O596" s="165">
        <f t="shared" si="382"/>
        <v>5.8903777169950933E-2</v>
      </c>
      <c r="P596" s="165">
        <f t="shared" si="382"/>
        <v>5.8903777169950947E-2</v>
      </c>
      <c r="Q596" s="165">
        <f t="shared" si="382"/>
        <v>6.1983714513520062E-2</v>
      </c>
      <c r="R596" s="165">
        <f t="shared" ref="R596:T596" si="383">R571</f>
        <v>5.8903777169950947E-2</v>
      </c>
      <c r="S596" s="165" t="e">
        <f t="shared" si="383"/>
        <v>#DIV/0!</v>
      </c>
      <c r="T596" s="165">
        <f t="shared" si="383"/>
        <v>5.8771713613594616E-2</v>
      </c>
      <c r="U596" s="165"/>
      <c r="V596" s="165"/>
      <c r="W596" s="165" t="e">
        <f>#REF!</f>
        <v>#REF!</v>
      </c>
      <c r="X596" s="165" t="e">
        <f>#REF!</f>
        <v>#REF!</v>
      </c>
      <c r="Y596" s="165" t="e">
        <f>#REF!</f>
        <v>#REF!</v>
      </c>
      <c r="Z596" s="165" t="e">
        <f>#REF!</f>
        <v>#REF!</v>
      </c>
      <c r="AA596" s="165" t="e">
        <f>#REF!</f>
        <v>#REF!</v>
      </c>
      <c r="AB596" s="165" t="e">
        <f>#REF!</f>
        <v>#REF!</v>
      </c>
      <c r="AC596" s="165" t="e">
        <f>#REF!</f>
        <v>#REF!</v>
      </c>
      <c r="AD596" s="165" t="e">
        <f>#REF!</f>
        <v>#REF!</v>
      </c>
      <c r="AE596" s="165" t="e">
        <f>#REF!</f>
        <v>#REF!</v>
      </c>
      <c r="AF596" s="165" t="e">
        <f>#REF!</f>
        <v>#REF!</v>
      </c>
    </row>
    <row r="597" spans="1:36" x14ac:dyDescent="0.2">
      <c r="A597" s="2" t="s">
        <v>865</v>
      </c>
      <c r="D597" s="165"/>
      <c r="F597" s="165">
        <f t="shared" ref="F597:S597" si="384">(F531*$E$403)/F$430</f>
        <v>0</v>
      </c>
      <c r="G597" s="165" t="e">
        <f t="shared" ref="G597:H597" si="385">(G531*$E$403)/G$430</f>
        <v>#DIV/0!</v>
      </c>
      <c r="H597" s="165">
        <f t="shared" si="385"/>
        <v>0</v>
      </c>
      <c r="I597" s="31">
        <f t="shared" ref="I597:K597" si="386">(I531*$E$403)/I$430</f>
        <v>0</v>
      </c>
      <c r="J597" s="31">
        <f t="shared" si="386"/>
        <v>0</v>
      </c>
      <c r="K597" s="165">
        <f t="shared" si="386"/>
        <v>0</v>
      </c>
      <c r="M597" s="31">
        <f t="shared" ref="M597:Q597" si="387">(M531*$E$403)/M$430</f>
        <v>0</v>
      </c>
      <c r="N597" s="31">
        <f t="shared" si="387"/>
        <v>0</v>
      </c>
      <c r="O597" s="31">
        <f t="shared" si="387"/>
        <v>0</v>
      </c>
      <c r="P597" s="31">
        <f t="shared" si="387"/>
        <v>0</v>
      </c>
      <c r="Q597" s="165">
        <f t="shared" si="387"/>
        <v>0</v>
      </c>
      <c r="R597" s="31">
        <f t="shared" si="384"/>
        <v>0</v>
      </c>
      <c r="S597" s="31" t="e">
        <f t="shared" si="384"/>
        <v>#DIV/0!</v>
      </c>
      <c r="T597" s="165">
        <f t="shared" ref="T597" si="388">(T531*$E$403)/T$430</f>
        <v>0</v>
      </c>
      <c r="U597" s="165"/>
      <c r="V597" s="165"/>
      <c r="W597" s="165"/>
      <c r="X597" s="165"/>
      <c r="Y597" s="165"/>
      <c r="Z597" s="165"/>
      <c r="AA597" s="165"/>
      <c r="AB597" s="165"/>
      <c r="AC597" s="165"/>
      <c r="AD597" s="165"/>
      <c r="AE597" s="165"/>
      <c r="AF597" s="165"/>
    </row>
    <row r="598" spans="1:36" x14ac:dyDescent="0.2">
      <c r="F598" s="165"/>
      <c r="G598" s="165"/>
      <c r="H598" s="165"/>
      <c r="I598" s="165"/>
      <c r="J598" s="165"/>
      <c r="K598" s="165"/>
      <c r="M598" s="165"/>
      <c r="N598" s="165"/>
      <c r="O598" s="165"/>
      <c r="P598" s="165"/>
      <c r="Q598" s="165"/>
      <c r="R598" s="165"/>
      <c r="S598" s="165"/>
      <c r="T598" s="165"/>
      <c r="U598" s="165"/>
      <c r="V598" s="165"/>
      <c r="W598" s="165"/>
      <c r="X598" s="165"/>
      <c r="Y598" s="165"/>
      <c r="Z598" s="165"/>
      <c r="AA598" s="165"/>
      <c r="AB598" s="165"/>
      <c r="AC598" s="165"/>
      <c r="AD598" s="165"/>
      <c r="AE598" s="165"/>
      <c r="AF598" s="165"/>
    </row>
    <row r="599" spans="1:36" x14ac:dyDescent="0.2">
      <c r="A599" s="1" t="s">
        <v>858</v>
      </c>
      <c r="F599" s="165"/>
      <c r="G599" s="165"/>
      <c r="H599" s="165"/>
      <c r="I599" s="165"/>
      <c r="J599" s="165"/>
      <c r="K599" s="165"/>
      <c r="M599" s="165"/>
      <c r="N599" s="165"/>
      <c r="O599" s="165"/>
      <c r="P599" s="165"/>
      <c r="Q599" s="165"/>
      <c r="R599" s="165"/>
      <c r="S599" s="165"/>
      <c r="T599" s="165"/>
      <c r="U599" s="165"/>
      <c r="V599" s="165"/>
      <c r="W599" s="165"/>
      <c r="X599" s="165"/>
      <c r="Y599" s="165"/>
      <c r="Z599" s="165"/>
      <c r="AA599" s="165"/>
      <c r="AB599" s="165"/>
      <c r="AC599" s="165"/>
      <c r="AD599" s="165"/>
      <c r="AE599" s="165"/>
      <c r="AF599" s="165"/>
    </row>
    <row r="600" spans="1:36" x14ac:dyDescent="0.2">
      <c r="A600" s="2" t="s">
        <v>963</v>
      </c>
      <c r="F600" s="165">
        <f t="shared" ref="F600" si="389">F575</f>
        <v>0</v>
      </c>
      <c r="G600" s="165" t="e">
        <f t="shared" ref="G600:H600" si="390">G575</f>
        <v>#DIV/0!</v>
      </c>
      <c r="H600" s="165">
        <f t="shared" si="390"/>
        <v>0</v>
      </c>
      <c r="I600" s="30">
        <f t="shared" ref="I600:K600" si="391">I575</f>
        <v>0</v>
      </c>
      <c r="J600" s="30">
        <f t="shared" si="391"/>
        <v>0</v>
      </c>
      <c r="K600" s="165">
        <f t="shared" si="391"/>
        <v>0</v>
      </c>
      <c r="M600" s="30">
        <f t="shared" ref="M600:Q600" si="392">M575</f>
        <v>0</v>
      </c>
      <c r="N600" s="30">
        <f t="shared" si="392"/>
        <v>0</v>
      </c>
      <c r="O600" s="30">
        <f t="shared" si="392"/>
        <v>0</v>
      </c>
      <c r="P600" s="30">
        <f t="shared" si="392"/>
        <v>0</v>
      </c>
      <c r="Q600" s="165">
        <f t="shared" si="392"/>
        <v>0</v>
      </c>
      <c r="R600" s="30">
        <f t="shared" ref="R600:T600" si="393">R575</f>
        <v>0</v>
      </c>
      <c r="S600" s="30" t="e">
        <f t="shared" si="393"/>
        <v>#DIV/0!</v>
      </c>
      <c r="T600" s="165">
        <f t="shared" si="393"/>
        <v>0</v>
      </c>
      <c r="U600" s="165"/>
      <c r="V600" s="165"/>
      <c r="W600" s="165"/>
      <c r="X600" s="165"/>
      <c r="Y600" s="165"/>
      <c r="Z600" s="165"/>
      <c r="AA600" s="165"/>
      <c r="AB600" s="165"/>
      <c r="AC600" s="165"/>
      <c r="AD600" s="165"/>
      <c r="AE600" s="165"/>
      <c r="AF600" s="165"/>
    </row>
    <row r="601" spans="1:36" s="54" customFormat="1" ht="15" x14ac:dyDescent="0.35">
      <c r="A601" s="54" t="s">
        <v>964</v>
      </c>
      <c r="D601" s="173"/>
      <c r="F601" s="176">
        <f>(F532*$E$403)/F$430</f>
        <v>0</v>
      </c>
      <c r="G601" s="176" t="e">
        <f>(G532*$E$403)/G$430</f>
        <v>#DIV/0!</v>
      </c>
      <c r="H601" s="176">
        <f>(H532*$E$403)/H$430</f>
        <v>0</v>
      </c>
      <c r="I601" s="81">
        <f>(I532*$E$403)/I$445</f>
        <v>0</v>
      </c>
      <c r="J601" s="81">
        <f>(J532*$E$403)/J$445</f>
        <v>0</v>
      </c>
      <c r="K601" s="176">
        <f>(K532*$E$403)/K$430</f>
        <v>0</v>
      </c>
      <c r="L601" s="2"/>
      <c r="M601" s="81">
        <f>(M532*$E$403)/M$445</f>
        <v>0</v>
      </c>
      <c r="N601" s="81">
        <f>(N532*$E$403)/N$445</f>
        <v>0</v>
      </c>
      <c r="O601" s="81">
        <f>(O532*$E$403)/O$445</f>
        <v>0</v>
      </c>
      <c r="P601" s="81">
        <f>(P532*$E$403)/P$445</f>
        <v>0</v>
      </c>
      <c r="Q601" s="176">
        <f>(Q532*$E$403)/Q$430</f>
        <v>0</v>
      </c>
      <c r="R601" s="81">
        <f>(R532*$E$403)/R$445</f>
        <v>0</v>
      </c>
      <c r="S601" s="81" t="e">
        <f>(S532*$E$403)/S$445</f>
        <v>#DIV/0!</v>
      </c>
      <c r="T601" s="176">
        <f>(T532*$E$403)/T$430</f>
        <v>0</v>
      </c>
      <c r="U601" s="176"/>
      <c r="V601" s="176"/>
      <c r="AJ601" s="57"/>
    </row>
    <row r="602" spans="1:36" x14ac:dyDescent="0.2">
      <c r="B602" s="2" t="s">
        <v>965</v>
      </c>
      <c r="F602" s="165">
        <f>F600+F601</f>
        <v>0</v>
      </c>
      <c r="G602" s="165" t="e">
        <f>G600+G601</f>
        <v>#DIV/0!</v>
      </c>
      <c r="H602" s="165">
        <f>H600+H601</f>
        <v>0</v>
      </c>
      <c r="I602" s="30">
        <f t="shared" ref="I602:J602" si="394">I600+I601</f>
        <v>0</v>
      </c>
      <c r="J602" s="30">
        <f t="shared" si="394"/>
        <v>0</v>
      </c>
      <c r="K602" s="165">
        <f>K600+K601</f>
        <v>0</v>
      </c>
      <c r="M602" s="30">
        <f t="shared" ref="M602:P602" si="395">M600+M601</f>
        <v>0</v>
      </c>
      <c r="N602" s="30">
        <f t="shared" si="395"/>
        <v>0</v>
      </c>
      <c r="O602" s="30">
        <f t="shared" si="395"/>
        <v>0</v>
      </c>
      <c r="P602" s="30">
        <f t="shared" si="395"/>
        <v>0</v>
      </c>
      <c r="Q602" s="165">
        <f>Q600+Q601</f>
        <v>0</v>
      </c>
      <c r="R602" s="30">
        <f t="shared" ref="R602:S602" si="396">R600+R601</f>
        <v>0</v>
      </c>
      <c r="S602" s="30" t="e">
        <f t="shared" si="396"/>
        <v>#DIV/0!</v>
      </c>
      <c r="T602" s="165">
        <f>T600+T601</f>
        <v>0</v>
      </c>
      <c r="U602" s="165"/>
      <c r="V602" s="165"/>
    </row>
    <row r="604" spans="1:36" x14ac:dyDescent="0.2">
      <c r="A604" s="1" t="s">
        <v>666</v>
      </c>
    </row>
    <row r="605" spans="1:36" x14ac:dyDescent="0.2">
      <c r="A605" s="2" t="s">
        <v>966</v>
      </c>
      <c r="F605" s="165">
        <f t="shared" ref="F605:S605" si="397">F553</f>
        <v>2.0968962845966613E-2</v>
      </c>
      <c r="G605" s="165" t="e">
        <f t="shared" ref="G605:H605" si="398">G553</f>
        <v>#DIV/0!</v>
      </c>
      <c r="H605" s="165">
        <f t="shared" si="398"/>
        <v>2.1067987235714725E-2</v>
      </c>
      <c r="I605" s="30">
        <f t="shared" ref="I605:K605" si="399">I553</f>
        <v>2.7491481156799944</v>
      </c>
      <c r="J605" s="30">
        <f t="shared" si="399"/>
        <v>2.7548244907680317</v>
      </c>
      <c r="K605" s="165">
        <f t="shared" si="399"/>
        <v>2.1183502771228477E-2</v>
      </c>
      <c r="M605" s="30">
        <f t="shared" ref="M605:Q605" si="400">M553</f>
        <v>2.7567335925072012</v>
      </c>
      <c r="N605" s="30">
        <f t="shared" si="400"/>
        <v>2.7552325304957983</v>
      </c>
      <c r="O605" s="30">
        <f t="shared" si="400"/>
        <v>2.7564480612969589</v>
      </c>
      <c r="P605" s="30">
        <f t="shared" si="400"/>
        <v>2.7554437983783657</v>
      </c>
      <c r="Q605" s="165">
        <f t="shared" si="400"/>
        <v>1.8874783148216338E-2</v>
      </c>
      <c r="R605" s="30">
        <f t="shared" si="397"/>
        <v>2.7569285318928705</v>
      </c>
      <c r="S605" s="30" t="e">
        <f t="shared" si="397"/>
        <v>#DIV/0!</v>
      </c>
      <c r="T605" s="165">
        <f t="shared" ref="T605" si="401">T553</f>
        <v>8.9363318712289141E-3</v>
      </c>
      <c r="U605" s="165"/>
      <c r="V605" s="165"/>
      <c r="W605" s="165" t="e">
        <f>#REF!</f>
        <v>#REF!</v>
      </c>
      <c r="X605" s="165" t="e">
        <f>#REF!</f>
        <v>#REF!</v>
      </c>
      <c r="Y605" s="165" t="e">
        <f>#REF!</f>
        <v>#REF!</v>
      </c>
      <c r="Z605" s="165" t="e">
        <f>#REF!</f>
        <v>#REF!</v>
      </c>
      <c r="AA605" s="165" t="e">
        <f>#REF!</f>
        <v>#REF!</v>
      </c>
      <c r="AB605" s="165" t="e">
        <f>#REF!</f>
        <v>#REF!</v>
      </c>
      <c r="AC605" s="165" t="e">
        <f>#REF!</f>
        <v>#REF!</v>
      </c>
      <c r="AD605" s="165" t="e">
        <f>#REF!</f>
        <v>#REF!</v>
      </c>
      <c r="AE605" s="165" t="e">
        <f>#REF!</f>
        <v>#REF!</v>
      </c>
      <c r="AF605" s="165" t="e">
        <f>#REF!</f>
        <v>#REF!</v>
      </c>
    </row>
    <row r="606" spans="1:36" ht="15" x14ac:dyDescent="0.35">
      <c r="A606" s="54" t="s">
        <v>967</v>
      </c>
      <c r="D606" s="178"/>
      <c r="F606" s="176">
        <f>(F533*$E$403)/F430</f>
        <v>5.9511295479468731E-3</v>
      </c>
      <c r="G606" s="176" t="e">
        <f>(G533*$E$403)/G430</f>
        <v>#DIV/0!</v>
      </c>
      <c r="H606" s="176">
        <f>(H533*$E$403)/H430</f>
        <v>5.9798430614824392E-3</v>
      </c>
      <c r="I606" s="81">
        <f>(I533*$E$403)/I445</f>
        <v>0.78012400715778196</v>
      </c>
      <c r="J606" s="81">
        <f>(J533*$E$403)/J445</f>
        <v>0.78054724469440884</v>
      </c>
      <c r="K606" s="176">
        <f>(K533*$E$403)/K430</f>
        <v>6.0028638582335795E-3</v>
      </c>
      <c r="M606" s="81">
        <f>(M533*$E$403)/M445</f>
        <v>0.7804339300112324</v>
      </c>
      <c r="N606" s="81">
        <f>(N533*$E$403)/N445</f>
        <v>0.78050789873999715</v>
      </c>
      <c r="O606" s="81">
        <f>(O533*$E$403)/O445</f>
        <v>0.78050721508397503</v>
      </c>
      <c r="P606" s="81">
        <f>(P533*$E$403)/P445</f>
        <v>0.77993633117557704</v>
      </c>
      <c r="Q606" s="176">
        <f>(Q533*$E$403)/Q430</f>
        <v>5.3515416198148275E-3</v>
      </c>
      <c r="R606" s="81">
        <f>(R533*$E$403)/R445</f>
        <v>0.78046126786788095</v>
      </c>
      <c r="S606" s="81" t="e">
        <f>(S533*$E$403)/S445</f>
        <v>#DIV/0!</v>
      </c>
      <c r="T606" s="176">
        <f>(T533*$E$403)/T430</f>
        <v>2.5435002503436149E-3</v>
      </c>
      <c r="U606" s="176"/>
      <c r="V606" s="176"/>
      <c r="W606" s="176" t="e">
        <f>(#REF!*$E$330)/320.47</f>
        <v>#REF!</v>
      </c>
      <c r="X606" s="176" t="e">
        <f>(#REF!*$E$330)/26669</f>
        <v>#REF!</v>
      </c>
      <c r="Y606" s="176" t="e">
        <f>(#REF!*$E$330)/68503</f>
        <v>#REF!</v>
      </c>
      <c r="Z606" s="176" t="e">
        <f>(#REF!*$E$330)/Z430</f>
        <v>#REF!</v>
      </c>
      <c r="AA606" s="176" t="e">
        <f>(#REF!*$E$330)/17492.7</f>
        <v>#REF!</v>
      </c>
      <c r="AB606" s="176" t="e">
        <f>(#REF!*$E$330)/10846</f>
        <v>#REF!</v>
      </c>
      <c r="AC606" s="176" t="e">
        <f>(#REF!*$E$330)/12274</f>
        <v>#REF!</v>
      </c>
      <c r="AD606" s="176" t="e">
        <f>(#REF!*$E$330)/10405</f>
        <v>#REF!</v>
      </c>
      <c r="AE606" s="176" t="e">
        <f>(#REF!*$E$330)/120444</f>
        <v>#REF!</v>
      </c>
      <c r="AF606" s="176" t="e">
        <f>(#REF!*$E$330)/AF510/12</f>
        <v>#REF!</v>
      </c>
    </row>
    <row r="607" spans="1:36" x14ac:dyDescent="0.2">
      <c r="B607" s="2" t="s">
        <v>968</v>
      </c>
      <c r="F607" s="165">
        <f t="shared" ref="F607:AF607" si="402">F605+F606</f>
        <v>2.6920092393913485E-2</v>
      </c>
      <c r="G607" s="165" t="e">
        <f t="shared" ref="G607:H607" si="403">G605+G606</f>
        <v>#DIV/0!</v>
      </c>
      <c r="H607" s="165">
        <f t="shared" si="403"/>
        <v>2.7047830297197165E-2</v>
      </c>
      <c r="I607" s="30">
        <f t="shared" ref="I607:K607" si="404">I605+I606</f>
        <v>3.5292721228377761</v>
      </c>
      <c r="J607" s="30">
        <f t="shared" si="404"/>
        <v>3.5353717354624408</v>
      </c>
      <c r="K607" s="165">
        <f t="shared" si="404"/>
        <v>2.7186366629462055E-2</v>
      </c>
      <c r="M607" s="30">
        <f t="shared" ref="M607:Q607" si="405">M605+M606</f>
        <v>3.5371675225184336</v>
      </c>
      <c r="N607" s="30">
        <f t="shared" si="405"/>
        <v>3.5357404292357955</v>
      </c>
      <c r="O607" s="30">
        <f t="shared" si="405"/>
        <v>3.536955276380934</v>
      </c>
      <c r="P607" s="30">
        <f t="shared" si="405"/>
        <v>3.5353801295539427</v>
      </c>
      <c r="Q607" s="165">
        <f t="shared" si="405"/>
        <v>2.4226324768031167E-2</v>
      </c>
      <c r="R607" s="30">
        <f t="shared" si="402"/>
        <v>3.5373897997607515</v>
      </c>
      <c r="S607" s="30" t="e">
        <f t="shared" si="402"/>
        <v>#DIV/0!</v>
      </c>
      <c r="T607" s="165">
        <f t="shared" ref="T607" si="406">T605+T606</f>
        <v>1.1479832121572529E-2</v>
      </c>
      <c r="U607" s="165"/>
      <c r="V607" s="165"/>
      <c r="W607" s="165" t="e">
        <f t="shared" si="402"/>
        <v>#REF!</v>
      </c>
      <c r="X607" s="165" t="e">
        <f t="shared" si="402"/>
        <v>#REF!</v>
      </c>
      <c r="Y607" s="165" t="e">
        <f t="shared" si="402"/>
        <v>#REF!</v>
      </c>
      <c r="Z607" s="165" t="e">
        <f t="shared" si="402"/>
        <v>#REF!</v>
      </c>
      <c r="AA607" s="165" t="e">
        <f t="shared" si="402"/>
        <v>#REF!</v>
      </c>
      <c r="AB607" s="165" t="e">
        <f t="shared" si="402"/>
        <v>#REF!</v>
      </c>
      <c r="AC607" s="165" t="e">
        <f t="shared" si="402"/>
        <v>#REF!</v>
      </c>
      <c r="AD607" s="165" t="e">
        <f t="shared" si="402"/>
        <v>#REF!</v>
      </c>
      <c r="AE607" s="165" t="e">
        <f t="shared" si="402"/>
        <v>#REF!</v>
      </c>
      <c r="AF607" s="165" t="e">
        <f t="shared" si="402"/>
        <v>#REF!</v>
      </c>
    </row>
    <row r="609" spans="1:32" x14ac:dyDescent="0.2">
      <c r="A609" s="1" t="s">
        <v>667</v>
      </c>
    </row>
    <row r="610" spans="1:32" x14ac:dyDescent="0.2">
      <c r="A610" s="2" t="s">
        <v>668</v>
      </c>
      <c r="F610" s="56">
        <f t="shared" ref="F610:S610" si="407">F554</f>
        <v>21.260393299574858</v>
      </c>
      <c r="G610" s="56" t="e">
        <f t="shared" ref="G610:H610" si="408">G554</f>
        <v>#DIV/0!</v>
      </c>
      <c r="H610" s="56">
        <f t="shared" si="408"/>
        <v>21.214489597861995</v>
      </c>
      <c r="I610" s="56">
        <f t="shared" ref="I610:K610" si="409">I554</f>
        <v>22.198251620564758</v>
      </c>
      <c r="J610" s="56">
        <f t="shared" si="409"/>
        <v>63.143443850594437</v>
      </c>
      <c r="K610" s="56">
        <f t="shared" si="409"/>
        <v>2.6611642762107324</v>
      </c>
      <c r="M610" s="56">
        <f t="shared" ref="M610:Q610" si="410">M554</f>
        <v>137.12649712552343</v>
      </c>
      <c r="N610" s="56">
        <f t="shared" si="410"/>
        <v>590.67545952978674</v>
      </c>
      <c r="O610" s="56">
        <f t="shared" si="410"/>
        <v>180.25975088720756</v>
      </c>
      <c r="P610" s="56">
        <f t="shared" si="410"/>
        <v>26.276845671813941</v>
      </c>
      <c r="Q610" s="56">
        <f t="shared" si="410"/>
        <v>21.586770361281733</v>
      </c>
      <c r="R610" s="56">
        <f t="shared" si="407"/>
        <v>248.97439813384497</v>
      </c>
      <c r="S610" s="56" t="e">
        <f t="shared" si="407"/>
        <v>#DIV/0!</v>
      </c>
      <c r="T610" s="56">
        <f t="shared" ref="T610" si="411">T554</f>
        <v>57.84786510639384</v>
      </c>
      <c r="U610" s="56"/>
      <c r="V610" s="56"/>
      <c r="W610" s="56" t="e">
        <f>#REF!</f>
        <v>#REF!</v>
      </c>
      <c r="X610" s="56" t="e">
        <f>#REF!</f>
        <v>#REF!</v>
      </c>
      <c r="Y610" s="56" t="e">
        <f>#REF!</f>
        <v>#REF!</v>
      </c>
      <c r="Z610" s="56" t="e">
        <f>#REF!</f>
        <v>#REF!</v>
      </c>
      <c r="AA610" s="56" t="e">
        <f>#REF!</f>
        <v>#REF!</v>
      </c>
      <c r="AB610" s="56" t="e">
        <f>#REF!</f>
        <v>#REF!</v>
      </c>
      <c r="AC610" s="56" t="e">
        <f>#REF!</f>
        <v>#REF!</v>
      </c>
      <c r="AD610" s="56" t="e">
        <f>#REF!</f>
        <v>#REF!</v>
      </c>
      <c r="AE610" s="56" t="e">
        <f>#REF!</f>
        <v>#REF!</v>
      </c>
      <c r="AF610" s="56" t="e">
        <f>#REF!</f>
        <v>#REF!</v>
      </c>
    </row>
    <row r="611" spans="1:32" ht="15" x14ac:dyDescent="0.35">
      <c r="A611" s="2" t="s">
        <v>669</v>
      </c>
      <c r="D611" s="56"/>
      <c r="F611" s="81">
        <f t="shared" ref="F611:AF611" si="412">(F534*$E$403)/F433</f>
        <v>5.710727879028842</v>
      </c>
      <c r="G611" s="81" t="e">
        <f t="shared" ref="G611:H611" si="413">(G534*$E$403)/G433</f>
        <v>#DIV/0!</v>
      </c>
      <c r="H611" s="81">
        <f t="shared" si="413"/>
        <v>5.710727879028842</v>
      </c>
      <c r="I611" s="81">
        <f t="shared" ref="I611:K611" si="414">(I534*$E$403)/I433</f>
        <v>6.213152767187446</v>
      </c>
      <c r="J611" s="81">
        <f t="shared" si="414"/>
        <v>21.689205929442352</v>
      </c>
      <c r="K611" s="81">
        <f t="shared" si="414"/>
        <v>0.89436702107152066</v>
      </c>
      <c r="M611" s="81">
        <f t="shared" ref="M611:Q611" si="415">(M534*$E$403)/M433</f>
        <v>27.304054488422683</v>
      </c>
      <c r="N611" s="81">
        <f t="shared" si="415"/>
        <v>170.34567362568194</v>
      </c>
      <c r="O611" s="81">
        <f t="shared" si="415"/>
        <v>49.620538682935539</v>
      </c>
      <c r="P611" s="81">
        <f t="shared" si="415"/>
        <v>9.5103738988408573</v>
      </c>
      <c r="Q611" s="81">
        <f t="shared" si="415"/>
        <v>5.7891204147699007</v>
      </c>
      <c r="R611" s="81">
        <f t="shared" si="412"/>
        <v>28.121244276562525</v>
      </c>
      <c r="S611" s="81" t="e">
        <f t="shared" si="412"/>
        <v>#DIV/0!</v>
      </c>
      <c r="T611" s="81">
        <f t="shared" ref="T611" si="416">(T534*$E$403)/T433</f>
        <v>22.424135952014776</v>
      </c>
      <c r="U611" s="81"/>
      <c r="V611" s="81"/>
      <c r="W611" s="81" t="e">
        <f t="shared" si="412"/>
        <v>#DIV/0!</v>
      </c>
      <c r="X611" s="81" t="e">
        <f t="shared" si="412"/>
        <v>#DIV/0!</v>
      </c>
      <c r="Y611" s="81" t="e">
        <f t="shared" si="412"/>
        <v>#DIV/0!</v>
      </c>
      <c r="Z611" s="81" t="e">
        <f t="shared" si="412"/>
        <v>#DIV/0!</v>
      </c>
      <c r="AA611" s="81" t="e">
        <f t="shared" si="412"/>
        <v>#DIV/0!</v>
      </c>
      <c r="AB611" s="81" t="e">
        <f t="shared" si="412"/>
        <v>#DIV/0!</v>
      </c>
      <c r="AC611" s="81" t="e">
        <f t="shared" si="412"/>
        <v>#DIV/0!</v>
      </c>
      <c r="AD611" s="81" t="e">
        <f t="shared" si="412"/>
        <v>#DIV/0!</v>
      </c>
      <c r="AE611" s="81" t="e">
        <f t="shared" si="412"/>
        <v>#DIV/0!</v>
      </c>
      <c r="AF611" s="81" t="e">
        <f t="shared" si="412"/>
        <v>#DIV/0!</v>
      </c>
    </row>
    <row r="612" spans="1:32" x14ac:dyDescent="0.2">
      <c r="B612" s="2" t="s">
        <v>670</v>
      </c>
      <c r="F612" s="56">
        <f t="shared" ref="F612:AF612" si="417">F610+F611</f>
        <v>26.971121178603699</v>
      </c>
      <c r="G612" s="56" t="e">
        <f t="shared" ref="G612:H612" si="418">G610+G611</f>
        <v>#DIV/0!</v>
      </c>
      <c r="H612" s="56">
        <f t="shared" si="418"/>
        <v>26.925217476890836</v>
      </c>
      <c r="I612" s="56">
        <f t="shared" ref="I612:K612" si="419">I610+I611</f>
        <v>28.411404387752203</v>
      </c>
      <c r="J612" s="56">
        <f t="shared" si="419"/>
        <v>84.832649780036789</v>
      </c>
      <c r="K612" s="56">
        <f t="shared" si="419"/>
        <v>3.5555312972822533</v>
      </c>
      <c r="M612" s="56">
        <f t="shared" ref="M612:Q612" si="420">M610+M611</f>
        <v>164.43055161394611</v>
      </c>
      <c r="N612" s="56">
        <f t="shared" si="420"/>
        <v>761.02113315546865</v>
      </c>
      <c r="O612" s="56">
        <f t="shared" si="420"/>
        <v>229.88028957014311</v>
      </c>
      <c r="P612" s="56">
        <f t="shared" si="420"/>
        <v>35.787219570654798</v>
      </c>
      <c r="Q612" s="56">
        <f t="shared" si="420"/>
        <v>27.375890776051634</v>
      </c>
      <c r="R612" s="56">
        <f t="shared" si="417"/>
        <v>277.09564241040749</v>
      </c>
      <c r="S612" s="56" t="e">
        <f t="shared" si="417"/>
        <v>#DIV/0!</v>
      </c>
      <c r="T612" s="56">
        <f t="shared" ref="T612" si="421">T610+T611</f>
        <v>80.27200105840862</v>
      </c>
      <c r="U612" s="56"/>
      <c r="V612" s="56"/>
      <c r="W612" s="56" t="e">
        <f t="shared" si="417"/>
        <v>#REF!</v>
      </c>
      <c r="X612" s="56" t="e">
        <f t="shared" si="417"/>
        <v>#REF!</v>
      </c>
      <c r="Y612" s="56" t="e">
        <f t="shared" si="417"/>
        <v>#REF!</v>
      </c>
      <c r="Z612" s="56" t="e">
        <f t="shared" si="417"/>
        <v>#REF!</v>
      </c>
      <c r="AA612" s="56" t="e">
        <f t="shared" si="417"/>
        <v>#REF!</v>
      </c>
      <c r="AB612" s="56" t="e">
        <f t="shared" si="417"/>
        <v>#REF!</v>
      </c>
      <c r="AC612" s="56" t="e">
        <f t="shared" si="417"/>
        <v>#REF!</v>
      </c>
      <c r="AD612" s="56" t="e">
        <f t="shared" si="417"/>
        <v>#REF!</v>
      </c>
      <c r="AE612" s="56" t="e">
        <f t="shared" si="417"/>
        <v>#REF!</v>
      </c>
      <c r="AF612" s="56" t="e">
        <f t="shared" si="417"/>
        <v>#REF!</v>
      </c>
    </row>
    <row r="617" spans="1:32" x14ac:dyDescent="0.2">
      <c r="A617" s="12" t="s">
        <v>696</v>
      </c>
      <c r="C617" s="177">
        <f>C538</f>
        <v>5.7167357897823956E-2</v>
      </c>
      <c r="F617" s="46">
        <f>$C$538</f>
        <v>5.7167357897823956E-2</v>
      </c>
      <c r="G617" s="46">
        <f>$C$538</f>
        <v>5.7167357897823956E-2</v>
      </c>
      <c r="H617" s="46">
        <f>$C$538</f>
        <v>5.7167357897823956E-2</v>
      </c>
      <c r="I617" s="46">
        <f t="shared" ref="I617:S617" si="422">$C$538</f>
        <v>5.7167357897823956E-2</v>
      </c>
      <c r="J617" s="46">
        <f t="shared" si="422"/>
        <v>5.7167357897823956E-2</v>
      </c>
      <c r="K617" s="46">
        <f>$C$538</f>
        <v>5.7167357897823956E-2</v>
      </c>
      <c r="M617" s="46">
        <f t="shared" si="422"/>
        <v>5.7167357897823956E-2</v>
      </c>
      <c r="N617" s="46">
        <f t="shared" si="422"/>
        <v>5.7167357897823956E-2</v>
      </c>
      <c r="O617" s="46">
        <f t="shared" si="422"/>
        <v>5.7167357897823956E-2</v>
      </c>
      <c r="P617" s="46">
        <f t="shared" si="422"/>
        <v>5.7167357897823956E-2</v>
      </c>
      <c r="Q617" s="46">
        <f>$C$538</f>
        <v>5.7167357897823956E-2</v>
      </c>
      <c r="R617" s="46">
        <f t="shared" si="422"/>
        <v>5.7167357897823956E-2</v>
      </c>
      <c r="S617" s="46">
        <f t="shared" si="422"/>
        <v>5.7167357897823956E-2</v>
      </c>
      <c r="T617" s="46">
        <f>$C$538</f>
        <v>5.7167357897823956E-2</v>
      </c>
      <c r="U617" s="46"/>
      <c r="V617" s="46"/>
      <c r="W617" s="46">
        <v>0.08</v>
      </c>
      <c r="X617" s="46">
        <v>0.2</v>
      </c>
      <c r="Y617" s="46">
        <v>0.08</v>
      </c>
      <c r="Z617" s="46">
        <v>0.08</v>
      </c>
      <c r="AA617" s="46">
        <v>0.08</v>
      </c>
      <c r="AB617" s="46">
        <v>0.08</v>
      </c>
      <c r="AC617" s="46">
        <v>0.08</v>
      </c>
      <c r="AD617" s="46">
        <v>0.08</v>
      </c>
      <c r="AE617" s="46">
        <v>0.08</v>
      </c>
      <c r="AF617" s="46">
        <v>0.08</v>
      </c>
    </row>
    <row r="618" spans="1:32" x14ac:dyDescent="0.2">
      <c r="A618" s="1"/>
    </row>
    <row r="619" spans="1:32" x14ac:dyDescent="0.2">
      <c r="A619" s="1" t="s">
        <v>734</v>
      </c>
    </row>
    <row r="620" spans="1:32" x14ac:dyDescent="0.2">
      <c r="A620" s="2" t="s">
        <v>961</v>
      </c>
      <c r="F620" s="165">
        <f t="shared" ref="F620" si="423">F569</f>
        <v>1.2571418069293133E-2</v>
      </c>
      <c r="G620" s="165" t="e">
        <f t="shared" ref="G620:H620" si="424">G569</f>
        <v>#DIV/0!</v>
      </c>
      <c r="H620" s="165">
        <f t="shared" si="424"/>
        <v>6.592058320529455E-3</v>
      </c>
      <c r="I620" s="30">
        <f t="shared" ref="I620:K620" si="425">I569</f>
        <v>1.707320230500103</v>
      </c>
      <c r="J620" s="30">
        <f t="shared" si="425"/>
        <v>3.1610478782967375</v>
      </c>
      <c r="K620" s="165">
        <f t="shared" si="425"/>
        <v>0</v>
      </c>
      <c r="M620" s="30">
        <f t="shared" ref="M620:Q620" si="426">M569</f>
        <v>2.7718369185417111</v>
      </c>
      <c r="N620" s="30">
        <f t="shared" si="426"/>
        <v>9.4774779800084534</v>
      </c>
      <c r="O620" s="30">
        <f t="shared" si="426"/>
        <v>3.0235549898303642</v>
      </c>
      <c r="P620" s="30">
        <f t="shared" si="426"/>
        <v>1.0626945993872705</v>
      </c>
      <c r="Q620" s="165">
        <f t="shared" si="426"/>
        <v>9.8643678965690349E-3</v>
      </c>
      <c r="R620" s="30">
        <f t="shared" ref="R620:T620" si="427">R569</f>
        <v>2.8657364302869013</v>
      </c>
      <c r="S620" s="30" t="e">
        <f t="shared" si="427"/>
        <v>#DIV/0!</v>
      </c>
      <c r="T620" s="165">
        <f t="shared" si="427"/>
        <v>6.5261921762150817E-3</v>
      </c>
      <c r="U620" s="165"/>
      <c r="V620" s="165"/>
      <c r="W620" s="165" t="e">
        <f t="shared" ref="W620:AF620" si="428">W594</f>
        <v>#DIV/0!</v>
      </c>
      <c r="X620" s="165" t="e">
        <f t="shared" si="428"/>
        <v>#DIV/0!</v>
      </c>
      <c r="Y620" s="165" t="e">
        <f t="shared" si="428"/>
        <v>#DIV/0!</v>
      </c>
      <c r="Z620" s="165">
        <f t="shared" si="428"/>
        <v>0</v>
      </c>
      <c r="AA620" s="165">
        <f t="shared" si="428"/>
        <v>0</v>
      </c>
      <c r="AB620" s="165">
        <f t="shared" si="428"/>
        <v>0</v>
      </c>
      <c r="AC620" s="165">
        <f t="shared" si="428"/>
        <v>0</v>
      </c>
      <c r="AD620" s="165">
        <f t="shared" si="428"/>
        <v>0</v>
      </c>
      <c r="AE620" s="165">
        <f t="shared" si="428"/>
        <v>0</v>
      </c>
      <c r="AF620" s="165" t="e">
        <f t="shared" si="428"/>
        <v>#REF!</v>
      </c>
    </row>
    <row r="621" spans="1:32" x14ac:dyDescent="0.2">
      <c r="A621" s="2" t="s">
        <v>962</v>
      </c>
      <c r="D621" s="165"/>
      <c r="F621" s="165">
        <f>(F530*$C$538)/F$430</f>
        <v>1.9438858793478125E-4</v>
      </c>
      <c r="G621" s="165" t="e">
        <f>(G530*$C$538)/G$430</f>
        <v>#DIV/0!</v>
      </c>
      <c r="H621" s="165">
        <f>(H530*$C$538)/H$430</f>
        <v>1.0193129378470332E-4</v>
      </c>
      <c r="I621" s="30">
        <f>(I530*$C$538)/I$445</f>
        <v>2.6399851387494375E-2</v>
      </c>
      <c r="J621" s="30">
        <f>(J530*$C$538)/J$445</f>
        <v>4.8878466221503179E-2</v>
      </c>
      <c r="K621" s="165">
        <f>(K530*$C$538)/K$430</f>
        <v>0</v>
      </c>
      <c r="M621" s="30">
        <f>(M530*$C$538)/M$445</f>
        <v>4.2860197760578887E-2</v>
      </c>
      <c r="N621" s="30">
        <f>(N530*$C$538)/N$445</f>
        <v>9.2434644625439905E-2</v>
      </c>
      <c r="O621" s="30">
        <f>(O530*$C$538)/O$445</f>
        <v>4.6752449228612297E-2</v>
      </c>
      <c r="P621" s="30">
        <f>(P530*$C$538)/P$445</f>
        <v>1.6432171887226479E-2</v>
      </c>
      <c r="Q621" s="165">
        <f>(Q530*$C$538)/Q$430</f>
        <v>1.5253017087761694E-4</v>
      </c>
      <c r="R621" s="30">
        <f>(R530*$C$538)/R$445</f>
        <v>4.4312141637976248E-2</v>
      </c>
      <c r="S621" s="30" t="e">
        <f>(S530*$C$538)/S$445</f>
        <v>#DIV/0!</v>
      </c>
      <c r="T621" s="165">
        <f>(T530*$C$538)/T$430</f>
        <v>1.0091282262135433E-4</v>
      </c>
      <c r="U621" s="165"/>
      <c r="V621" s="165"/>
      <c r="W621" s="165" t="e">
        <f t="shared" ref="W621:AF621" si="429">W595</f>
        <v>#DIV/0!</v>
      </c>
      <c r="X621" s="165" t="e">
        <f t="shared" si="429"/>
        <v>#DIV/0!</v>
      </c>
      <c r="Y621" s="165" t="e">
        <f t="shared" si="429"/>
        <v>#DIV/0!</v>
      </c>
      <c r="Z621" s="165" t="e">
        <f t="shared" si="429"/>
        <v>#DIV/0!</v>
      </c>
      <c r="AA621" s="165" t="e">
        <f t="shared" si="429"/>
        <v>#DIV/0!</v>
      </c>
      <c r="AB621" s="165" t="e">
        <f t="shared" si="429"/>
        <v>#DIV/0!</v>
      </c>
      <c r="AC621" s="165" t="e">
        <f t="shared" si="429"/>
        <v>#DIV/0!</v>
      </c>
      <c r="AD621" s="165" t="e">
        <f t="shared" si="429"/>
        <v>#DIV/0!</v>
      </c>
      <c r="AE621" s="165">
        <f t="shared" si="429"/>
        <v>0</v>
      </c>
      <c r="AF621" s="165" t="e">
        <f t="shared" si="429"/>
        <v>#REF!</v>
      </c>
    </row>
    <row r="622" spans="1:32" x14ac:dyDescent="0.2">
      <c r="A622" s="2" t="s">
        <v>864</v>
      </c>
      <c r="F622" s="165">
        <f t="shared" ref="F622" si="430">F571</f>
        <v>5.8912262796929855E-2</v>
      </c>
      <c r="G622" s="165" t="e">
        <f t="shared" ref="G622:H622" si="431">G571</f>
        <v>#DIV/0!</v>
      </c>
      <c r="H622" s="165">
        <f t="shared" si="431"/>
        <v>5.8771713613594609E-2</v>
      </c>
      <c r="I622" s="165">
        <f t="shared" ref="I622:K622" si="432">I571</f>
        <v>6.259902931165183E-2</v>
      </c>
      <c r="J622" s="165">
        <f t="shared" si="432"/>
        <v>5.8771713613594609E-2</v>
      </c>
      <c r="K622" s="165">
        <f t="shared" si="432"/>
        <v>5.5494995834455392E-2</v>
      </c>
      <c r="M622" s="165">
        <f t="shared" ref="M622:Q622" si="433">M571</f>
        <v>5.8771713613594602E-2</v>
      </c>
      <c r="N622" s="165">
        <f t="shared" si="433"/>
        <v>4.324050125657887E-2</v>
      </c>
      <c r="O622" s="165">
        <f t="shared" si="433"/>
        <v>5.8903777169950933E-2</v>
      </c>
      <c r="P622" s="165">
        <f t="shared" si="433"/>
        <v>5.8903777169950947E-2</v>
      </c>
      <c r="Q622" s="165">
        <f t="shared" si="433"/>
        <v>6.1983714513520062E-2</v>
      </c>
      <c r="R622" s="165">
        <f t="shared" ref="R622:T622" si="434">R571</f>
        <v>5.8903777169950947E-2</v>
      </c>
      <c r="S622" s="165" t="e">
        <f t="shared" si="434"/>
        <v>#DIV/0!</v>
      </c>
      <c r="T622" s="165">
        <f t="shared" si="434"/>
        <v>5.8771713613594616E-2</v>
      </c>
      <c r="U622" s="165"/>
      <c r="V622" s="165"/>
      <c r="W622" s="165" t="e">
        <f>#REF!</f>
        <v>#REF!</v>
      </c>
      <c r="X622" s="165" t="e">
        <f>#REF!</f>
        <v>#REF!</v>
      </c>
      <c r="Y622" s="165" t="e">
        <f>#REF!</f>
        <v>#REF!</v>
      </c>
      <c r="Z622" s="165" t="e">
        <f>#REF!</f>
        <v>#REF!</v>
      </c>
      <c r="AA622" s="165" t="e">
        <f>#REF!</f>
        <v>#REF!</v>
      </c>
      <c r="AB622" s="165" t="e">
        <f>#REF!</f>
        <v>#REF!</v>
      </c>
      <c r="AC622" s="165" t="e">
        <f>#REF!</f>
        <v>#REF!</v>
      </c>
      <c r="AD622" s="165" t="e">
        <f>#REF!</f>
        <v>#REF!</v>
      </c>
      <c r="AE622" s="165" t="e">
        <f>#REF!</f>
        <v>#REF!</v>
      </c>
      <c r="AF622" s="165" t="e">
        <f>#REF!</f>
        <v>#REF!</v>
      </c>
    </row>
    <row r="623" spans="1:32" x14ac:dyDescent="0.2">
      <c r="A623" s="2" t="s">
        <v>865</v>
      </c>
      <c r="D623" s="165"/>
      <c r="F623" s="165">
        <f t="shared" ref="F623:S623" si="435">(F531*$C$538)/F$430</f>
        <v>0</v>
      </c>
      <c r="G623" s="165" t="e">
        <f t="shared" ref="G623:H623" si="436">(G531*$C$538)/G$430</f>
        <v>#DIV/0!</v>
      </c>
      <c r="H623" s="165">
        <f t="shared" si="436"/>
        <v>0</v>
      </c>
      <c r="I623" s="165">
        <f t="shared" ref="I623:K623" si="437">(I531*$C$538)/I$430</f>
        <v>0</v>
      </c>
      <c r="J623" s="165">
        <f t="shared" si="437"/>
        <v>0</v>
      </c>
      <c r="K623" s="165">
        <f t="shared" si="437"/>
        <v>0</v>
      </c>
      <c r="M623" s="165">
        <f t="shared" ref="M623:Q623" si="438">(M531*$C$538)/M$430</f>
        <v>0</v>
      </c>
      <c r="N623" s="165">
        <f t="shared" si="438"/>
        <v>0</v>
      </c>
      <c r="O623" s="165">
        <f t="shared" si="438"/>
        <v>0</v>
      </c>
      <c r="P623" s="165">
        <f t="shared" si="438"/>
        <v>0</v>
      </c>
      <c r="Q623" s="165">
        <f t="shared" si="438"/>
        <v>0</v>
      </c>
      <c r="R623" s="165">
        <f t="shared" si="435"/>
        <v>0</v>
      </c>
      <c r="S623" s="165" t="e">
        <f t="shared" si="435"/>
        <v>#DIV/0!</v>
      </c>
      <c r="T623" s="165">
        <f t="shared" ref="T623" si="439">(T531*$C$538)/T$430</f>
        <v>0</v>
      </c>
      <c r="U623" s="165"/>
      <c r="V623" s="165"/>
      <c r="W623" s="165"/>
      <c r="X623" s="165"/>
      <c r="Y623" s="165"/>
      <c r="Z623" s="165"/>
      <c r="AA623" s="165"/>
      <c r="AB623" s="165"/>
      <c r="AC623" s="165"/>
      <c r="AD623" s="165"/>
      <c r="AE623" s="165"/>
      <c r="AF623" s="165"/>
    </row>
    <row r="624" spans="1:32" x14ac:dyDescent="0.2">
      <c r="E624" s="165"/>
      <c r="F624" s="165"/>
      <c r="G624" s="165"/>
      <c r="H624" s="165"/>
      <c r="I624" s="165"/>
      <c r="J624" s="165"/>
      <c r="K624" s="165"/>
      <c r="M624" s="165"/>
      <c r="N624" s="165"/>
      <c r="O624" s="165"/>
      <c r="P624" s="165"/>
      <c r="Q624" s="165"/>
      <c r="R624" s="165"/>
      <c r="S624" s="165"/>
      <c r="T624" s="165"/>
      <c r="U624" s="165"/>
      <c r="V624" s="165"/>
      <c r="W624" s="165"/>
      <c r="X624" s="165"/>
      <c r="Y624" s="165"/>
      <c r="Z624" s="165"/>
      <c r="AA624" s="165"/>
      <c r="AB624" s="165"/>
      <c r="AC624" s="165"/>
      <c r="AD624" s="165"/>
      <c r="AE624" s="165"/>
      <c r="AF624" s="165"/>
    </row>
    <row r="625" spans="1:36" x14ac:dyDescent="0.2">
      <c r="A625" s="1" t="s">
        <v>858</v>
      </c>
      <c r="F625" s="165"/>
      <c r="G625" s="165"/>
      <c r="H625" s="165"/>
      <c r="I625" s="165"/>
      <c r="J625" s="165"/>
      <c r="K625" s="165"/>
      <c r="M625" s="165"/>
      <c r="N625" s="165"/>
      <c r="O625" s="165"/>
      <c r="P625" s="165"/>
      <c r="Q625" s="165"/>
      <c r="R625" s="165"/>
      <c r="S625" s="165"/>
      <c r="T625" s="165"/>
      <c r="U625" s="165"/>
      <c r="V625" s="165"/>
      <c r="W625" s="165"/>
      <c r="X625" s="165"/>
      <c r="Y625" s="165"/>
      <c r="Z625" s="165"/>
      <c r="AA625" s="165"/>
      <c r="AB625" s="165"/>
      <c r="AC625" s="165"/>
      <c r="AD625" s="165"/>
      <c r="AE625" s="165"/>
      <c r="AF625" s="165"/>
    </row>
    <row r="626" spans="1:36" x14ac:dyDescent="0.2">
      <c r="A626" s="2" t="s">
        <v>963</v>
      </c>
      <c r="F626" s="165">
        <f t="shared" ref="F626" si="440">F575</f>
        <v>0</v>
      </c>
      <c r="G626" s="165" t="e">
        <f t="shared" ref="G626:H626" si="441">G575</f>
        <v>#DIV/0!</v>
      </c>
      <c r="H626" s="165">
        <f t="shared" si="441"/>
        <v>0</v>
      </c>
      <c r="I626" s="30">
        <f t="shared" ref="I626:K626" si="442">I575</f>
        <v>0</v>
      </c>
      <c r="J626" s="30">
        <f t="shared" si="442"/>
        <v>0</v>
      </c>
      <c r="K626" s="165">
        <f t="shared" si="442"/>
        <v>0</v>
      </c>
      <c r="M626" s="30">
        <f t="shared" ref="M626:Q626" si="443">M575</f>
        <v>0</v>
      </c>
      <c r="N626" s="30">
        <f t="shared" si="443"/>
        <v>0</v>
      </c>
      <c r="O626" s="30">
        <f t="shared" si="443"/>
        <v>0</v>
      </c>
      <c r="P626" s="30">
        <f t="shared" si="443"/>
        <v>0</v>
      </c>
      <c r="Q626" s="165">
        <f t="shared" si="443"/>
        <v>0</v>
      </c>
      <c r="R626" s="30">
        <f t="shared" ref="R626:T626" si="444">R575</f>
        <v>0</v>
      </c>
      <c r="S626" s="30" t="e">
        <f t="shared" si="444"/>
        <v>#DIV/0!</v>
      </c>
      <c r="T626" s="165">
        <f t="shared" si="444"/>
        <v>0</v>
      </c>
      <c r="U626" s="165"/>
      <c r="V626" s="165"/>
      <c r="W626" s="165"/>
      <c r="X626" s="165"/>
      <c r="Y626" s="165"/>
      <c r="Z626" s="165"/>
      <c r="AA626" s="165"/>
      <c r="AB626" s="165"/>
      <c r="AC626" s="165"/>
      <c r="AD626" s="165"/>
      <c r="AE626" s="165"/>
      <c r="AF626" s="165"/>
    </row>
    <row r="627" spans="1:36" s="54" customFormat="1" ht="15" x14ac:dyDescent="0.35">
      <c r="A627" s="54" t="s">
        <v>964</v>
      </c>
      <c r="D627" s="165"/>
      <c r="F627" s="176">
        <f>(F532*$C$538)/F$430</f>
        <v>0</v>
      </c>
      <c r="G627" s="176" t="e">
        <f>(G532*$C$538)/G$430</f>
        <v>#DIV/0!</v>
      </c>
      <c r="H627" s="176">
        <f>(H532*$C$538)/H$430</f>
        <v>0</v>
      </c>
      <c r="I627" s="81">
        <f>(I532*$C$538)/I$445</f>
        <v>0</v>
      </c>
      <c r="J627" s="81">
        <f>(J532*$C$538)/J$445</f>
        <v>0</v>
      </c>
      <c r="K627" s="176">
        <f>(K532*$C$538)/K$430</f>
        <v>0</v>
      </c>
      <c r="L627" s="2"/>
      <c r="M627" s="81">
        <f>(M532*$C$538)/M$445</f>
        <v>0</v>
      </c>
      <c r="N627" s="81">
        <f>(N532*$C$538)/N$445</f>
        <v>0</v>
      </c>
      <c r="O627" s="81">
        <f>(O532*$C$538)/O$445</f>
        <v>0</v>
      </c>
      <c r="P627" s="81">
        <f>(P532*$C$538)/P$445</f>
        <v>0</v>
      </c>
      <c r="Q627" s="176">
        <f>(Q532*$C$538)/Q$430</f>
        <v>0</v>
      </c>
      <c r="R627" s="81">
        <f>(R532*$C$538)/R$445</f>
        <v>0</v>
      </c>
      <c r="S627" s="81" t="e">
        <f>(S532*$C$538)/S$445</f>
        <v>#DIV/0!</v>
      </c>
      <c r="T627" s="176">
        <f>(T532*$C$538)/T$430</f>
        <v>0</v>
      </c>
      <c r="U627" s="176"/>
      <c r="V627" s="176"/>
      <c r="AJ627" s="57"/>
    </row>
    <row r="628" spans="1:36" x14ac:dyDescent="0.2">
      <c r="B628" s="2" t="s">
        <v>965</v>
      </c>
      <c r="F628" s="165">
        <f>F626+F627</f>
        <v>0</v>
      </c>
      <c r="G628" s="165" t="e">
        <f>G626+G627</f>
        <v>#DIV/0!</v>
      </c>
      <c r="H628" s="165">
        <f>H626+H627</f>
        <v>0</v>
      </c>
      <c r="I628" s="30">
        <f t="shared" ref="I628:J628" si="445">I626+I627</f>
        <v>0</v>
      </c>
      <c r="J628" s="30">
        <f t="shared" si="445"/>
        <v>0</v>
      </c>
      <c r="K628" s="165">
        <f>K626+K627</f>
        <v>0</v>
      </c>
      <c r="M628" s="30">
        <f t="shared" ref="M628:P628" si="446">M626+M627</f>
        <v>0</v>
      </c>
      <c r="N628" s="30">
        <f t="shared" si="446"/>
        <v>0</v>
      </c>
      <c r="O628" s="30">
        <f t="shared" si="446"/>
        <v>0</v>
      </c>
      <c r="P628" s="30">
        <f t="shared" si="446"/>
        <v>0</v>
      </c>
      <c r="Q628" s="165">
        <f>Q626+Q627</f>
        <v>0</v>
      </c>
      <c r="R628" s="30">
        <f t="shared" ref="R628:S628" si="447">R626+R627</f>
        <v>0</v>
      </c>
      <c r="S628" s="30" t="e">
        <f t="shared" si="447"/>
        <v>#DIV/0!</v>
      </c>
      <c r="T628" s="165">
        <f>T626+T627</f>
        <v>0</v>
      </c>
      <c r="U628" s="165"/>
      <c r="V628" s="165"/>
    </row>
    <row r="629" spans="1:36" x14ac:dyDescent="0.2">
      <c r="F629" s="165"/>
      <c r="G629" s="165"/>
      <c r="H629" s="165"/>
      <c r="I629" s="165"/>
      <c r="J629" s="165"/>
      <c r="K629" s="165"/>
      <c r="M629" s="165"/>
      <c r="N629" s="165"/>
      <c r="O629" s="165"/>
      <c r="P629" s="165"/>
      <c r="Q629" s="165"/>
      <c r="R629" s="165"/>
      <c r="S629" s="165"/>
      <c r="T629" s="165"/>
      <c r="U629" s="165"/>
      <c r="V629" s="165"/>
    </row>
    <row r="630" spans="1:36" x14ac:dyDescent="0.2">
      <c r="A630" s="1" t="s">
        <v>666</v>
      </c>
    </row>
    <row r="631" spans="1:36" x14ac:dyDescent="0.2">
      <c r="A631" s="2" t="s">
        <v>966</v>
      </c>
      <c r="F631" s="165">
        <f>F580</f>
        <v>2.0968962845966613E-2</v>
      </c>
      <c r="G631" s="165" t="e">
        <f>G580</f>
        <v>#DIV/0!</v>
      </c>
      <c r="H631" s="165">
        <f>H580</f>
        <v>2.1067987235714725E-2</v>
      </c>
      <c r="I631" s="30">
        <f t="shared" ref="I631:J631" si="448">I605</f>
        <v>2.7491481156799944</v>
      </c>
      <c r="J631" s="30">
        <f t="shared" si="448"/>
        <v>2.7548244907680317</v>
      </c>
      <c r="K631" s="165">
        <f>K580</f>
        <v>2.1183502771228477E-2</v>
      </c>
      <c r="M631" s="30">
        <f t="shared" ref="M631:P631" si="449">M605</f>
        <v>2.7567335925072012</v>
      </c>
      <c r="N631" s="30">
        <f t="shared" si="449"/>
        <v>2.7552325304957983</v>
      </c>
      <c r="O631" s="30">
        <f t="shared" si="449"/>
        <v>2.7564480612969589</v>
      </c>
      <c r="P631" s="30">
        <f t="shared" si="449"/>
        <v>2.7554437983783657</v>
      </c>
      <c r="Q631" s="165">
        <f>Q580</f>
        <v>1.8874783148216338E-2</v>
      </c>
      <c r="R631" s="30">
        <f t="shared" ref="R631:AE631" si="450">R605</f>
        <v>2.7569285318928705</v>
      </c>
      <c r="S631" s="30" t="e">
        <f t="shared" si="450"/>
        <v>#DIV/0!</v>
      </c>
      <c r="T631" s="165">
        <f>T580</f>
        <v>8.9363318712289141E-3</v>
      </c>
      <c r="U631" s="165"/>
      <c r="V631" s="165"/>
      <c r="W631" s="165" t="e">
        <f t="shared" si="450"/>
        <v>#REF!</v>
      </c>
      <c r="X631" s="165" t="e">
        <f t="shared" si="450"/>
        <v>#REF!</v>
      </c>
      <c r="Y631" s="165" t="e">
        <f t="shared" si="450"/>
        <v>#REF!</v>
      </c>
      <c r="Z631" s="165" t="e">
        <f t="shared" si="450"/>
        <v>#REF!</v>
      </c>
      <c r="AA631" s="165" t="e">
        <f t="shared" si="450"/>
        <v>#REF!</v>
      </c>
      <c r="AB631" s="165" t="e">
        <f t="shared" si="450"/>
        <v>#REF!</v>
      </c>
      <c r="AC631" s="165" t="e">
        <f t="shared" si="450"/>
        <v>#REF!</v>
      </c>
      <c r="AD631" s="165" t="e">
        <f t="shared" si="450"/>
        <v>#REF!</v>
      </c>
      <c r="AE631" s="165" t="e">
        <f t="shared" si="450"/>
        <v>#REF!</v>
      </c>
      <c r="AF631" s="165">
        <f>AF553</f>
        <v>0</v>
      </c>
    </row>
    <row r="632" spans="1:36" ht="15" x14ac:dyDescent="0.35">
      <c r="A632" s="54" t="s">
        <v>967</v>
      </c>
      <c r="D632" s="165"/>
      <c r="F632" s="176">
        <f>(F533*F617)/F430</f>
        <v>6.8051278178250137E-3</v>
      </c>
      <c r="G632" s="176" t="e">
        <f>(G533*G617)/G430</f>
        <v>#DIV/0!</v>
      </c>
      <c r="H632" s="176">
        <f>(H533*H617)/H430</f>
        <v>6.8379617744939256E-3</v>
      </c>
      <c r="I632" s="81">
        <f>(I533*I617)/I445</f>
        <v>0.89207326772008877</v>
      </c>
      <c r="J632" s="81">
        <f>(J533*J617)/J445</f>
        <v>0.89255724063831254</v>
      </c>
      <c r="K632" s="176">
        <f>(K533*K617)/K430</f>
        <v>6.8642860988255543E-3</v>
      </c>
      <c r="M632" s="81">
        <f>(M533*M617)/M445</f>
        <v>0.89242766508522808</v>
      </c>
      <c r="N632" s="81">
        <f>(N533*N617)/N445</f>
        <v>0.89251224846552779</v>
      </c>
      <c r="O632" s="81">
        <f>(O533*O617)/O445</f>
        <v>0.89251146670358217</v>
      </c>
      <c r="P632" s="81">
        <f>(P533*P617)/P445</f>
        <v>0.89185865988187085</v>
      </c>
      <c r="Q632" s="176">
        <f>(Q533*Q617)/Q430</f>
        <v>6.1194978956245908E-3</v>
      </c>
      <c r="R632" s="81">
        <f>(R533*R617)/R445</f>
        <v>0.89245892597566245</v>
      </c>
      <c r="S632" s="81" t="e">
        <f>(S533*S617)/S445</f>
        <v>#DIV/0!</v>
      </c>
      <c r="T632" s="176">
        <f>(T533*T617)/T430</f>
        <v>2.9084973144686008E-3</v>
      </c>
      <c r="U632" s="176"/>
      <c r="V632" s="176"/>
      <c r="W632" s="176" t="e">
        <f t="shared" ref="W632:AF632" si="451">(W533*W617)/W430</f>
        <v>#DIV/0!</v>
      </c>
      <c r="X632" s="176" t="e">
        <f t="shared" si="451"/>
        <v>#DIV/0!</v>
      </c>
      <c r="Y632" s="176" t="e">
        <f t="shared" si="451"/>
        <v>#DIV/0!</v>
      </c>
      <c r="Z632" s="176" t="e">
        <f t="shared" si="451"/>
        <v>#DIV/0!</v>
      </c>
      <c r="AA632" s="176" t="e">
        <f t="shared" si="451"/>
        <v>#DIV/0!</v>
      </c>
      <c r="AB632" s="176" t="e">
        <f t="shared" si="451"/>
        <v>#DIV/0!</v>
      </c>
      <c r="AC632" s="176" t="e">
        <f t="shared" si="451"/>
        <v>#DIV/0!</v>
      </c>
      <c r="AD632" s="176" t="e">
        <f t="shared" si="451"/>
        <v>#DIV/0!</v>
      </c>
      <c r="AE632" s="176" t="e">
        <f t="shared" si="451"/>
        <v>#DIV/0!</v>
      </c>
      <c r="AF632" s="176" t="e">
        <f t="shared" si="451"/>
        <v>#DIV/0!</v>
      </c>
    </row>
    <row r="633" spans="1:36" x14ac:dyDescent="0.2">
      <c r="B633" s="2" t="s">
        <v>968</v>
      </c>
      <c r="F633" s="165">
        <f t="shared" ref="F633:AF633" si="452">F631+F632</f>
        <v>2.7774090663791627E-2</v>
      </c>
      <c r="G633" s="165" t="e">
        <f t="shared" ref="G633:H633" si="453">G631+G632</f>
        <v>#DIV/0!</v>
      </c>
      <c r="H633" s="165">
        <f t="shared" si="453"/>
        <v>2.7905949010208653E-2</v>
      </c>
      <c r="I633" s="30">
        <f>I631+I632</f>
        <v>3.6412213834000831</v>
      </c>
      <c r="J633" s="30">
        <f>J631+J632</f>
        <v>3.6473817314063441</v>
      </c>
      <c r="K633" s="165">
        <f t="shared" ref="K633" si="454">K631+K632</f>
        <v>2.8047788870054033E-2</v>
      </c>
      <c r="M633" s="30">
        <f>M631+M632</f>
        <v>3.6491612575924295</v>
      </c>
      <c r="N633" s="30">
        <f>N631+N632</f>
        <v>3.647744778961326</v>
      </c>
      <c r="O633" s="30">
        <f>O631+O632</f>
        <v>3.6489595280005411</v>
      </c>
      <c r="P633" s="30">
        <f>P631+P632</f>
        <v>3.6473024582602367</v>
      </c>
      <c r="Q633" s="165">
        <f t="shared" ref="Q633" si="455">Q631+Q632</f>
        <v>2.4994281043840928E-2</v>
      </c>
      <c r="R633" s="30">
        <f>R631+R632</f>
        <v>3.6493874578685328</v>
      </c>
      <c r="S633" s="30" t="e">
        <f>S631+S632</f>
        <v>#DIV/0!</v>
      </c>
      <c r="T633" s="165">
        <f t="shared" ref="T633" si="456">T631+T632</f>
        <v>1.1844829185697514E-2</v>
      </c>
      <c r="U633" s="165"/>
      <c r="V633" s="165"/>
      <c r="W633" s="165" t="e">
        <f t="shared" si="452"/>
        <v>#REF!</v>
      </c>
      <c r="X633" s="165" t="e">
        <f t="shared" si="452"/>
        <v>#REF!</v>
      </c>
      <c r="Y633" s="165" t="e">
        <f t="shared" si="452"/>
        <v>#REF!</v>
      </c>
      <c r="Z633" s="165" t="e">
        <f t="shared" si="452"/>
        <v>#REF!</v>
      </c>
      <c r="AA633" s="165" t="e">
        <f t="shared" si="452"/>
        <v>#REF!</v>
      </c>
      <c r="AB633" s="165" t="e">
        <f t="shared" si="452"/>
        <v>#REF!</v>
      </c>
      <c r="AC633" s="165" t="e">
        <f t="shared" si="452"/>
        <v>#REF!</v>
      </c>
      <c r="AD633" s="165" t="e">
        <f t="shared" si="452"/>
        <v>#REF!</v>
      </c>
      <c r="AE633" s="165" t="e">
        <f t="shared" si="452"/>
        <v>#REF!</v>
      </c>
      <c r="AF633" s="165" t="e">
        <f t="shared" si="452"/>
        <v>#DIV/0!</v>
      </c>
    </row>
    <row r="635" spans="1:36" x14ac:dyDescent="0.2">
      <c r="A635" s="1" t="s">
        <v>667</v>
      </c>
    </row>
    <row r="636" spans="1:36" x14ac:dyDescent="0.2">
      <c r="A636" s="2" t="s">
        <v>668</v>
      </c>
      <c r="F636" s="56">
        <f t="shared" ref="F636:AE636" si="457">F610</f>
        <v>21.260393299574858</v>
      </c>
      <c r="G636" s="56" t="e">
        <f t="shared" ref="G636:H636" si="458">G610</f>
        <v>#DIV/0!</v>
      </c>
      <c r="H636" s="56">
        <f t="shared" si="458"/>
        <v>21.214489597861995</v>
      </c>
      <c r="I636" s="56">
        <f t="shared" ref="I636:K636" si="459">I610</f>
        <v>22.198251620564758</v>
      </c>
      <c r="J636" s="56">
        <f t="shared" si="459"/>
        <v>63.143443850594437</v>
      </c>
      <c r="K636" s="56">
        <f t="shared" si="459"/>
        <v>2.6611642762107324</v>
      </c>
      <c r="M636" s="56">
        <f t="shared" ref="M636:Q636" si="460">M610</f>
        <v>137.12649712552343</v>
      </c>
      <c r="N636" s="56">
        <f t="shared" si="460"/>
        <v>590.67545952978674</v>
      </c>
      <c r="O636" s="56">
        <f t="shared" si="460"/>
        <v>180.25975088720756</v>
      </c>
      <c r="P636" s="56">
        <f t="shared" si="460"/>
        <v>26.276845671813941</v>
      </c>
      <c r="Q636" s="56">
        <f t="shared" si="460"/>
        <v>21.586770361281733</v>
      </c>
      <c r="R636" s="56">
        <f t="shared" si="457"/>
        <v>248.97439813384497</v>
      </c>
      <c r="S636" s="56" t="e">
        <f t="shared" si="457"/>
        <v>#DIV/0!</v>
      </c>
      <c r="T636" s="56">
        <f t="shared" ref="T636" si="461">T610</f>
        <v>57.84786510639384</v>
      </c>
      <c r="U636" s="56"/>
      <c r="V636" s="56"/>
      <c r="W636" s="56" t="e">
        <f t="shared" si="457"/>
        <v>#REF!</v>
      </c>
      <c r="X636" s="56" t="e">
        <f t="shared" si="457"/>
        <v>#REF!</v>
      </c>
      <c r="Y636" s="56" t="e">
        <f t="shared" si="457"/>
        <v>#REF!</v>
      </c>
      <c r="Z636" s="56" t="e">
        <f t="shared" si="457"/>
        <v>#REF!</v>
      </c>
      <c r="AA636" s="56" t="e">
        <f t="shared" si="457"/>
        <v>#REF!</v>
      </c>
      <c r="AB636" s="56" t="e">
        <f t="shared" si="457"/>
        <v>#REF!</v>
      </c>
      <c r="AC636" s="56" t="e">
        <f t="shared" si="457"/>
        <v>#REF!</v>
      </c>
      <c r="AD636" s="56" t="e">
        <f t="shared" si="457"/>
        <v>#REF!</v>
      </c>
      <c r="AE636" s="56" t="e">
        <f t="shared" si="457"/>
        <v>#REF!</v>
      </c>
      <c r="AF636" s="56">
        <f>AF554</f>
        <v>0</v>
      </c>
    </row>
    <row r="637" spans="1:36" ht="15" x14ac:dyDescent="0.35">
      <c r="A637" s="2" t="s">
        <v>669</v>
      </c>
      <c r="D637" s="30"/>
      <c r="F637" s="81">
        <f t="shared" ref="F637:AF637" si="462">(F534*F$617)/F433</f>
        <v>6.5302280578004552</v>
      </c>
      <c r="G637" s="81" t="e">
        <f t="shared" ref="G637:H637" si="463">(G534*G$617)/G433</f>
        <v>#DIV/0!</v>
      </c>
      <c r="H637" s="81">
        <f t="shared" si="463"/>
        <v>6.5302280578004561</v>
      </c>
      <c r="I637" s="81">
        <f t="shared" ref="I637:K637" si="464">(I534*I$617)/I433</f>
        <v>7.1047518612614819</v>
      </c>
      <c r="J637" s="81">
        <f t="shared" si="464"/>
        <v>24.801647725498484</v>
      </c>
      <c r="K637" s="81">
        <f t="shared" si="464"/>
        <v>1.0227103687465264</v>
      </c>
      <c r="M637" s="81">
        <f t="shared" ref="M637:Q637" si="465">(M534*M$617)/M433</f>
        <v>31.222237600705288</v>
      </c>
      <c r="N637" s="81">
        <f t="shared" si="465"/>
        <v>194.79059780108446</v>
      </c>
      <c r="O637" s="81">
        <f t="shared" si="465"/>
        <v>56.741179200712175</v>
      </c>
      <c r="P637" s="81">
        <f t="shared" si="465"/>
        <v>10.875130419442284</v>
      </c>
      <c r="Q637" s="81">
        <f t="shared" si="465"/>
        <v>6.6198700696879911</v>
      </c>
      <c r="R637" s="81">
        <f t="shared" si="462"/>
        <v>32.15669565860987</v>
      </c>
      <c r="S637" s="81" t="e">
        <f t="shared" si="462"/>
        <v>#DIV/0!</v>
      </c>
      <c r="T637" s="81">
        <f t="shared" ref="T637" si="466">(T534*T$617)/T433</f>
        <v>25.642041586944131</v>
      </c>
      <c r="U637" s="81"/>
      <c r="V637" s="81"/>
      <c r="W637" s="81" t="e">
        <f t="shared" si="462"/>
        <v>#DIV/0!</v>
      </c>
      <c r="X637" s="81" t="e">
        <f t="shared" si="462"/>
        <v>#DIV/0!</v>
      </c>
      <c r="Y637" s="81" t="e">
        <f t="shared" si="462"/>
        <v>#DIV/0!</v>
      </c>
      <c r="Z637" s="81" t="e">
        <f t="shared" si="462"/>
        <v>#DIV/0!</v>
      </c>
      <c r="AA637" s="81" t="e">
        <f t="shared" si="462"/>
        <v>#DIV/0!</v>
      </c>
      <c r="AB637" s="81" t="e">
        <f t="shared" si="462"/>
        <v>#DIV/0!</v>
      </c>
      <c r="AC637" s="81" t="e">
        <f t="shared" si="462"/>
        <v>#DIV/0!</v>
      </c>
      <c r="AD637" s="81" t="e">
        <f t="shared" si="462"/>
        <v>#DIV/0!</v>
      </c>
      <c r="AE637" s="81" t="e">
        <f t="shared" si="462"/>
        <v>#DIV/0!</v>
      </c>
      <c r="AF637" s="81" t="e">
        <f t="shared" si="462"/>
        <v>#DIV/0!</v>
      </c>
    </row>
    <row r="638" spans="1:36" x14ac:dyDescent="0.2">
      <c r="B638" s="2" t="s">
        <v>670</v>
      </c>
      <c r="F638" s="56">
        <f t="shared" ref="F638:AF638" si="467">F636+F637</f>
        <v>27.790621357375315</v>
      </c>
      <c r="G638" s="56" t="e">
        <f t="shared" ref="G638:H638" si="468">G636+G637</f>
        <v>#DIV/0!</v>
      </c>
      <c r="H638" s="56">
        <f t="shared" si="468"/>
        <v>27.744717655662452</v>
      </c>
      <c r="I638" s="56">
        <f t="shared" ref="I638:K638" si="469">I636+I637</f>
        <v>29.303003481826238</v>
      </c>
      <c r="J638" s="56">
        <f t="shared" si="469"/>
        <v>87.945091576092921</v>
      </c>
      <c r="K638" s="56">
        <f t="shared" si="469"/>
        <v>3.6838746449572586</v>
      </c>
      <c r="M638" s="56">
        <f t="shared" ref="M638:Q638" si="470">M636+M637</f>
        <v>168.34873472622871</v>
      </c>
      <c r="N638" s="56">
        <f t="shared" si="470"/>
        <v>785.46605733087119</v>
      </c>
      <c r="O638" s="56">
        <f t="shared" si="470"/>
        <v>237.00093008791973</v>
      </c>
      <c r="P638" s="56">
        <f t="shared" si="470"/>
        <v>37.151976091256223</v>
      </c>
      <c r="Q638" s="56">
        <f t="shared" si="470"/>
        <v>28.206640430969724</v>
      </c>
      <c r="R638" s="56">
        <f t="shared" si="467"/>
        <v>281.13109379245486</v>
      </c>
      <c r="S638" s="56" t="e">
        <f t="shared" si="467"/>
        <v>#DIV/0!</v>
      </c>
      <c r="T638" s="56">
        <f t="shared" ref="T638" si="471">T636+T637</f>
        <v>83.489906693337971</v>
      </c>
      <c r="U638" s="56"/>
      <c r="V638" s="56"/>
      <c r="W638" s="56" t="e">
        <f t="shared" si="467"/>
        <v>#REF!</v>
      </c>
      <c r="X638" s="56" t="e">
        <f t="shared" si="467"/>
        <v>#REF!</v>
      </c>
      <c r="Y638" s="56" t="e">
        <f t="shared" si="467"/>
        <v>#REF!</v>
      </c>
      <c r="Z638" s="56" t="e">
        <f t="shared" si="467"/>
        <v>#REF!</v>
      </c>
      <c r="AA638" s="56" t="e">
        <f t="shared" si="467"/>
        <v>#REF!</v>
      </c>
      <c r="AB638" s="56" t="e">
        <f t="shared" si="467"/>
        <v>#REF!</v>
      </c>
      <c r="AC638" s="56" t="e">
        <f t="shared" si="467"/>
        <v>#REF!</v>
      </c>
      <c r="AD638" s="56" t="e">
        <f t="shared" si="467"/>
        <v>#REF!</v>
      </c>
      <c r="AE638" s="56" t="e">
        <f t="shared" si="467"/>
        <v>#REF!</v>
      </c>
      <c r="AF638" s="56" t="e">
        <f t="shared" si="467"/>
        <v>#DIV/0!</v>
      </c>
    </row>
    <row r="639" spans="1:36" x14ac:dyDescent="0.2">
      <c r="F639" s="56"/>
      <c r="G639" s="56"/>
      <c r="H639" s="56"/>
      <c r="I639" s="56"/>
      <c r="J639" s="56"/>
      <c r="K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</row>
    <row r="642" spans="1:22" x14ac:dyDescent="0.2">
      <c r="A642" s="12" t="s">
        <v>842</v>
      </c>
      <c r="F642" s="179"/>
      <c r="G642" s="179"/>
      <c r="H642" s="179"/>
      <c r="K642" s="179"/>
      <c r="Q642" s="179"/>
      <c r="T642" s="179"/>
      <c r="U642" s="179"/>
      <c r="V642" s="179"/>
    </row>
    <row r="644" spans="1:22" x14ac:dyDescent="0.2">
      <c r="A644" s="1" t="s">
        <v>843</v>
      </c>
      <c r="E644" s="166">
        <f>E330</f>
        <v>5.2126853704301222E-2</v>
      </c>
      <c r="F644" s="166">
        <f t="shared" ref="F644" si="472">F330</f>
        <v>1.0303528853033315E-2</v>
      </c>
      <c r="G644" s="166" t="str">
        <f t="shared" ref="G644:H644" si="473">G330</f>
        <v>NA</v>
      </c>
      <c r="H644" s="166">
        <f t="shared" si="473"/>
        <v>3.5294922562561296E-2</v>
      </c>
      <c r="I644" s="166">
        <f t="shared" ref="I644:K644" si="474">I330</f>
        <v>7.8027603485477756E-2</v>
      </c>
      <c r="J644" s="166">
        <f t="shared" si="474"/>
        <v>0.43421155121516303</v>
      </c>
      <c r="K644" s="166">
        <f t="shared" si="474"/>
        <v>-0.12410155800384745</v>
      </c>
      <c r="M644" s="166">
        <f t="shared" ref="M644:Q644" si="475">M330</f>
        <v>0.37869552916208576</v>
      </c>
      <c r="N644" s="166">
        <f t="shared" si="475"/>
        <v>0.32012557942523845</v>
      </c>
      <c r="O644" s="166">
        <f t="shared" si="475"/>
        <v>0.4270707928016575</v>
      </c>
      <c r="P644" s="166">
        <f t="shared" si="475"/>
        <v>0.53021895445281952</v>
      </c>
      <c r="Q644" s="166">
        <f t="shared" si="475"/>
        <v>-0.20909323091969154</v>
      </c>
      <c r="R644" s="166">
        <f t="shared" ref="R644:T644" si="476">R330</f>
        <v>0.26325443055408915</v>
      </c>
      <c r="S644" s="166" t="str">
        <f t="shared" si="476"/>
        <v>NA</v>
      </c>
      <c r="T644" s="166">
        <f t="shared" si="476"/>
        <v>0.30669613468388668</v>
      </c>
      <c r="U644" s="166"/>
      <c r="V644" s="166"/>
    </row>
    <row r="645" spans="1:22" x14ac:dyDescent="0.2">
      <c r="F645" s="180"/>
      <c r="G645" s="180"/>
      <c r="H645" s="180"/>
      <c r="I645" s="180"/>
      <c r="J645" s="180"/>
      <c r="K645" s="180"/>
      <c r="M645" s="180"/>
      <c r="N645" s="180"/>
      <c r="O645" s="180"/>
      <c r="P645" s="180"/>
      <c r="Q645" s="180"/>
      <c r="R645" s="180"/>
      <c r="S645" s="180"/>
      <c r="T645" s="180"/>
      <c r="U645" s="180"/>
      <c r="V645" s="180"/>
    </row>
    <row r="646" spans="1:22" x14ac:dyDescent="0.2">
      <c r="B646" s="2" t="s">
        <v>844</v>
      </c>
      <c r="F646" s="181">
        <f t="shared" ref="F646:S646" si="477">F587</f>
        <v>22.109672399386451</v>
      </c>
      <c r="G646" s="181" t="e">
        <f t="shared" ref="G646:H646" si="478">G587</f>
        <v>#DIV/0!</v>
      </c>
      <c r="H646" s="181">
        <f t="shared" si="478"/>
        <v>24.908209761011644</v>
      </c>
      <c r="I646" s="181">
        <f t="shared" ref="I646" si="479">I587</f>
        <v>32.982920374646838</v>
      </c>
      <c r="J646" s="181">
        <f t="shared" ref="J646:K646" si="480">J587</f>
        <v>249.15106664828613</v>
      </c>
      <c r="K646" s="181">
        <f t="shared" si="480"/>
        <v>0.41664525749020909</v>
      </c>
      <c r="M646" s="181">
        <f t="shared" ref="M646:Q646" si="481">M587</f>
        <v>340.37997764720308</v>
      </c>
      <c r="N646" s="181">
        <f t="shared" si="481"/>
        <v>1661.0730129469962</v>
      </c>
      <c r="O646" s="181">
        <f t="shared" si="481"/>
        <v>597.83511949645515</v>
      </c>
      <c r="P646" s="181">
        <f t="shared" si="481"/>
        <v>125.97852362046376</v>
      </c>
      <c r="Q646" s="181">
        <f t="shared" si="481"/>
        <v>-3.1800511248858854</v>
      </c>
      <c r="R646" s="181">
        <f t="shared" si="477"/>
        <v>393.31358344000898</v>
      </c>
      <c r="S646" s="181" t="e">
        <f t="shared" si="477"/>
        <v>#DIV/0!</v>
      </c>
      <c r="T646" s="181">
        <f t="shared" ref="T646" si="482">T587</f>
        <v>194.42252700228735</v>
      </c>
      <c r="U646" s="181"/>
      <c r="V646" s="181"/>
    </row>
    <row r="647" spans="1:22" x14ac:dyDescent="0.2">
      <c r="B647" s="2" t="s">
        <v>733</v>
      </c>
      <c r="F647" s="182">
        <f>F569+F570+F571+F572+F577+F582</f>
        <v>9.3362955410277892E-2</v>
      </c>
      <c r="G647" s="182" t="e">
        <f>G569+G570+G571+G572+G577+G582</f>
        <v>#DIV/0!</v>
      </c>
      <c r="H647" s="182">
        <f>H569+H570+H571+H572+H577+H582</f>
        <v>9.0357199863411952E-2</v>
      </c>
      <c r="I647" s="182">
        <f>+I571+I572</f>
        <v>6.259902931165183E-2</v>
      </c>
      <c r="J647" s="182">
        <f>+J571+J572</f>
        <v>5.8771713613594609E-2</v>
      </c>
      <c r="K647" s="182">
        <f>K569+K570+K571+K572+K577+K582</f>
        <v>6.1613607147082243E-2</v>
      </c>
      <c r="M647" s="182">
        <f>+M571+M572</f>
        <v>5.8771713613594602E-2</v>
      </c>
      <c r="N647" s="182">
        <f>+N571+N572</f>
        <v>4.324050125657887E-2</v>
      </c>
      <c r="O647" s="182">
        <f>+O571+O572</f>
        <v>5.8903777169950933E-2</v>
      </c>
      <c r="P647" s="182">
        <f>+P571+P572</f>
        <v>5.8903777169950947E-2</v>
      </c>
      <c r="Q647" s="182">
        <f>Q569+Q570+Q571+Q572+Q577+Q582</f>
        <v>6.7257420187923009E-2</v>
      </c>
      <c r="R647" s="182">
        <f>+R571+R572</f>
        <v>5.8903777169950947E-2</v>
      </c>
      <c r="S647" s="182" t="e">
        <f>+S571+S572</f>
        <v>#DIV/0!</v>
      </c>
      <c r="T647" s="182">
        <f>T569+T570+T571+T572+T577+T582</f>
        <v>9.0262960279927279E-2</v>
      </c>
      <c r="U647" s="182"/>
      <c r="V647" s="182"/>
    </row>
    <row r="648" spans="1:22" x14ac:dyDescent="0.2">
      <c r="B648" s="2" t="s">
        <v>845</v>
      </c>
      <c r="F648" s="181">
        <v>0</v>
      </c>
      <c r="G648" s="181">
        <v>0</v>
      </c>
      <c r="H648" s="181">
        <v>0</v>
      </c>
      <c r="I648" s="181">
        <f>I569+I570+I577+I582</f>
        <v>4.4647837040182239</v>
      </c>
      <c r="J648" s="181">
        <f>J569+J570+J577+J582</f>
        <v>5.9394104946828374</v>
      </c>
      <c r="K648" s="181">
        <v>0</v>
      </c>
      <c r="M648" s="181">
        <f>M569+M570+M577+M582</f>
        <v>5.5435779862407948</v>
      </c>
      <c r="N648" s="181">
        <f>N569+N570+N577+N582</f>
        <v>12.2431226475726</v>
      </c>
      <c r="O648" s="181">
        <f>O569+O570+O577+O582</f>
        <v>5.7934537664245482</v>
      </c>
      <c r="P648" s="181">
        <f>P569+P570+P577+P582</f>
        <v>3.86999146592238</v>
      </c>
      <c r="Q648" s="181">
        <v>0</v>
      </c>
      <c r="R648" s="181">
        <f>R569+R570+R577+R582</f>
        <v>5.6322810807388972</v>
      </c>
      <c r="S648" s="181" t="e">
        <f>S569+S570+S577+S582</f>
        <v>#DIV/0!</v>
      </c>
      <c r="T648" s="181">
        <v>0</v>
      </c>
      <c r="U648" s="181"/>
      <c r="V648" s="181"/>
    </row>
    <row r="649" spans="1:22" x14ac:dyDescent="0.2">
      <c r="F649" s="13"/>
      <c r="G649" s="13"/>
      <c r="H649" s="13"/>
      <c r="I649" s="13"/>
      <c r="J649" s="13"/>
      <c r="K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</row>
    <row r="650" spans="1:22" x14ac:dyDescent="0.2">
      <c r="A650" s="1" t="s">
        <v>846</v>
      </c>
      <c r="E650" s="166">
        <f>E403</f>
        <v>4.9993234788722717E-2</v>
      </c>
      <c r="F650" s="180">
        <f t="shared" ref="F650:K650" si="483">$E650</f>
        <v>4.9993234788722717E-2</v>
      </c>
      <c r="G650" s="180">
        <f t="shared" si="483"/>
        <v>4.9993234788722717E-2</v>
      </c>
      <c r="H650" s="180">
        <f t="shared" si="483"/>
        <v>4.9993234788722717E-2</v>
      </c>
      <c r="I650" s="180">
        <f t="shared" si="483"/>
        <v>4.9993234788722717E-2</v>
      </c>
      <c r="J650" s="180">
        <f t="shared" si="483"/>
        <v>4.9993234788722717E-2</v>
      </c>
      <c r="K650" s="180">
        <f t="shared" si="483"/>
        <v>4.9993234788722717E-2</v>
      </c>
      <c r="M650" s="180">
        <f t="shared" ref="M650:T650" si="484">$E650</f>
        <v>4.9993234788722717E-2</v>
      </c>
      <c r="N650" s="180">
        <f t="shared" si="484"/>
        <v>4.9993234788722717E-2</v>
      </c>
      <c r="O650" s="180">
        <f t="shared" si="484"/>
        <v>4.9993234788722717E-2</v>
      </c>
      <c r="P650" s="180">
        <f t="shared" si="484"/>
        <v>4.9993234788722717E-2</v>
      </c>
      <c r="Q650" s="180">
        <f t="shared" si="484"/>
        <v>4.9993234788722717E-2</v>
      </c>
      <c r="R650" s="180">
        <f t="shared" si="484"/>
        <v>4.9993234788722717E-2</v>
      </c>
      <c r="S650" s="180">
        <f t="shared" si="484"/>
        <v>4.9993234788722717E-2</v>
      </c>
      <c r="T650" s="180">
        <f t="shared" si="484"/>
        <v>4.9993234788722717E-2</v>
      </c>
      <c r="U650" s="180"/>
      <c r="V650" s="180"/>
    </row>
    <row r="651" spans="1:22" x14ac:dyDescent="0.2">
      <c r="F651" s="180"/>
      <c r="G651" s="180"/>
      <c r="H651" s="180"/>
      <c r="I651" s="180"/>
      <c r="J651" s="180"/>
      <c r="K651" s="180"/>
      <c r="M651" s="180"/>
      <c r="N651" s="180"/>
      <c r="O651" s="180"/>
      <c r="P651" s="180"/>
      <c r="Q651" s="180"/>
      <c r="R651" s="180"/>
      <c r="S651" s="180"/>
      <c r="T651" s="180"/>
      <c r="U651" s="180"/>
      <c r="V651" s="180"/>
    </row>
    <row r="652" spans="1:22" x14ac:dyDescent="0.2">
      <c r="B652" s="2" t="s">
        <v>844</v>
      </c>
      <c r="F652" s="181">
        <f>F612</f>
        <v>26.971121178603699</v>
      </c>
      <c r="G652" s="181" t="e">
        <f>G612</f>
        <v>#DIV/0!</v>
      </c>
      <c r="H652" s="181">
        <f>H612</f>
        <v>26.925217476890836</v>
      </c>
      <c r="I652" s="181">
        <f t="shared" ref="I652" si="485">I612</f>
        <v>28.411404387752203</v>
      </c>
      <c r="J652" s="181">
        <f t="shared" ref="J652" si="486">J612</f>
        <v>84.832649780036789</v>
      </c>
      <c r="K652" s="181">
        <f>K612</f>
        <v>3.5555312972822533</v>
      </c>
      <c r="M652" s="181">
        <f t="shared" ref="M652:P652" si="487">M612</f>
        <v>164.43055161394611</v>
      </c>
      <c r="N652" s="181">
        <f t="shared" si="487"/>
        <v>761.02113315546865</v>
      </c>
      <c r="O652" s="181">
        <f t="shared" si="487"/>
        <v>229.88028957014311</v>
      </c>
      <c r="P652" s="181">
        <f t="shared" si="487"/>
        <v>35.787219570654798</v>
      </c>
      <c r="Q652" s="181">
        <f>Q612</f>
        <v>27.375890776051634</v>
      </c>
      <c r="R652" s="181">
        <f t="shared" ref="R652:S652" si="488">R612</f>
        <v>277.09564241040749</v>
      </c>
      <c r="S652" s="181" t="e">
        <f t="shared" si="488"/>
        <v>#DIV/0!</v>
      </c>
      <c r="T652" s="181">
        <f>T612</f>
        <v>80.27200105840862</v>
      </c>
      <c r="U652" s="181"/>
      <c r="V652" s="181"/>
    </row>
    <row r="653" spans="1:22" x14ac:dyDescent="0.2">
      <c r="B653" s="2" t="s">
        <v>733</v>
      </c>
      <c r="F653" s="182">
        <f>F594+F595+F596+F597+F602+F607</f>
        <v>9.8573767373459686E-2</v>
      </c>
      <c r="G653" s="182" t="e">
        <f>G594+G595+G596+G597+G602+G607</f>
        <v>#DIV/0!</v>
      </c>
      <c r="H653" s="182">
        <f>H594+H595+H596+H597+H602+H607</f>
        <v>9.2500741825836078E-2</v>
      </c>
      <c r="I653" s="182">
        <f>+I596+I597</f>
        <v>6.259902931165183E-2</v>
      </c>
      <c r="J653" s="182">
        <f>+J596+J597</f>
        <v>5.8771713613594609E-2</v>
      </c>
      <c r="K653" s="182">
        <f>K594+K595+K596+K597+K602+K607</f>
        <v>8.268136246391744E-2</v>
      </c>
      <c r="M653" s="182">
        <f>+M596+M597</f>
        <v>5.8771713613594602E-2</v>
      </c>
      <c r="N653" s="182">
        <f>+N596+N597</f>
        <v>4.324050125657887E-2</v>
      </c>
      <c r="O653" s="182">
        <f>+O596+O597</f>
        <v>5.8903777169950933E-2</v>
      </c>
      <c r="P653" s="182">
        <f>+P596+P597</f>
        <v>5.8903777169950947E-2</v>
      </c>
      <c r="Q653" s="182">
        <f>Q594+Q595+Q596+Q597+Q602+Q607</f>
        <v>9.6207795827262965E-2</v>
      </c>
      <c r="R653" s="182">
        <f>+R596+R597</f>
        <v>5.8903777169950947E-2</v>
      </c>
      <c r="S653" s="182" t="e">
        <f>+S596+S597</f>
        <v>#DIV/0!</v>
      </c>
      <c r="T653" s="182">
        <f>T594+T595+T596+T597+T602+T607</f>
        <v>7.6865986846089321E-2</v>
      </c>
      <c r="U653" s="182"/>
      <c r="V653" s="182"/>
    </row>
    <row r="654" spans="1:22" x14ac:dyDescent="0.2">
      <c r="B654" s="2" t="s">
        <v>845</v>
      </c>
      <c r="F654" s="181">
        <v>0</v>
      </c>
      <c r="G654" s="181">
        <v>0</v>
      </c>
      <c r="H654" s="181">
        <v>0</v>
      </c>
      <c r="I654" s="181">
        <f>I594+I595+I602+I607</f>
        <v>5.2596791990018215</v>
      </c>
      <c r="J654" s="181">
        <f>J594+J595+J602+J607</f>
        <v>6.7391641576349288</v>
      </c>
      <c r="K654" s="181">
        <v>0</v>
      </c>
      <c r="M654" s="181">
        <f>M594+M595+M602+M607</f>
        <v>6.3464859691301569</v>
      </c>
      <c r="N654" s="181">
        <f>N594+N595+N602+N607</f>
        <v>13.094053120892655</v>
      </c>
      <c r="O654" s="181">
        <f>O594+O595+O602+O607</f>
        <v>6.6013955940833924</v>
      </c>
      <c r="P654" s="181">
        <f>P594+P595+P602+P607</f>
        <v>4.6124447725719691</v>
      </c>
      <c r="Q654" s="181">
        <v>0</v>
      </c>
      <c r="R654" s="181">
        <f>R594+R595+R602+R607</f>
        <v>6.441877492697536</v>
      </c>
      <c r="S654" s="181" t="e">
        <f>S594+S595+S602+S607</f>
        <v>#DIV/0!</v>
      </c>
      <c r="T654" s="181">
        <v>0</v>
      </c>
      <c r="U654" s="181"/>
      <c r="V654" s="181"/>
    </row>
    <row r="655" spans="1:22" x14ac:dyDescent="0.2">
      <c r="F655" s="13"/>
      <c r="G655" s="13"/>
      <c r="H655" s="13"/>
      <c r="I655" s="13"/>
      <c r="J655" s="13"/>
      <c r="K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</row>
    <row r="656" spans="1:22" x14ac:dyDescent="0.2">
      <c r="A656" s="1" t="s">
        <v>847</v>
      </c>
      <c r="E656" s="166">
        <f>C538</f>
        <v>5.7167357897823956E-2</v>
      </c>
      <c r="F656" s="180">
        <f t="shared" ref="F656:K656" si="489">E$656</f>
        <v>5.7167357897823956E-2</v>
      </c>
      <c r="G656" s="180">
        <f t="shared" si="489"/>
        <v>5.7167357897823956E-2</v>
      </c>
      <c r="H656" s="180">
        <f t="shared" si="489"/>
        <v>5.7167357897823956E-2</v>
      </c>
      <c r="I656" s="180">
        <f t="shared" si="489"/>
        <v>5.7167357897823956E-2</v>
      </c>
      <c r="J656" s="180">
        <f t="shared" si="489"/>
        <v>5.7167357897823956E-2</v>
      </c>
      <c r="K656" s="180">
        <f t="shared" si="489"/>
        <v>5.7167357897823956E-2</v>
      </c>
      <c r="M656" s="180">
        <f t="shared" ref="M656:T656" si="490">L$656</f>
        <v>0</v>
      </c>
      <c r="N656" s="180">
        <f t="shared" si="490"/>
        <v>0</v>
      </c>
      <c r="O656" s="180">
        <f t="shared" si="490"/>
        <v>0</v>
      </c>
      <c r="P656" s="180">
        <f t="shared" si="490"/>
        <v>0</v>
      </c>
      <c r="Q656" s="180">
        <f t="shared" si="490"/>
        <v>0</v>
      </c>
      <c r="R656" s="180">
        <f t="shared" si="490"/>
        <v>0</v>
      </c>
      <c r="S656" s="180">
        <f t="shared" si="490"/>
        <v>0</v>
      </c>
      <c r="T656" s="180">
        <f t="shared" si="490"/>
        <v>0</v>
      </c>
      <c r="U656" s="180"/>
      <c r="V656" s="180"/>
    </row>
    <row r="657" spans="1:22" x14ac:dyDescent="0.2">
      <c r="A657" s="1"/>
      <c r="F657" s="180"/>
      <c r="G657" s="180"/>
      <c r="H657" s="180"/>
      <c r="I657" s="180"/>
      <c r="J657" s="180"/>
      <c r="K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</row>
    <row r="658" spans="1:22" x14ac:dyDescent="0.2">
      <c r="B658" s="2" t="s">
        <v>844</v>
      </c>
      <c r="F658" s="181">
        <f>F638</f>
        <v>27.790621357375315</v>
      </c>
      <c r="G658" s="181" t="e">
        <f>G638</f>
        <v>#DIV/0!</v>
      </c>
      <c r="H658" s="181">
        <f>H638</f>
        <v>27.744717655662452</v>
      </c>
      <c r="I658" s="181">
        <f t="shared" ref="I658" si="491">I638</f>
        <v>29.303003481826238</v>
      </c>
      <c r="J658" s="181">
        <f t="shared" ref="J658" si="492">J638</f>
        <v>87.945091576092921</v>
      </c>
      <c r="K658" s="181">
        <f>K638</f>
        <v>3.6838746449572586</v>
      </c>
      <c r="M658" s="181">
        <f t="shared" ref="M658:P658" si="493">M638</f>
        <v>168.34873472622871</v>
      </c>
      <c r="N658" s="181">
        <f t="shared" si="493"/>
        <v>785.46605733087119</v>
      </c>
      <c r="O658" s="181">
        <f t="shared" si="493"/>
        <v>237.00093008791973</v>
      </c>
      <c r="P658" s="181">
        <f t="shared" si="493"/>
        <v>37.151976091256223</v>
      </c>
      <c r="Q658" s="181">
        <f>Q638</f>
        <v>28.206640430969724</v>
      </c>
      <c r="R658" s="181">
        <f t="shared" ref="R658:S658" si="494">R638</f>
        <v>281.13109379245486</v>
      </c>
      <c r="S658" s="181" t="e">
        <f t="shared" si="494"/>
        <v>#DIV/0!</v>
      </c>
      <c r="T658" s="181">
        <f>T638</f>
        <v>83.489906693337971</v>
      </c>
      <c r="U658" s="181"/>
      <c r="V658" s="181"/>
    </row>
    <row r="659" spans="1:22" x14ac:dyDescent="0.2">
      <c r="B659" s="2" t="s">
        <v>733</v>
      </c>
      <c r="F659" s="182">
        <f>F620+F621+F622+F623+F628+F633</f>
        <v>9.9452160117949384E-2</v>
      </c>
      <c r="G659" s="182" t="e">
        <f>G620+G621+G622+G623+G628+G633</f>
        <v>#DIV/0!</v>
      </c>
      <c r="H659" s="182">
        <f>H620+H621+H622+H623+H628+H633</f>
        <v>9.3371652238117414E-2</v>
      </c>
      <c r="I659" s="182">
        <f>+I622+I623</f>
        <v>6.259902931165183E-2</v>
      </c>
      <c r="J659" s="182">
        <f>+J622+J623</f>
        <v>5.8771713613594609E-2</v>
      </c>
      <c r="K659" s="182">
        <f>K620+K621+K622+K623+K628+K633</f>
        <v>8.3542784704509432E-2</v>
      </c>
      <c r="M659" s="182">
        <f>+M622+M623</f>
        <v>5.8771713613594602E-2</v>
      </c>
      <c r="N659" s="182">
        <f>+N622+N623</f>
        <v>4.324050125657887E-2</v>
      </c>
      <c r="O659" s="182">
        <f>+O622+O623</f>
        <v>5.8903777169950933E-2</v>
      </c>
      <c r="P659" s="182">
        <f>+P622+P623</f>
        <v>5.8903777169950947E-2</v>
      </c>
      <c r="Q659" s="182">
        <f>Q620+Q621+Q622+Q623+Q628+Q633</f>
        <v>9.6994893624807635E-2</v>
      </c>
      <c r="R659" s="182">
        <f>+R622+R623</f>
        <v>5.8903777169950947E-2</v>
      </c>
      <c r="S659" s="182" t="e">
        <f>+S622+S623</f>
        <v>#DIV/0!</v>
      </c>
      <c r="T659" s="182">
        <f>T620+T621+T622+T623+T628+T633</f>
        <v>7.7243647798128562E-2</v>
      </c>
      <c r="U659" s="182"/>
      <c r="V659" s="182"/>
    </row>
    <row r="660" spans="1:22" x14ac:dyDescent="0.2">
      <c r="B660" s="2" t="s">
        <v>845</v>
      </c>
      <c r="F660" s="181">
        <v>0</v>
      </c>
      <c r="G660" s="181">
        <v>0</v>
      </c>
      <c r="H660" s="181">
        <v>0</v>
      </c>
      <c r="I660" s="181">
        <f>I620+I621+I628+I633</f>
        <v>5.3749414652876801</v>
      </c>
      <c r="J660" s="181">
        <f>J620+J621+J628+J633</f>
        <v>6.8573080759245855</v>
      </c>
      <c r="K660" s="181">
        <v>0</v>
      </c>
      <c r="M660" s="181">
        <f>M620+M621+M628+M633</f>
        <v>6.4638583738947197</v>
      </c>
      <c r="N660" s="181">
        <f>N620+N621+N628+N633</f>
        <v>13.217657403595219</v>
      </c>
      <c r="O660" s="181">
        <f>O620+O621+O628+O633</f>
        <v>6.719266967059518</v>
      </c>
      <c r="P660" s="181">
        <f>P620+P621+P628+P633</f>
        <v>4.7264292295347339</v>
      </c>
      <c r="Q660" s="181">
        <v>0</v>
      </c>
      <c r="R660" s="181">
        <f>R620+R621+R628+R633</f>
        <v>6.5594360297934102</v>
      </c>
      <c r="S660" s="181" t="e">
        <f>S620+S621+S628+S633</f>
        <v>#DIV/0!</v>
      </c>
      <c r="T660" s="181">
        <v>0</v>
      </c>
      <c r="U660" s="181"/>
      <c r="V660" s="181"/>
    </row>
    <row r="661" spans="1:22" x14ac:dyDescent="0.2">
      <c r="B661" s="13"/>
      <c r="G661" s="13"/>
      <c r="H661" s="13"/>
      <c r="I661" s="182"/>
      <c r="J661" s="182"/>
      <c r="K661" s="13"/>
    </row>
  </sheetData>
  <phoneticPr fontId="0" type="noConversion"/>
  <conditionalFormatting sqref="AH603:AH621 AH629:AH639 AH379:AH380 AH448:AH489 AH351 AH357:AH364 AH4:AH340 AH492:AH495 AH390:AH444 AH509:AH595">
    <cfRule type="containsText" dxfId="57" priority="70" operator="containsText" text="err">
      <formula>NOT(ISERROR(SEARCH("err",AH4)))</formula>
    </cfRule>
    <cfRule type="cellIs" dxfId="56" priority="71" operator="equal">
      <formula>"""err"""</formula>
    </cfRule>
  </conditionalFormatting>
  <conditionalFormatting sqref="AH596:AH602">
    <cfRule type="containsText" dxfId="55" priority="68" operator="containsText" text="err">
      <formula>NOT(ISERROR(SEARCH("err",AH596)))</formula>
    </cfRule>
    <cfRule type="cellIs" dxfId="54" priority="69" operator="equal">
      <formula>"""err"""</formula>
    </cfRule>
  </conditionalFormatting>
  <conditionalFormatting sqref="AH622:AH628">
    <cfRule type="containsText" dxfId="53" priority="64" operator="containsText" text="err">
      <formula>NOT(ISERROR(SEARCH("err",AH622)))</formula>
    </cfRule>
    <cfRule type="cellIs" dxfId="52" priority="65" operator="equal">
      <formula>"""err"""</formula>
    </cfRule>
  </conditionalFormatting>
  <conditionalFormatting sqref="AH378 AH365:AH367">
    <cfRule type="containsText" dxfId="51" priority="62" operator="containsText" text="err">
      <formula>NOT(ISERROR(SEARCH("err",AH365)))</formula>
    </cfRule>
    <cfRule type="cellIs" dxfId="50" priority="63" operator="equal">
      <formula>"""err"""</formula>
    </cfRule>
  </conditionalFormatting>
  <conditionalFormatting sqref="AH371:AH373 AH377">
    <cfRule type="containsText" dxfId="49" priority="60" operator="containsText" text="err">
      <formula>NOT(ISERROR(SEARCH("err",AH371)))</formula>
    </cfRule>
    <cfRule type="cellIs" dxfId="48" priority="61" operator="equal">
      <formula>"""err"""</formula>
    </cfRule>
  </conditionalFormatting>
  <conditionalFormatting sqref="AH382">
    <cfRule type="containsText" dxfId="47" priority="56" operator="containsText" text="err">
      <formula>NOT(ISERROR(SEARCH("err",AH382)))</formula>
    </cfRule>
    <cfRule type="cellIs" dxfId="46" priority="57" operator="equal">
      <formula>"""err"""</formula>
    </cfRule>
  </conditionalFormatting>
  <conditionalFormatting sqref="AH446:AH447">
    <cfRule type="containsText" dxfId="45" priority="54" operator="containsText" text="err">
      <formula>NOT(ISERROR(SEARCH("err",AH446)))</formula>
    </cfRule>
    <cfRule type="cellIs" dxfId="44" priority="55" operator="equal">
      <formula>"""err"""</formula>
    </cfRule>
  </conditionalFormatting>
  <conditionalFormatting sqref="AH490:AH491">
    <cfRule type="containsText" dxfId="43" priority="52" operator="containsText" text="err">
      <formula>NOT(ISERROR(SEARCH("err",AH490)))</formula>
    </cfRule>
    <cfRule type="cellIs" dxfId="42" priority="53" operator="equal">
      <formula>"""err"""</formula>
    </cfRule>
  </conditionalFormatting>
  <conditionalFormatting sqref="AH1">
    <cfRule type="cellIs" dxfId="41" priority="51" operator="equal">
      <formula>"err"</formula>
    </cfRule>
  </conditionalFormatting>
  <conditionalFormatting sqref="AH356">
    <cfRule type="containsText" dxfId="40" priority="43" operator="containsText" text="err">
      <formula>NOT(ISERROR(SEARCH("err",AH356)))</formula>
    </cfRule>
    <cfRule type="cellIs" dxfId="39" priority="44" operator="equal">
      <formula>"""err"""</formula>
    </cfRule>
  </conditionalFormatting>
  <conditionalFormatting sqref="AH353">
    <cfRule type="containsText" dxfId="38" priority="39" operator="containsText" text="err">
      <formula>NOT(ISERROR(SEARCH("err",AH353)))</formula>
    </cfRule>
    <cfRule type="cellIs" dxfId="37" priority="40" operator="equal">
      <formula>"""err"""</formula>
    </cfRule>
  </conditionalFormatting>
  <conditionalFormatting sqref="AH354:AH355">
    <cfRule type="containsText" dxfId="36" priority="41" operator="containsText" text="err">
      <formula>NOT(ISERROR(SEARCH("err",AH354)))</formula>
    </cfRule>
    <cfRule type="cellIs" dxfId="35" priority="42" operator="equal">
      <formula>"""err"""</formula>
    </cfRule>
  </conditionalFormatting>
  <conditionalFormatting sqref="AH352">
    <cfRule type="containsText" dxfId="34" priority="37" operator="containsText" text="err">
      <formula>NOT(ISERROR(SEARCH("err",AH352)))</formula>
    </cfRule>
    <cfRule type="cellIs" dxfId="33" priority="38" operator="equal">
      <formula>"""err"""</formula>
    </cfRule>
  </conditionalFormatting>
  <conditionalFormatting sqref="AH376">
    <cfRule type="containsText" dxfId="32" priority="33" operator="containsText" text="err">
      <formula>NOT(ISERROR(SEARCH("err",AH376)))</formula>
    </cfRule>
    <cfRule type="cellIs" dxfId="31" priority="34" operator="equal">
      <formula>"""err"""</formula>
    </cfRule>
  </conditionalFormatting>
  <conditionalFormatting sqref="AH375">
    <cfRule type="containsText" dxfId="30" priority="31" operator="containsText" text="err">
      <formula>NOT(ISERROR(SEARCH("err",AH375)))</formula>
    </cfRule>
    <cfRule type="cellIs" dxfId="29" priority="32" operator="equal">
      <formula>"""err"""</formula>
    </cfRule>
  </conditionalFormatting>
  <conditionalFormatting sqref="AH374">
    <cfRule type="containsText" dxfId="28" priority="29" operator="containsText" text="err">
      <formula>NOT(ISERROR(SEARCH("err",AH374)))</formula>
    </cfRule>
    <cfRule type="cellIs" dxfId="27" priority="30" operator="equal">
      <formula>"""err"""</formula>
    </cfRule>
  </conditionalFormatting>
  <conditionalFormatting sqref="AH389">
    <cfRule type="containsText" dxfId="26" priority="27" operator="containsText" text="err">
      <formula>NOT(ISERROR(SEARCH("err",AH389)))</formula>
    </cfRule>
    <cfRule type="cellIs" dxfId="25" priority="28" operator="equal">
      <formula>"""err"""</formula>
    </cfRule>
  </conditionalFormatting>
  <conditionalFormatting sqref="AH388">
    <cfRule type="containsText" dxfId="24" priority="25" operator="containsText" text="err">
      <formula>NOT(ISERROR(SEARCH("err",AH388)))</formula>
    </cfRule>
    <cfRule type="cellIs" dxfId="23" priority="26" operator="equal">
      <formula>"""err"""</formula>
    </cfRule>
  </conditionalFormatting>
  <conditionalFormatting sqref="AH387">
    <cfRule type="containsText" dxfId="22" priority="23" operator="containsText" text="err">
      <formula>NOT(ISERROR(SEARCH("err",AH387)))</formula>
    </cfRule>
    <cfRule type="cellIs" dxfId="21" priority="24" operator="equal">
      <formula>"""err"""</formula>
    </cfRule>
  </conditionalFormatting>
  <conditionalFormatting sqref="AH386">
    <cfRule type="containsText" dxfId="20" priority="21" operator="containsText" text="err">
      <formula>NOT(ISERROR(SEARCH("err",AH386)))</formula>
    </cfRule>
    <cfRule type="cellIs" dxfId="19" priority="22" operator="equal">
      <formula>"""err"""</formula>
    </cfRule>
  </conditionalFormatting>
  <conditionalFormatting sqref="AH385">
    <cfRule type="containsText" dxfId="18" priority="19" operator="containsText" text="err">
      <formula>NOT(ISERROR(SEARCH("err",AH385)))</formula>
    </cfRule>
    <cfRule type="cellIs" dxfId="17" priority="20" operator="equal">
      <formula>"""err"""</formula>
    </cfRule>
  </conditionalFormatting>
  <conditionalFormatting sqref="AH384">
    <cfRule type="containsText" dxfId="16" priority="17" operator="containsText" text="err">
      <formula>NOT(ISERROR(SEARCH("err",AH384)))</formula>
    </cfRule>
    <cfRule type="cellIs" dxfId="15" priority="18" operator="equal">
      <formula>"""err"""</formula>
    </cfRule>
  </conditionalFormatting>
  <conditionalFormatting sqref="AH383">
    <cfRule type="containsText" dxfId="14" priority="15" operator="containsText" text="err">
      <formula>NOT(ISERROR(SEARCH("err",AH383)))</formula>
    </cfRule>
    <cfRule type="cellIs" dxfId="13" priority="16" operator="equal">
      <formula>"""err"""</formula>
    </cfRule>
  </conditionalFormatting>
  <conditionalFormatting sqref="AH341:AH350">
    <cfRule type="containsText" dxfId="12" priority="13" operator="containsText" text="err">
      <formula>NOT(ISERROR(SEARCH("err",AH341)))</formula>
    </cfRule>
    <cfRule type="cellIs" dxfId="11" priority="14" operator="equal">
      <formula>"""err"""</formula>
    </cfRule>
  </conditionalFormatting>
  <conditionalFormatting sqref="AH445">
    <cfRule type="containsText" dxfId="10" priority="9" operator="containsText" text="err">
      <formula>NOT(ISERROR(SEARCH("err",AH445)))</formula>
    </cfRule>
    <cfRule type="cellIs" dxfId="9" priority="10" operator="equal">
      <formula>"""err"""</formula>
    </cfRule>
  </conditionalFormatting>
  <conditionalFormatting sqref="AH368:AH369">
    <cfRule type="containsText" dxfId="8" priority="7" operator="containsText" text="err">
      <formula>NOT(ISERROR(SEARCH("err",AH368)))</formula>
    </cfRule>
    <cfRule type="cellIs" dxfId="7" priority="8" operator="equal">
      <formula>"""err"""</formula>
    </cfRule>
  </conditionalFormatting>
  <conditionalFormatting sqref="AH381">
    <cfRule type="containsText" dxfId="6" priority="5" operator="containsText" text="err">
      <formula>NOT(ISERROR(SEARCH("err",AH381)))</formula>
    </cfRule>
    <cfRule type="cellIs" dxfId="5" priority="6" operator="equal">
      <formula>"""err"""</formula>
    </cfRule>
  </conditionalFormatting>
  <conditionalFormatting sqref="AH370">
    <cfRule type="containsText" dxfId="4" priority="3" operator="containsText" text="err">
      <formula>NOT(ISERROR(SEARCH("err",AH370)))</formula>
    </cfRule>
    <cfRule type="cellIs" dxfId="3" priority="4" operator="equal">
      <formula>"""err"""</formula>
    </cfRule>
  </conditionalFormatting>
  <conditionalFormatting sqref="AH496:AH508">
    <cfRule type="containsText" dxfId="2" priority="1" operator="containsText" text="err">
      <formula>NOT(ISERROR(SEARCH("err",AH496)))</formula>
    </cfRule>
    <cfRule type="cellIs" dxfId="1" priority="2" operator="equal">
      <formula>"""err"""</formula>
    </cfRule>
  </conditionalFormatting>
  <printOptions horizontalCentered="1"/>
  <pageMargins left="0.25" right="0.25" top="1.25" bottom="0.5" header="0.5" footer="0.2"/>
  <pageSetup scale="60" pageOrder="overThenDown" orientation="landscape" r:id="rId1"/>
  <headerFooter alignWithMargins="0">
    <oddHeader>&amp;C&amp;"Times New Roman,Bold"FARMERS R.E.C.C.
Cost of Service Study
Class Allocation
12 Months Ended December 31, 2024</oddHeader>
    <oddFooter>&amp;RExhibit JW-5
Page &amp;P of &amp;N</oddFooter>
  </headerFooter>
  <rowBreaks count="18" manualBreakCount="18">
    <brk id="42" max="21" man="1"/>
    <brk id="80" max="21" man="1"/>
    <brk id="118" max="21" man="1"/>
    <brk id="156" max="21" man="1"/>
    <brk id="194" max="21" man="1"/>
    <brk id="232" max="21" man="1"/>
    <brk id="270" max="21" man="1"/>
    <brk id="308" max="21" man="1"/>
    <brk id="332" max="21" man="1"/>
    <brk id="405" max="21" man="1"/>
    <brk id="445" max="21" man="1"/>
    <brk id="489" max="21" man="1"/>
    <brk id="508" max="21" man="1"/>
    <brk id="546" max="21" man="1"/>
    <brk id="564" max="21" man="1"/>
    <brk id="589" max="21" man="1"/>
    <brk id="615" max="21" man="1"/>
    <brk id="640" max="21" man="1"/>
  </rowBreaks>
  <colBreaks count="2" manualBreakCount="2">
    <brk id="12" max="659" man="1"/>
    <brk id="25" max="568" man="1"/>
  </colBreaks>
  <ignoredErrors>
    <ignoredError sqref="F453 G453:J453 F460 F423:L423 K453:M453 N453:O453 G460:N460 F467 G467:L467 F474:O474 N481:O481 N488:O488 F595 F621 AG515 AG485 AG478 AG471 AG464 F488:M488 K436 AG370 F481:M481 P453:U453 M467:AF467 P481:V481 P474:V474 P488:V488 O460:U460 N423:O423 P423:V423 J595 H595:I595 K595:T595 J621 H621:I621 K621:T621 Q659 Q647 Q653 J551 I551 K551:P551 J560 I561:P561 I560 K560:P560 R551:S551 R561:S561 R560:S560 Q560 Q561 Q551 Q550 Q552:Q559 Q562 Q601:Q606 Q631:Q632 F507:U507 I500:U500 E370:Q37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A229"/>
  <sheetViews>
    <sheetView view="pageBreakPreview" topLeftCell="A155" zoomScale="85" zoomScaleNormal="75" zoomScaleSheetLayoutView="85" workbookViewId="0">
      <selection activeCell="A49" sqref="A49:XFD58"/>
    </sheetView>
  </sheetViews>
  <sheetFormatPr defaultColWidth="9.140625" defaultRowHeight="12.75" x14ac:dyDescent="0.2"/>
  <cols>
    <col min="1" max="1" width="50.28515625" style="2" bestFit="1" customWidth="1"/>
    <col min="2" max="2" width="10.28515625" style="14" customWidth="1"/>
    <col min="3" max="3" width="12.7109375" style="2" bestFit="1" customWidth="1"/>
    <col min="4" max="4" width="14.7109375" style="2" customWidth="1"/>
    <col min="5" max="5" width="14" style="2" customWidth="1"/>
    <col min="6" max="6" width="12.7109375" style="2" bestFit="1" customWidth="1"/>
    <col min="7" max="7" width="13.28515625" style="2" bestFit="1" customWidth="1"/>
    <col min="8" max="9" width="14.7109375" style="2" bestFit="1" customWidth="1"/>
    <col min="10" max="11" width="13.28515625" style="2" bestFit="1" customWidth="1"/>
    <col min="12" max="12" width="16.85546875" style="2" customWidth="1"/>
    <col min="13" max="13" width="13.28515625" style="2" bestFit="1" customWidth="1"/>
    <col min="14" max="14" width="15.140625" style="2" customWidth="1"/>
    <col min="15" max="15" width="14.28515625" style="2" bestFit="1" customWidth="1"/>
    <col min="16" max="16" width="17.85546875" style="2" customWidth="1"/>
    <col min="17" max="17" width="17.28515625" style="2" customWidth="1"/>
    <col min="18" max="20" width="15" style="2" bestFit="1" customWidth="1"/>
    <col min="21" max="21" width="9.7109375" style="2" customWidth="1"/>
    <col min="22" max="22" width="47.85546875" style="2" customWidth="1"/>
    <col min="23" max="23" width="10.5703125" style="2" bestFit="1" customWidth="1"/>
    <col min="24" max="24" width="16.85546875" style="2" bestFit="1" customWidth="1"/>
    <col min="25" max="25" width="9.140625" style="2"/>
    <col min="26" max="26" width="16.85546875" style="2" bestFit="1" customWidth="1"/>
    <col min="27" max="16384" width="9.140625" style="2"/>
  </cols>
  <sheetData>
    <row r="1" spans="1:27" x14ac:dyDescent="0.2">
      <c r="A1" s="1" t="str">
        <f>'Summary of Returns'!A1</f>
        <v>FARMERS R.E.C.C.</v>
      </c>
    </row>
    <row r="2" spans="1:27" x14ac:dyDescent="0.2">
      <c r="A2" s="2" t="s">
        <v>675</v>
      </c>
    </row>
    <row r="3" spans="1:27" x14ac:dyDescent="0.2">
      <c r="C3" s="82"/>
      <c r="D3" s="13"/>
      <c r="E3" s="13"/>
      <c r="F3" s="9" t="s">
        <v>713</v>
      </c>
      <c r="G3" s="9" t="s">
        <v>683</v>
      </c>
      <c r="H3" s="13"/>
      <c r="I3" s="13"/>
      <c r="J3" s="13"/>
      <c r="K3" s="13"/>
      <c r="M3" s="82"/>
      <c r="N3" s="13"/>
      <c r="O3" s="13"/>
      <c r="Q3" s="9"/>
      <c r="R3" s="9"/>
    </row>
    <row r="4" spans="1:27" x14ac:dyDescent="0.2">
      <c r="A4" s="14"/>
      <c r="C4" s="13"/>
      <c r="D4" s="13"/>
      <c r="E4" s="13"/>
      <c r="F4" s="9" t="s">
        <v>682</v>
      </c>
      <c r="G4" s="9" t="s">
        <v>682</v>
      </c>
      <c r="H4" s="9" t="s">
        <v>692</v>
      </c>
      <c r="I4" s="9" t="s">
        <v>683</v>
      </c>
      <c r="J4" s="9" t="s">
        <v>685</v>
      </c>
      <c r="K4" s="9" t="s">
        <v>686</v>
      </c>
      <c r="M4" s="13"/>
      <c r="N4" s="13"/>
      <c r="O4" s="13"/>
      <c r="P4" s="14"/>
      <c r="Q4" s="9"/>
      <c r="R4" s="9"/>
      <c r="T4" s="14"/>
    </row>
    <row r="5" spans="1:27" s="9" customFormat="1" x14ac:dyDescent="0.2">
      <c r="B5" s="38"/>
      <c r="C5" s="9" t="s">
        <v>580</v>
      </c>
      <c r="F5" s="9" t="s">
        <v>714</v>
      </c>
      <c r="G5" s="9" t="s">
        <v>12</v>
      </c>
      <c r="H5" s="9" t="s">
        <v>693</v>
      </c>
      <c r="I5" s="9" t="s">
        <v>642</v>
      </c>
      <c r="J5" s="9" t="s">
        <v>642</v>
      </c>
      <c r="K5" s="9" t="s">
        <v>642</v>
      </c>
      <c r="L5" s="2"/>
      <c r="M5" s="9" t="str">
        <f>C5</f>
        <v>Average</v>
      </c>
      <c r="P5" s="13" t="s">
        <v>870</v>
      </c>
      <c r="Q5" s="9" t="s">
        <v>870</v>
      </c>
    </row>
    <row r="6" spans="1:27" s="9" customFormat="1" x14ac:dyDescent="0.2">
      <c r="A6" s="83" t="s">
        <v>832</v>
      </c>
      <c r="B6" s="84" t="s">
        <v>838</v>
      </c>
      <c r="C6" s="8" t="s">
        <v>582</v>
      </c>
      <c r="D6" s="8" t="s">
        <v>905</v>
      </c>
      <c r="E6" s="8" t="s">
        <v>348</v>
      </c>
      <c r="F6" s="8" t="s">
        <v>10</v>
      </c>
      <c r="G6" s="8" t="s">
        <v>681</v>
      </c>
      <c r="H6" s="8" t="s">
        <v>694</v>
      </c>
      <c r="I6" s="8" t="s">
        <v>684</v>
      </c>
      <c r="J6" s="8" t="s">
        <v>684</v>
      </c>
      <c r="K6" s="8" t="s">
        <v>684</v>
      </c>
      <c r="L6" s="83" t="s">
        <v>832</v>
      </c>
      <c r="M6" s="8" t="str">
        <f t="shared" ref="M6:M27" si="0">C6</f>
        <v>Customers</v>
      </c>
      <c r="N6" s="8" t="str">
        <f t="shared" ref="N6:O14" si="1">D6</f>
        <v>kWh</v>
      </c>
      <c r="O6" s="8" t="str">
        <f t="shared" si="1"/>
        <v>Revenue</v>
      </c>
      <c r="P6" s="8" t="s">
        <v>833</v>
      </c>
      <c r="Q6" s="8" t="s">
        <v>871</v>
      </c>
    </row>
    <row r="7" spans="1:27" x14ac:dyDescent="0.2">
      <c r="A7" s="14"/>
      <c r="C7" s="32"/>
      <c r="D7" s="32"/>
      <c r="E7" s="32"/>
      <c r="G7" s="32"/>
      <c r="H7" s="32"/>
      <c r="I7" s="32"/>
      <c r="J7" s="32"/>
      <c r="K7" s="32"/>
      <c r="L7" s="14"/>
      <c r="M7" s="32"/>
      <c r="N7" s="32"/>
      <c r="O7" s="32"/>
      <c r="P7" s="32"/>
      <c r="Q7" s="32"/>
      <c r="R7" s="9"/>
      <c r="U7" s="223" t="s">
        <v>838</v>
      </c>
      <c r="V7" s="223" t="s">
        <v>1145</v>
      </c>
      <c r="W7" s="223" t="s">
        <v>1146</v>
      </c>
      <c r="X7" s="8" t="s">
        <v>833</v>
      </c>
      <c r="Y7" s="8" t="s">
        <v>870</v>
      </c>
      <c r="Z7" s="8" t="s">
        <v>349</v>
      </c>
      <c r="AA7" s="8" t="s">
        <v>870</v>
      </c>
    </row>
    <row r="8" spans="1:27" x14ac:dyDescent="0.2">
      <c r="A8" s="85" t="str">
        <f>'Summary of Returns'!B10</f>
        <v xml:space="preserve">Schedule R - Residential Rate </v>
      </c>
      <c r="B8" s="86">
        <f>'Summary of Returns'!C10</f>
        <v>1</v>
      </c>
      <c r="C8" s="87">
        <f>O39</f>
        <v>24574</v>
      </c>
      <c r="D8" s="87">
        <f>O40</f>
        <v>310421953</v>
      </c>
      <c r="E8" s="89">
        <f>BillingDat!P116+BillingDat!P117</f>
        <v>40389769.719999999</v>
      </c>
      <c r="F8" s="19">
        <f>O47</f>
        <v>2368087.875508477</v>
      </c>
      <c r="G8" s="19">
        <f>P47</f>
        <v>288126.52943121694</v>
      </c>
      <c r="H8" s="88">
        <f>Q43</f>
        <v>121576.63560888027</v>
      </c>
      <c r="I8" s="87">
        <f>R45</f>
        <v>817055.77131364611</v>
      </c>
      <c r="J8" s="87">
        <f>S45</f>
        <v>220560.96394498958</v>
      </c>
      <c r="K8" s="87">
        <f>T45</f>
        <v>596494.8073686565</v>
      </c>
      <c r="L8" s="85" t="str">
        <f>A8</f>
        <v xml:space="preserve">Schedule R - Residential Rate </v>
      </c>
      <c r="M8" s="87">
        <f t="shared" si="0"/>
        <v>24574</v>
      </c>
      <c r="N8" s="87">
        <f t="shared" si="1"/>
        <v>310421953</v>
      </c>
      <c r="O8" s="89">
        <f t="shared" si="1"/>
        <v>40389769.719999999</v>
      </c>
      <c r="P8" s="143">
        <f t="shared" ref="P8:P23" si="2">D8/$D$26</f>
        <v>0.64051425241508797</v>
      </c>
      <c r="Q8" s="143">
        <f t="shared" ref="Q8:Q23" si="3">E8/$E$26</f>
        <v>0.66556662898618013</v>
      </c>
      <c r="R8" s="9"/>
      <c r="S8" s="89"/>
      <c r="U8" s="14">
        <f>B8</f>
        <v>1</v>
      </c>
      <c r="V8" s="85" t="str">
        <f>L8</f>
        <v xml:space="preserve">Schedule R - Residential Rate </v>
      </c>
      <c r="W8" s="253">
        <f>M8</f>
        <v>24574</v>
      </c>
      <c r="X8" s="253">
        <f>N8</f>
        <v>310421953</v>
      </c>
      <c r="Y8" s="254">
        <f>P8</f>
        <v>0.64051425241508797</v>
      </c>
      <c r="Z8" s="255">
        <f>O8</f>
        <v>40389769.719999999</v>
      </c>
      <c r="AA8" s="254">
        <f>Q8</f>
        <v>0.66556662898618013</v>
      </c>
    </row>
    <row r="9" spans="1:27" hidden="1" x14ac:dyDescent="0.2">
      <c r="A9" s="85" t="str">
        <f>'Summary of Returns'!B11</f>
        <v>Schedule R - Pay As You Go ("Prepay")</v>
      </c>
      <c r="B9" s="86">
        <f>'Summary of Returns'!C11</f>
        <v>2</v>
      </c>
      <c r="C9" s="87">
        <f>O49</f>
        <v>0</v>
      </c>
      <c r="D9" s="87">
        <f>O50</f>
        <v>0</v>
      </c>
      <c r="E9" s="89">
        <v>0</v>
      </c>
      <c r="F9" s="19">
        <f>O57</f>
        <v>0</v>
      </c>
      <c r="G9" s="19">
        <f>P57</f>
        <v>0</v>
      </c>
      <c r="H9" s="88">
        <f>Q53</f>
        <v>0</v>
      </c>
      <c r="I9" s="87">
        <f>R55</f>
        <v>0</v>
      </c>
      <c r="J9" s="87">
        <f>S55</f>
        <v>0</v>
      </c>
      <c r="K9" s="87">
        <f>T55</f>
        <v>0</v>
      </c>
      <c r="L9" s="85" t="str">
        <f t="shared" ref="L9:L24" si="4">A9</f>
        <v>Schedule R - Pay As You Go ("Prepay")</v>
      </c>
      <c r="M9" s="87">
        <f t="shared" si="0"/>
        <v>0</v>
      </c>
      <c r="N9" s="87">
        <f t="shared" si="1"/>
        <v>0</v>
      </c>
      <c r="O9" s="89">
        <f t="shared" si="1"/>
        <v>0</v>
      </c>
      <c r="P9" s="143">
        <f t="shared" si="2"/>
        <v>0</v>
      </c>
      <c r="Q9" s="143">
        <f t="shared" si="3"/>
        <v>0</v>
      </c>
      <c r="R9" s="9"/>
      <c r="S9" s="89"/>
      <c r="U9" s="14">
        <f t="shared" ref="U9:U23" si="5">B9</f>
        <v>2</v>
      </c>
      <c r="V9" s="85" t="str">
        <f t="shared" ref="V9:V26" si="6">L9</f>
        <v>Schedule R - Pay As You Go ("Prepay")</v>
      </c>
      <c r="W9" s="253">
        <f t="shared" ref="W9:W26" si="7">M9</f>
        <v>0</v>
      </c>
      <c r="X9" s="253">
        <f t="shared" ref="X9:X26" si="8">N9</f>
        <v>0</v>
      </c>
      <c r="Y9" s="254">
        <f t="shared" ref="Y9:Y26" si="9">P9</f>
        <v>0</v>
      </c>
      <c r="Z9" s="255">
        <f t="shared" ref="Z9:Z26" si="10">O9</f>
        <v>0</v>
      </c>
      <c r="AA9" s="254">
        <f t="shared" ref="AA9:AA26" si="11">Q9</f>
        <v>0</v>
      </c>
    </row>
    <row r="10" spans="1:27" x14ac:dyDescent="0.2">
      <c r="A10" s="85" t="str">
        <f>'Summary of Returns'!B12</f>
        <v>Schedule R - Residential Time of Day Rate</v>
      </c>
      <c r="B10" s="86">
        <f>'Summary of Returns'!C12</f>
        <v>3</v>
      </c>
      <c r="C10" s="87">
        <f>O59</f>
        <v>1</v>
      </c>
      <c r="D10" s="87">
        <f>O60</f>
        <v>11127</v>
      </c>
      <c r="E10" s="89">
        <f>BillingDat!P118</f>
        <v>1396.79</v>
      </c>
      <c r="F10" s="19">
        <f>O67</f>
        <v>85.318189253001094</v>
      </c>
      <c r="G10" s="19">
        <f>P67</f>
        <v>13.402777777777779</v>
      </c>
      <c r="H10" s="88">
        <f>Q63</f>
        <v>4.8250000000000002</v>
      </c>
      <c r="I10" s="87">
        <f>R65</f>
        <v>15.357274065540194</v>
      </c>
      <c r="J10" s="87">
        <f>S65</f>
        <v>2.5494623655913982</v>
      </c>
      <c r="K10" s="87">
        <f>T65</f>
        <v>12.807811699948797</v>
      </c>
      <c r="L10" s="85" t="str">
        <f t="shared" si="4"/>
        <v>Schedule R - Residential Time of Day Rate</v>
      </c>
      <c r="M10" s="87">
        <f t="shared" si="0"/>
        <v>1</v>
      </c>
      <c r="N10" s="87">
        <f t="shared" si="1"/>
        <v>11127</v>
      </c>
      <c r="O10" s="89">
        <f t="shared" si="1"/>
        <v>1396.79</v>
      </c>
      <c r="P10" s="143">
        <f t="shared" si="2"/>
        <v>2.2959078820764597E-5</v>
      </c>
      <c r="Q10" s="143">
        <f t="shared" si="3"/>
        <v>2.3017135728834418E-5</v>
      </c>
      <c r="R10" s="9"/>
      <c r="S10" s="89"/>
      <c r="U10" s="14">
        <f t="shared" si="5"/>
        <v>3</v>
      </c>
      <c r="V10" s="85" t="str">
        <f t="shared" si="6"/>
        <v>Schedule R - Residential Time of Day Rate</v>
      </c>
      <c r="W10" s="253">
        <f t="shared" si="7"/>
        <v>1</v>
      </c>
      <c r="X10" s="253">
        <f t="shared" si="8"/>
        <v>11127</v>
      </c>
      <c r="Y10" s="254">
        <f t="shared" si="9"/>
        <v>2.2959078820764597E-5</v>
      </c>
      <c r="Z10" s="255">
        <f t="shared" si="10"/>
        <v>1396.79</v>
      </c>
      <c r="AA10" s="254">
        <f t="shared" si="11"/>
        <v>2.3017135728834418E-5</v>
      </c>
    </row>
    <row r="11" spans="1:27" x14ac:dyDescent="0.2">
      <c r="A11" s="85" t="str">
        <f>'Summary of Returns'!B13</f>
        <v>Schedule C - Comm. &amp; Indust. Service Rate &lt; 50 kW</v>
      </c>
      <c r="B11" s="86">
        <f>'Summary of Returns'!C13</f>
        <v>4</v>
      </c>
      <c r="C11" s="87">
        <f>O69</f>
        <v>1768</v>
      </c>
      <c r="D11" s="87">
        <f>O70</f>
        <v>34413107</v>
      </c>
      <c r="E11" s="89">
        <f>BillingDat!P119</f>
        <v>4315965.5599999996</v>
      </c>
      <c r="F11" s="19">
        <f>O77</f>
        <v>205248.73142489811</v>
      </c>
      <c r="G11" s="19">
        <f>P77</f>
        <v>20845.295698924729</v>
      </c>
      <c r="H11" s="88">
        <f>Q73</f>
        <v>8366.8182042026783</v>
      </c>
      <c r="I11" s="87">
        <f>R75</f>
        <v>73368.640830195596</v>
      </c>
      <c r="J11" s="87">
        <f>S75</f>
        <v>18783.896248226149</v>
      </c>
      <c r="K11" s="87">
        <f>T75</f>
        <v>54584.744581969448</v>
      </c>
      <c r="L11" s="85" t="str">
        <f t="shared" si="4"/>
        <v>Schedule C - Comm. &amp; Indust. Service Rate &lt; 50 kW</v>
      </c>
      <c r="M11" s="87">
        <f t="shared" si="0"/>
        <v>1768</v>
      </c>
      <c r="N11" s="87">
        <f t="shared" si="1"/>
        <v>34413107</v>
      </c>
      <c r="O11" s="89">
        <f t="shared" si="1"/>
        <v>4315965.5599999996</v>
      </c>
      <c r="P11" s="143">
        <f t="shared" si="2"/>
        <v>7.1006851449663511E-2</v>
      </c>
      <c r="Q11" s="143">
        <f t="shared" si="3"/>
        <v>7.1121045465313212E-2</v>
      </c>
      <c r="R11" s="9"/>
      <c r="S11" s="89"/>
      <c r="U11" s="14">
        <f t="shared" si="5"/>
        <v>4</v>
      </c>
      <c r="V11" s="85" t="str">
        <f t="shared" si="6"/>
        <v>Schedule C - Comm. &amp; Indust. Service Rate &lt; 50 kW</v>
      </c>
      <c r="W11" s="253">
        <f t="shared" si="7"/>
        <v>1768</v>
      </c>
      <c r="X11" s="253">
        <f t="shared" si="8"/>
        <v>34413107</v>
      </c>
      <c r="Y11" s="254">
        <f t="shared" si="9"/>
        <v>7.1006851449663511E-2</v>
      </c>
      <c r="Z11" s="255">
        <f t="shared" si="10"/>
        <v>4315965.5599999996</v>
      </c>
      <c r="AA11" s="254">
        <f t="shared" si="11"/>
        <v>7.1121045465313212E-2</v>
      </c>
    </row>
    <row r="12" spans="1:27" x14ac:dyDescent="0.2">
      <c r="A12" s="85" t="str">
        <f>'Summary of Returns'!B14</f>
        <v>Schedule C - Comm. &amp; Indust. Service Rate &gt; 50 kW</v>
      </c>
      <c r="B12" s="86">
        <f>'Summary of Returns'!C14</f>
        <v>5</v>
      </c>
      <c r="C12" s="87">
        <f>O79</f>
        <v>99</v>
      </c>
      <c r="D12" s="87">
        <f>O80</f>
        <v>53019436</v>
      </c>
      <c r="E12" s="89">
        <f>BillingDat!P120</f>
        <v>6598390.4999999991</v>
      </c>
      <c r="F12" s="19">
        <f>O87</f>
        <v>176752.71999999997</v>
      </c>
      <c r="G12" s="19">
        <f>P87</f>
        <v>15706.29</v>
      </c>
      <c r="H12" s="88">
        <f>Q83</f>
        <v>12387.428733579434</v>
      </c>
      <c r="I12" s="87">
        <f>R85</f>
        <v>116980.15308754152</v>
      </c>
      <c r="J12" s="87">
        <f>S85</f>
        <v>28288.64546468723</v>
      </c>
      <c r="K12" s="87">
        <f>T85</f>
        <v>88691.507622854289</v>
      </c>
      <c r="L12" s="85" t="str">
        <f t="shared" si="4"/>
        <v>Schedule C - Comm. &amp; Indust. Service Rate &gt; 50 kW</v>
      </c>
      <c r="M12" s="87">
        <f t="shared" si="0"/>
        <v>99</v>
      </c>
      <c r="N12" s="87">
        <f t="shared" si="1"/>
        <v>53019436</v>
      </c>
      <c r="O12" s="89">
        <f t="shared" si="1"/>
        <v>6598390.4999999991</v>
      </c>
      <c r="P12" s="143">
        <f t="shared" si="2"/>
        <v>0.10939852702044434</v>
      </c>
      <c r="Q12" s="143">
        <f t="shared" si="3"/>
        <v>0.108732200066117</v>
      </c>
      <c r="R12" s="9"/>
      <c r="S12" s="89"/>
      <c r="U12" s="14">
        <f t="shared" si="5"/>
        <v>5</v>
      </c>
      <c r="V12" s="85" t="str">
        <f t="shared" si="6"/>
        <v>Schedule C - Comm. &amp; Indust. Service Rate &gt; 50 kW</v>
      </c>
      <c r="W12" s="253">
        <f t="shared" si="7"/>
        <v>99</v>
      </c>
      <c r="X12" s="253">
        <f t="shared" si="8"/>
        <v>53019436</v>
      </c>
      <c r="Y12" s="254">
        <f t="shared" si="9"/>
        <v>0.10939852702044434</v>
      </c>
      <c r="Z12" s="255">
        <f t="shared" si="10"/>
        <v>6598390.4999999991</v>
      </c>
      <c r="AA12" s="254">
        <f t="shared" si="11"/>
        <v>0.108732200066117</v>
      </c>
    </row>
    <row r="13" spans="1:27" x14ac:dyDescent="0.2">
      <c r="A13" s="85" t="str">
        <f>'Summary of Returns'!B15</f>
        <v>Residential Off Peak Electric Thermal Storage Tariff</v>
      </c>
      <c r="B13" s="86">
        <f>'Summary of Returns'!C15</f>
        <v>7</v>
      </c>
      <c r="C13" s="87">
        <f>O89</f>
        <v>82</v>
      </c>
      <c r="D13" s="87">
        <f>O90</f>
        <v>263644</v>
      </c>
      <c r="E13" s="89">
        <f>BillingDat!P121</f>
        <v>18437.07</v>
      </c>
      <c r="F13" s="19">
        <f>O97</f>
        <v>2029.9696691699382</v>
      </c>
      <c r="G13" s="19">
        <f>P97</f>
        <v>527.05026455026461</v>
      </c>
      <c r="H13" s="88">
        <f>Q93</f>
        <v>189.73809523809524</v>
      </c>
      <c r="I13" s="87">
        <f>R95</f>
        <v>0</v>
      </c>
      <c r="J13" s="87">
        <f>S95</f>
        <v>0</v>
      </c>
      <c r="K13" s="87">
        <f>T95</f>
        <v>0</v>
      </c>
      <c r="L13" s="85" t="str">
        <f t="shared" si="4"/>
        <v>Residential Off Peak Electric Thermal Storage Tariff</v>
      </c>
      <c r="M13" s="87">
        <f t="shared" si="0"/>
        <v>82</v>
      </c>
      <c r="N13" s="87">
        <f t="shared" si="1"/>
        <v>263644</v>
      </c>
      <c r="O13" s="89">
        <f t="shared" si="1"/>
        <v>18437.07</v>
      </c>
      <c r="P13" s="143">
        <f t="shared" si="2"/>
        <v>5.4399419220110194E-4</v>
      </c>
      <c r="Q13" s="143">
        <f t="shared" si="3"/>
        <v>3.0381699656499632E-4</v>
      </c>
      <c r="R13" s="9"/>
      <c r="S13" s="89"/>
      <c r="U13" s="14">
        <f t="shared" si="5"/>
        <v>7</v>
      </c>
      <c r="V13" s="85" t="str">
        <f t="shared" si="6"/>
        <v>Residential Off Peak Electric Thermal Storage Tariff</v>
      </c>
      <c r="W13" s="253">
        <f t="shared" si="7"/>
        <v>82</v>
      </c>
      <c r="X13" s="253">
        <f t="shared" si="8"/>
        <v>263644</v>
      </c>
      <c r="Y13" s="254">
        <f t="shared" si="9"/>
        <v>5.4399419220110194E-4</v>
      </c>
      <c r="Z13" s="255">
        <f t="shared" si="10"/>
        <v>18437.07</v>
      </c>
      <c r="AA13" s="254">
        <f t="shared" si="11"/>
        <v>3.0381699656499632E-4</v>
      </c>
    </row>
    <row r="14" spans="1:27" hidden="1" x14ac:dyDescent="0.2">
      <c r="A14" s="85" t="str">
        <f>'Summary of Returns'!B16</f>
        <v>Small Comm. Off-Peak Electric Thermal Storage Tariff</v>
      </c>
      <c r="B14" s="86">
        <f>'Summary of Returns'!C16</f>
        <v>8</v>
      </c>
      <c r="C14" s="87">
        <f>O99</f>
        <v>6</v>
      </c>
      <c r="D14" s="87">
        <f>O100</f>
        <v>0</v>
      </c>
      <c r="E14" s="89">
        <f>BillingDat!P122</f>
        <v>0</v>
      </c>
      <c r="F14" s="19">
        <f>O107</f>
        <v>0</v>
      </c>
      <c r="G14" s="19">
        <f>P107</f>
        <v>0</v>
      </c>
      <c r="H14" s="88">
        <f>Q103</f>
        <v>0</v>
      </c>
      <c r="I14" s="87">
        <f>R105</f>
        <v>0</v>
      </c>
      <c r="J14" s="87">
        <f>S105</f>
        <v>0</v>
      </c>
      <c r="K14" s="87">
        <f>T105</f>
        <v>0</v>
      </c>
      <c r="L14" s="85" t="str">
        <f t="shared" si="4"/>
        <v>Small Comm. Off-Peak Electric Thermal Storage Tariff</v>
      </c>
      <c r="M14" s="87">
        <f t="shared" si="0"/>
        <v>6</v>
      </c>
      <c r="N14" s="87">
        <f t="shared" si="1"/>
        <v>0</v>
      </c>
      <c r="O14" s="89">
        <f t="shared" si="1"/>
        <v>0</v>
      </c>
      <c r="P14" s="143">
        <f t="shared" si="2"/>
        <v>0</v>
      </c>
      <c r="Q14" s="143">
        <f t="shared" si="3"/>
        <v>0</v>
      </c>
      <c r="R14" s="9"/>
      <c r="S14" s="89"/>
      <c r="U14" s="14">
        <f t="shared" si="5"/>
        <v>8</v>
      </c>
      <c r="V14" s="85" t="str">
        <f t="shared" si="6"/>
        <v>Small Comm. Off-Peak Electric Thermal Storage Tariff</v>
      </c>
      <c r="W14" s="253">
        <f t="shared" si="7"/>
        <v>6</v>
      </c>
      <c r="X14" s="253">
        <f t="shared" si="8"/>
        <v>0</v>
      </c>
      <c r="Y14" s="254">
        <f t="shared" si="9"/>
        <v>0</v>
      </c>
      <c r="Z14" s="255">
        <f t="shared" si="10"/>
        <v>0</v>
      </c>
      <c r="AA14" s="254">
        <f t="shared" si="11"/>
        <v>0</v>
      </c>
    </row>
    <row r="15" spans="1:27" x14ac:dyDescent="0.2">
      <c r="A15" s="85" t="str">
        <f>'Summary of Returns'!B17</f>
        <v>Schedule C - Large Commercial 10% Discount</v>
      </c>
      <c r="B15" s="86">
        <f>'Summary of Returns'!C17</f>
        <v>9</v>
      </c>
      <c r="C15" s="87">
        <f>O109</f>
        <v>4</v>
      </c>
      <c r="D15" s="87">
        <f>O110</f>
        <v>24304884</v>
      </c>
      <c r="E15" s="89">
        <f>BillingDat!P123</f>
        <v>2462140.0499999998</v>
      </c>
      <c r="F15" s="19">
        <f>O117</f>
        <v>59907.600000000006</v>
      </c>
      <c r="G15" s="19">
        <f>P117</f>
        <v>5283</v>
      </c>
      <c r="H15" s="88">
        <f>Q113</f>
        <v>4858.9427212538421</v>
      </c>
      <c r="I15" s="87">
        <f>R115</f>
        <v>34766.790614712278</v>
      </c>
      <c r="J15" s="87">
        <f>S115</f>
        <v>8400.7485679043639</v>
      </c>
      <c r="K15" s="87">
        <f>T115</f>
        <v>26366.042046807914</v>
      </c>
      <c r="L15" s="85" t="str">
        <f t="shared" si="4"/>
        <v>Schedule C - Large Commercial 10% Discount</v>
      </c>
      <c r="M15" s="87">
        <f t="shared" si="0"/>
        <v>4</v>
      </c>
      <c r="N15" s="87">
        <f t="shared" ref="N15:N26" si="12">D15</f>
        <v>24304884</v>
      </c>
      <c r="O15" s="89">
        <f t="shared" ref="O15:O26" si="13">E15</f>
        <v>2462140.0499999998</v>
      </c>
      <c r="P15" s="143">
        <f t="shared" si="2"/>
        <v>5.014988294109287E-2</v>
      </c>
      <c r="Q15" s="143">
        <f t="shared" si="3"/>
        <v>4.0572606987628171E-2</v>
      </c>
      <c r="R15" s="9"/>
      <c r="S15" s="89"/>
      <c r="U15" s="14">
        <f t="shared" si="5"/>
        <v>9</v>
      </c>
      <c r="V15" s="85" t="str">
        <f t="shared" si="6"/>
        <v>Schedule C - Large Commercial 10% Discount</v>
      </c>
      <c r="W15" s="253">
        <f t="shared" si="7"/>
        <v>4</v>
      </c>
      <c r="X15" s="253">
        <f t="shared" si="8"/>
        <v>24304884</v>
      </c>
      <c r="Y15" s="254">
        <f t="shared" si="9"/>
        <v>5.014988294109287E-2</v>
      </c>
      <c r="Z15" s="255">
        <f t="shared" si="10"/>
        <v>2462140.0499999998</v>
      </c>
      <c r="AA15" s="254">
        <f t="shared" si="11"/>
        <v>4.0572606987628171E-2</v>
      </c>
    </row>
    <row r="16" spans="1:27" x14ac:dyDescent="0.2">
      <c r="A16" s="85" t="str">
        <f>'Summary of Returns'!B18</f>
        <v>Schedule E - Large Industrial Rate</v>
      </c>
      <c r="B16" s="86">
        <f>'Summary of Returns'!C18</f>
        <v>10</v>
      </c>
      <c r="C16" s="87">
        <f>O119</f>
        <v>1</v>
      </c>
      <c r="D16" s="87">
        <f>O120</f>
        <v>33856272</v>
      </c>
      <c r="E16" s="89">
        <f>BillingDat!P124</f>
        <v>3030683.5</v>
      </c>
      <c r="F16" s="19">
        <f>O127</f>
        <v>65131.200000000012</v>
      </c>
      <c r="G16" s="19">
        <f>P127</f>
        <v>5572.8</v>
      </c>
      <c r="H16" s="88">
        <f>Q123</f>
        <v>5572.8</v>
      </c>
      <c r="I16" s="87">
        <f>R125</f>
        <v>41262.839999999997</v>
      </c>
      <c r="J16" s="87">
        <f>S125</f>
        <v>9525.6</v>
      </c>
      <c r="K16" s="87">
        <f>T125</f>
        <v>31737.239999999998</v>
      </c>
      <c r="L16" s="85" t="str">
        <f t="shared" si="4"/>
        <v>Schedule E - Large Industrial Rate</v>
      </c>
      <c r="M16" s="87">
        <f t="shared" si="0"/>
        <v>1</v>
      </c>
      <c r="N16" s="87">
        <f t="shared" si="12"/>
        <v>33856272</v>
      </c>
      <c r="O16" s="89">
        <f t="shared" si="13"/>
        <v>3030683.5</v>
      </c>
      <c r="P16" s="143">
        <f t="shared" si="2"/>
        <v>6.9857896775882583E-2</v>
      </c>
      <c r="Q16" s="143">
        <f t="shared" si="3"/>
        <v>4.9941403840691116E-2</v>
      </c>
      <c r="R16" s="9"/>
      <c r="S16" s="89"/>
      <c r="U16" s="14">
        <f t="shared" si="5"/>
        <v>10</v>
      </c>
      <c r="V16" s="85" t="str">
        <f t="shared" si="6"/>
        <v>Schedule E - Large Industrial Rate</v>
      </c>
      <c r="W16" s="253">
        <f t="shared" si="7"/>
        <v>1</v>
      </c>
      <c r="X16" s="253">
        <f t="shared" si="8"/>
        <v>33856272</v>
      </c>
      <c r="Y16" s="254">
        <f t="shared" si="9"/>
        <v>6.9857896775882583E-2</v>
      </c>
      <c r="Z16" s="255">
        <f t="shared" si="10"/>
        <v>3030683.5</v>
      </c>
      <c r="AA16" s="254">
        <f t="shared" si="11"/>
        <v>4.9941403840691116E-2</v>
      </c>
    </row>
    <row r="17" spans="1:27" x14ac:dyDescent="0.2">
      <c r="A17" s="85" t="str">
        <f>'Summary of Returns'!B19</f>
        <v>Schedule LPC-2   Large Power Rate Tariff</v>
      </c>
      <c r="B17" s="86">
        <f>'Summary of Returns'!C19</f>
        <v>14</v>
      </c>
      <c r="C17" s="87">
        <f>O129</f>
        <v>1</v>
      </c>
      <c r="D17" s="87">
        <f>O130</f>
        <v>8340600</v>
      </c>
      <c r="E17" s="89">
        <f>BillingDat!P125</f>
        <v>803418.04</v>
      </c>
      <c r="F17" s="19">
        <f>O137</f>
        <v>16229.999999999998</v>
      </c>
      <c r="G17" s="19">
        <f>P137</f>
        <v>1358.4</v>
      </c>
      <c r="H17" s="88">
        <f>Q133</f>
        <v>1358.4</v>
      </c>
      <c r="I17" s="87">
        <f>R135</f>
        <v>10274.279999999999</v>
      </c>
      <c r="J17" s="87">
        <f>S135</f>
        <v>2445.1200000000008</v>
      </c>
      <c r="K17" s="87">
        <f>T135</f>
        <v>7829.159999999998</v>
      </c>
      <c r="L17" s="85" t="str">
        <f t="shared" si="4"/>
        <v>Schedule LPC-2   Large Power Rate Tariff</v>
      </c>
      <c r="M17" s="87">
        <f t="shared" si="0"/>
        <v>1</v>
      </c>
      <c r="N17" s="87">
        <f t="shared" si="12"/>
        <v>8340600</v>
      </c>
      <c r="O17" s="89">
        <f t="shared" si="13"/>
        <v>803418.04</v>
      </c>
      <c r="P17" s="143">
        <f t="shared" si="2"/>
        <v>1.7209714461442364E-2</v>
      </c>
      <c r="Q17" s="143">
        <f t="shared" si="3"/>
        <v>1.3239199932469534E-2</v>
      </c>
      <c r="R17" s="9"/>
      <c r="S17" s="89"/>
      <c r="U17" s="14">
        <f t="shared" si="5"/>
        <v>14</v>
      </c>
      <c r="V17" s="85" t="str">
        <f t="shared" si="6"/>
        <v>Schedule LPC-2   Large Power Rate Tariff</v>
      </c>
      <c r="W17" s="253">
        <f t="shared" si="7"/>
        <v>1</v>
      </c>
      <c r="X17" s="253">
        <f t="shared" si="8"/>
        <v>8340600</v>
      </c>
      <c r="Y17" s="254">
        <f t="shared" si="9"/>
        <v>1.7209714461442364E-2</v>
      </c>
      <c r="Z17" s="255">
        <f t="shared" si="10"/>
        <v>803418.04</v>
      </c>
      <c r="AA17" s="254">
        <f t="shared" si="11"/>
        <v>1.3239199932469534E-2</v>
      </c>
    </row>
    <row r="18" spans="1:27" x14ac:dyDescent="0.2">
      <c r="A18" s="85" t="str">
        <f>'Summary of Returns'!B20</f>
        <v xml:space="preserve">Schedule D - Large Comm/Ind Opt Time of Day Rate </v>
      </c>
      <c r="B18" s="86">
        <f>'Summary of Returns'!C20</f>
        <v>15</v>
      </c>
      <c r="C18" s="87">
        <f>O139</f>
        <v>4</v>
      </c>
      <c r="D18" s="87">
        <f>O140</f>
        <v>765404</v>
      </c>
      <c r="E18" s="89">
        <f>BillingDat!P126</f>
        <v>118009.17999999998</v>
      </c>
      <c r="F18" s="19">
        <f>O147</f>
        <v>4766.2</v>
      </c>
      <c r="G18" s="19">
        <f>P147</f>
        <v>654.79999999999995</v>
      </c>
      <c r="H18" s="87">
        <f>Q143</f>
        <v>479.96130952380952</v>
      </c>
      <c r="I18" s="87">
        <f>R145</f>
        <v>1060.4635400665643</v>
      </c>
      <c r="J18" s="87">
        <f>S145</f>
        <v>146.4380376344086</v>
      </c>
      <c r="K18" s="87">
        <f>T145</f>
        <v>914.02550243215569</v>
      </c>
      <c r="L18" s="85" t="str">
        <f t="shared" si="4"/>
        <v xml:space="preserve">Schedule D - Large Comm/Ind Opt Time of Day Rate </v>
      </c>
      <c r="M18" s="87">
        <f t="shared" si="0"/>
        <v>4</v>
      </c>
      <c r="N18" s="87">
        <f t="shared" si="12"/>
        <v>765404</v>
      </c>
      <c r="O18" s="89">
        <f t="shared" si="13"/>
        <v>118009.17999999998</v>
      </c>
      <c r="P18" s="144">
        <f t="shared" si="2"/>
        <v>1.5793089571069026E-3</v>
      </c>
      <c r="Q18" s="144">
        <f t="shared" si="3"/>
        <v>1.944625400603134E-3</v>
      </c>
      <c r="R18" s="9"/>
      <c r="S18" s="89"/>
      <c r="U18" s="14">
        <f t="shared" si="5"/>
        <v>15</v>
      </c>
      <c r="V18" s="85" t="str">
        <f t="shared" si="6"/>
        <v xml:space="preserve">Schedule D - Large Comm/Ind Opt Time of Day Rate </v>
      </c>
      <c r="W18" s="253">
        <f t="shared" si="7"/>
        <v>4</v>
      </c>
      <c r="X18" s="253">
        <f t="shared" si="8"/>
        <v>765404</v>
      </c>
      <c r="Y18" s="254">
        <f t="shared" si="9"/>
        <v>1.5793089571069026E-3</v>
      </c>
      <c r="Z18" s="255">
        <f t="shared" si="10"/>
        <v>118009.17999999998</v>
      </c>
      <c r="AA18" s="254">
        <f t="shared" si="11"/>
        <v>1.944625400603134E-3</v>
      </c>
    </row>
    <row r="19" spans="1:27" x14ac:dyDescent="0.2">
      <c r="A19" s="85" t="str">
        <f>'Summary of Returns'!B21</f>
        <v>Net Metering Tariff</v>
      </c>
      <c r="B19" s="86">
        <f>'Summary of Returns'!C21</f>
        <v>20</v>
      </c>
      <c r="C19" s="87">
        <f>O149</f>
        <v>80</v>
      </c>
      <c r="D19" s="87">
        <f>O150</f>
        <v>1640178</v>
      </c>
      <c r="E19" s="89">
        <f>BillingDat!P127</f>
        <v>125482.08999999998</v>
      </c>
      <c r="F19" s="19">
        <f>O157</f>
        <v>11252.52342549923</v>
      </c>
      <c r="G19" s="19">
        <f>P157</f>
        <v>1172.4851190476188</v>
      </c>
      <c r="H19" s="19">
        <f>Q153</f>
        <v>538.54583231522906</v>
      </c>
      <c r="I19" s="87">
        <f>R155</f>
        <v>3387.4683736157199</v>
      </c>
      <c r="J19" s="87">
        <f>S155</f>
        <v>913.34631159312517</v>
      </c>
      <c r="K19" s="87">
        <f>T155</f>
        <v>2474.1220620225949</v>
      </c>
      <c r="L19" s="85" t="str">
        <f t="shared" si="4"/>
        <v>Net Metering Tariff</v>
      </c>
      <c r="M19" s="87">
        <f t="shared" si="0"/>
        <v>80</v>
      </c>
      <c r="N19" s="87">
        <f t="shared" si="12"/>
        <v>1640178</v>
      </c>
      <c r="O19" s="89">
        <f t="shared" si="13"/>
        <v>125482.08999999998</v>
      </c>
      <c r="P19" s="144">
        <f t="shared" si="2"/>
        <v>3.3842883061098263E-3</v>
      </c>
      <c r="Q19" s="144">
        <f t="shared" si="3"/>
        <v>2.0677684527150219E-3</v>
      </c>
      <c r="R19" s="9"/>
      <c r="S19" s="89"/>
      <c r="U19" s="14">
        <f t="shared" si="5"/>
        <v>20</v>
      </c>
      <c r="V19" s="85" t="str">
        <f t="shared" si="6"/>
        <v>Net Metering Tariff</v>
      </c>
      <c r="W19" s="253">
        <f t="shared" si="7"/>
        <v>80</v>
      </c>
      <c r="X19" s="253">
        <f t="shared" si="8"/>
        <v>1640178</v>
      </c>
      <c r="Y19" s="254">
        <f t="shared" si="9"/>
        <v>3.3842883061098263E-3</v>
      </c>
      <c r="Z19" s="255">
        <f t="shared" si="10"/>
        <v>125482.08999999998</v>
      </c>
      <c r="AA19" s="254">
        <f t="shared" si="11"/>
        <v>2.0677684527150219E-3</v>
      </c>
    </row>
    <row r="20" spans="1:27" x14ac:dyDescent="0.2">
      <c r="A20" s="85" t="str">
        <f>'Summary of Returns'!B22</f>
        <v>Schedule LPE4 Interruptible 1500 Firm 200</v>
      </c>
      <c r="B20" s="86">
        <f>'Summary of Returns'!C22</f>
        <v>24</v>
      </c>
      <c r="C20" s="87">
        <f>O159</f>
        <v>1</v>
      </c>
      <c r="D20" s="87">
        <f>O160</f>
        <v>16623659</v>
      </c>
      <c r="E20" s="89">
        <f>BillingDat!P128+BillingDat!P129</f>
        <v>1570110.42</v>
      </c>
      <c r="F20" s="19">
        <f>O167</f>
        <v>38017.199999999997</v>
      </c>
      <c r="G20" s="19">
        <f>P167</f>
        <v>3522.4</v>
      </c>
      <c r="H20" s="88">
        <f>Q163</f>
        <v>3522.4</v>
      </c>
      <c r="I20" s="87">
        <f>R165</f>
        <v>22810.319999999996</v>
      </c>
      <c r="J20" s="87">
        <f>S165</f>
        <v>5784.48</v>
      </c>
      <c r="K20" s="87">
        <f>T165</f>
        <v>17025.839999999997</v>
      </c>
      <c r="L20" s="85" t="str">
        <f t="shared" si="4"/>
        <v>Schedule LPE4 Interruptible 1500 Firm 200</v>
      </c>
      <c r="M20" s="87">
        <f t="shared" si="0"/>
        <v>1</v>
      </c>
      <c r="N20" s="87">
        <f t="shared" si="12"/>
        <v>16623659</v>
      </c>
      <c r="O20" s="89">
        <f t="shared" si="13"/>
        <v>1570110.42</v>
      </c>
      <c r="P20" s="144">
        <f t="shared" si="2"/>
        <v>3.4300700752270402E-2</v>
      </c>
      <c r="Q20" s="144">
        <f t="shared" si="3"/>
        <v>2.5873212613490369E-2</v>
      </c>
      <c r="R20" s="9"/>
      <c r="S20" s="89"/>
      <c r="U20" s="14">
        <f t="shared" si="5"/>
        <v>24</v>
      </c>
      <c r="V20" s="85" t="str">
        <f t="shared" si="6"/>
        <v>Schedule LPE4 Interruptible 1500 Firm 200</v>
      </c>
      <c r="W20" s="253">
        <f t="shared" si="7"/>
        <v>1</v>
      </c>
      <c r="X20" s="253">
        <f t="shared" si="8"/>
        <v>16623659</v>
      </c>
      <c r="Y20" s="254">
        <f t="shared" si="9"/>
        <v>3.4300700752270402E-2</v>
      </c>
      <c r="Z20" s="255">
        <f t="shared" si="10"/>
        <v>1570110.42</v>
      </c>
      <c r="AA20" s="254">
        <f t="shared" si="11"/>
        <v>2.5873212613490369E-2</v>
      </c>
    </row>
    <row r="21" spans="1:27" hidden="1" x14ac:dyDescent="0.2">
      <c r="A21" s="85" t="str">
        <f>'Summary of Returns'!B23</f>
        <v>Schedule LPE-4  Large Power Time of DayRate Tariff</v>
      </c>
      <c r="B21" s="86">
        <f>'Summary of Returns'!C23</f>
        <v>36</v>
      </c>
      <c r="C21" s="87">
        <f>O169</f>
        <v>0</v>
      </c>
      <c r="D21" s="87">
        <f>O170</f>
        <v>0</v>
      </c>
      <c r="E21" s="89">
        <v>0</v>
      </c>
      <c r="F21" s="19">
        <f>O177</f>
        <v>0</v>
      </c>
      <c r="G21" s="19">
        <f>P177</f>
        <v>0</v>
      </c>
      <c r="H21" s="88">
        <f>Q173</f>
        <v>0</v>
      </c>
      <c r="I21" s="87">
        <f>R175</f>
        <v>0</v>
      </c>
      <c r="J21" s="87">
        <f>S175</f>
        <v>0</v>
      </c>
      <c r="K21" s="87">
        <f>T175</f>
        <v>0</v>
      </c>
      <c r="L21" s="85" t="str">
        <f t="shared" si="4"/>
        <v>Schedule LPE-4  Large Power Time of DayRate Tariff</v>
      </c>
      <c r="M21" s="87">
        <f t="shared" si="0"/>
        <v>0</v>
      </c>
      <c r="N21" s="87">
        <f t="shared" si="12"/>
        <v>0</v>
      </c>
      <c r="O21" s="87">
        <f t="shared" si="13"/>
        <v>0</v>
      </c>
      <c r="P21" s="144">
        <f t="shared" si="2"/>
        <v>0</v>
      </c>
      <c r="Q21" s="144">
        <f t="shared" si="3"/>
        <v>0</v>
      </c>
      <c r="R21" s="9"/>
      <c r="S21" s="89"/>
      <c r="U21" s="14">
        <f t="shared" si="5"/>
        <v>36</v>
      </c>
      <c r="V21" s="85" t="str">
        <f t="shared" si="6"/>
        <v>Schedule LPE-4  Large Power Time of DayRate Tariff</v>
      </c>
      <c r="W21" s="253">
        <f t="shared" si="7"/>
        <v>0</v>
      </c>
      <c r="X21" s="253">
        <f t="shared" si="8"/>
        <v>0</v>
      </c>
      <c r="Y21" s="254">
        <f t="shared" si="9"/>
        <v>0</v>
      </c>
      <c r="Z21" s="255">
        <f t="shared" si="10"/>
        <v>0</v>
      </c>
      <c r="AA21" s="254">
        <f t="shared" si="11"/>
        <v>0</v>
      </c>
    </row>
    <row r="22" spans="1:27" x14ac:dyDescent="0.2">
      <c r="A22" s="85" t="str">
        <f>'Summary of Returns'!B24</f>
        <v>Schedule C - TOD Comm - Three Phase</v>
      </c>
      <c r="B22" s="86">
        <f>'Summary of Returns'!C24</f>
        <v>50</v>
      </c>
      <c r="C22" s="87">
        <f>O179</f>
        <v>7</v>
      </c>
      <c r="D22" s="87">
        <f>O180</f>
        <v>560480</v>
      </c>
      <c r="E22" s="89">
        <f>BillingDat!P130</f>
        <v>70913.489999999991</v>
      </c>
      <c r="F22" s="19">
        <f>O187</f>
        <v>1827.176588316466</v>
      </c>
      <c r="G22" s="19">
        <f>P187</f>
        <v>270.06744758008557</v>
      </c>
      <c r="H22" s="88">
        <f>Q183</f>
        <v>216.97499999999999</v>
      </c>
      <c r="I22" s="87">
        <f>R185</f>
        <v>765.83460061443941</v>
      </c>
      <c r="J22" s="87">
        <f>S185</f>
        <v>279.21196236559138</v>
      </c>
      <c r="K22" s="87">
        <f>T185</f>
        <v>486.62263824884803</v>
      </c>
      <c r="L22" s="85" t="str">
        <f t="shared" si="4"/>
        <v>Schedule C - TOD Comm - Three Phase</v>
      </c>
      <c r="M22" s="87">
        <f t="shared" si="0"/>
        <v>7</v>
      </c>
      <c r="N22" s="87">
        <f t="shared" si="12"/>
        <v>560480</v>
      </c>
      <c r="O22" s="87">
        <f t="shared" si="13"/>
        <v>70913.489999999991</v>
      </c>
      <c r="P22" s="144">
        <f t="shared" si="2"/>
        <v>1.1564756445998151E-3</v>
      </c>
      <c r="Q22" s="144">
        <f t="shared" si="3"/>
        <v>1.1685546319313153E-3</v>
      </c>
      <c r="R22" s="9"/>
      <c r="S22" s="89"/>
      <c r="U22" s="14">
        <f t="shared" si="5"/>
        <v>50</v>
      </c>
      <c r="V22" s="85" t="str">
        <f t="shared" si="6"/>
        <v>Schedule C - TOD Comm - Three Phase</v>
      </c>
      <c r="W22" s="253">
        <f t="shared" si="7"/>
        <v>7</v>
      </c>
      <c r="X22" s="253">
        <f t="shared" si="8"/>
        <v>560480</v>
      </c>
      <c r="Y22" s="254">
        <f t="shared" si="9"/>
        <v>1.1564756445998151E-3</v>
      </c>
      <c r="Z22" s="255">
        <f t="shared" si="10"/>
        <v>70913.489999999991</v>
      </c>
      <c r="AA22" s="254">
        <f t="shared" si="11"/>
        <v>1.1685546319313153E-3</v>
      </c>
    </row>
    <row r="23" spans="1:27" ht="13.5" customHeight="1" x14ac:dyDescent="0.2">
      <c r="A23" s="85" t="str">
        <f>'Summary of Returns'!B25</f>
        <v>Lighting</v>
      </c>
      <c r="B23" s="86" t="str">
        <f>'Summary of Returns'!C25</f>
        <v>OL</v>
      </c>
      <c r="C23" s="87">
        <f>O189</f>
        <v>129</v>
      </c>
      <c r="D23" s="87">
        <f>O190</f>
        <v>424136</v>
      </c>
      <c r="E23" s="89">
        <f>BillingDat!P131</f>
        <v>1180071.5</v>
      </c>
      <c r="F23" s="19">
        <f>O197</f>
        <v>1163.3399769585253</v>
      </c>
      <c r="G23" s="19">
        <f>P197</f>
        <v>108.44642857142857</v>
      </c>
      <c r="H23" s="88">
        <f>Q193</f>
        <v>108.44642857142857</v>
      </c>
      <c r="I23" s="87">
        <f>R195</f>
        <v>574.17374551971318</v>
      </c>
      <c r="J23" s="87">
        <f>S195</f>
        <v>0</v>
      </c>
      <c r="K23" s="87">
        <f>T195</f>
        <v>574.17374551971318</v>
      </c>
      <c r="L23" s="85" t="str">
        <f t="shared" si="4"/>
        <v>Lighting</v>
      </c>
      <c r="M23" s="87">
        <f t="shared" si="0"/>
        <v>129</v>
      </c>
      <c r="N23" s="87">
        <f t="shared" si="12"/>
        <v>424136</v>
      </c>
      <c r="O23" s="87">
        <f t="shared" si="13"/>
        <v>1180071.5</v>
      </c>
      <c r="P23" s="144">
        <f t="shared" si="2"/>
        <v>8.7514800527759625E-4</v>
      </c>
      <c r="Q23" s="144">
        <f t="shared" si="3"/>
        <v>1.9445919490567103E-2</v>
      </c>
      <c r="R23" s="9"/>
      <c r="S23" s="89"/>
      <c r="U23" s="14" t="str">
        <f t="shared" si="5"/>
        <v>OL</v>
      </c>
      <c r="V23" s="85" t="str">
        <f t="shared" si="6"/>
        <v>Lighting</v>
      </c>
      <c r="W23" s="253">
        <f t="shared" si="7"/>
        <v>129</v>
      </c>
      <c r="X23" s="253">
        <f t="shared" si="8"/>
        <v>424136</v>
      </c>
      <c r="Y23" s="254">
        <f t="shared" si="9"/>
        <v>8.7514800527759625E-4</v>
      </c>
      <c r="Z23" s="255">
        <f t="shared" si="10"/>
        <v>1180071.5</v>
      </c>
      <c r="AA23" s="254">
        <f t="shared" si="11"/>
        <v>1.9445919490567103E-2</v>
      </c>
    </row>
    <row r="24" spans="1:27" hidden="1" x14ac:dyDescent="0.2">
      <c r="A24" s="197">
        <f>'Summary of Returns'!B26</f>
        <v>0</v>
      </c>
      <c r="B24" s="86">
        <f>'Summary of Returns'!C26</f>
        <v>0</v>
      </c>
      <c r="C24" s="87">
        <f>O199</f>
        <v>0</v>
      </c>
      <c r="D24" s="87">
        <f>O200</f>
        <v>0</v>
      </c>
      <c r="E24" s="87"/>
      <c r="F24" s="19">
        <f>O207</f>
        <v>0</v>
      </c>
      <c r="G24" s="19">
        <f>P207</f>
        <v>0</v>
      </c>
      <c r="H24" s="88">
        <f>Q203</f>
        <v>0</v>
      </c>
      <c r="I24" s="87">
        <f>R205</f>
        <v>0</v>
      </c>
      <c r="J24" s="87">
        <f>S205</f>
        <v>0</v>
      </c>
      <c r="K24" s="87">
        <f>T205</f>
        <v>0</v>
      </c>
      <c r="L24" s="85">
        <f t="shared" si="4"/>
        <v>0</v>
      </c>
      <c r="M24" s="87">
        <f t="shared" si="0"/>
        <v>0</v>
      </c>
      <c r="N24" s="87">
        <f t="shared" si="12"/>
        <v>0</v>
      </c>
      <c r="O24" s="87">
        <f t="shared" si="13"/>
        <v>0</v>
      </c>
      <c r="P24" s="144">
        <f t="shared" ref="P24" si="14">D24/$D$26</f>
        <v>0</v>
      </c>
      <c r="Q24" s="144">
        <f t="shared" ref="Q24" si="15">E24/$E$26</f>
        <v>0</v>
      </c>
      <c r="R24" s="9"/>
      <c r="V24" s="85">
        <f t="shared" si="6"/>
        <v>0</v>
      </c>
      <c r="W24" s="253">
        <f t="shared" si="7"/>
        <v>0</v>
      </c>
      <c r="X24" s="253">
        <f t="shared" si="8"/>
        <v>0</v>
      </c>
      <c r="Y24" s="254">
        <f t="shared" si="9"/>
        <v>0</v>
      </c>
      <c r="Z24" s="255">
        <f t="shared" si="10"/>
        <v>0</v>
      </c>
      <c r="AA24" s="254">
        <f t="shared" si="11"/>
        <v>0</v>
      </c>
    </row>
    <row r="25" spans="1:27" hidden="1" x14ac:dyDescent="0.2">
      <c r="A25" s="16"/>
      <c r="C25" s="87"/>
      <c r="D25" s="87"/>
      <c r="E25" s="87"/>
      <c r="F25" s="19"/>
      <c r="G25" s="19"/>
      <c r="H25" s="19"/>
      <c r="I25" s="19"/>
      <c r="J25" s="19"/>
      <c r="K25" s="19"/>
      <c r="L25" s="16"/>
      <c r="M25" s="87"/>
      <c r="N25" s="87"/>
      <c r="O25" s="87"/>
      <c r="P25" s="144"/>
      <c r="Q25" s="143"/>
      <c r="R25" s="9"/>
      <c r="V25" s="85">
        <f t="shared" si="6"/>
        <v>0</v>
      </c>
      <c r="W25" s="253">
        <f t="shared" si="7"/>
        <v>0</v>
      </c>
      <c r="X25" s="253">
        <f t="shared" si="8"/>
        <v>0</v>
      </c>
      <c r="Y25" s="254">
        <f t="shared" si="9"/>
        <v>0</v>
      </c>
      <c r="Z25" s="255">
        <f t="shared" si="10"/>
        <v>0</v>
      </c>
      <c r="AA25" s="254">
        <f t="shared" si="11"/>
        <v>0</v>
      </c>
    </row>
    <row r="26" spans="1:27" x14ac:dyDescent="0.2">
      <c r="A26" s="11" t="s">
        <v>0</v>
      </c>
      <c r="B26" s="91"/>
      <c r="C26" s="92">
        <f t="shared" ref="C26:K26" si="16">SUM(C8:C25)</f>
        <v>26757</v>
      </c>
      <c r="D26" s="92">
        <f t="shared" si="16"/>
        <v>484644880</v>
      </c>
      <c r="E26" s="93">
        <f t="shared" si="16"/>
        <v>60684787.910000004</v>
      </c>
      <c r="F26" s="94">
        <f t="shared" si="16"/>
        <v>2950499.8547825725</v>
      </c>
      <c r="G26" s="94">
        <f t="shared" si="16"/>
        <v>343160.96716766886</v>
      </c>
      <c r="H26" s="94">
        <f t="shared" si="16"/>
        <v>159181.91693356476</v>
      </c>
      <c r="I26" s="94">
        <f t="shared" si="16"/>
        <v>1122322.0933799776</v>
      </c>
      <c r="J26" s="94">
        <f t="shared" si="16"/>
        <v>295130.99999976601</v>
      </c>
      <c r="K26" s="94">
        <f t="shared" si="16"/>
        <v>827191.09338021139</v>
      </c>
      <c r="L26" s="11" t="s">
        <v>0</v>
      </c>
      <c r="M26" s="92">
        <f t="shared" si="0"/>
        <v>26757</v>
      </c>
      <c r="N26" s="92">
        <f t="shared" si="12"/>
        <v>484644880</v>
      </c>
      <c r="O26" s="93">
        <f t="shared" si="13"/>
        <v>60684787.910000004</v>
      </c>
      <c r="P26" s="145">
        <f>D26/$D$26</f>
        <v>1</v>
      </c>
      <c r="Q26" s="145">
        <f>E26/$E$26</f>
        <v>1</v>
      </c>
      <c r="R26" s="9"/>
      <c r="V26" s="256" t="str">
        <f t="shared" si="6"/>
        <v>Total</v>
      </c>
      <c r="W26" s="257">
        <f t="shared" si="7"/>
        <v>26757</v>
      </c>
      <c r="X26" s="257">
        <f t="shared" si="8"/>
        <v>484644880</v>
      </c>
      <c r="Y26" s="258">
        <f t="shared" si="9"/>
        <v>1</v>
      </c>
      <c r="Z26" s="259">
        <f t="shared" si="10"/>
        <v>60684787.910000004</v>
      </c>
      <c r="AA26" s="258">
        <f t="shared" si="11"/>
        <v>1</v>
      </c>
    </row>
    <row r="27" spans="1:27" x14ac:dyDescent="0.2">
      <c r="A27" s="16" t="s">
        <v>1026</v>
      </c>
      <c r="C27" s="87">
        <f>C26-C13</f>
        <v>26675</v>
      </c>
      <c r="D27" s="87"/>
      <c r="E27" s="89"/>
      <c r="F27" s="19"/>
      <c r="G27" s="19"/>
      <c r="H27" s="19"/>
      <c r="I27" s="19"/>
      <c r="J27" s="19"/>
      <c r="K27" s="19"/>
      <c r="L27" s="32"/>
      <c r="M27" s="87">
        <f t="shared" si="0"/>
        <v>26675</v>
      </c>
      <c r="N27" s="87"/>
      <c r="O27" s="89"/>
      <c r="P27" s="32"/>
      <c r="Q27" s="90"/>
      <c r="R27" s="90"/>
    </row>
    <row r="28" spans="1:27" x14ac:dyDescent="0.2">
      <c r="A28" s="16"/>
      <c r="C28" s="87"/>
      <c r="D28" s="87"/>
      <c r="E28" s="89"/>
      <c r="F28" s="19"/>
      <c r="G28" s="19"/>
      <c r="H28" s="19"/>
      <c r="I28" s="19"/>
      <c r="J28" s="19"/>
      <c r="K28" s="19"/>
      <c r="L28" s="32"/>
      <c r="M28" s="87"/>
      <c r="N28" s="87"/>
      <c r="O28" s="89"/>
      <c r="P28" s="32"/>
      <c r="Q28" s="90"/>
      <c r="R28" s="90"/>
    </row>
    <row r="29" spans="1:27" hidden="1" x14ac:dyDescent="0.2">
      <c r="C29" s="32">
        <v>26752</v>
      </c>
      <c r="D29" s="87">
        <v>483594434</v>
      </c>
      <c r="E29" s="89">
        <v>59636496</v>
      </c>
      <c r="F29" s="87" t="s">
        <v>1006</v>
      </c>
      <c r="G29" s="279">
        <v>2024</v>
      </c>
      <c r="H29" s="19"/>
      <c r="I29" s="19"/>
      <c r="J29" s="19"/>
      <c r="K29" s="19"/>
      <c r="L29" s="32"/>
      <c r="M29" s="87"/>
      <c r="N29" s="87"/>
      <c r="O29" s="89"/>
      <c r="Q29" s="19"/>
    </row>
    <row r="30" spans="1:27" hidden="1" x14ac:dyDescent="0.2">
      <c r="C30" s="87">
        <f>C26-C29</f>
        <v>5</v>
      </c>
      <c r="D30" s="87">
        <f>D26-D29</f>
        <v>1050446</v>
      </c>
      <c r="E30" s="87">
        <f>E26-E29</f>
        <v>1048291.9100000039</v>
      </c>
      <c r="F30" s="87" t="s">
        <v>1007</v>
      </c>
      <c r="G30" s="19"/>
      <c r="H30" s="19"/>
      <c r="I30" s="19"/>
      <c r="J30" s="19"/>
      <c r="K30" s="19"/>
      <c r="L30" s="32"/>
      <c r="M30" s="87"/>
      <c r="N30" s="87"/>
      <c r="O30" s="87"/>
      <c r="Q30" s="19"/>
    </row>
    <row r="31" spans="1:27" hidden="1" x14ac:dyDescent="0.2">
      <c r="C31" s="46">
        <f>C30/C29</f>
        <v>1.8690191387559809E-4</v>
      </c>
      <c r="D31" s="46">
        <f>D30/D29</f>
        <v>2.1721631312241283E-3</v>
      </c>
      <c r="E31" s="46">
        <f>E30/E29</f>
        <v>1.7578026549380163E-2</v>
      </c>
      <c r="F31" s="32" t="s">
        <v>1007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19"/>
    </row>
    <row r="32" spans="1:27" x14ac:dyDescent="0.2"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U32" s="85"/>
      <c r="W32" s="85"/>
    </row>
    <row r="33" spans="1:25" x14ac:dyDescent="0.2">
      <c r="A33" s="1" t="str">
        <f>A1</f>
        <v>FARMERS R.E.C.C.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U33" s="85"/>
      <c r="W33" s="85"/>
    </row>
    <row r="34" spans="1:25" x14ac:dyDescent="0.2">
      <c r="A34" s="2" t="s">
        <v>675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95"/>
      <c r="P34" s="95"/>
      <c r="Q34" s="95"/>
      <c r="U34" s="85"/>
      <c r="W34" s="85"/>
    </row>
    <row r="35" spans="1:25" ht="30.75" customHeight="1" x14ac:dyDescent="0.2">
      <c r="B35" s="14" t="s">
        <v>1119</v>
      </c>
      <c r="C35" s="183">
        <f>24*31</f>
        <v>744</v>
      </c>
      <c r="D35" s="183">
        <f>24*28</f>
        <v>672</v>
      </c>
      <c r="E35" s="183">
        <f t="shared" ref="E35:N35" si="17">24*31</f>
        <v>744</v>
      </c>
      <c r="F35" s="183">
        <f>24*30</f>
        <v>720</v>
      </c>
      <c r="G35" s="183">
        <f t="shared" si="17"/>
        <v>744</v>
      </c>
      <c r="H35" s="183">
        <f>24*30</f>
        <v>720</v>
      </c>
      <c r="I35" s="183">
        <f t="shared" si="17"/>
        <v>744</v>
      </c>
      <c r="J35" s="183">
        <f t="shared" si="17"/>
        <v>744</v>
      </c>
      <c r="K35" s="183">
        <f>24*30</f>
        <v>720</v>
      </c>
      <c r="L35" s="183">
        <f t="shared" si="17"/>
        <v>744</v>
      </c>
      <c r="M35" s="183">
        <f>24*30</f>
        <v>720</v>
      </c>
      <c r="N35" s="183">
        <f t="shared" si="17"/>
        <v>744</v>
      </c>
      <c r="O35" s="32"/>
      <c r="P35" s="32"/>
      <c r="Q35" s="96"/>
    </row>
    <row r="36" spans="1:25" s="184" customFormat="1" x14ac:dyDescent="0.2">
      <c r="B36" s="185"/>
      <c r="C36" s="183">
        <f>C223</f>
        <v>3.9947574259713292E-4</v>
      </c>
      <c r="D36" s="183">
        <f t="shared" ref="D36:N36" si="18">D223</f>
        <v>-7.0093665271997452E-7</v>
      </c>
      <c r="E36" s="183">
        <f t="shared" si="18"/>
        <v>-6.9074740167707205E-6</v>
      </c>
      <c r="F36" s="183">
        <f t="shared" si="18"/>
        <v>-7.2247872594743967E-5</v>
      </c>
      <c r="G36" s="183">
        <f t="shared" si="18"/>
        <v>-1.8791033653542399E-6</v>
      </c>
      <c r="H36" s="183">
        <f t="shared" si="18"/>
        <v>9.8239979706704617E-8</v>
      </c>
      <c r="I36" s="183">
        <f t="shared" si="18"/>
        <v>7.1144313551485538E-8</v>
      </c>
      <c r="J36" s="183">
        <f t="shared" si="18"/>
        <v>6.4625055529177189E-8</v>
      </c>
      <c r="K36" s="183">
        <f t="shared" si="18"/>
        <v>4.5481658482458442E-2</v>
      </c>
      <c r="L36" s="183">
        <f t="shared" si="18"/>
        <v>-0.13917978340759873</v>
      </c>
      <c r="M36" s="183">
        <f t="shared" si="18"/>
        <v>1.0480289347469807E-7</v>
      </c>
      <c r="N36" s="183">
        <f t="shared" si="18"/>
        <v>6.8204826675355434E-8</v>
      </c>
      <c r="O36" s="183"/>
      <c r="P36" s="186" t="s">
        <v>687</v>
      </c>
      <c r="Q36" s="187" t="s">
        <v>693</v>
      </c>
      <c r="R36" s="186" t="s">
        <v>683</v>
      </c>
      <c r="S36" s="186" t="s">
        <v>685</v>
      </c>
      <c r="T36" s="186" t="s">
        <v>686</v>
      </c>
    </row>
    <row r="37" spans="1:25" s="101" customFormat="1" ht="15" x14ac:dyDescent="0.35">
      <c r="A37" s="97" t="s">
        <v>837</v>
      </c>
      <c r="B37" s="98" t="s">
        <v>838</v>
      </c>
      <c r="C37" s="99" t="s">
        <v>975</v>
      </c>
      <c r="D37" s="99" t="s">
        <v>976</v>
      </c>
      <c r="E37" s="99" t="s">
        <v>977</v>
      </c>
      <c r="F37" s="99" t="s">
        <v>978</v>
      </c>
      <c r="G37" s="99" t="s">
        <v>979</v>
      </c>
      <c r="H37" s="99" t="s">
        <v>980</v>
      </c>
      <c r="I37" s="99" t="s">
        <v>981</v>
      </c>
      <c r="J37" s="99" t="s">
        <v>982</v>
      </c>
      <c r="K37" s="99" t="s">
        <v>983</v>
      </c>
      <c r="L37" s="99" t="s">
        <v>984</v>
      </c>
      <c r="M37" s="99" t="s">
        <v>985</v>
      </c>
      <c r="N37" s="99" t="s">
        <v>986</v>
      </c>
      <c r="O37" s="100" t="s">
        <v>0</v>
      </c>
      <c r="P37" s="100" t="s">
        <v>681</v>
      </c>
      <c r="Q37" s="100" t="s">
        <v>694</v>
      </c>
      <c r="R37" s="100" t="s">
        <v>688</v>
      </c>
      <c r="S37" s="100" t="s">
        <v>688</v>
      </c>
      <c r="T37" s="100" t="s">
        <v>688</v>
      </c>
      <c r="W37" s="2" t="s">
        <v>1162</v>
      </c>
      <c r="X37" s="101" t="s">
        <v>1163</v>
      </c>
      <c r="Y37" s="101" t="s">
        <v>1164</v>
      </c>
    </row>
    <row r="38" spans="1:25" x14ac:dyDescent="0.2"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19"/>
    </row>
    <row r="39" spans="1:25" x14ac:dyDescent="0.2">
      <c r="A39" s="3" t="str">
        <f>A8</f>
        <v xml:space="preserve">Schedule R - Residential Rate </v>
      </c>
      <c r="B39" s="38">
        <f>B8</f>
        <v>1</v>
      </c>
      <c r="C39" s="280">
        <f>BillingDat!D6+BillingDat!D7</f>
        <v>24446</v>
      </c>
      <c r="D39" s="280">
        <f>BillingDat!E6+BillingDat!E7</f>
        <v>24499</v>
      </c>
      <c r="E39" s="280">
        <f>BillingDat!F6+BillingDat!F7</f>
        <v>24501</v>
      </c>
      <c r="F39" s="280">
        <f>BillingDat!G6+BillingDat!G7</f>
        <v>24513</v>
      </c>
      <c r="G39" s="280">
        <f>BillingDat!H6+BillingDat!H7</f>
        <v>24544</v>
      </c>
      <c r="H39" s="280">
        <f>BillingDat!I6+BillingDat!I7</f>
        <v>24597</v>
      </c>
      <c r="I39" s="280">
        <f>BillingDat!J6+BillingDat!J7</f>
        <v>24618</v>
      </c>
      <c r="J39" s="280">
        <f>BillingDat!K6+BillingDat!K7</f>
        <v>24655</v>
      </c>
      <c r="K39" s="280">
        <f>BillingDat!L6+BillingDat!L7</f>
        <v>24652</v>
      </c>
      <c r="L39" s="280">
        <f>BillingDat!M6+BillingDat!M7</f>
        <v>24645</v>
      </c>
      <c r="M39" s="280">
        <f>BillingDat!N6+BillingDat!N7</f>
        <v>24588</v>
      </c>
      <c r="N39" s="280">
        <f>BillingDat!O6+BillingDat!O7</f>
        <v>24625</v>
      </c>
      <c r="O39" s="280">
        <f>ROUND(SUM(C39:N39)/12,0)</f>
        <v>24574</v>
      </c>
      <c r="P39" s="32"/>
      <c r="Q39" s="19"/>
      <c r="W39" s="19">
        <f>N39</f>
        <v>24625</v>
      </c>
      <c r="X39" s="19">
        <f>AVERAGE(C39:N39)</f>
        <v>24573.583333333332</v>
      </c>
      <c r="Y39" s="19">
        <f>W39-X39</f>
        <v>51.416666666667879</v>
      </c>
    </row>
    <row r="40" spans="1:25" x14ac:dyDescent="0.2">
      <c r="A40" s="2" t="s">
        <v>994</v>
      </c>
      <c r="C40" s="280">
        <f>BillingDat!D28+BillingDat!D29</f>
        <v>35327141</v>
      </c>
      <c r="D40" s="280">
        <f>BillingDat!E28+BillingDat!E29</f>
        <v>34851785</v>
      </c>
      <c r="E40" s="280">
        <f>BillingDat!F28+BillingDat!F29</f>
        <v>24800727</v>
      </c>
      <c r="F40" s="280">
        <f>BillingDat!G28+BillingDat!G29</f>
        <v>20375479</v>
      </c>
      <c r="G40" s="280">
        <f>BillingDat!H28+BillingDat!H29</f>
        <v>18865332</v>
      </c>
      <c r="H40" s="280">
        <f>BillingDat!I28+BillingDat!I29</f>
        <v>22508497</v>
      </c>
      <c r="I40" s="280">
        <f>BillingDat!J28+BillingDat!J29</f>
        <v>29358242</v>
      </c>
      <c r="J40" s="280">
        <f>BillingDat!K28+BillingDat!K29</f>
        <v>28313130</v>
      </c>
      <c r="K40" s="280">
        <f>BillingDat!L28+BillingDat!L29</f>
        <v>26897001</v>
      </c>
      <c r="L40" s="280">
        <f>BillingDat!M28+BillingDat!M29</f>
        <v>20086721</v>
      </c>
      <c r="M40" s="280">
        <f>BillingDat!N28+BillingDat!N29</f>
        <v>19566687</v>
      </c>
      <c r="N40" s="280">
        <f>BillingDat!O28+BillingDat!O29</f>
        <v>29471211</v>
      </c>
      <c r="O40" s="280">
        <f>SUM(C40:N40)</f>
        <v>310421953</v>
      </c>
      <c r="P40" s="95"/>
      <c r="Q40" s="95"/>
      <c r="U40" s="85"/>
      <c r="W40" s="85"/>
    </row>
    <row r="41" spans="1:25" x14ac:dyDescent="0.2">
      <c r="A41" s="2" t="s">
        <v>678</v>
      </c>
      <c r="C41" s="280">
        <f>C40/C$35</f>
        <v>47482.716397849465</v>
      </c>
      <c r="D41" s="280">
        <f t="shared" ref="D41:N41" si="19">D40/D$35</f>
        <v>51862.775297619046</v>
      </c>
      <c r="E41" s="280">
        <f t="shared" si="19"/>
        <v>33334.31048387097</v>
      </c>
      <c r="F41" s="280">
        <f t="shared" si="19"/>
        <v>28299.276388888888</v>
      </c>
      <c r="G41" s="280">
        <f t="shared" si="19"/>
        <v>25356.629032258064</v>
      </c>
      <c r="H41" s="280">
        <f t="shared" si="19"/>
        <v>31261.801388888889</v>
      </c>
      <c r="I41" s="280">
        <f t="shared" si="19"/>
        <v>39460.002688172041</v>
      </c>
      <c r="J41" s="280">
        <f t="shared" si="19"/>
        <v>38055.282258064515</v>
      </c>
      <c r="K41" s="280">
        <f t="shared" si="19"/>
        <v>37356.945833333331</v>
      </c>
      <c r="L41" s="280">
        <f t="shared" si="19"/>
        <v>26998.280913978495</v>
      </c>
      <c r="M41" s="280">
        <f t="shared" si="19"/>
        <v>27175.954166666666</v>
      </c>
      <c r="N41" s="280">
        <f t="shared" si="19"/>
        <v>39611.842741935485</v>
      </c>
      <c r="O41" s="280">
        <f>O40/8760</f>
        <v>35436.296004566211</v>
      </c>
      <c r="P41" s="32"/>
      <c r="Q41" s="32"/>
    </row>
    <row r="42" spans="1:25" x14ac:dyDescent="0.2">
      <c r="A42" s="2" t="s">
        <v>727</v>
      </c>
      <c r="C42" s="281">
        <v>0.39055790744698982</v>
      </c>
      <c r="D42" s="281">
        <v>0.66996622892484514</v>
      </c>
      <c r="E42" s="281">
        <v>0.51637779493183156</v>
      </c>
      <c r="F42" s="281">
        <v>0.61411414947070397</v>
      </c>
      <c r="G42" s="281">
        <v>0.44138292559438941</v>
      </c>
      <c r="H42" s="281">
        <v>0.40424865667234161</v>
      </c>
      <c r="I42" s="281">
        <v>0.51412407135250338</v>
      </c>
      <c r="J42" s="281">
        <v>0.51885636018751558</v>
      </c>
      <c r="K42" s="281">
        <v>0.60919000000000001</v>
      </c>
      <c r="L42" s="281">
        <v>0.52902000000000005</v>
      </c>
      <c r="M42" s="281">
        <v>0.43440916999068213</v>
      </c>
      <c r="N42" s="281">
        <v>0.38401717818631576</v>
      </c>
      <c r="O42" s="281"/>
      <c r="Q42" s="19"/>
    </row>
    <row r="43" spans="1:25" x14ac:dyDescent="0.2">
      <c r="A43" s="2" t="s">
        <v>728</v>
      </c>
      <c r="C43" s="280">
        <f>C41/C42</f>
        <v>121576.63560888027</v>
      </c>
      <c r="D43" s="280">
        <f t="shared" ref="D43:N43" si="20">D41/D42</f>
        <v>77411.029181049758</v>
      </c>
      <c r="E43" s="280">
        <f t="shared" si="20"/>
        <v>64554.112920892585</v>
      </c>
      <c r="F43" s="280">
        <f t="shared" si="20"/>
        <v>46081.459633000835</v>
      </c>
      <c r="G43" s="280">
        <f t="shared" si="20"/>
        <v>57448.142104979474</v>
      </c>
      <c r="H43" s="280">
        <f t="shared" si="20"/>
        <v>77333.099004526142</v>
      </c>
      <c r="I43" s="280">
        <f t="shared" si="20"/>
        <v>76751.906566764766</v>
      </c>
      <c r="J43" s="280">
        <f t="shared" si="20"/>
        <v>73344.542301285983</v>
      </c>
      <c r="K43" s="280">
        <f t="shared" si="20"/>
        <v>61322.322811164551</v>
      </c>
      <c r="L43" s="280">
        <f t="shared" si="20"/>
        <v>51034.518381116955</v>
      </c>
      <c r="M43" s="280">
        <f t="shared" si="20"/>
        <v>62558.426580289677</v>
      </c>
      <c r="N43" s="280">
        <f t="shared" si="20"/>
        <v>103151.22601811522</v>
      </c>
      <c r="O43" s="280">
        <f>SUM(C43:N43)</f>
        <v>872567.42111206625</v>
      </c>
      <c r="Q43" s="19">
        <f>MAX(C43:N43)</f>
        <v>121576.63560888027</v>
      </c>
    </row>
    <row r="44" spans="1:25" x14ac:dyDescent="0.2">
      <c r="A44" s="2" t="s">
        <v>679</v>
      </c>
      <c r="C44" s="281">
        <v>0.95</v>
      </c>
      <c r="D44" s="281">
        <v>0.93</v>
      </c>
      <c r="E44" s="281">
        <v>0.9</v>
      </c>
      <c r="F44" s="281">
        <v>0.9</v>
      </c>
      <c r="G44" s="281">
        <v>0.95</v>
      </c>
      <c r="H44" s="281">
        <v>0.95</v>
      </c>
      <c r="I44" s="281">
        <v>0.98</v>
      </c>
      <c r="J44" s="281">
        <v>0.98</v>
      </c>
      <c r="K44" s="281">
        <v>0.95</v>
      </c>
      <c r="L44" s="281">
        <v>0.93</v>
      </c>
      <c r="M44" s="281">
        <v>0.9</v>
      </c>
      <c r="N44" s="281">
        <v>0.9</v>
      </c>
      <c r="O44" s="281"/>
      <c r="P44" s="32"/>
      <c r="Q44" s="19"/>
    </row>
    <row r="45" spans="1:25" x14ac:dyDescent="0.2">
      <c r="A45" s="2" t="s">
        <v>680</v>
      </c>
      <c r="C45" s="280">
        <f>C43*C44</f>
        <v>115497.80382843626</v>
      </c>
      <c r="D45" s="280">
        <f t="shared" ref="D45:N45" si="21">D43*D44</f>
        <v>71992.257138376284</v>
      </c>
      <c r="E45" s="280">
        <f t="shared" si="21"/>
        <v>58098.701628803326</v>
      </c>
      <c r="F45" s="280">
        <f t="shared" si="21"/>
        <v>41473.31366970075</v>
      </c>
      <c r="G45" s="280">
        <f t="shared" si="21"/>
        <v>54575.734999730499</v>
      </c>
      <c r="H45" s="280">
        <f t="shared" si="21"/>
        <v>73466.444054299835</v>
      </c>
      <c r="I45" s="280">
        <f t="shared" si="21"/>
        <v>75216.868435429467</v>
      </c>
      <c r="J45" s="280">
        <f t="shared" si="21"/>
        <v>71877.65145526026</v>
      </c>
      <c r="K45" s="280">
        <f t="shared" si="21"/>
        <v>58256.20667060632</v>
      </c>
      <c r="L45" s="280">
        <f t="shared" si="21"/>
        <v>47462.102094438771</v>
      </c>
      <c r="M45" s="280">
        <f t="shared" si="21"/>
        <v>56302.58392226071</v>
      </c>
      <c r="N45" s="280">
        <f t="shared" si="21"/>
        <v>92836.103416303697</v>
      </c>
      <c r="O45" s="280">
        <f>SUM(C45:N45)</f>
        <v>817055.77131364611</v>
      </c>
      <c r="P45" s="32"/>
      <c r="Q45" s="19"/>
      <c r="R45" s="19">
        <f>O45</f>
        <v>817055.77131364611</v>
      </c>
      <c r="S45" s="19">
        <f>H45+I45+J45</f>
        <v>220560.96394498958</v>
      </c>
      <c r="T45" s="19">
        <f>R45-S45</f>
        <v>596494.8073686565</v>
      </c>
    </row>
    <row r="46" spans="1:25" x14ac:dyDescent="0.2">
      <c r="A46" s="2" t="s">
        <v>729</v>
      </c>
      <c r="C46" s="281">
        <v>0.18</v>
      </c>
      <c r="D46" s="281">
        <v>0.18</v>
      </c>
      <c r="E46" s="281">
        <v>0.18</v>
      </c>
      <c r="F46" s="281">
        <v>0.18</v>
      </c>
      <c r="G46" s="281">
        <v>0.18</v>
      </c>
      <c r="H46" s="281">
        <v>0.18</v>
      </c>
      <c r="I46" s="281">
        <v>0.18</v>
      </c>
      <c r="J46" s="281">
        <v>0.18</v>
      </c>
      <c r="K46" s="281">
        <v>0.18</v>
      </c>
      <c r="L46" s="281">
        <v>0.18</v>
      </c>
      <c r="M46" s="281">
        <v>0.18</v>
      </c>
      <c r="N46" s="281">
        <v>0.18</v>
      </c>
      <c r="O46" s="281"/>
      <c r="P46" s="95"/>
      <c r="Q46" s="95"/>
      <c r="U46" s="85"/>
      <c r="W46" s="85"/>
    </row>
    <row r="47" spans="1:25" x14ac:dyDescent="0.2">
      <c r="A47" s="2" t="s">
        <v>730</v>
      </c>
      <c r="C47" s="280">
        <f>C41/C46</f>
        <v>263792.8688769415</v>
      </c>
      <c r="D47" s="280">
        <f t="shared" ref="D47:N47" si="22">D41/D46</f>
        <v>288126.52943121694</v>
      </c>
      <c r="E47" s="280">
        <f t="shared" si="22"/>
        <v>185190.61379928316</v>
      </c>
      <c r="F47" s="280">
        <f t="shared" si="22"/>
        <v>157218.20216049382</v>
      </c>
      <c r="G47" s="280">
        <f t="shared" si="22"/>
        <v>140870.16129032258</v>
      </c>
      <c r="H47" s="280">
        <f t="shared" si="22"/>
        <v>173676.67438271607</v>
      </c>
      <c r="I47" s="280">
        <f t="shared" si="22"/>
        <v>219222.23715651134</v>
      </c>
      <c r="J47" s="280">
        <f t="shared" si="22"/>
        <v>211418.2347670251</v>
      </c>
      <c r="K47" s="280">
        <f t="shared" si="22"/>
        <v>207538.58796296295</v>
      </c>
      <c r="L47" s="280">
        <f t="shared" si="22"/>
        <v>149990.44952210275</v>
      </c>
      <c r="M47" s="280">
        <f t="shared" si="22"/>
        <v>150977.52314814815</v>
      </c>
      <c r="N47" s="280">
        <f t="shared" si="22"/>
        <v>220065.79301075271</v>
      </c>
      <c r="O47" s="280">
        <f>SUM(C47:N47)</f>
        <v>2368087.875508477</v>
      </c>
      <c r="P47" s="32">
        <f>MAX(C47:N47)</f>
        <v>288126.52943121694</v>
      </c>
      <c r="Q47" s="32"/>
    </row>
    <row r="48" spans="1:25" x14ac:dyDescent="0.2"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32"/>
      <c r="Q48" s="32"/>
    </row>
    <row r="49" spans="1:25" hidden="1" x14ac:dyDescent="0.2">
      <c r="A49" s="3" t="str">
        <f>A9</f>
        <v>Schedule R - Pay As You Go ("Prepay")</v>
      </c>
      <c r="B49" s="38">
        <f>B9</f>
        <v>2</v>
      </c>
      <c r="C49" s="280">
        <v>0</v>
      </c>
      <c r="D49" s="280">
        <v>0</v>
      </c>
      <c r="E49" s="280">
        <v>0</v>
      </c>
      <c r="F49" s="280">
        <v>0</v>
      </c>
      <c r="G49" s="280">
        <v>0</v>
      </c>
      <c r="H49" s="280">
        <v>0</v>
      </c>
      <c r="I49" s="280">
        <v>0</v>
      </c>
      <c r="J49" s="280">
        <v>0</v>
      </c>
      <c r="K49" s="280">
        <v>0</v>
      </c>
      <c r="L49" s="280">
        <v>0</v>
      </c>
      <c r="M49" s="280">
        <v>0</v>
      </c>
      <c r="N49" s="280">
        <v>0</v>
      </c>
      <c r="O49" s="280">
        <f>ROUND(SUM(C49:N49)/12,0)</f>
        <v>0</v>
      </c>
      <c r="P49" s="32"/>
      <c r="Q49" s="19"/>
    </row>
    <row r="50" spans="1:25" hidden="1" x14ac:dyDescent="0.2">
      <c r="A50" s="2" t="s">
        <v>994</v>
      </c>
      <c r="C50" s="280">
        <v>0</v>
      </c>
      <c r="D50" s="280">
        <v>0</v>
      </c>
      <c r="E50" s="280">
        <v>0</v>
      </c>
      <c r="F50" s="280">
        <v>0</v>
      </c>
      <c r="G50" s="280">
        <v>0</v>
      </c>
      <c r="H50" s="280">
        <v>0</v>
      </c>
      <c r="I50" s="280">
        <v>0</v>
      </c>
      <c r="J50" s="280">
        <v>0</v>
      </c>
      <c r="K50" s="280">
        <v>0</v>
      </c>
      <c r="L50" s="280">
        <v>0</v>
      </c>
      <c r="M50" s="280">
        <v>0</v>
      </c>
      <c r="N50" s="280">
        <v>0</v>
      </c>
      <c r="O50" s="280">
        <f>SUM(C50:N50)</f>
        <v>0</v>
      </c>
      <c r="P50" s="95"/>
      <c r="Q50" s="95"/>
      <c r="U50" s="85"/>
      <c r="W50" s="85"/>
    </row>
    <row r="51" spans="1:25" hidden="1" x14ac:dyDescent="0.2">
      <c r="A51" s="2" t="s">
        <v>678</v>
      </c>
      <c r="C51" s="280">
        <f>C50/C$35</f>
        <v>0</v>
      </c>
      <c r="D51" s="280">
        <f t="shared" ref="D51" si="23">D50/D$35</f>
        <v>0</v>
      </c>
      <c r="E51" s="280">
        <f t="shared" ref="E51" si="24">E50/E$35</f>
        <v>0</v>
      </c>
      <c r="F51" s="280">
        <f t="shared" ref="F51" si="25">F50/F$35</f>
        <v>0</v>
      </c>
      <c r="G51" s="280">
        <f t="shared" ref="G51" si="26">G50/G$35</f>
        <v>0</v>
      </c>
      <c r="H51" s="280">
        <f t="shared" ref="H51" si="27">H50/H$35</f>
        <v>0</v>
      </c>
      <c r="I51" s="280">
        <f t="shared" ref="I51" si="28">I50/I$35</f>
        <v>0</v>
      </c>
      <c r="J51" s="280">
        <f t="shared" ref="J51" si="29">J50/J$35</f>
        <v>0</v>
      </c>
      <c r="K51" s="280">
        <f t="shared" ref="K51" si="30">K50/K$35</f>
        <v>0</v>
      </c>
      <c r="L51" s="280">
        <f t="shared" ref="L51" si="31">L50/L$35</f>
        <v>0</v>
      </c>
      <c r="M51" s="280">
        <f t="shared" ref="M51" si="32">M50/M$35</f>
        <v>0</v>
      </c>
      <c r="N51" s="280">
        <f t="shared" ref="N51" si="33">N50/N$35</f>
        <v>0</v>
      </c>
      <c r="O51" s="280">
        <f>O50/8760</f>
        <v>0</v>
      </c>
      <c r="P51" s="32"/>
      <c r="Q51" s="32"/>
    </row>
    <row r="52" spans="1:25" hidden="1" x14ac:dyDescent="0.2">
      <c r="A52" s="2" t="s">
        <v>727</v>
      </c>
      <c r="C52" s="281">
        <f>C42</f>
        <v>0.39055790744698982</v>
      </c>
      <c r="D52" s="281">
        <f t="shared" ref="D52:N52" si="34">D42</f>
        <v>0.66996622892484514</v>
      </c>
      <c r="E52" s="281">
        <f t="shared" si="34"/>
        <v>0.51637779493183156</v>
      </c>
      <c r="F52" s="281">
        <f t="shared" si="34"/>
        <v>0.61411414947070397</v>
      </c>
      <c r="G52" s="281">
        <f t="shared" si="34"/>
        <v>0.44138292559438941</v>
      </c>
      <c r="H52" s="281">
        <f t="shared" si="34"/>
        <v>0.40424865667234161</v>
      </c>
      <c r="I52" s="281">
        <f t="shared" si="34"/>
        <v>0.51412407135250338</v>
      </c>
      <c r="J52" s="281">
        <f t="shared" si="34"/>
        <v>0.51885636018751558</v>
      </c>
      <c r="K52" s="281">
        <f t="shared" si="34"/>
        <v>0.60919000000000001</v>
      </c>
      <c r="L52" s="281">
        <f t="shared" si="34"/>
        <v>0.52902000000000005</v>
      </c>
      <c r="M52" s="281">
        <f t="shared" si="34"/>
        <v>0.43440916999068213</v>
      </c>
      <c r="N52" s="281">
        <f t="shared" si="34"/>
        <v>0.38401717818631576</v>
      </c>
      <c r="O52" s="281"/>
      <c r="Q52" s="19"/>
      <c r="W52" s="19">
        <f>N52</f>
        <v>0.38401717818631576</v>
      </c>
      <c r="X52" s="19">
        <f>AVERAGE(C52:N52)</f>
        <v>0.50218870356317657</v>
      </c>
      <c r="Y52" s="19">
        <f>W52-X52</f>
        <v>-0.11817152537686082</v>
      </c>
    </row>
    <row r="53" spans="1:25" hidden="1" x14ac:dyDescent="0.2">
      <c r="A53" s="2" t="s">
        <v>728</v>
      </c>
      <c r="C53" s="280">
        <f>C51/C52</f>
        <v>0</v>
      </c>
      <c r="D53" s="280">
        <f t="shared" ref="D53:N53" si="35">D51/D52</f>
        <v>0</v>
      </c>
      <c r="E53" s="280">
        <f t="shared" si="35"/>
        <v>0</v>
      </c>
      <c r="F53" s="280">
        <f t="shared" si="35"/>
        <v>0</v>
      </c>
      <c r="G53" s="280">
        <f t="shared" si="35"/>
        <v>0</v>
      </c>
      <c r="H53" s="280">
        <f t="shared" si="35"/>
        <v>0</v>
      </c>
      <c r="I53" s="280">
        <f t="shared" si="35"/>
        <v>0</v>
      </c>
      <c r="J53" s="280">
        <f t="shared" si="35"/>
        <v>0</v>
      </c>
      <c r="K53" s="280">
        <f t="shared" si="35"/>
        <v>0</v>
      </c>
      <c r="L53" s="280">
        <f t="shared" si="35"/>
        <v>0</v>
      </c>
      <c r="M53" s="280">
        <f t="shared" si="35"/>
        <v>0</v>
      </c>
      <c r="N53" s="280">
        <f t="shared" si="35"/>
        <v>0</v>
      </c>
      <c r="O53" s="280">
        <f>SUM(C53:N53)</f>
        <v>0</v>
      </c>
      <c r="Q53" s="19">
        <f>MAX(C53:N53)</f>
        <v>0</v>
      </c>
    </row>
    <row r="54" spans="1:25" hidden="1" x14ac:dyDescent="0.2">
      <c r="A54" s="2" t="s">
        <v>679</v>
      </c>
      <c r="C54" s="281">
        <f>C44</f>
        <v>0.95</v>
      </c>
      <c r="D54" s="281">
        <f t="shared" ref="D54:N54" si="36">D44</f>
        <v>0.93</v>
      </c>
      <c r="E54" s="281">
        <f t="shared" si="36"/>
        <v>0.9</v>
      </c>
      <c r="F54" s="281">
        <f t="shared" si="36"/>
        <v>0.9</v>
      </c>
      <c r="G54" s="281">
        <f t="shared" si="36"/>
        <v>0.95</v>
      </c>
      <c r="H54" s="281">
        <f t="shared" si="36"/>
        <v>0.95</v>
      </c>
      <c r="I54" s="281">
        <f t="shared" si="36"/>
        <v>0.98</v>
      </c>
      <c r="J54" s="281">
        <f t="shared" si="36"/>
        <v>0.98</v>
      </c>
      <c r="K54" s="281">
        <f t="shared" si="36"/>
        <v>0.95</v>
      </c>
      <c r="L54" s="281">
        <f t="shared" si="36"/>
        <v>0.93</v>
      </c>
      <c r="M54" s="281">
        <f t="shared" si="36"/>
        <v>0.9</v>
      </c>
      <c r="N54" s="281">
        <f t="shared" si="36"/>
        <v>0.9</v>
      </c>
      <c r="O54" s="281"/>
      <c r="P54" s="32"/>
      <c r="Q54" s="19"/>
    </row>
    <row r="55" spans="1:25" hidden="1" x14ac:dyDescent="0.2">
      <c r="A55" s="2" t="s">
        <v>680</v>
      </c>
      <c r="C55" s="280">
        <f>C53*C54</f>
        <v>0</v>
      </c>
      <c r="D55" s="280">
        <f t="shared" ref="D55:N55" si="37">D53*D54</f>
        <v>0</v>
      </c>
      <c r="E55" s="280">
        <f t="shared" si="37"/>
        <v>0</v>
      </c>
      <c r="F55" s="280">
        <f t="shared" si="37"/>
        <v>0</v>
      </c>
      <c r="G55" s="280">
        <f t="shared" si="37"/>
        <v>0</v>
      </c>
      <c r="H55" s="280">
        <f t="shared" si="37"/>
        <v>0</v>
      </c>
      <c r="I55" s="280">
        <f t="shared" si="37"/>
        <v>0</v>
      </c>
      <c r="J55" s="280">
        <f t="shared" si="37"/>
        <v>0</v>
      </c>
      <c r="K55" s="280">
        <f t="shared" si="37"/>
        <v>0</v>
      </c>
      <c r="L55" s="280">
        <f t="shared" si="37"/>
        <v>0</v>
      </c>
      <c r="M55" s="280">
        <f t="shared" si="37"/>
        <v>0</v>
      </c>
      <c r="N55" s="280">
        <f t="shared" si="37"/>
        <v>0</v>
      </c>
      <c r="O55" s="280">
        <f>SUM(C55:N55)</f>
        <v>0</v>
      </c>
      <c r="P55" s="32"/>
      <c r="Q55" s="19"/>
      <c r="R55" s="19">
        <f>O55</f>
        <v>0</v>
      </c>
      <c r="S55" s="19">
        <f>H55+I55+J55</f>
        <v>0</v>
      </c>
      <c r="T55" s="19">
        <f>R55-S55</f>
        <v>0</v>
      </c>
    </row>
    <row r="56" spans="1:25" hidden="1" x14ac:dyDescent="0.2">
      <c r="A56" s="2" t="s">
        <v>729</v>
      </c>
      <c r="C56" s="281">
        <f>C46</f>
        <v>0.18</v>
      </c>
      <c r="D56" s="281">
        <f t="shared" ref="D56:N56" si="38">D46</f>
        <v>0.18</v>
      </c>
      <c r="E56" s="281">
        <f t="shared" si="38"/>
        <v>0.18</v>
      </c>
      <c r="F56" s="281">
        <f t="shared" si="38"/>
        <v>0.18</v>
      </c>
      <c r="G56" s="281">
        <f t="shared" si="38"/>
        <v>0.18</v>
      </c>
      <c r="H56" s="281">
        <f t="shared" si="38"/>
        <v>0.18</v>
      </c>
      <c r="I56" s="281">
        <f t="shared" si="38"/>
        <v>0.18</v>
      </c>
      <c r="J56" s="281">
        <f t="shared" si="38"/>
        <v>0.18</v>
      </c>
      <c r="K56" s="281">
        <f t="shared" si="38"/>
        <v>0.18</v>
      </c>
      <c r="L56" s="281">
        <f t="shared" si="38"/>
        <v>0.18</v>
      </c>
      <c r="M56" s="281">
        <f t="shared" si="38"/>
        <v>0.18</v>
      </c>
      <c r="N56" s="281">
        <f t="shared" si="38"/>
        <v>0.18</v>
      </c>
      <c r="O56" s="281"/>
      <c r="P56" s="95"/>
      <c r="Q56" s="95"/>
      <c r="U56" s="85"/>
      <c r="W56" s="85"/>
    </row>
    <row r="57" spans="1:25" hidden="1" x14ac:dyDescent="0.2">
      <c r="A57" s="2" t="s">
        <v>730</v>
      </c>
      <c r="C57" s="280">
        <f>C51/C56</f>
        <v>0</v>
      </c>
      <c r="D57" s="280">
        <f t="shared" ref="D57:N57" si="39">D51/D56</f>
        <v>0</v>
      </c>
      <c r="E57" s="280">
        <f t="shared" si="39"/>
        <v>0</v>
      </c>
      <c r="F57" s="280">
        <f t="shared" si="39"/>
        <v>0</v>
      </c>
      <c r="G57" s="280">
        <f t="shared" si="39"/>
        <v>0</v>
      </c>
      <c r="H57" s="280">
        <f t="shared" si="39"/>
        <v>0</v>
      </c>
      <c r="I57" s="280">
        <f t="shared" si="39"/>
        <v>0</v>
      </c>
      <c r="J57" s="280">
        <f t="shared" si="39"/>
        <v>0</v>
      </c>
      <c r="K57" s="280">
        <f t="shared" si="39"/>
        <v>0</v>
      </c>
      <c r="L57" s="280">
        <f t="shared" si="39"/>
        <v>0</v>
      </c>
      <c r="M57" s="280">
        <f t="shared" si="39"/>
        <v>0</v>
      </c>
      <c r="N57" s="280">
        <f t="shared" si="39"/>
        <v>0</v>
      </c>
      <c r="O57" s="280">
        <f>SUM(C57:N57)</f>
        <v>0</v>
      </c>
      <c r="P57" s="32">
        <f>MAX(C57:N57)</f>
        <v>0</v>
      </c>
      <c r="Q57" s="32"/>
    </row>
    <row r="58" spans="1:25" hidden="1" x14ac:dyDescent="0.2"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95"/>
      <c r="Q58" s="95"/>
      <c r="U58" s="85"/>
      <c r="W58" s="85"/>
    </row>
    <row r="59" spans="1:25" x14ac:dyDescent="0.2">
      <c r="A59" s="3" t="str">
        <f>A10</f>
        <v>Schedule R - Residential Time of Day Rate</v>
      </c>
      <c r="B59" s="38">
        <f>B10</f>
        <v>3</v>
      </c>
      <c r="C59" s="280">
        <f>BillingDat!D8</f>
        <v>1</v>
      </c>
      <c r="D59" s="280">
        <f>BillingDat!E8</f>
        <v>1</v>
      </c>
      <c r="E59" s="280">
        <f>BillingDat!F8</f>
        <v>1</v>
      </c>
      <c r="F59" s="280">
        <f>BillingDat!G8</f>
        <v>1</v>
      </c>
      <c r="G59" s="280">
        <f>BillingDat!H8</f>
        <v>1</v>
      </c>
      <c r="H59" s="280">
        <f>BillingDat!I8</f>
        <v>1</v>
      </c>
      <c r="I59" s="280">
        <f>BillingDat!J8</f>
        <v>1</v>
      </c>
      <c r="J59" s="280">
        <f>BillingDat!K8</f>
        <v>1</v>
      </c>
      <c r="K59" s="280">
        <f>BillingDat!L8</f>
        <v>1</v>
      </c>
      <c r="L59" s="280">
        <f>BillingDat!M8</f>
        <v>1</v>
      </c>
      <c r="M59" s="280">
        <f>BillingDat!N8</f>
        <v>1</v>
      </c>
      <c r="N59" s="280">
        <f>BillingDat!O8</f>
        <v>1</v>
      </c>
      <c r="O59" s="280">
        <f>ROUND(SUM(C59:N59)/12,0)</f>
        <v>1</v>
      </c>
      <c r="P59" s="32"/>
      <c r="Q59" s="19"/>
      <c r="W59" s="19">
        <f>N59</f>
        <v>1</v>
      </c>
      <c r="X59" s="19">
        <f>AVERAGE(C59:N59)</f>
        <v>1</v>
      </c>
      <c r="Y59" s="19">
        <f>W59-X59</f>
        <v>0</v>
      </c>
    </row>
    <row r="60" spans="1:25" x14ac:dyDescent="0.2">
      <c r="A60" s="2" t="s">
        <v>994</v>
      </c>
      <c r="C60" s="280">
        <f>BillingDat!D30</f>
        <v>1193</v>
      </c>
      <c r="D60" s="280">
        <f>BillingDat!E30</f>
        <v>1607</v>
      </c>
      <c r="E60" s="280">
        <f>BillingDat!F30</f>
        <v>908</v>
      </c>
      <c r="F60" s="280">
        <f>BillingDat!G30</f>
        <v>726</v>
      </c>
      <c r="G60" s="280">
        <f>BillingDat!H30</f>
        <v>1010</v>
      </c>
      <c r="H60" s="280">
        <f>BillingDat!I30</f>
        <v>984</v>
      </c>
      <c r="I60" s="280">
        <f>BillingDat!J30</f>
        <v>449</v>
      </c>
      <c r="J60" s="280">
        <f>BillingDat!K30</f>
        <v>431</v>
      </c>
      <c r="K60" s="280">
        <f>BillingDat!L30</f>
        <v>1737</v>
      </c>
      <c r="L60" s="280">
        <f>BillingDat!M30</f>
        <v>554</v>
      </c>
      <c r="M60" s="280">
        <f>BillingDat!N30</f>
        <v>352</v>
      </c>
      <c r="N60" s="280">
        <f>BillingDat!O30</f>
        <v>1176</v>
      </c>
      <c r="O60" s="280">
        <f>SUM(C60:N60)</f>
        <v>11127</v>
      </c>
      <c r="P60" s="95"/>
      <c r="Q60" s="95"/>
      <c r="U60" s="85"/>
      <c r="W60" s="85"/>
    </row>
    <row r="61" spans="1:25" x14ac:dyDescent="0.2">
      <c r="A61" s="2" t="s">
        <v>678</v>
      </c>
      <c r="C61" s="280">
        <f>C60/C$35</f>
        <v>1.603494623655914</v>
      </c>
      <c r="D61" s="280">
        <f t="shared" ref="D61:N61" si="40">D60/D$35</f>
        <v>2.3913690476190474</v>
      </c>
      <c r="E61" s="280">
        <f t="shared" si="40"/>
        <v>1.2204301075268817</v>
      </c>
      <c r="F61" s="280">
        <f t="shared" si="40"/>
        <v>1.0083333333333333</v>
      </c>
      <c r="G61" s="280">
        <f t="shared" si="40"/>
        <v>1.35752688172043</v>
      </c>
      <c r="H61" s="280">
        <f t="shared" si="40"/>
        <v>1.3666666666666667</v>
      </c>
      <c r="I61" s="280">
        <f t="shared" si="40"/>
        <v>0.603494623655914</v>
      </c>
      <c r="J61" s="280">
        <f t="shared" si="40"/>
        <v>0.57930107526881724</v>
      </c>
      <c r="K61" s="280">
        <f t="shared" si="40"/>
        <v>2.4125000000000001</v>
      </c>
      <c r="L61" s="280">
        <f t="shared" si="40"/>
        <v>0.7446236559139785</v>
      </c>
      <c r="M61" s="280">
        <f t="shared" si="40"/>
        <v>0.48888888888888887</v>
      </c>
      <c r="N61" s="280">
        <f t="shared" si="40"/>
        <v>1.5806451612903225</v>
      </c>
      <c r="O61" s="280">
        <f>O60/8760</f>
        <v>1.2702054794520548</v>
      </c>
      <c r="P61" s="32"/>
      <c r="Q61" s="32"/>
    </row>
    <row r="62" spans="1:25" x14ac:dyDescent="0.2">
      <c r="A62" s="2" t="s">
        <v>727</v>
      </c>
      <c r="C62" s="281">
        <v>0.5</v>
      </c>
      <c r="D62" s="281">
        <v>0.5</v>
      </c>
      <c r="E62" s="281">
        <v>0.5</v>
      </c>
      <c r="F62" s="281">
        <v>0.5</v>
      </c>
      <c r="G62" s="281">
        <v>0.5</v>
      </c>
      <c r="H62" s="281">
        <v>0.5</v>
      </c>
      <c r="I62" s="281">
        <v>0.5</v>
      </c>
      <c r="J62" s="281">
        <v>0.5</v>
      </c>
      <c r="K62" s="281">
        <v>0.5</v>
      </c>
      <c r="L62" s="281">
        <v>0.5</v>
      </c>
      <c r="M62" s="281">
        <v>0.5</v>
      </c>
      <c r="N62" s="281">
        <v>0.5</v>
      </c>
      <c r="O62" s="281"/>
      <c r="Q62" s="19"/>
    </row>
    <row r="63" spans="1:25" x14ac:dyDescent="0.2">
      <c r="A63" s="2" t="s">
        <v>728</v>
      </c>
      <c r="C63" s="280">
        <f>C61/C62</f>
        <v>3.206989247311828</v>
      </c>
      <c r="D63" s="280">
        <f t="shared" ref="D63:N63" si="41">D61/D62</f>
        <v>4.7827380952380949</v>
      </c>
      <c r="E63" s="280">
        <f t="shared" si="41"/>
        <v>2.4408602150537635</v>
      </c>
      <c r="F63" s="280">
        <f t="shared" si="41"/>
        <v>2.0166666666666666</v>
      </c>
      <c r="G63" s="280">
        <f t="shared" si="41"/>
        <v>2.71505376344086</v>
      </c>
      <c r="H63" s="280">
        <f t="shared" si="41"/>
        <v>2.7333333333333334</v>
      </c>
      <c r="I63" s="280">
        <f t="shared" si="41"/>
        <v>1.206989247311828</v>
      </c>
      <c r="J63" s="280">
        <f t="shared" si="41"/>
        <v>1.1586021505376345</v>
      </c>
      <c r="K63" s="280">
        <f t="shared" si="41"/>
        <v>4.8250000000000002</v>
      </c>
      <c r="L63" s="280">
        <f t="shared" si="41"/>
        <v>1.489247311827957</v>
      </c>
      <c r="M63" s="280">
        <f t="shared" si="41"/>
        <v>0.97777777777777775</v>
      </c>
      <c r="N63" s="280">
        <f t="shared" si="41"/>
        <v>3.161290322580645</v>
      </c>
      <c r="O63" s="280">
        <f>SUM(C63:N63)</f>
        <v>30.714548131080388</v>
      </c>
      <c r="Q63" s="19">
        <f>MAX(C63:N63)</f>
        <v>4.8250000000000002</v>
      </c>
    </row>
    <row r="64" spans="1:25" x14ac:dyDescent="0.2">
      <c r="A64" s="2" t="s">
        <v>679</v>
      </c>
      <c r="C64" s="281">
        <v>0.5</v>
      </c>
      <c r="D64" s="281">
        <v>0.5</v>
      </c>
      <c r="E64" s="281">
        <v>0.5</v>
      </c>
      <c r="F64" s="281">
        <v>0.5</v>
      </c>
      <c r="G64" s="281">
        <v>0.5</v>
      </c>
      <c r="H64" s="281">
        <v>0.5</v>
      </c>
      <c r="I64" s="281">
        <v>0.5</v>
      </c>
      <c r="J64" s="281">
        <v>0.5</v>
      </c>
      <c r="K64" s="281">
        <v>0.5</v>
      </c>
      <c r="L64" s="281">
        <v>0.5</v>
      </c>
      <c r="M64" s="281">
        <v>0.5</v>
      </c>
      <c r="N64" s="281">
        <v>0.5</v>
      </c>
      <c r="O64" s="281"/>
      <c r="P64" s="32"/>
      <c r="Q64" s="19"/>
    </row>
    <row r="65" spans="1:25" x14ac:dyDescent="0.2">
      <c r="A65" s="2" t="s">
        <v>680</v>
      </c>
      <c r="C65" s="280">
        <f>C63*C64</f>
        <v>1.603494623655914</v>
      </c>
      <c r="D65" s="280">
        <f t="shared" ref="D65:N65" si="42">D63*D64</f>
        <v>2.3913690476190474</v>
      </c>
      <c r="E65" s="280">
        <f t="shared" si="42"/>
        <v>1.2204301075268817</v>
      </c>
      <c r="F65" s="280">
        <f t="shared" si="42"/>
        <v>1.0083333333333333</v>
      </c>
      <c r="G65" s="280">
        <f t="shared" si="42"/>
        <v>1.35752688172043</v>
      </c>
      <c r="H65" s="280">
        <f t="shared" si="42"/>
        <v>1.3666666666666667</v>
      </c>
      <c r="I65" s="280">
        <f t="shared" si="42"/>
        <v>0.603494623655914</v>
      </c>
      <c r="J65" s="280">
        <f t="shared" si="42"/>
        <v>0.57930107526881724</v>
      </c>
      <c r="K65" s="280">
        <f t="shared" si="42"/>
        <v>2.4125000000000001</v>
      </c>
      <c r="L65" s="280">
        <f t="shared" si="42"/>
        <v>0.7446236559139785</v>
      </c>
      <c r="M65" s="280">
        <f t="shared" si="42"/>
        <v>0.48888888888888887</v>
      </c>
      <c r="N65" s="280">
        <f t="shared" si="42"/>
        <v>1.5806451612903225</v>
      </c>
      <c r="O65" s="280">
        <f>SUM(C65:N65)</f>
        <v>15.357274065540194</v>
      </c>
      <c r="P65" s="32"/>
      <c r="Q65" s="19"/>
      <c r="R65" s="19">
        <f>O65</f>
        <v>15.357274065540194</v>
      </c>
      <c r="S65" s="19">
        <f>H65+I65+J65</f>
        <v>2.5494623655913982</v>
      </c>
      <c r="T65" s="19">
        <f>R65-S65</f>
        <v>12.807811699948797</v>
      </c>
    </row>
    <row r="66" spans="1:25" x14ac:dyDescent="0.2">
      <c r="A66" s="2" t="s">
        <v>729</v>
      </c>
      <c r="C66" s="281">
        <f>C56</f>
        <v>0.18</v>
      </c>
      <c r="D66" s="281">
        <f t="shared" ref="D66:N66" si="43">D56</f>
        <v>0.18</v>
      </c>
      <c r="E66" s="281">
        <f t="shared" si="43"/>
        <v>0.18</v>
      </c>
      <c r="F66" s="281">
        <f t="shared" si="43"/>
        <v>0.18</v>
      </c>
      <c r="G66" s="281">
        <f t="shared" si="43"/>
        <v>0.18</v>
      </c>
      <c r="H66" s="281">
        <f t="shared" si="43"/>
        <v>0.18</v>
      </c>
      <c r="I66" s="281">
        <f t="shared" si="43"/>
        <v>0.18</v>
      </c>
      <c r="J66" s="281">
        <f t="shared" si="43"/>
        <v>0.18</v>
      </c>
      <c r="K66" s="281">
        <f t="shared" si="43"/>
        <v>0.18</v>
      </c>
      <c r="L66" s="281">
        <f t="shared" si="43"/>
        <v>0.18</v>
      </c>
      <c r="M66" s="281">
        <f t="shared" si="43"/>
        <v>0.18</v>
      </c>
      <c r="N66" s="281">
        <f t="shared" si="43"/>
        <v>0.18</v>
      </c>
      <c r="O66" s="281"/>
      <c r="P66" s="95"/>
      <c r="Q66" s="95"/>
      <c r="U66" s="85"/>
      <c r="W66" s="85"/>
    </row>
    <row r="67" spans="1:25" x14ac:dyDescent="0.2">
      <c r="A67" s="2" t="s">
        <v>730</v>
      </c>
      <c r="C67" s="280">
        <f>C61/C66</f>
        <v>8.9083034647550789</v>
      </c>
      <c r="D67" s="280">
        <f t="shared" ref="D67:N67" si="44">D61/D66</f>
        <v>13.285383597883598</v>
      </c>
      <c r="E67" s="280">
        <f t="shared" si="44"/>
        <v>6.7801672640382318</v>
      </c>
      <c r="F67" s="280">
        <f t="shared" si="44"/>
        <v>5.6018518518518521</v>
      </c>
      <c r="G67" s="280">
        <f t="shared" si="44"/>
        <v>7.5418160095579445</v>
      </c>
      <c r="H67" s="280">
        <f t="shared" si="44"/>
        <v>7.5925925925925934</v>
      </c>
      <c r="I67" s="280">
        <f t="shared" si="44"/>
        <v>3.3527479091995223</v>
      </c>
      <c r="J67" s="280">
        <f t="shared" si="44"/>
        <v>3.2183393070489847</v>
      </c>
      <c r="K67" s="280">
        <f t="shared" si="44"/>
        <v>13.402777777777779</v>
      </c>
      <c r="L67" s="280">
        <f t="shared" si="44"/>
        <v>4.1367980884109921</v>
      </c>
      <c r="M67" s="280">
        <f t="shared" si="44"/>
        <v>2.7160493827160495</v>
      </c>
      <c r="N67" s="280">
        <f t="shared" si="44"/>
        <v>8.7813620071684593</v>
      </c>
      <c r="O67" s="280">
        <f>SUM(C67:N67)</f>
        <v>85.318189253001094</v>
      </c>
      <c r="P67" s="32">
        <f>MAX(C67:N67)</f>
        <v>13.402777777777779</v>
      </c>
      <c r="Q67" s="32"/>
    </row>
    <row r="68" spans="1:25" x14ac:dyDescent="0.2">
      <c r="C68" s="283"/>
      <c r="D68" s="280"/>
      <c r="E68" s="280"/>
      <c r="F68" s="280"/>
      <c r="G68" s="280"/>
      <c r="H68" s="280"/>
      <c r="I68" s="280"/>
      <c r="J68" s="280"/>
      <c r="K68" s="280"/>
      <c r="L68" s="280"/>
      <c r="M68" s="280"/>
      <c r="N68" s="280"/>
      <c r="O68" s="280"/>
      <c r="P68" s="32"/>
      <c r="Q68" s="19"/>
    </row>
    <row r="69" spans="1:25" x14ac:dyDescent="0.2">
      <c r="A69" s="3" t="str">
        <f>A11</f>
        <v>Schedule C - Comm. &amp; Indust. Service Rate &lt; 50 kW</v>
      </c>
      <c r="B69" s="38">
        <f>B11</f>
        <v>4</v>
      </c>
      <c r="C69" s="280">
        <f>BillingDat!D9</f>
        <v>1715</v>
      </c>
      <c r="D69" s="280">
        <f>BillingDat!E9</f>
        <v>1726</v>
      </c>
      <c r="E69" s="280">
        <f>BillingDat!F9</f>
        <v>1725</v>
      </c>
      <c r="F69" s="280">
        <f>BillingDat!G9</f>
        <v>1736</v>
      </c>
      <c r="G69" s="280">
        <f>BillingDat!H9</f>
        <v>1733</v>
      </c>
      <c r="H69" s="280">
        <f>BillingDat!I9</f>
        <v>1737</v>
      </c>
      <c r="I69" s="280">
        <f>BillingDat!J9</f>
        <v>1738</v>
      </c>
      <c r="J69" s="280">
        <f>BillingDat!K9</f>
        <v>1749</v>
      </c>
      <c r="K69" s="280">
        <f>BillingDat!L9</f>
        <v>1752</v>
      </c>
      <c r="L69" s="280">
        <f>BillingDat!M9</f>
        <v>1860</v>
      </c>
      <c r="M69" s="280">
        <f>BillingDat!N9</f>
        <v>1879</v>
      </c>
      <c r="N69" s="280">
        <f>BillingDat!O9</f>
        <v>1869</v>
      </c>
      <c r="O69" s="280">
        <f>ROUND(SUM(C69:N69)/12,0)</f>
        <v>1768</v>
      </c>
      <c r="P69" s="32"/>
      <c r="Q69" s="19"/>
      <c r="W69" s="19">
        <f>N69</f>
        <v>1869</v>
      </c>
      <c r="X69" s="19">
        <f>AVERAGE(C69:N69)</f>
        <v>1768.25</v>
      </c>
      <c r="Y69" s="19">
        <f>W69-X69</f>
        <v>100.75</v>
      </c>
    </row>
    <row r="70" spans="1:25" x14ac:dyDescent="0.2">
      <c r="A70" s="2" t="s">
        <v>994</v>
      </c>
      <c r="C70" s="280">
        <f>BillingDat!D31</f>
        <v>2714673</v>
      </c>
      <c r="D70" s="280">
        <f>BillingDat!E31</f>
        <v>3122731</v>
      </c>
      <c r="E70" s="280">
        <f>BillingDat!F31</f>
        <v>2518988</v>
      </c>
      <c r="F70" s="280">
        <f>BillingDat!G31</f>
        <v>2380220</v>
      </c>
      <c r="G70" s="280">
        <f>BillingDat!H31</f>
        <v>2382379</v>
      </c>
      <c r="H70" s="280">
        <f>BillingDat!I31</f>
        <v>2702571</v>
      </c>
      <c r="I70" s="280">
        <f>BillingDat!J31</f>
        <v>3314551</v>
      </c>
      <c r="J70" s="280">
        <f>BillingDat!K31</f>
        <v>3567047</v>
      </c>
      <c r="K70" s="280">
        <f>BillingDat!L31</f>
        <v>3323219</v>
      </c>
      <c r="L70" s="280">
        <f>BillingDat!M31</f>
        <v>2956216</v>
      </c>
      <c r="M70" s="280">
        <f>BillingDat!N31</f>
        <v>2828318</v>
      </c>
      <c r="N70" s="280">
        <f>BillingDat!O31</f>
        <v>2602194</v>
      </c>
      <c r="O70" s="280">
        <f>SUM(C70:N70)</f>
        <v>34413107</v>
      </c>
      <c r="P70" s="95"/>
      <c r="Q70" s="95"/>
      <c r="U70" s="85"/>
      <c r="W70" s="85"/>
    </row>
    <row r="71" spans="1:25" x14ac:dyDescent="0.2">
      <c r="A71" s="2" t="s">
        <v>678</v>
      </c>
      <c r="C71" s="280">
        <f>C70/C$35</f>
        <v>3648.7540322580644</v>
      </c>
      <c r="D71" s="280">
        <f t="shared" ref="D71:N71" si="45">D70/D$35</f>
        <v>4646.9211309523807</v>
      </c>
      <c r="E71" s="280">
        <f t="shared" si="45"/>
        <v>3385.7365591397847</v>
      </c>
      <c r="F71" s="280">
        <f t="shared" si="45"/>
        <v>3305.8611111111113</v>
      </c>
      <c r="G71" s="280">
        <f t="shared" si="45"/>
        <v>3202.1223118279568</v>
      </c>
      <c r="H71" s="280">
        <f t="shared" si="45"/>
        <v>3753.5708333333332</v>
      </c>
      <c r="I71" s="280">
        <f t="shared" si="45"/>
        <v>4455.041666666667</v>
      </c>
      <c r="J71" s="280">
        <f t="shared" si="45"/>
        <v>4794.4180107526881</v>
      </c>
      <c r="K71" s="280">
        <f t="shared" si="45"/>
        <v>4615.5819444444442</v>
      </c>
      <c r="L71" s="280">
        <f t="shared" si="45"/>
        <v>3973.4086021505377</v>
      </c>
      <c r="M71" s="280">
        <f t="shared" si="45"/>
        <v>3928.2194444444444</v>
      </c>
      <c r="N71" s="280">
        <f t="shared" si="45"/>
        <v>3497.5725806451615</v>
      </c>
      <c r="O71" s="280">
        <f>O70/8760</f>
        <v>3928.4368721461187</v>
      </c>
      <c r="P71" s="32"/>
      <c r="Q71" s="32"/>
    </row>
    <row r="72" spans="1:25" x14ac:dyDescent="0.2">
      <c r="A72" s="2" t="s">
        <v>727</v>
      </c>
      <c r="C72" s="281">
        <f>C82</f>
        <v>0.44686798043771414</v>
      </c>
      <c r="D72" s="281">
        <f t="shared" ref="D72:N72" si="46">D82</f>
        <v>0.55539884069887135</v>
      </c>
      <c r="E72" s="281">
        <f t="shared" si="46"/>
        <v>0.45035651801086163</v>
      </c>
      <c r="F72" s="281">
        <f t="shared" si="46"/>
        <v>0.4667287892665255</v>
      </c>
      <c r="G72" s="281">
        <f t="shared" si="46"/>
        <v>0.46627057379600101</v>
      </c>
      <c r="H72" s="281">
        <f t="shared" si="46"/>
        <v>0.50170520724393941</v>
      </c>
      <c r="I72" s="281">
        <f t="shared" si="46"/>
        <v>0.55600312846017352</v>
      </c>
      <c r="J72" s="281">
        <f t="shared" si="46"/>
        <v>0.60038111318073195</v>
      </c>
      <c r="K72" s="281">
        <f t="shared" si="46"/>
        <v>0.611218895567886</v>
      </c>
      <c r="L72" s="281">
        <f t="shared" si="46"/>
        <v>0.55669932790205967</v>
      </c>
      <c r="M72" s="281">
        <f t="shared" si="46"/>
        <v>0.50041163732790139</v>
      </c>
      <c r="N72" s="281">
        <f t="shared" si="46"/>
        <v>0.45472527570971277</v>
      </c>
      <c r="O72" s="281"/>
      <c r="Q72" s="19"/>
    </row>
    <row r="73" spans="1:25" x14ac:dyDescent="0.2">
      <c r="A73" s="2" t="s">
        <v>728</v>
      </c>
      <c r="C73" s="280">
        <f>C71/C72</f>
        <v>8165.1722477051344</v>
      </c>
      <c r="D73" s="280">
        <f t="shared" ref="D73:N73" si="47">D71/D72</f>
        <v>8366.8182042026783</v>
      </c>
      <c r="E73" s="280">
        <f t="shared" si="47"/>
        <v>7517.9028696951782</v>
      </c>
      <c r="F73" s="280">
        <f t="shared" si="47"/>
        <v>7083.0452012749083</v>
      </c>
      <c r="G73" s="280">
        <f t="shared" si="47"/>
        <v>6867.5196158291637</v>
      </c>
      <c r="H73" s="280">
        <f t="shared" si="47"/>
        <v>7481.6262202123598</v>
      </c>
      <c r="I73" s="280">
        <f t="shared" si="47"/>
        <v>8012.6197832819953</v>
      </c>
      <c r="J73" s="280">
        <f t="shared" si="47"/>
        <v>7985.6243067883297</v>
      </c>
      <c r="K73" s="280">
        <f t="shared" si="47"/>
        <v>7551.4385728472744</v>
      </c>
      <c r="L73" s="280">
        <f t="shared" si="47"/>
        <v>7137.4409901381832</v>
      </c>
      <c r="M73" s="280">
        <f t="shared" si="47"/>
        <v>7849.9762024327711</v>
      </c>
      <c r="N73" s="280">
        <f t="shared" si="47"/>
        <v>7691.6168233365142</v>
      </c>
      <c r="O73" s="280">
        <f>SUM(C73:N73)</f>
        <v>91710.801037744488</v>
      </c>
      <c r="Q73" s="19">
        <f>MAX(C73:N73)</f>
        <v>8366.8182042026783</v>
      </c>
    </row>
    <row r="74" spans="1:25" x14ac:dyDescent="0.2">
      <c r="A74" s="2" t="s">
        <v>679</v>
      </c>
      <c r="C74" s="281">
        <v>0.8</v>
      </c>
      <c r="D74" s="281">
        <f>C74</f>
        <v>0.8</v>
      </c>
      <c r="E74" s="281">
        <f t="shared" ref="E74:N74" si="48">D74</f>
        <v>0.8</v>
      </c>
      <c r="F74" s="281">
        <f t="shared" si="48"/>
        <v>0.8</v>
      </c>
      <c r="G74" s="281">
        <f t="shared" si="48"/>
        <v>0.8</v>
      </c>
      <c r="H74" s="281">
        <f t="shared" si="48"/>
        <v>0.8</v>
      </c>
      <c r="I74" s="281">
        <f t="shared" si="48"/>
        <v>0.8</v>
      </c>
      <c r="J74" s="281">
        <f t="shared" si="48"/>
        <v>0.8</v>
      </c>
      <c r="K74" s="281">
        <f t="shared" si="48"/>
        <v>0.8</v>
      </c>
      <c r="L74" s="281">
        <f t="shared" si="48"/>
        <v>0.8</v>
      </c>
      <c r="M74" s="281">
        <f t="shared" si="48"/>
        <v>0.8</v>
      </c>
      <c r="N74" s="281">
        <f t="shared" si="48"/>
        <v>0.8</v>
      </c>
      <c r="O74" s="281"/>
      <c r="P74" s="32"/>
      <c r="Q74" s="19"/>
    </row>
    <row r="75" spans="1:25" x14ac:dyDescent="0.2">
      <c r="A75" s="2" t="s">
        <v>680</v>
      </c>
      <c r="C75" s="280">
        <f>C73*C74</f>
        <v>6532.1377981641081</v>
      </c>
      <c r="D75" s="280">
        <f t="shared" ref="D75:N75" si="49">D73*D74</f>
        <v>6693.4545633621428</v>
      </c>
      <c r="E75" s="280">
        <f t="shared" si="49"/>
        <v>6014.3222957561429</v>
      </c>
      <c r="F75" s="280">
        <f t="shared" si="49"/>
        <v>5666.4361610199267</v>
      </c>
      <c r="G75" s="280">
        <f t="shared" si="49"/>
        <v>5494.0156926633317</v>
      </c>
      <c r="H75" s="280">
        <f t="shared" si="49"/>
        <v>5985.3009761698886</v>
      </c>
      <c r="I75" s="280">
        <f t="shared" si="49"/>
        <v>6410.0958266255966</v>
      </c>
      <c r="J75" s="280">
        <f t="shared" si="49"/>
        <v>6388.4994454306643</v>
      </c>
      <c r="K75" s="280">
        <f t="shared" si="49"/>
        <v>6041.1508582778197</v>
      </c>
      <c r="L75" s="280">
        <f t="shared" si="49"/>
        <v>5709.9527921105473</v>
      </c>
      <c r="M75" s="280">
        <f t="shared" si="49"/>
        <v>6279.9809619462176</v>
      </c>
      <c r="N75" s="280">
        <f t="shared" si="49"/>
        <v>6153.2934586692118</v>
      </c>
      <c r="O75" s="280">
        <f>SUM(C75:N75)</f>
        <v>73368.640830195596</v>
      </c>
      <c r="P75" s="32"/>
      <c r="Q75" s="19"/>
      <c r="R75" s="19">
        <f>O75</f>
        <v>73368.640830195596</v>
      </c>
      <c r="S75" s="19">
        <f>H75+I75+J75</f>
        <v>18783.896248226149</v>
      </c>
      <c r="T75" s="19">
        <f>R75-S75</f>
        <v>54584.744581969448</v>
      </c>
    </row>
    <row r="76" spans="1:25" x14ac:dyDescent="0.2">
      <c r="A76" s="2" t="s">
        <v>729</v>
      </c>
      <c r="C76" s="281">
        <v>0.23</v>
      </c>
      <c r="D76" s="281">
        <f>C76</f>
        <v>0.23</v>
      </c>
      <c r="E76" s="281">
        <f t="shared" ref="E76:N76" si="50">D76</f>
        <v>0.23</v>
      </c>
      <c r="F76" s="281">
        <f t="shared" si="50"/>
        <v>0.23</v>
      </c>
      <c r="G76" s="281">
        <f t="shared" si="50"/>
        <v>0.23</v>
      </c>
      <c r="H76" s="281">
        <f t="shared" si="50"/>
        <v>0.23</v>
      </c>
      <c r="I76" s="281">
        <f t="shared" si="50"/>
        <v>0.23</v>
      </c>
      <c r="J76" s="281">
        <f t="shared" si="50"/>
        <v>0.23</v>
      </c>
      <c r="K76" s="281">
        <f t="shared" si="50"/>
        <v>0.23</v>
      </c>
      <c r="L76" s="281">
        <f t="shared" si="50"/>
        <v>0.23</v>
      </c>
      <c r="M76" s="281">
        <f t="shared" si="50"/>
        <v>0.23</v>
      </c>
      <c r="N76" s="281">
        <f t="shared" si="50"/>
        <v>0.23</v>
      </c>
      <c r="O76" s="281"/>
      <c r="P76" s="95"/>
      <c r="Q76" s="95"/>
      <c r="U76" s="85"/>
      <c r="W76" s="85"/>
    </row>
    <row r="77" spans="1:25" x14ac:dyDescent="0.2">
      <c r="A77" s="2" t="s">
        <v>730</v>
      </c>
      <c r="C77" s="280">
        <f>C71/C76</f>
        <v>15864.147966339409</v>
      </c>
      <c r="D77" s="280">
        <f t="shared" ref="D77:N77" si="51">D71/D76</f>
        <v>20204.004917184262</v>
      </c>
      <c r="E77" s="280">
        <f t="shared" si="51"/>
        <v>14720.593735390368</v>
      </c>
      <c r="F77" s="280">
        <f t="shared" si="51"/>
        <v>14373.309178743961</v>
      </c>
      <c r="G77" s="280">
        <f t="shared" si="51"/>
        <v>13922.270920991115</v>
      </c>
      <c r="H77" s="280">
        <f t="shared" si="51"/>
        <v>16319.873188405796</v>
      </c>
      <c r="I77" s="280">
        <f t="shared" si="51"/>
        <v>19369.746376811596</v>
      </c>
      <c r="J77" s="280">
        <f t="shared" si="51"/>
        <v>20845.295698924729</v>
      </c>
      <c r="K77" s="280">
        <f t="shared" si="51"/>
        <v>20067.747584541059</v>
      </c>
      <c r="L77" s="280">
        <f t="shared" si="51"/>
        <v>17275.689574567554</v>
      </c>
      <c r="M77" s="280">
        <f t="shared" si="51"/>
        <v>17079.214975845411</v>
      </c>
      <c r="N77" s="280">
        <f t="shared" si="51"/>
        <v>15206.837307152875</v>
      </c>
      <c r="O77" s="280">
        <f>SUM(C77:N77)</f>
        <v>205248.73142489811</v>
      </c>
      <c r="P77" s="32">
        <f>MAX(C77:N77)</f>
        <v>20845.295698924729</v>
      </c>
      <c r="Q77" s="32"/>
    </row>
    <row r="78" spans="1:25" x14ac:dyDescent="0.2">
      <c r="C78" s="283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156"/>
    </row>
    <row r="79" spans="1:25" x14ac:dyDescent="0.2">
      <c r="A79" s="3" t="str">
        <f>A12</f>
        <v>Schedule C - Comm. &amp; Indust. Service Rate &gt; 50 kW</v>
      </c>
      <c r="B79" s="38">
        <f>B12</f>
        <v>5</v>
      </c>
      <c r="C79" s="280">
        <f>BillingDat!D10</f>
        <v>99</v>
      </c>
      <c r="D79" s="280">
        <f>BillingDat!E10</f>
        <v>99</v>
      </c>
      <c r="E79" s="280">
        <f>BillingDat!F10</f>
        <v>100</v>
      </c>
      <c r="F79" s="280">
        <f>BillingDat!G10</f>
        <v>100</v>
      </c>
      <c r="G79" s="280">
        <f>BillingDat!H10</f>
        <v>101</v>
      </c>
      <c r="H79" s="280">
        <f>BillingDat!I10</f>
        <v>101</v>
      </c>
      <c r="I79" s="280">
        <f>BillingDat!J10</f>
        <v>99</v>
      </c>
      <c r="J79" s="280">
        <f>BillingDat!K10</f>
        <v>99</v>
      </c>
      <c r="K79" s="280">
        <f>BillingDat!L10</f>
        <v>97</v>
      </c>
      <c r="L79" s="280">
        <f>BillingDat!M10</f>
        <v>97</v>
      </c>
      <c r="M79" s="280">
        <f>BillingDat!N10</f>
        <v>99</v>
      </c>
      <c r="N79" s="280">
        <f>BillingDat!O10</f>
        <v>99</v>
      </c>
      <c r="O79" s="280">
        <f>ROUND(SUM(C79:N79)/12,0)</f>
        <v>99</v>
      </c>
      <c r="P79" s="32"/>
      <c r="Q79" s="19"/>
      <c r="W79" s="19">
        <f>N79</f>
        <v>99</v>
      </c>
      <c r="X79" s="19">
        <f>AVERAGE(C79:N79)</f>
        <v>99.166666666666671</v>
      </c>
      <c r="Y79" s="19">
        <f>W79-X79</f>
        <v>-0.1666666666666714</v>
      </c>
    </row>
    <row r="80" spans="1:25" x14ac:dyDescent="0.2">
      <c r="A80" s="2" t="s">
        <v>994</v>
      </c>
      <c r="C80" s="280">
        <f>BillingDat!D32</f>
        <v>3857578</v>
      </c>
      <c r="D80" s="280">
        <f>BillingDat!E32</f>
        <v>4377079</v>
      </c>
      <c r="E80" s="280">
        <f>BillingDat!F32</f>
        <v>4094084</v>
      </c>
      <c r="F80" s="280">
        <f>BillingDat!G32</f>
        <v>4046599</v>
      </c>
      <c r="G80" s="280">
        <f>BillingDat!H32</f>
        <v>4256849</v>
      </c>
      <c r="H80" s="280">
        <f>BillingDat!I32</f>
        <v>4474683</v>
      </c>
      <c r="I80" s="280">
        <f>BillingDat!J32</f>
        <v>4842484</v>
      </c>
      <c r="J80" s="280">
        <f>BillingDat!K32</f>
        <v>5032838</v>
      </c>
      <c r="K80" s="280">
        <f>BillingDat!L32</f>
        <v>5158269</v>
      </c>
      <c r="L80" s="280">
        <f>BillingDat!M32</f>
        <v>4539593</v>
      </c>
      <c r="M80" s="280">
        <f>BillingDat!N32</f>
        <v>4328995</v>
      </c>
      <c r="N80" s="280">
        <f>BillingDat!O32</f>
        <v>4010385</v>
      </c>
      <c r="O80" s="280">
        <f>SUM(C80:N80)</f>
        <v>53019436</v>
      </c>
      <c r="P80" s="95"/>
      <c r="Q80" s="95"/>
      <c r="U80" s="85"/>
      <c r="W80" s="85"/>
    </row>
    <row r="81" spans="1:25" x14ac:dyDescent="0.2">
      <c r="A81" s="2" t="s">
        <v>678</v>
      </c>
      <c r="C81" s="280">
        <f>C80/C$35</f>
        <v>5184.916666666667</v>
      </c>
      <c r="D81" s="280">
        <f t="shared" ref="D81" si="52">D80/D$35</f>
        <v>6513.510416666667</v>
      </c>
      <c r="E81" s="280">
        <f t="shared" ref="E81" si="53">E80/E$35</f>
        <v>5502.8010752688169</v>
      </c>
      <c r="F81" s="280">
        <f t="shared" ref="F81" si="54">F80/F$35</f>
        <v>5620.2763888888885</v>
      </c>
      <c r="G81" s="280">
        <f t="shared" ref="G81" si="55">G80/G$35</f>
        <v>5721.5712365591398</v>
      </c>
      <c r="H81" s="280">
        <f t="shared" ref="H81" si="56">H80/H$35</f>
        <v>6214.8374999999996</v>
      </c>
      <c r="I81" s="280">
        <f t="shared" ref="I81" si="57">I80/I$35</f>
        <v>6508.7150537634407</v>
      </c>
      <c r="J81" s="280">
        <f t="shared" ref="J81" si="58">J80/J$35</f>
        <v>6764.5672043010754</v>
      </c>
      <c r="K81" s="280">
        <f t="shared" ref="K81" si="59">K80/K$35</f>
        <v>7164.2624999999998</v>
      </c>
      <c r="L81" s="280">
        <f t="shared" ref="L81" si="60">L80/L$35</f>
        <v>6101.6034946236559</v>
      </c>
      <c r="M81" s="280">
        <f t="shared" ref="M81" si="61">M80/M$35</f>
        <v>6012.4930555555557</v>
      </c>
      <c r="N81" s="280">
        <f t="shared" ref="N81" si="62">N80/N$35</f>
        <v>5390.302419354839</v>
      </c>
      <c r="O81" s="280">
        <f>O80/8760</f>
        <v>6052.4470319634702</v>
      </c>
      <c r="P81" s="32"/>
      <c r="Q81" s="32"/>
    </row>
    <row r="82" spans="1:25" x14ac:dyDescent="0.2">
      <c r="A82" s="2" t="s">
        <v>727</v>
      </c>
      <c r="C82" s="281">
        <f>C86+0.1</f>
        <v>0.44686798043771414</v>
      </c>
      <c r="D82" s="281">
        <f t="shared" ref="D82:N82" si="63">D86+0.1</f>
        <v>0.55539884069887135</v>
      </c>
      <c r="E82" s="281">
        <f t="shared" si="63"/>
        <v>0.45035651801086163</v>
      </c>
      <c r="F82" s="281">
        <f t="shared" si="63"/>
        <v>0.4667287892665255</v>
      </c>
      <c r="G82" s="281">
        <f t="shared" si="63"/>
        <v>0.46627057379600101</v>
      </c>
      <c r="H82" s="281">
        <f t="shared" si="63"/>
        <v>0.50170520724393941</v>
      </c>
      <c r="I82" s="281">
        <f t="shared" si="63"/>
        <v>0.55600312846017352</v>
      </c>
      <c r="J82" s="281">
        <f t="shared" si="63"/>
        <v>0.60038111318073195</v>
      </c>
      <c r="K82" s="281">
        <f t="shared" si="63"/>
        <v>0.611218895567886</v>
      </c>
      <c r="L82" s="281">
        <f t="shared" si="63"/>
        <v>0.55669932790205967</v>
      </c>
      <c r="M82" s="281">
        <f t="shared" si="63"/>
        <v>0.50041163732790139</v>
      </c>
      <c r="N82" s="281">
        <f t="shared" si="63"/>
        <v>0.45472527570971277</v>
      </c>
      <c r="O82" s="281"/>
      <c r="Q82" s="19"/>
    </row>
    <row r="83" spans="1:25" x14ac:dyDescent="0.2">
      <c r="A83" s="2" t="s">
        <v>728</v>
      </c>
      <c r="C83" s="280">
        <f>C81/C82</f>
        <v>11602.792980575518</v>
      </c>
      <c r="D83" s="280">
        <f t="shared" ref="D83:N83" si="64">D81/D82</f>
        <v>11727.626958080367</v>
      </c>
      <c r="E83" s="280">
        <f t="shared" si="64"/>
        <v>12218.766366641332</v>
      </c>
      <c r="F83" s="280">
        <f t="shared" si="64"/>
        <v>12041.846395893588</v>
      </c>
      <c r="G83" s="280">
        <f t="shared" si="64"/>
        <v>12270.924990995456</v>
      </c>
      <c r="H83" s="280">
        <f t="shared" si="64"/>
        <v>12387.428733579434</v>
      </c>
      <c r="I83" s="280">
        <f t="shared" si="64"/>
        <v>11706.256171236022</v>
      </c>
      <c r="J83" s="280">
        <f t="shared" si="64"/>
        <v>11267.121926043577</v>
      </c>
      <c r="K83" s="280">
        <f t="shared" si="64"/>
        <v>11721.271302229055</v>
      </c>
      <c r="L83" s="280">
        <f t="shared" si="64"/>
        <v>10960.321288006142</v>
      </c>
      <c r="M83" s="280">
        <f t="shared" si="64"/>
        <v>12015.094388414052</v>
      </c>
      <c r="N83" s="280">
        <f t="shared" si="64"/>
        <v>11853.975811971131</v>
      </c>
      <c r="O83" s="280">
        <f>SUM(C83:N83)</f>
        <v>141773.42731366568</v>
      </c>
      <c r="Q83" s="19">
        <f>MAX(C83:N83)</f>
        <v>12387.428733579434</v>
      </c>
    </row>
    <row r="84" spans="1:25" x14ac:dyDescent="0.2">
      <c r="A84" s="2" t="s">
        <v>679</v>
      </c>
      <c r="C84" s="281">
        <v>0.8</v>
      </c>
      <c r="D84" s="281">
        <v>0.8</v>
      </c>
      <c r="E84" s="281">
        <v>0.85</v>
      </c>
      <c r="F84" s="281">
        <v>0.85</v>
      </c>
      <c r="G84" s="281">
        <v>0.85</v>
      </c>
      <c r="H84" s="281">
        <v>0.8</v>
      </c>
      <c r="I84" s="281">
        <v>0.8</v>
      </c>
      <c r="J84" s="281">
        <v>0.8</v>
      </c>
      <c r="K84" s="281">
        <v>0.85</v>
      </c>
      <c r="L84" s="281">
        <v>0.85</v>
      </c>
      <c r="M84" s="281">
        <v>0.85</v>
      </c>
      <c r="N84" s="281">
        <v>0.8</v>
      </c>
      <c r="O84" s="281"/>
      <c r="P84" s="32"/>
      <c r="Q84" s="19"/>
    </row>
    <row r="85" spans="1:25" x14ac:dyDescent="0.2">
      <c r="A85" s="2" t="s">
        <v>680</v>
      </c>
      <c r="C85" s="280">
        <f>C83*C84</f>
        <v>9282.2343844604147</v>
      </c>
      <c r="D85" s="280">
        <f t="shared" ref="D85:N85" si="65">D83*D84</f>
        <v>9382.1015664642946</v>
      </c>
      <c r="E85" s="280">
        <f t="shared" si="65"/>
        <v>10385.951411645132</v>
      </c>
      <c r="F85" s="280">
        <f t="shared" si="65"/>
        <v>10235.56943650955</v>
      </c>
      <c r="G85" s="280">
        <f t="shared" si="65"/>
        <v>10430.286242346137</v>
      </c>
      <c r="H85" s="280">
        <f t="shared" si="65"/>
        <v>9909.9429868635489</v>
      </c>
      <c r="I85" s="280">
        <f t="shared" si="65"/>
        <v>9365.0049369888184</v>
      </c>
      <c r="J85" s="280">
        <f t="shared" si="65"/>
        <v>9013.6975408348626</v>
      </c>
      <c r="K85" s="280">
        <f t="shared" si="65"/>
        <v>9963.0806068946968</v>
      </c>
      <c r="L85" s="280">
        <f t="shared" si="65"/>
        <v>9316.2730948052213</v>
      </c>
      <c r="M85" s="280">
        <f t="shared" si="65"/>
        <v>10212.830230151945</v>
      </c>
      <c r="N85" s="280">
        <f t="shared" si="65"/>
        <v>9483.1806495769051</v>
      </c>
      <c r="O85" s="280">
        <f>SUM(C85:N85)</f>
        <v>116980.15308754152</v>
      </c>
      <c r="P85" s="32"/>
      <c r="Q85" s="19"/>
      <c r="R85" s="19">
        <f>O85</f>
        <v>116980.15308754152</v>
      </c>
      <c r="S85" s="19">
        <f>H85+I85+J85</f>
        <v>28288.64546468723</v>
      </c>
      <c r="T85" s="19">
        <f>R85-S85</f>
        <v>88691.507622854289</v>
      </c>
    </row>
    <row r="86" spans="1:25" x14ac:dyDescent="0.2">
      <c r="A86" s="2" t="s">
        <v>729</v>
      </c>
      <c r="C86" s="281">
        <f>C81/C87</f>
        <v>0.34686798043771411</v>
      </c>
      <c r="D86" s="281">
        <f t="shared" ref="D86:N86" si="66">D81/D87</f>
        <v>0.45539884069887138</v>
      </c>
      <c r="E86" s="281">
        <f t="shared" si="66"/>
        <v>0.35035651801086165</v>
      </c>
      <c r="F86" s="281">
        <f t="shared" si="66"/>
        <v>0.36672878926652552</v>
      </c>
      <c r="G86" s="281">
        <f t="shared" si="66"/>
        <v>0.36627057379600103</v>
      </c>
      <c r="H86" s="281">
        <f t="shared" si="66"/>
        <v>0.40170520724393938</v>
      </c>
      <c r="I86" s="281">
        <f t="shared" si="66"/>
        <v>0.45600312846017355</v>
      </c>
      <c r="J86" s="281">
        <f t="shared" si="66"/>
        <v>0.50038111318073197</v>
      </c>
      <c r="K86" s="281">
        <f t="shared" si="66"/>
        <v>0.51121889556788602</v>
      </c>
      <c r="L86" s="281">
        <f t="shared" si="66"/>
        <v>0.45669932790205969</v>
      </c>
      <c r="M86" s="281">
        <f t="shared" si="66"/>
        <v>0.40041163732790142</v>
      </c>
      <c r="N86" s="281">
        <f t="shared" si="66"/>
        <v>0.35472527570971274</v>
      </c>
      <c r="O86" s="281"/>
      <c r="P86" s="95"/>
      <c r="Q86" s="95"/>
      <c r="U86" s="85"/>
      <c r="W86" s="85"/>
    </row>
    <row r="87" spans="1:25" x14ac:dyDescent="0.2">
      <c r="A87" s="2" t="s">
        <v>730</v>
      </c>
      <c r="C87" s="280">
        <f>BillingDat!D142</f>
        <v>14947.81</v>
      </c>
      <c r="D87" s="280">
        <f>BillingDat!E142</f>
        <v>14302.87</v>
      </c>
      <c r="E87" s="280">
        <f>BillingDat!F142</f>
        <v>15706.29</v>
      </c>
      <c r="F87" s="280">
        <f>BillingDat!G142</f>
        <v>15325.43</v>
      </c>
      <c r="G87" s="280">
        <f>BillingDat!H142</f>
        <v>15621.16</v>
      </c>
      <c r="H87" s="280">
        <f>BillingDat!I142</f>
        <v>15471.14</v>
      </c>
      <c r="I87" s="280">
        <f>BillingDat!J142</f>
        <v>14273.4</v>
      </c>
      <c r="J87" s="280">
        <f>BillingDat!K142</f>
        <v>13518.83</v>
      </c>
      <c r="K87" s="280">
        <f>BillingDat!L142</f>
        <v>14014.08</v>
      </c>
      <c r="L87" s="280">
        <f>BillingDat!M142</f>
        <v>13360.22</v>
      </c>
      <c r="M87" s="280">
        <f>BillingDat!N142</f>
        <v>15015.78</v>
      </c>
      <c r="N87" s="280">
        <f>BillingDat!O142</f>
        <v>15195.71</v>
      </c>
      <c r="O87" s="280">
        <f>SUM(C87:N87)</f>
        <v>176752.71999999997</v>
      </c>
      <c r="P87" s="32">
        <f>MAX(C87:N87)</f>
        <v>15706.29</v>
      </c>
      <c r="Q87" s="32"/>
    </row>
    <row r="88" spans="1:25" x14ac:dyDescent="0.2">
      <c r="C88" s="156"/>
      <c r="D88" s="156"/>
      <c r="E88" s="156"/>
      <c r="F88" s="156"/>
      <c r="G88" s="156"/>
      <c r="H88" s="285"/>
      <c r="I88" s="156"/>
      <c r="J88" s="156"/>
      <c r="K88" s="156"/>
      <c r="L88" s="156"/>
      <c r="M88" s="156"/>
      <c r="N88" s="156"/>
      <c r="O88" s="156"/>
    </row>
    <row r="89" spans="1:25" x14ac:dyDescent="0.2">
      <c r="A89" s="3" t="str">
        <f>A13</f>
        <v>Residential Off Peak Electric Thermal Storage Tariff</v>
      </c>
      <c r="B89" s="38">
        <f>B13</f>
        <v>7</v>
      </c>
      <c r="C89" s="280">
        <f>BillingDat!D11</f>
        <v>95</v>
      </c>
      <c r="D89" s="280">
        <f>BillingDat!E11</f>
        <v>89</v>
      </c>
      <c r="E89" s="280">
        <f>BillingDat!F11</f>
        <v>86</v>
      </c>
      <c r="F89" s="280">
        <f>BillingDat!G11</f>
        <v>86</v>
      </c>
      <c r="G89" s="280">
        <f>BillingDat!H11</f>
        <v>82</v>
      </c>
      <c r="H89" s="280">
        <f>BillingDat!I11</f>
        <v>79</v>
      </c>
      <c r="I89" s="280">
        <f>BillingDat!J11</f>
        <v>77</v>
      </c>
      <c r="J89" s="280">
        <f>BillingDat!K11</f>
        <v>78</v>
      </c>
      <c r="K89" s="280">
        <f>BillingDat!L11</f>
        <v>78</v>
      </c>
      <c r="L89" s="280">
        <f>BillingDat!M11</f>
        <v>79</v>
      </c>
      <c r="M89" s="280">
        <f>BillingDat!N11</f>
        <v>77</v>
      </c>
      <c r="N89" s="280">
        <f>BillingDat!O11</f>
        <v>78</v>
      </c>
      <c r="O89" s="280">
        <f>ROUND(SUM(C89:N89)/12,0)</f>
        <v>82</v>
      </c>
      <c r="P89" s="32"/>
      <c r="Q89" s="19"/>
      <c r="W89" s="19">
        <f>N89</f>
        <v>78</v>
      </c>
      <c r="X89" s="19">
        <f>AVERAGE(C89:N89)</f>
        <v>82</v>
      </c>
      <c r="Y89" s="19">
        <f>W89-X89</f>
        <v>-4</v>
      </c>
    </row>
    <row r="90" spans="1:25" x14ac:dyDescent="0.2">
      <c r="A90" s="2" t="s">
        <v>994</v>
      </c>
      <c r="C90" s="280">
        <f>BillingDat!D33</f>
        <v>65939</v>
      </c>
      <c r="D90" s="280">
        <f>BillingDat!E33</f>
        <v>63752</v>
      </c>
      <c r="E90" s="280">
        <f>BillingDat!F33</f>
        <v>43302</v>
      </c>
      <c r="F90" s="280">
        <f>BillingDat!G33</f>
        <v>27584</v>
      </c>
      <c r="G90" s="280">
        <f>BillingDat!H33</f>
        <v>8302</v>
      </c>
      <c r="H90" s="280">
        <f>BillingDat!I33</f>
        <v>1568</v>
      </c>
      <c r="I90" s="280">
        <f>BillingDat!J33</f>
        <v>467</v>
      </c>
      <c r="J90" s="280">
        <f>BillingDat!K33</f>
        <v>174</v>
      </c>
      <c r="K90" s="280">
        <f>BillingDat!L33</f>
        <v>236</v>
      </c>
      <c r="L90" s="280">
        <f>BillingDat!M33</f>
        <v>2377</v>
      </c>
      <c r="M90" s="280">
        <f>BillingDat!N33</f>
        <v>11981</v>
      </c>
      <c r="N90" s="280">
        <f>BillingDat!O33</f>
        <v>37962</v>
      </c>
      <c r="O90" s="280">
        <f>SUM(C90:N90)</f>
        <v>263644</v>
      </c>
      <c r="P90" s="95"/>
      <c r="Q90" s="95"/>
      <c r="U90" s="85"/>
      <c r="W90" s="85"/>
    </row>
    <row r="91" spans="1:25" x14ac:dyDescent="0.2">
      <c r="A91" s="2" t="s">
        <v>678</v>
      </c>
      <c r="C91" s="280">
        <f>C90/C$35</f>
        <v>88.627688172043008</v>
      </c>
      <c r="D91" s="280">
        <f t="shared" ref="D91" si="67">D90/D$35</f>
        <v>94.86904761904762</v>
      </c>
      <c r="E91" s="280">
        <f t="shared" ref="E91" si="68">E90/E$35</f>
        <v>58.201612903225808</v>
      </c>
      <c r="F91" s="280">
        <f t="shared" ref="F91" si="69">F90/F$35</f>
        <v>38.31111111111111</v>
      </c>
      <c r="G91" s="280">
        <f t="shared" ref="G91" si="70">G90/G$35</f>
        <v>11.158602150537634</v>
      </c>
      <c r="H91" s="280">
        <f t="shared" ref="H91" si="71">H90/H$35</f>
        <v>2.1777777777777776</v>
      </c>
      <c r="I91" s="280">
        <f t="shared" ref="I91" si="72">I90/I$35</f>
        <v>0.62768817204301075</v>
      </c>
      <c r="J91" s="280">
        <f t="shared" ref="J91" si="73">J90/J$35</f>
        <v>0.23387096774193547</v>
      </c>
      <c r="K91" s="280">
        <f t="shared" ref="K91" si="74">K90/K$35</f>
        <v>0.32777777777777778</v>
      </c>
      <c r="L91" s="280">
        <f t="shared" ref="L91" si="75">L90/L$35</f>
        <v>3.1948924731182795</v>
      </c>
      <c r="M91" s="280">
        <f t="shared" ref="M91" si="76">M90/M$35</f>
        <v>16.640277777777779</v>
      </c>
      <c r="N91" s="280">
        <f t="shared" ref="N91" si="77">N90/N$35</f>
        <v>51.024193548387096</v>
      </c>
      <c r="O91" s="280">
        <f>O90/8760</f>
        <v>30.096347031963472</v>
      </c>
      <c r="P91" s="32"/>
      <c r="Q91" s="32"/>
    </row>
    <row r="92" spans="1:25" x14ac:dyDescent="0.2">
      <c r="A92" s="2" t="s">
        <v>727</v>
      </c>
      <c r="C92" s="281">
        <v>0.5</v>
      </c>
      <c r="D92" s="281">
        <v>0.5</v>
      </c>
      <c r="E92" s="281">
        <v>0.5</v>
      </c>
      <c r="F92" s="281">
        <v>0.5</v>
      </c>
      <c r="G92" s="281">
        <v>0.5</v>
      </c>
      <c r="H92" s="281">
        <v>0.5</v>
      </c>
      <c r="I92" s="281">
        <v>0.5</v>
      </c>
      <c r="J92" s="281">
        <v>0.5</v>
      </c>
      <c r="K92" s="281">
        <v>0.5</v>
      </c>
      <c r="L92" s="281">
        <v>0.5</v>
      </c>
      <c r="M92" s="281">
        <v>0.5</v>
      </c>
      <c r="N92" s="281">
        <v>0.5</v>
      </c>
      <c r="O92" s="281"/>
      <c r="Q92" s="19"/>
    </row>
    <row r="93" spans="1:25" x14ac:dyDescent="0.2">
      <c r="A93" s="2" t="s">
        <v>728</v>
      </c>
      <c r="C93" s="280">
        <f>C91/C92</f>
        <v>177.25537634408602</v>
      </c>
      <c r="D93" s="280">
        <f t="shared" ref="D93:N93" si="78">D91/D92</f>
        <v>189.73809523809524</v>
      </c>
      <c r="E93" s="280">
        <f t="shared" si="78"/>
        <v>116.40322580645162</v>
      </c>
      <c r="F93" s="280">
        <f t="shared" si="78"/>
        <v>76.62222222222222</v>
      </c>
      <c r="G93" s="280">
        <f t="shared" si="78"/>
        <v>22.317204301075268</v>
      </c>
      <c r="H93" s="280">
        <f t="shared" si="78"/>
        <v>4.3555555555555552</v>
      </c>
      <c r="I93" s="280">
        <f t="shared" si="78"/>
        <v>1.2553763440860215</v>
      </c>
      <c r="J93" s="280">
        <f t="shared" si="78"/>
        <v>0.46774193548387094</v>
      </c>
      <c r="K93" s="280">
        <f t="shared" si="78"/>
        <v>0.65555555555555556</v>
      </c>
      <c r="L93" s="280">
        <f t="shared" si="78"/>
        <v>6.389784946236559</v>
      </c>
      <c r="M93" s="280">
        <f t="shared" si="78"/>
        <v>33.280555555555559</v>
      </c>
      <c r="N93" s="280">
        <f t="shared" si="78"/>
        <v>102.04838709677419</v>
      </c>
      <c r="O93" s="280">
        <f>SUM(C93:N93)</f>
        <v>730.78908090117784</v>
      </c>
      <c r="Q93" s="19">
        <f>MAX(C93:N93)</f>
        <v>189.73809523809524</v>
      </c>
    </row>
    <row r="94" spans="1:25" x14ac:dyDescent="0.2">
      <c r="A94" s="2" t="s">
        <v>679</v>
      </c>
      <c r="C94" s="281">
        <v>0</v>
      </c>
      <c r="D94" s="281">
        <v>0</v>
      </c>
      <c r="E94" s="281">
        <v>0</v>
      </c>
      <c r="F94" s="281">
        <v>0</v>
      </c>
      <c r="G94" s="281">
        <v>0</v>
      </c>
      <c r="H94" s="281">
        <v>0</v>
      </c>
      <c r="I94" s="281">
        <v>0</v>
      </c>
      <c r="J94" s="281">
        <v>0</v>
      </c>
      <c r="K94" s="281">
        <v>0</v>
      </c>
      <c r="L94" s="281">
        <v>0</v>
      </c>
      <c r="M94" s="281">
        <v>0</v>
      </c>
      <c r="N94" s="281">
        <v>0</v>
      </c>
      <c r="O94" s="281"/>
      <c r="P94" s="32"/>
      <c r="Q94" s="19"/>
    </row>
    <row r="95" spans="1:25" x14ac:dyDescent="0.2">
      <c r="A95" s="2" t="s">
        <v>680</v>
      </c>
      <c r="C95" s="280">
        <f t="shared" ref="C95:N95" si="79">C93*C94</f>
        <v>0</v>
      </c>
      <c r="D95" s="280">
        <f t="shared" si="79"/>
        <v>0</v>
      </c>
      <c r="E95" s="280">
        <f t="shared" si="79"/>
        <v>0</v>
      </c>
      <c r="F95" s="280">
        <f t="shared" si="79"/>
        <v>0</v>
      </c>
      <c r="G95" s="280">
        <f t="shared" si="79"/>
        <v>0</v>
      </c>
      <c r="H95" s="280">
        <f t="shared" si="79"/>
        <v>0</v>
      </c>
      <c r="I95" s="280">
        <f t="shared" si="79"/>
        <v>0</v>
      </c>
      <c r="J95" s="280">
        <f t="shared" si="79"/>
        <v>0</v>
      </c>
      <c r="K95" s="280">
        <f t="shared" si="79"/>
        <v>0</v>
      </c>
      <c r="L95" s="280">
        <f t="shared" si="79"/>
        <v>0</v>
      </c>
      <c r="M95" s="280">
        <f t="shared" si="79"/>
        <v>0</v>
      </c>
      <c r="N95" s="280">
        <f t="shared" si="79"/>
        <v>0</v>
      </c>
      <c r="O95" s="280">
        <f>SUM(C95:N95)</f>
        <v>0</v>
      </c>
      <c r="P95" s="32"/>
      <c r="Q95" s="19"/>
      <c r="R95" s="19">
        <f>O95</f>
        <v>0</v>
      </c>
      <c r="S95" s="19">
        <f>H95+I95+J95</f>
        <v>0</v>
      </c>
      <c r="T95" s="19">
        <f>R95-S95</f>
        <v>0</v>
      </c>
    </row>
    <row r="96" spans="1:25" x14ac:dyDescent="0.2">
      <c r="A96" s="2" t="s">
        <v>729</v>
      </c>
      <c r="C96" s="281">
        <f>C46</f>
        <v>0.18</v>
      </c>
      <c r="D96" s="281">
        <f t="shared" ref="D96:N96" si="80">D46</f>
        <v>0.18</v>
      </c>
      <c r="E96" s="281">
        <f t="shared" si="80"/>
        <v>0.18</v>
      </c>
      <c r="F96" s="281">
        <f t="shared" si="80"/>
        <v>0.18</v>
      </c>
      <c r="G96" s="281">
        <f t="shared" si="80"/>
        <v>0.18</v>
      </c>
      <c r="H96" s="281">
        <f t="shared" si="80"/>
        <v>0.18</v>
      </c>
      <c r="I96" s="281">
        <f t="shared" si="80"/>
        <v>0.18</v>
      </c>
      <c r="J96" s="281">
        <f t="shared" si="80"/>
        <v>0.18</v>
      </c>
      <c r="K96" s="281">
        <f t="shared" si="80"/>
        <v>0.18</v>
      </c>
      <c r="L96" s="281">
        <f t="shared" si="80"/>
        <v>0.18</v>
      </c>
      <c r="M96" s="281">
        <f t="shared" si="80"/>
        <v>0.18</v>
      </c>
      <c r="N96" s="281">
        <f t="shared" si="80"/>
        <v>0.18</v>
      </c>
      <c r="O96" s="281"/>
      <c r="P96" s="95"/>
      <c r="Q96" s="95"/>
      <c r="U96" s="85"/>
      <c r="W96" s="85"/>
    </row>
    <row r="97" spans="1:25" x14ac:dyDescent="0.2">
      <c r="A97" s="2" t="s">
        <v>730</v>
      </c>
      <c r="C97" s="280">
        <f>C91/C96</f>
        <v>492.37604540023898</v>
      </c>
      <c r="D97" s="280">
        <f t="shared" ref="D97:N97" si="81">D91/D96</f>
        <v>527.05026455026461</v>
      </c>
      <c r="E97" s="280">
        <f t="shared" si="81"/>
        <v>323.34229390681003</v>
      </c>
      <c r="F97" s="280">
        <f t="shared" si="81"/>
        <v>212.83950617283952</v>
      </c>
      <c r="G97" s="280">
        <f t="shared" si="81"/>
        <v>61.992234169653521</v>
      </c>
      <c r="H97" s="280">
        <f t="shared" si="81"/>
        <v>12.098765432098764</v>
      </c>
      <c r="I97" s="280">
        <f t="shared" si="81"/>
        <v>3.4871565113500598</v>
      </c>
      <c r="J97" s="280">
        <f t="shared" si="81"/>
        <v>1.2992831541218637</v>
      </c>
      <c r="K97" s="280">
        <f t="shared" si="81"/>
        <v>1.8209876543209877</v>
      </c>
      <c r="L97" s="280">
        <f t="shared" si="81"/>
        <v>17.749402628434886</v>
      </c>
      <c r="M97" s="280">
        <f t="shared" si="81"/>
        <v>92.445987654321002</v>
      </c>
      <c r="N97" s="280">
        <f t="shared" si="81"/>
        <v>283.4677419354839</v>
      </c>
      <c r="O97" s="280">
        <f>SUM(C97:N97)</f>
        <v>2029.9696691699382</v>
      </c>
      <c r="P97" s="32">
        <f>MAX(C97:N97)</f>
        <v>527.05026455026461</v>
      </c>
      <c r="Q97" s="32"/>
    </row>
    <row r="98" spans="1:25" ht="16.5" customHeight="1" x14ac:dyDescent="0.2">
      <c r="C98" s="280"/>
      <c r="D98" s="156"/>
      <c r="E98" s="156"/>
      <c r="F98" s="156"/>
      <c r="G98" s="156"/>
      <c r="H98" s="285"/>
      <c r="I98" s="156"/>
      <c r="J98" s="156"/>
      <c r="K98" s="156"/>
      <c r="L98" s="156"/>
      <c r="M98" s="280"/>
      <c r="N98" s="156"/>
      <c r="O98" s="156"/>
    </row>
    <row r="99" spans="1:25" ht="14.25" hidden="1" customHeight="1" x14ac:dyDescent="0.2">
      <c r="A99" s="3" t="str">
        <f>A14</f>
        <v>Small Comm. Off-Peak Electric Thermal Storage Tariff</v>
      </c>
      <c r="B99" s="38">
        <f>B14</f>
        <v>8</v>
      </c>
      <c r="C99" s="280">
        <v>0</v>
      </c>
      <c r="D99" s="280">
        <v>1</v>
      </c>
      <c r="E99" s="280">
        <v>2</v>
      </c>
      <c r="F99" s="280">
        <v>3</v>
      </c>
      <c r="G99" s="280">
        <v>4</v>
      </c>
      <c r="H99" s="280">
        <v>5</v>
      </c>
      <c r="I99" s="280">
        <v>6</v>
      </c>
      <c r="J99" s="280">
        <v>7</v>
      </c>
      <c r="K99" s="280">
        <v>8</v>
      </c>
      <c r="L99" s="280">
        <v>9</v>
      </c>
      <c r="M99" s="280">
        <v>10</v>
      </c>
      <c r="N99" s="280">
        <v>11</v>
      </c>
      <c r="O99" s="280">
        <f>ROUND(SUM(C99:N99)/12,0)</f>
        <v>6</v>
      </c>
      <c r="P99" s="32"/>
      <c r="Q99" s="19"/>
    </row>
    <row r="100" spans="1:25" hidden="1" x14ac:dyDescent="0.2">
      <c r="A100" s="2" t="s">
        <v>994</v>
      </c>
      <c r="C100" s="280">
        <f>BillingDat!D34</f>
        <v>0</v>
      </c>
      <c r="D100" s="280">
        <f>BillingDat!E34</f>
        <v>0</v>
      </c>
      <c r="E100" s="280">
        <f>BillingDat!F34</f>
        <v>0</v>
      </c>
      <c r="F100" s="280">
        <f>BillingDat!G34</f>
        <v>0</v>
      </c>
      <c r="G100" s="280">
        <f>BillingDat!H34</f>
        <v>0</v>
      </c>
      <c r="H100" s="280">
        <f>BillingDat!I34</f>
        <v>0</v>
      </c>
      <c r="I100" s="280">
        <f>BillingDat!J34</f>
        <v>0</v>
      </c>
      <c r="J100" s="280">
        <f>BillingDat!K34</f>
        <v>0</v>
      </c>
      <c r="K100" s="280">
        <f>BillingDat!L34</f>
        <v>0</v>
      </c>
      <c r="L100" s="280">
        <f>BillingDat!M34</f>
        <v>0</v>
      </c>
      <c r="M100" s="280">
        <f>BillingDat!N34</f>
        <v>0</v>
      </c>
      <c r="N100" s="280">
        <f>BillingDat!O34</f>
        <v>0</v>
      </c>
      <c r="O100" s="280">
        <f>SUM(C100:N100)</f>
        <v>0</v>
      </c>
      <c r="P100" s="95"/>
      <c r="Q100" s="95"/>
      <c r="U100" s="85"/>
      <c r="W100" s="85"/>
    </row>
    <row r="101" spans="1:25" hidden="1" x14ac:dyDescent="0.2">
      <c r="A101" s="2" t="s">
        <v>678</v>
      </c>
      <c r="C101" s="280">
        <f>C100/C$35</f>
        <v>0</v>
      </c>
      <c r="D101" s="280">
        <f t="shared" ref="D101" si="82">D100/D$35</f>
        <v>0</v>
      </c>
      <c r="E101" s="280">
        <f t="shared" ref="E101" si="83">E100/E$35</f>
        <v>0</v>
      </c>
      <c r="F101" s="280">
        <f t="shared" ref="F101" si="84">F100/F$35</f>
        <v>0</v>
      </c>
      <c r="G101" s="280">
        <f t="shared" ref="G101" si="85">G100/G$35</f>
        <v>0</v>
      </c>
      <c r="H101" s="280">
        <f t="shared" ref="H101" si="86">H100/H$35</f>
        <v>0</v>
      </c>
      <c r="I101" s="280">
        <f t="shared" ref="I101" si="87">I100/I$35</f>
        <v>0</v>
      </c>
      <c r="J101" s="280">
        <f t="shared" ref="J101" si="88">J100/J$35</f>
        <v>0</v>
      </c>
      <c r="K101" s="280">
        <f t="shared" ref="K101" si="89">K100/K$35</f>
        <v>0</v>
      </c>
      <c r="L101" s="280">
        <f t="shared" ref="L101" si="90">L100/L$35</f>
        <v>0</v>
      </c>
      <c r="M101" s="280">
        <f t="shared" ref="M101" si="91">M100/M$35</f>
        <v>0</v>
      </c>
      <c r="N101" s="280">
        <f t="shared" ref="N101" si="92">N100/N$35</f>
        <v>0</v>
      </c>
      <c r="O101" s="280">
        <f>O100/8760</f>
        <v>0</v>
      </c>
      <c r="P101" s="32"/>
      <c r="Q101" s="32"/>
    </row>
    <row r="102" spans="1:25" hidden="1" x14ac:dyDescent="0.2">
      <c r="A102" s="2" t="s">
        <v>727</v>
      </c>
      <c r="C102" s="281">
        <f>C92</f>
        <v>0.5</v>
      </c>
      <c r="D102" s="281">
        <f t="shared" ref="D102:N102" si="93">D92</f>
        <v>0.5</v>
      </c>
      <c r="E102" s="281">
        <f t="shared" si="93"/>
        <v>0.5</v>
      </c>
      <c r="F102" s="281">
        <f t="shared" si="93"/>
        <v>0.5</v>
      </c>
      <c r="G102" s="281">
        <f t="shared" si="93"/>
        <v>0.5</v>
      </c>
      <c r="H102" s="281">
        <f t="shared" si="93"/>
        <v>0.5</v>
      </c>
      <c r="I102" s="281">
        <f t="shared" si="93"/>
        <v>0.5</v>
      </c>
      <c r="J102" s="281">
        <f t="shared" si="93"/>
        <v>0.5</v>
      </c>
      <c r="K102" s="281">
        <f t="shared" si="93"/>
        <v>0.5</v>
      </c>
      <c r="L102" s="281">
        <f t="shared" si="93"/>
        <v>0.5</v>
      </c>
      <c r="M102" s="281">
        <f t="shared" si="93"/>
        <v>0.5</v>
      </c>
      <c r="N102" s="281">
        <f t="shared" si="93"/>
        <v>0.5</v>
      </c>
      <c r="O102" s="281"/>
      <c r="Q102" s="19"/>
    </row>
    <row r="103" spans="1:25" hidden="1" x14ac:dyDescent="0.2">
      <c r="A103" s="2" t="s">
        <v>728</v>
      </c>
      <c r="C103" s="280">
        <f>C101/C102</f>
        <v>0</v>
      </c>
      <c r="D103" s="280">
        <f t="shared" ref="D103:N103" si="94">D101/D102</f>
        <v>0</v>
      </c>
      <c r="E103" s="280">
        <f t="shared" si="94"/>
        <v>0</v>
      </c>
      <c r="F103" s="280">
        <f t="shared" si="94"/>
        <v>0</v>
      </c>
      <c r="G103" s="280">
        <f t="shared" si="94"/>
        <v>0</v>
      </c>
      <c r="H103" s="280">
        <f t="shared" si="94"/>
        <v>0</v>
      </c>
      <c r="I103" s="280">
        <f t="shared" si="94"/>
        <v>0</v>
      </c>
      <c r="J103" s="280">
        <f t="shared" si="94"/>
        <v>0</v>
      </c>
      <c r="K103" s="280">
        <f t="shared" si="94"/>
        <v>0</v>
      </c>
      <c r="L103" s="280">
        <f t="shared" si="94"/>
        <v>0</v>
      </c>
      <c r="M103" s="280">
        <f t="shared" si="94"/>
        <v>0</v>
      </c>
      <c r="N103" s="280">
        <f t="shared" si="94"/>
        <v>0</v>
      </c>
      <c r="O103" s="280">
        <f>SUM(C103:N103)</f>
        <v>0</v>
      </c>
      <c r="P103" s="32"/>
      <c r="Q103" s="32">
        <f>MAX(C103:N103)</f>
        <v>0</v>
      </c>
    </row>
    <row r="104" spans="1:25" hidden="1" x14ac:dyDescent="0.2">
      <c r="A104" s="2" t="s">
        <v>679</v>
      </c>
      <c r="C104" s="281">
        <f>C94</f>
        <v>0</v>
      </c>
      <c r="D104" s="281">
        <f t="shared" ref="D104:N104" si="95">D94</f>
        <v>0</v>
      </c>
      <c r="E104" s="281">
        <f t="shared" si="95"/>
        <v>0</v>
      </c>
      <c r="F104" s="281">
        <f t="shared" si="95"/>
        <v>0</v>
      </c>
      <c r="G104" s="281">
        <f t="shared" si="95"/>
        <v>0</v>
      </c>
      <c r="H104" s="281">
        <f t="shared" si="95"/>
        <v>0</v>
      </c>
      <c r="I104" s="281">
        <f t="shared" si="95"/>
        <v>0</v>
      </c>
      <c r="J104" s="281">
        <f t="shared" si="95"/>
        <v>0</v>
      </c>
      <c r="K104" s="281">
        <f t="shared" si="95"/>
        <v>0</v>
      </c>
      <c r="L104" s="281">
        <f t="shared" si="95"/>
        <v>0</v>
      </c>
      <c r="M104" s="281">
        <f t="shared" si="95"/>
        <v>0</v>
      </c>
      <c r="N104" s="281">
        <f t="shared" si="95"/>
        <v>0</v>
      </c>
      <c r="O104" s="281"/>
      <c r="P104" s="32"/>
      <c r="Q104" s="19"/>
    </row>
    <row r="105" spans="1:25" hidden="1" x14ac:dyDescent="0.2">
      <c r="A105" s="2" t="s">
        <v>680</v>
      </c>
      <c r="C105" s="280">
        <f>C103*C104</f>
        <v>0</v>
      </c>
      <c r="D105" s="280">
        <f t="shared" ref="D105:N105" si="96">D103*D104</f>
        <v>0</v>
      </c>
      <c r="E105" s="280">
        <f t="shared" si="96"/>
        <v>0</v>
      </c>
      <c r="F105" s="280">
        <f t="shared" si="96"/>
        <v>0</v>
      </c>
      <c r="G105" s="280">
        <f t="shared" si="96"/>
        <v>0</v>
      </c>
      <c r="H105" s="280">
        <f t="shared" si="96"/>
        <v>0</v>
      </c>
      <c r="I105" s="280">
        <f t="shared" si="96"/>
        <v>0</v>
      </c>
      <c r="J105" s="280">
        <f t="shared" si="96"/>
        <v>0</v>
      </c>
      <c r="K105" s="280">
        <f t="shared" si="96"/>
        <v>0</v>
      </c>
      <c r="L105" s="280">
        <f t="shared" si="96"/>
        <v>0</v>
      </c>
      <c r="M105" s="280">
        <f t="shared" si="96"/>
        <v>0</v>
      </c>
      <c r="N105" s="280">
        <f t="shared" si="96"/>
        <v>0</v>
      </c>
      <c r="O105" s="280">
        <f>SUM(C105:N105)</f>
        <v>0</v>
      </c>
      <c r="P105" s="32"/>
      <c r="Q105" s="19"/>
      <c r="R105" s="19">
        <f>O105</f>
        <v>0</v>
      </c>
      <c r="S105" s="19">
        <f>H105+I105+J105</f>
        <v>0</v>
      </c>
      <c r="T105" s="19">
        <f>R105-S105</f>
        <v>0</v>
      </c>
    </row>
    <row r="106" spans="1:25" hidden="1" x14ac:dyDescent="0.2">
      <c r="A106" s="2" t="s">
        <v>729</v>
      </c>
      <c r="C106" s="281">
        <f>C96</f>
        <v>0.18</v>
      </c>
      <c r="D106" s="281">
        <f t="shared" ref="D106:N106" si="97">D96</f>
        <v>0.18</v>
      </c>
      <c r="E106" s="281">
        <f t="shared" si="97"/>
        <v>0.18</v>
      </c>
      <c r="F106" s="281">
        <f t="shared" si="97"/>
        <v>0.18</v>
      </c>
      <c r="G106" s="281">
        <f t="shared" si="97"/>
        <v>0.18</v>
      </c>
      <c r="H106" s="281">
        <f t="shared" si="97"/>
        <v>0.18</v>
      </c>
      <c r="I106" s="281">
        <f t="shared" si="97"/>
        <v>0.18</v>
      </c>
      <c r="J106" s="281">
        <f t="shared" si="97"/>
        <v>0.18</v>
      </c>
      <c r="K106" s="281">
        <f t="shared" si="97"/>
        <v>0.18</v>
      </c>
      <c r="L106" s="281">
        <f t="shared" si="97"/>
        <v>0.18</v>
      </c>
      <c r="M106" s="281">
        <f t="shared" si="97"/>
        <v>0.18</v>
      </c>
      <c r="N106" s="281">
        <f t="shared" si="97"/>
        <v>0.18</v>
      </c>
      <c r="O106" s="281"/>
      <c r="P106" s="95"/>
      <c r="Q106" s="95"/>
      <c r="U106" s="85"/>
      <c r="W106" s="85"/>
    </row>
    <row r="107" spans="1:25" hidden="1" x14ac:dyDescent="0.2">
      <c r="A107" s="2" t="s">
        <v>730</v>
      </c>
      <c r="C107" s="280">
        <v>0</v>
      </c>
      <c r="D107" s="280">
        <v>0</v>
      </c>
      <c r="E107" s="280">
        <v>0</v>
      </c>
      <c r="F107" s="280">
        <v>0</v>
      </c>
      <c r="G107" s="280">
        <v>0</v>
      </c>
      <c r="H107" s="280">
        <v>0</v>
      </c>
      <c r="I107" s="280">
        <v>0</v>
      </c>
      <c r="J107" s="280">
        <v>0</v>
      </c>
      <c r="K107" s="280">
        <v>0</v>
      </c>
      <c r="L107" s="280">
        <v>0</v>
      </c>
      <c r="M107" s="280">
        <v>0</v>
      </c>
      <c r="N107" s="280">
        <v>0</v>
      </c>
      <c r="O107" s="280">
        <f>SUM(C107:N107)</f>
        <v>0</v>
      </c>
      <c r="P107" s="32">
        <f>MAX(C107:N107)</f>
        <v>0</v>
      </c>
      <c r="Q107" s="32"/>
    </row>
    <row r="108" spans="1:25" hidden="1" x14ac:dyDescent="0.2"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</row>
    <row r="109" spans="1:25" x14ac:dyDescent="0.2">
      <c r="A109" s="3" t="str">
        <f>A15</f>
        <v>Schedule C - Large Commercial 10% Discount</v>
      </c>
      <c r="B109" s="38">
        <f>B15</f>
        <v>9</v>
      </c>
      <c r="C109" s="280">
        <f>BillingDat!D13</f>
        <v>4</v>
      </c>
      <c r="D109" s="280">
        <f>BillingDat!E13</f>
        <v>4</v>
      </c>
      <c r="E109" s="280">
        <f>BillingDat!F13</f>
        <v>4</v>
      </c>
      <c r="F109" s="280">
        <f>BillingDat!G13</f>
        <v>4</v>
      </c>
      <c r="G109" s="280">
        <f>BillingDat!H13</f>
        <v>4</v>
      </c>
      <c r="H109" s="280">
        <f>BillingDat!I13</f>
        <v>4</v>
      </c>
      <c r="I109" s="280">
        <f>BillingDat!J13</f>
        <v>4</v>
      </c>
      <c r="J109" s="280">
        <f>BillingDat!K13</f>
        <v>4</v>
      </c>
      <c r="K109" s="280">
        <f>BillingDat!L13</f>
        <v>4</v>
      </c>
      <c r="L109" s="280">
        <f>BillingDat!M13</f>
        <v>4</v>
      </c>
      <c r="M109" s="280">
        <f>BillingDat!N13</f>
        <v>4</v>
      </c>
      <c r="N109" s="280">
        <f>BillingDat!O13</f>
        <v>4</v>
      </c>
      <c r="O109" s="280">
        <f>ROUND(SUM(C109:N109)/12,0)</f>
        <v>4</v>
      </c>
      <c r="P109" s="32"/>
      <c r="Q109" s="19"/>
      <c r="W109" s="19">
        <f>N109</f>
        <v>4</v>
      </c>
      <c r="X109" s="19">
        <f>AVERAGE(C109:N109)</f>
        <v>4</v>
      </c>
      <c r="Y109" s="19">
        <f>W109-X109</f>
        <v>0</v>
      </c>
    </row>
    <row r="110" spans="1:25" x14ac:dyDescent="0.2">
      <c r="A110" s="2" t="s">
        <v>994</v>
      </c>
      <c r="C110" s="280">
        <f>BillingDat!D35</f>
        <v>1672257</v>
      </c>
      <c r="D110" s="280">
        <f>BillingDat!E35</f>
        <v>2180457</v>
      </c>
      <c r="E110" s="280">
        <f>BillingDat!F35</f>
        <v>1977657</v>
      </c>
      <c r="F110" s="280">
        <f>BillingDat!G35</f>
        <v>2082657</v>
      </c>
      <c r="G110" s="280">
        <f>BillingDat!H35</f>
        <v>2110257</v>
      </c>
      <c r="H110" s="280">
        <f>BillingDat!I35</f>
        <v>2102457</v>
      </c>
      <c r="I110" s="280">
        <f>BillingDat!J35</f>
        <v>2158857</v>
      </c>
      <c r="J110" s="280">
        <f>BillingDat!K35</f>
        <v>2251857</v>
      </c>
      <c r="K110" s="280">
        <f>BillingDat!L35</f>
        <v>2125857</v>
      </c>
      <c r="L110" s="280">
        <f>BillingDat!M35</f>
        <v>2001657</v>
      </c>
      <c r="M110" s="280">
        <f>BillingDat!N35</f>
        <v>1909857</v>
      </c>
      <c r="N110" s="280">
        <f>BillingDat!O35</f>
        <v>1731057</v>
      </c>
      <c r="O110" s="280">
        <f>SUM(C110:N110)</f>
        <v>24304884</v>
      </c>
      <c r="P110" s="95"/>
      <c r="Q110" s="95"/>
      <c r="U110" s="85"/>
      <c r="W110" s="85"/>
    </row>
    <row r="111" spans="1:25" x14ac:dyDescent="0.2">
      <c r="A111" s="2" t="s">
        <v>678</v>
      </c>
      <c r="C111" s="280">
        <f>C110/C$35</f>
        <v>2247.6572580645161</v>
      </c>
      <c r="D111" s="280">
        <f t="shared" ref="D111" si="98">D110/D$35</f>
        <v>3244.7276785714284</v>
      </c>
      <c r="E111" s="280">
        <f t="shared" ref="E111" si="99">E110/E$35</f>
        <v>2658.141129032258</v>
      </c>
      <c r="F111" s="280">
        <f t="shared" ref="F111" si="100">F110/F$35</f>
        <v>2892.5791666666669</v>
      </c>
      <c r="G111" s="280">
        <f t="shared" ref="G111" si="101">G110/G$35</f>
        <v>2836.3669354838707</v>
      </c>
      <c r="H111" s="280">
        <f t="shared" ref="H111" si="102">H110/H$35</f>
        <v>2920.0791666666669</v>
      </c>
      <c r="I111" s="280">
        <f t="shared" ref="I111" si="103">I110/I$35</f>
        <v>2901.6895161290322</v>
      </c>
      <c r="J111" s="280">
        <f t="shared" ref="J111" si="104">J110/J$35</f>
        <v>3026.6895161290322</v>
      </c>
      <c r="K111" s="280">
        <f t="shared" ref="K111" si="105">K110/K$35</f>
        <v>2952.5791666666669</v>
      </c>
      <c r="L111" s="280">
        <f t="shared" ref="L111" si="106">L110/L$35</f>
        <v>2690.3991935483873</v>
      </c>
      <c r="M111" s="280">
        <f t="shared" ref="M111" si="107">M110/M$35</f>
        <v>2652.5791666666669</v>
      </c>
      <c r="N111" s="280">
        <f t="shared" ref="N111" si="108">N110/N$35</f>
        <v>2326.6895161290322</v>
      </c>
      <c r="O111" s="280">
        <f>O110/8760</f>
        <v>2774.5301369863014</v>
      </c>
      <c r="P111" s="32"/>
      <c r="Q111" s="32"/>
    </row>
    <row r="112" spans="1:25" x14ac:dyDescent="0.2">
      <c r="A112" s="2" t="s">
        <v>727</v>
      </c>
      <c r="C112" s="281">
        <f>C116+0.05</f>
        <v>0.52400929142193176</v>
      </c>
      <c r="D112" s="281">
        <f t="shared" ref="D112:N112" si="109">D116+0.05</f>
        <v>0.68272253004395866</v>
      </c>
      <c r="E112" s="281">
        <f t="shared" si="109"/>
        <v>0.58882695391069861</v>
      </c>
      <c r="F112" s="281">
        <f t="shared" si="109"/>
        <v>0.61650590808199512</v>
      </c>
      <c r="G112" s="281">
        <f t="shared" si="109"/>
        <v>0.62300342130987296</v>
      </c>
      <c r="H112" s="281">
        <f t="shared" si="109"/>
        <v>0.6572113051916546</v>
      </c>
      <c r="I112" s="281">
        <f t="shared" si="109"/>
        <v>0.61748993118380513</v>
      </c>
      <c r="J112" s="281">
        <f t="shared" si="109"/>
        <v>0.62291113309275647</v>
      </c>
      <c r="K112" s="281">
        <f t="shared" si="109"/>
        <v>0.62094387722215794</v>
      </c>
      <c r="L112" s="281">
        <f t="shared" si="109"/>
        <v>0.59609653585604416</v>
      </c>
      <c r="M112" s="281">
        <f t="shared" si="109"/>
        <v>0.60062464538270999</v>
      </c>
      <c r="N112" s="281">
        <f t="shared" si="109"/>
        <v>0.52215583346098304</v>
      </c>
      <c r="O112" s="281"/>
      <c r="Q112" s="19"/>
    </row>
    <row r="113" spans="1:25" x14ac:dyDescent="0.2">
      <c r="A113" s="2" t="s">
        <v>728</v>
      </c>
      <c r="C113" s="280">
        <f>C111/C112</f>
        <v>4289.3461907237534</v>
      </c>
      <c r="D113" s="280">
        <f t="shared" ref="D113:N113" si="110">D111/D112</f>
        <v>4752.6301473638332</v>
      </c>
      <c r="E113" s="280">
        <f t="shared" si="110"/>
        <v>4514.2993393529187</v>
      </c>
      <c r="F113" s="280">
        <f t="shared" si="110"/>
        <v>4691.8920463645491</v>
      </c>
      <c r="G113" s="280">
        <f t="shared" si="110"/>
        <v>4552.7309136125959</v>
      </c>
      <c r="H113" s="280">
        <f t="shared" si="110"/>
        <v>4443.135934515185</v>
      </c>
      <c r="I113" s="280">
        <f t="shared" si="110"/>
        <v>4699.1689574049115</v>
      </c>
      <c r="J113" s="280">
        <f t="shared" si="110"/>
        <v>4858.9427212538421</v>
      </c>
      <c r="K113" s="280">
        <f t="shared" si="110"/>
        <v>4754.9855550154798</v>
      </c>
      <c r="L113" s="280">
        <f t="shared" si="110"/>
        <v>4513.3615643056046</v>
      </c>
      <c r="M113" s="280">
        <f t="shared" si="110"/>
        <v>4416.3675051603632</v>
      </c>
      <c r="N113" s="280">
        <f t="shared" si="110"/>
        <v>4455.9293740091653</v>
      </c>
      <c r="O113" s="280">
        <f>SUM(C113:N113)</f>
        <v>54942.790249082202</v>
      </c>
      <c r="Q113" s="19">
        <f>MAX(C113:N113)</f>
        <v>4858.9427212538421</v>
      </c>
    </row>
    <row r="114" spans="1:25" x14ac:dyDescent="0.2">
      <c r="A114" s="2" t="s">
        <v>679</v>
      </c>
      <c r="C114" s="281">
        <f>C84-0.1</f>
        <v>0.70000000000000007</v>
      </c>
      <c r="D114" s="281">
        <f t="shared" ref="D114:N114" si="111">D84-0.2</f>
        <v>0.60000000000000009</v>
      </c>
      <c r="E114" s="281">
        <f t="shared" si="111"/>
        <v>0.64999999999999991</v>
      </c>
      <c r="F114" s="281">
        <f t="shared" si="111"/>
        <v>0.64999999999999991</v>
      </c>
      <c r="G114" s="281">
        <f t="shared" si="111"/>
        <v>0.64999999999999991</v>
      </c>
      <c r="H114" s="281">
        <f t="shared" si="111"/>
        <v>0.60000000000000009</v>
      </c>
      <c r="I114" s="281">
        <f t="shared" si="111"/>
        <v>0.60000000000000009</v>
      </c>
      <c r="J114" s="281">
        <f t="shared" si="111"/>
        <v>0.60000000000000009</v>
      </c>
      <c r="K114" s="281">
        <f t="shared" si="111"/>
        <v>0.64999999999999991</v>
      </c>
      <c r="L114" s="281">
        <f t="shared" si="111"/>
        <v>0.64999999999999991</v>
      </c>
      <c r="M114" s="281">
        <f t="shared" si="111"/>
        <v>0.64999999999999991</v>
      </c>
      <c r="N114" s="281">
        <f t="shared" si="111"/>
        <v>0.60000000000000009</v>
      </c>
      <c r="O114" s="281"/>
      <c r="P114" s="32"/>
      <c r="Q114" s="19"/>
    </row>
    <row r="115" spans="1:25" x14ac:dyDescent="0.2">
      <c r="A115" s="2" t="s">
        <v>680</v>
      </c>
      <c r="C115" s="280">
        <f>C113*C114</f>
        <v>3002.5423335066275</v>
      </c>
      <c r="D115" s="280">
        <f t="shared" ref="D115:N115" si="112">D113*D114</f>
        <v>2851.5780884183005</v>
      </c>
      <c r="E115" s="280">
        <f t="shared" si="112"/>
        <v>2934.2945705793968</v>
      </c>
      <c r="F115" s="280">
        <f t="shared" si="112"/>
        <v>3049.7298301369565</v>
      </c>
      <c r="G115" s="280">
        <f t="shared" si="112"/>
        <v>2959.2750938481868</v>
      </c>
      <c r="H115" s="280">
        <f t="shared" si="112"/>
        <v>2665.8815607091115</v>
      </c>
      <c r="I115" s="280">
        <f t="shared" si="112"/>
        <v>2819.5013744429475</v>
      </c>
      <c r="J115" s="280">
        <f t="shared" si="112"/>
        <v>2915.3656327523058</v>
      </c>
      <c r="K115" s="280">
        <f t="shared" si="112"/>
        <v>3090.7406107600614</v>
      </c>
      <c r="L115" s="280">
        <f t="shared" si="112"/>
        <v>2933.6850167986427</v>
      </c>
      <c r="M115" s="280">
        <f t="shared" si="112"/>
        <v>2870.6388783542357</v>
      </c>
      <c r="N115" s="280">
        <f t="shared" si="112"/>
        <v>2673.5576244054996</v>
      </c>
      <c r="O115" s="280">
        <f>SUM(C115:N115)</f>
        <v>34766.790614712278</v>
      </c>
      <c r="P115" s="32"/>
      <c r="Q115" s="19"/>
      <c r="R115" s="19">
        <f>O115</f>
        <v>34766.790614712278</v>
      </c>
      <c r="S115" s="19">
        <f>H115+I115+J115</f>
        <v>8400.7485679043639</v>
      </c>
      <c r="T115" s="19">
        <f>R115-S115</f>
        <v>26366.042046807914</v>
      </c>
    </row>
    <row r="116" spans="1:25" x14ac:dyDescent="0.2">
      <c r="A116" s="2" t="s">
        <v>729</v>
      </c>
      <c r="C116" s="281">
        <f>C111/C117</f>
        <v>0.47400929142193177</v>
      </c>
      <c r="D116" s="281">
        <f t="shared" ref="D116:N116" si="113">D111/D117</f>
        <v>0.63272253004395862</v>
      </c>
      <c r="E116" s="281">
        <f t="shared" si="113"/>
        <v>0.53882695391069857</v>
      </c>
      <c r="F116" s="281">
        <f t="shared" si="113"/>
        <v>0.56650590808199508</v>
      </c>
      <c r="G116" s="281">
        <f t="shared" si="113"/>
        <v>0.57300342130987292</v>
      </c>
      <c r="H116" s="281">
        <f t="shared" si="113"/>
        <v>0.60721130519165456</v>
      </c>
      <c r="I116" s="281">
        <f t="shared" si="113"/>
        <v>0.56748993118380509</v>
      </c>
      <c r="J116" s="281">
        <f t="shared" si="113"/>
        <v>0.57291113309275643</v>
      </c>
      <c r="K116" s="281">
        <f t="shared" si="113"/>
        <v>0.57094387722215789</v>
      </c>
      <c r="L116" s="281">
        <f t="shared" si="113"/>
        <v>0.54609653585604412</v>
      </c>
      <c r="M116" s="281">
        <f t="shared" si="113"/>
        <v>0.55062464538270994</v>
      </c>
      <c r="N116" s="281">
        <f t="shared" si="113"/>
        <v>0.472155833460983</v>
      </c>
      <c r="O116" s="281"/>
      <c r="P116" s="95"/>
      <c r="Q116" s="95"/>
      <c r="U116" s="85"/>
      <c r="W116" s="85"/>
    </row>
    <row r="117" spans="1:25" x14ac:dyDescent="0.2">
      <c r="A117" s="2" t="s">
        <v>730</v>
      </c>
      <c r="C117" s="280">
        <f>BillingDat!D145</f>
        <v>4741.8</v>
      </c>
      <c r="D117" s="280">
        <f>BillingDat!E145</f>
        <v>5128.2</v>
      </c>
      <c r="E117" s="280">
        <f>BillingDat!F145</f>
        <v>4933.2</v>
      </c>
      <c r="F117" s="280">
        <f>BillingDat!G145</f>
        <v>5106</v>
      </c>
      <c r="G117" s="280">
        <f>BillingDat!H145</f>
        <v>4950</v>
      </c>
      <c r="H117" s="280">
        <f>BillingDat!I145</f>
        <v>4809</v>
      </c>
      <c r="I117" s="280">
        <f>BillingDat!J145</f>
        <v>5113.2</v>
      </c>
      <c r="J117" s="280">
        <f>BillingDat!K145</f>
        <v>5283</v>
      </c>
      <c r="K117" s="280">
        <f>BillingDat!L145</f>
        <v>5171.3999999999996</v>
      </c>
      <c r="L117" s="280">
        <f>BillingDat!M145</f>
        <v>4926.6000000000004</v>
      </c>
      <c r="M117" s="280">
        <f>BillingDat!N145</f>
        <v>4817.3999999999996</v>
      </c>
      <c r="N117" s="280">
        <f>BillingDat!O145</f>
        <v>4927.8</v>
      </c>
      <c r="O117" s="280">
        <f>SUM(C117:N117)</f>
        <v>59907.600000000006</v>
      </c>
      <c r="P117" s="32">
        <f>MAX(C117:N117)</f>
        <v>5283</v>
      </c>
      <c r="Q117" s="32"/>
    </row>
    <row r="118" spans="1:25" x14ac:dyDescent="0.2"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</row>
    <row r="119" spans="1:25" x14ac:dyDescent="0.2">
      <c r="A119" s="3" t="str">
        <f>A16</f>
        <v>Schedule E - Large Industrial Rate</v>
      </c>
      <c r="B119" s="38">
        <f>B16</f>
        <v>10</v>
      </c>
      <c r="C119" s="280">
        <f>BillingDat!D14</f>
        <v>1</v>
      </c>
      <c r="D119" s="280">
        <f>BillingDat!E14</f>
        <v>1</v>
      </c>
      <c r="E119" s="280">
        <f>BillingDat!F14</f>
        <v>1</v>
      </c>
      <c r="F119" s="280">
        <f>BillingDat!G14</f>
        <v>1</v>
      </c>
      <c r="G119" s="280">
        <f>BillingDat!H14</f>
        <v>1</v>
      </c>
      <c r="H119" s="280">
        <f>BillingDat!I14</f>
        <v>1</v>
      </c>
      <c r="I119" s="280">
        <f>BillingDat!J14</f>
        <v>1</v>
      </c>
      <c r="J119" s="280">
        <f>BillingDat!K14</f>
        <v>1</v>
      </c>
      <c r="K119" s="280">
        <f>BillingDat!L14</f>
        <v>1</v>
      </c>
      <c r="L119" s="280">
        <f>BillingDat!M14</f>
        <v>1</v>
      </c>
      <c r="M119" s="280">
        <f>BillingDat!N14</f>
        <v>1</v>
      </c>
      <c r="N119" s="280">
        <f>BillingDat!O14</f>
        <v>1</v>
      </c>
      <c r="O119" s="280">
        <f>ROUND(SUM(C119:N119)/12,0)</f>
        <v>1</v>
      </c>
      <c r="P119" s="32"/>
      <c r="Q119" s="19"/>
      <c r="W119" s="19">
        <f>N119</f>
        <v>1</v>
      </c>
      <c r="X119" s="19">
        <f>AVERAGE(C119:N119)</f>
        <v>1</v>
      </c>
      <c r="Y119" s="19">
        <f>W119-X119</f>
        <v>0</v>
      </c>
    </row>
    <row r="120" spans="1:25" x14ac:dyDescent="0.2">
      <c r="A120" s="2" t="s">
        <v>677</v>
      </c>
      <c r="C120" s="280">
        <f>BillingDat!D36</f>
        <v>2289756</v>
      </c>
      <c r="D120" s="280">
        <f>BillingDat!E36</f>
        <v>2721756</v>
      </c>
      <c r="E120" s="280">
        <f>BillingDat!F36</f>
        <v>2642556</v>
      </c>
      <c r="F120" s="280">
        <f>BillingDat!G36</f>
        <v>2692956</v>
      </c>
      <c r="G120" s="280">
        <f>BillingDat!H36</f>
        <v>2894556</v>
      </c>
      <c r="H120" s="280">
        <f>BillingDat!I36</f>
        <v>2959356</v>
      </c>
      <c r="I120" s="280">
        <f>BillingDat!J36</f>
        <v>2923356</v>
      </c>
      <c r="J120" s="280">
        <f>BillingDat!K36</f>
        <v>2865756</v>
      </c>
      <c r="K120" s="280">
        <f>BillingDat!L36</f>
        <v>3168156</v>
      </c>
      <c r="L120" s="280">
        <f>BillingDat!M36</f>
        <v>2750556</v>
      </c>
      <c r="M120" s="280">
        <f>BillingDat!N36</f>
        <v>3160956</v>
      </c>
      <c r="N120" s="280">
        <f>BillingDat!O36</f>
        <v>2786556</v>
      </c>
      <c r="O120" s="280">
        <f>SUM(C120:N120)</f>
        <v>33856272</v>
      </c>
      <c r="P120" s="95"/>
      <c r="Q120" s="95"/>
      <c r="U120" s="85"/>
      <c r="W120" s="85"/>
    </row>
    <row r="121" spans="1:25" x14ac:dyDescent="0.2">
      <c r="A121" s="2" t="s">
        <v>678</v>
      </c>
      <c r="C121" s="280">
        <f>C120/C$35</f>
        <v>3077.6290322580644</v>
      </c>
      <c r="D121" s="280">
        <f t="shared" ref="D121" si="114">D120/D$35</f>
        <v>4050.2321428571427</v>
      </c>
      <c r="E121" s="280">
        <f t="shared" ref="E121" si="115">E120/E$35</f>
        <v>3551.8225806451615</v>
      </c>
      <c r="F121" s="280">
        <f t="shared" ref="F121" si="116">F120/F$35</f>
        <v>3740.2166666666667</v>
      </c>
      <c r="G121" s="280">
        <f t="shared" ref="G121" si="117">G120/G$35</f>
        <v>3890.5322580645161</v>
      </c>
      <c r="H121" s="280">
        <f t="shared" ref="H121" si="118">H120/H$35</f>
        <v>4110.2166666666662</v>
      </c>
      <c r="I121" s="280">
        <f t="shared" ref="I121" si="119">I120/I$35</f>
        <v>3929.2419354838707</v>
      </c>
      <c r="J121" s="280">
        <f t="shared" ref="J121" si="120">J120/J$35</f>
        <v>3851.8225806451615</v>
      </c>
      <c r="K121" s="280">
        <f t="shared" ref="K121" si="121">K120/K$35</f>
        <v>4400.2166666666662</v>
      </c>
      <c r="L121" s="280">
        <f t="shared" ref="L121" si="122">L120/L$35</f>
        <v>3696.983870967742</v>
      </c>
      <c r="M121" s="280">
        <f t="shared" ref="M121" si="123">M120/M$35</f>
        <v>4390.2166666666662</v>
      </c>
      <c r="N121" s="280">
        <f t="shared" ref="N121" si="124">N120/N$35</f>
        <v>3745.3709677419356</v>
      </c>
      <c r="O121" s="280">
        <f>O120/8760</f>
        <v>3864.8712328767124</v>
      </c>
      <c r="P121" s="32"/>
      <c r="Q121" s="32"/>
    </row>
    <row r="122" spans="1:25" x14ac:dyDescent="0.2">
      <c r="A122" s="2" t="s">
        <v>727</v>
      </c>
      <c r="C122" s="281">
        <f>C126</f>
        <v>0.57069222523699459</v>
      </c>
      <c r="D122" s="281">
        <f t="shared" ref="D122:N122" si="125">D126</f>
        <v>0.75104438192722567</v>
      </c>
      <c r="E122" s="281">
        <f t="shared" si="125"/>
        <v>0.65862308645697254</v>
      </c>
      <c r="F122" s="281">
        <f t="shared" si="125"/>
        <v>0.69355745932848734</v>
      </c>
      <c r="G122" s="281">
        <f t="shared" si="125"/>
        <v>0.72143084447124239</v>
      </c>
      <c r="H122" s="281">
        <f t="shared" si="125"/>
        <v>0.77668493323255217</v>
      </c>
      <c r="I122" s="281">
        <f t="shared" si="125"/>
        <v>0.74248713822446533</v>
      </c>
      <c r="J122" s="281">
        <f t="shared" si="125"/>
        <v>0.72785763050740016</v>
      </c>
      <c r="K122" s="281">
        <f t="shared" si="125"/>
        <v>0.78958811848023724</v>
      </c>
      <c r="L122" s="281">
        <f t="shared" si="125"/>
        <v>0.66339790966260082</v>
      </c>
      <c r="M122" s="281">
        <f t="shared" si="125"/>
        <v>0.78779368839123354</v>
      </c>
      <c r="N122" s="281">
        <f t="shared" si="125"/>
        <v>0.67208063589971567</v>
      </c>
      <c r="O122" s="281"/>
      <c r="Q122" s="19"/>
    </row>
    <row r="123" spans="1:25" x14ac:dyDescent="0.2">
      <c r="A123" s="2" t="s">
        <v>728</v>
      </c>
      <c r="C123" s="280">
        <f>C121/C122</f>
        <v>5392.8</v>
      </c>
      <c r="D123" s="280">
        <f t="shared" ref="D123:N123" si="126">D127</f>
        <v>5392.8</v>
      </c>
      <c r="E123" s="280">
        <f t="shared" si="126"/>
        <v>5392.8</v>
      </c>
      <c r="F123" s="280">
        <f t="shared" si="126"/>
        <v>5392.8</v>
      </c>
      <c r="G123" s="280">
        <f t="shared" si="126"/>
        <v>5392.8</v>
      </c>
      <c r="H123" s="280">
        <f t="shared" si="126"/>
        <v>5292</v>
      </c>
      <c r="I123" s="280">
        <f t="shared" si="126"/>
        <v>5292</v>
      </c>
      <c r="J123" s="280">
        <f t="shared" si="126"/>
        <v>5292</v>
      </c>
      <c r="K123" s="280">
        <f t="shared" si="126"/>
        <v>5572.8</v>
      </c>
      <c r="L123" s="280">
        <f t="shared" si="126"/>
        <v>5572.8</v>
      </c>
      <c r="M123" s="280">
        <f t="shared" si="126"/>
        <v>5572.8</v>
      </c>
      <c r="N123" s="280">
        <f t="shared" si="126"/>
        <v>5572.8</v>
      </c>
      <c r="O123" s="280">
        <f>SUM(C123:N123)</f>
        <v>65131.200000000012</v>
      </c>
      <c r="Q123" s="19">
        <f>MAX(C123:N123)</f>
        <v>5572.8</v>
      </c>
    </row>
    <row r="124" spans="1:25" x14ac:dyDescent="0.2">
      <c r="A124" s="2" t="s">
        <v>679</v>
      </c>
      <c r="C124" s="281">
        <f>C114</f>
        <v>0.70000000000000007</v>
      </c>
      <c r="D124" s="281">
        <f t="shared" ref="D124:N124" si="127">D114</f>
        <v>0.60000000000000009</v>
      </c>
      <c r="E124" s="281">
        <f t="shared" si="127"/>
        <v>0.64999999999999991</v>
      </c>
      <c r="F124" s="281">
        <f t="shared" si="127"/>
        <v>0.64999999999999991</v>
      </c>
      <c r="G124" s="281">
        <f t="shared" si="127"/>
        <v>0.64999999999999991</v>
      </c>
      <c r="H124" s="281">
        <f t="shared" si="127"/>
        <v>0.60000000000000009</v>
      </c>
      <c r="I124" s="281">
        <f t="shared" si="127"/>
        <v>0.60000000000000009</v>
      </c>
      <c r="J124" s="281">
        <f t="shared" si="127"/>
        <v>0.60000000000000009</v>
      </c>
      <c r="K124" s="281">
        <f t="shared" si="127"/>
        <v>0.64999999999999991</v>
      </c>
      <c r="L124" s="281">
        <f t="shared" si="127"/>
        <v>0.64999999999999991</v>
      </c>
      <c r="M124" s="281">
        <f t="shared" si="127"/>
        <v>0.64999999999999991</v>
      </c>
      <c r="N124" s="281">
        <f t="shared" si="127"/>
        <v>0.60000000000000009</v>
      </c>
      <c r="O124" s="281"/>
      <c r="P124" s="32"/>
      <c r="Q124" s="19"/>
    </row>
    <row r="125" spans="1:25" x14ac:dyDescent="0.2">
      <c r="A125" s="2" t="s">
        <v>680</v>
      </c>
      <c r="C125" s="280">
        <f>C123*C124</f>
        <v>3774.9600000000005</v>
      </c>
      <c r="D125" s="280">
        <f t="shared" ref="D125:N125" si="128">D123*D124</f>
        <v>3235.6800000000007</v>
      </c>
      <c r="E125" s="280">
        <f t="shared" si="128"/>
        <v>3505.3199999999997</v>
      </c>
      <c r="F125" s="280">
        <f t="shared" si="128"/>
        <v>3505.3199999999997</v>
      </c>
      <c r="G125" s="280">
        <f t="shared" si="128"/>
        <v>3505.3199999999997</v>
      </c>
      <c r="H125" s="280">
        <f t="shared" si="128"/>
        <v>3175.2000000000003</v>
      </c>
      <c r="I125" s="280">
        <f t="shared" si="128"/>
        <v>3175.2000000000003</v>
      </c>
      <c r="J125" s="280">
        <f t="shared" si="128"/>
        <v>3175.2000000000003</v>
      </c>
      <c r="K125" s="280">
        <f t="shared" si="128"/>
        <v>3622.3199999999997</v>
      </c>
      <c r="L125" s="280">
        <f t="shared" si="128"/>
        <v>3622.3199999999997</v>
      </c>
      <c r="M125" s="280">
        <f t="shared" si="128"/>
        <v>3622.3199999999997</v>
      </c>
      <c r="N125" s="280">
        <f t="shared" si="128"/>
        <v>3343.6800000000007</v>
      </c>
      <c r="O125" s="280">
        <f>SUM(C125:N125)</f>
        <v>41262.839999999997</v>
      </c>
      <c r="P125" s="32"/>
      <c r="Q125" s="19"/>
      <c r="R125" s="19">
        <f>O125</f>
        <v>41262.839999999997</v>
      </c>
      <c r="S125" s="19">
        <f>H125+I125+J125</f>
        <v>9525.6</v>
      </c>
      <c r="T125" s="19">
        <f>R125-S125</f>
        <v>31737.239999999998</v>
      </c>
    </row>
    <row r="126" spans="1:25" x14ac:dyDescent="0.2">
      <c r="A126" s="2" t="s">
        <v>729</v>
      </c>
      <c r="C126" s="281">
        <f>C121/C127</f>
        <v>0.57069222523699459</v>
      </c>
      <c r="D126" s="281">
        <f t="shared" ref="D126:N126" si="129">D121/D127</f>
        <v>0.75104438192722567</v>
      </c>
      <c r="E126" s="281">
        <f t="shared" si="129"/>
        <v>0.65862308645697254</v>
      </c>
      <c r="F126" s="281">
        <f t="shared" si="129"/>
        <v>0.69355745932848734</v>
      </c>
      <c r="G126" s="281">
        <f t="shared" si="129"/>
        <v>0.72143084447124239</v>
      </c>
      <c r="H126" s="281">
        <f t="shared" si="129"/>
        <v>0.77668493323255217</v>
      </c>
      <c r="I126" s="281">
        <f t="shared" si="129"/>
        <v>0.74248713822446533</v>
      </c>
      <c r="J126" s="281">
        <f t="shared" si="129"/>
        <v>0.72785763050740016</v>
      </c>
      <c r="K126" s="281">
        <f t="shared" si="129"/>
        <v>0.78958811848023724</v>
      </c>
      <c r="L126" s="281">
        <f t="shared" si="129"/>
        <v>0.66339790966260082</v>
      </c>
      <c r="M126" s="281">
        <f t="shared" si="129"/>
        <v>0.78779368839123354</v>
      </c>
      <c r="N126" s="281">
        <f t="shared" si="129"/>
        <v>0.67208063589971567</v>
      </c>
      <c r="O126" s="281"/>
      <c r="P126" s="95"/>
      <c r="Q126" s="95"/>
      <c r="U126" s="85"/>
      <c r="W126" s="85"/>
    </row>
    <row r="127" spans="1:25" x14ac:dyDescent="0.2">
      <c r="A127" s="2" t="s">
        <v>730</v>
      </c>
      <c r="C127" s="280">
        <f>BillingDat!D146</f>
        <v>5392.8</v>
      </c>
      <c r="D127" s="280">
        <f>BillingDat!E146</f>
        <v>5392.8</v>
      </c>
      <c r="E127" s="280">
        <f>BillingDat!F146</f>
        <v>5392.8</v>
      </c>
      <c r="F127" s="280">
        <f>BillingDat!G146</f>
        <v>5392.8</v>
      </c>
      <c r="G127" s="280">
        <f>BillingDat!H146</f>
        <v>5392.8</v>
      </c>
      <c r="H127" s="280">
        <f>BillingDat!I146</f>
        <v>5292</v>
      </c>
      <c r="I127" s="280">
        <f>BillingDat!J146</f>
        <v>5292</v>
      </c>
      <c r="J127" s="280">
        <f>BillingDat!K146</f>
        <v>5292</v>
      </c>
      <c r="K127" s="280">
        <f>BillingDat!L146</f>
        <v>5572.8</v>
      </c>
      <c r="L127" s="280">
        <f>BillingDat!M146</f>
        <v>5572.8</v>
      </c>
      <c r="M127" s="280">
        <f>BillingDat!N146</f>
        <v>5572.8</v>
      </c>
      <c r="N127" s="280">
        <f>BillingDat!O146</f>
        <v>5572.8</v>
      </c>
      <c r="O127" s="280">
        <f>SUM(C127:N127)</f>
        <v>65131.200000000012</v>
      </c>
      <c r="P127" s="32">
        <f>MAX(C127:N127)</f>
        <v>5572.8</v>
      </c>
      <c r="Q127" s="32"/>
    </row>
    <row r="128" spans="1:25" x14ac:dyDescent="0.2"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</row>
    <row r="129" spans="1:25" x14ac:dyDescent="0.2">
      <c r="A129" s="3" t="str">
        <f>A17</f>
        <v>Schedule LPC-2   Large Power Rate Tariff</v>
      </c>
      <c r="B129" s="38">
        <f>B17</f>
        <v>14</v>
      </c>
      <c r="C129" s="280">
        <f>BillingDat!D15</f>
        <v>1</v>
      </c>
      <c r="D129" s="280">
        <f>BillingDat!E15</f>
        <v>1</v>
      </c>
      <c r="E129" s="280">
        <f>BillingDat!F15</f>
        <v>1</v>
      </c>
      <c r="F129" s="280">
        <f>BillingDat!G15</f>
        <v>1</v>
      </c>
      <c r="G129" s="280">
        <f>BillingDat!H15</f>
        <v>1</v>
      </c>
      <c r="H129" s="280">
        <f>BillingDat!I15</f>
        <v>1</v>
      </c>
      <c r="I129" s="280">
        <f>BillingDat!J15</f>
        <v>1</v>
      </c>
      <c r="J129" s="280">
        <f>BillingDat!K15</f>
        <v>1</v>
      </c>
      <c r="K129" s="280">
        <f>BillingDat!L15</f>
        <v>1</v>
      </c>
      <c r="L129" s="280">
        <f>BillingDat!M15</f>
        <v>1</v>
      </c>
      <c r="M129" s="280">
        <f>BillingDat!N15</f>
        <v>1</v>
      </c>
      <c r="N129" s="280">
        <f>BillingDat!O15</f>
        <v>1</v>
      </c>
      <c r="O129" s="280">
        <f>ROUND(SUM(C129:N129)/12,0)</f>
        <v>1</v>
      </c>
      <c r="P129" s="32"/>
      <c r="Q129" s="19"/>
      <c r="W129" s="19">
        <f>N129</f>
        <v>1</v>
      </c>
      <c r="X129" s="19">
        <f>AVERAGE(C129:N129)</f>
        <v>1</v>
      </c>
      <c r="Y129" s="19">
        <f>W129-X129</f>
        <v>0</v>
      </c>
    </row>
    <row r="130" spans="1:25" x14ac:dyDescent="0.2">
      <c r="A130" s="2" t="s">
        <v>677</v>
      </c>
      <c r="C130" s="280">
        <f>BillingDat!D37</f>
        <v>724800</v>
      </c>
      <c r="D130" s="280">
        <f>BillingDat!E37</f>
        <v>830400</v>
      </c>
      <c r="E130" s="280">
        <f>BillingDat!F37</f>
        <v>703800</v>
      </c>
      <c r="F130" s="280">
        <f>BillingDat!G37</f>
        <v>679800</v>
      </c>
      <c r="G130" s="280">
        <f>BillingDat!H37</f>
        <v>662400</v>
      </c>
      <c r="H130" s="280">
        <f>BillingDat!I37</f>
        <v>676200</v>
      </c>
      <c r="I130" s="280">
        <f>BillingDat!J37</f>
        <v>686400</v>
      </c>
      <c r="J130" s="280">
        <f>BillingDat!K37</f>
        <v>694800</v>
      </c>
      <c r="K130" s="280">
        <f>BillingDat!L37</f>
        <v>760800</v>
      </c>
      <c r="L130" s="280">
        <f>BillingDat!M37</f>
        <v>622800</v>
      </c>
      <c r="M130" s="280">
        <f>BillingDat!N37</f>
        <v>645000</v>
      </c>
      <c r="N130" s="280">
        <f>BillingDat!O37</f>
        <v>653400</v>
      </c>
      <c r="O130" s="280">
        <f>SUM(C130:N130)</f>
        <v>8340600</v>
      </c>
      <c r="P130" s="95"/>
      <c r="Q130" s="95"/>
      <c r="U130" s="85"/>
      <c r="W130" s="85"/>
    </row>
    <row r="131" spans="1:25" x14ac:dyDescent="0.2">
      <c r="A131" s="2" t="s">
        <v>678</v>
      </c>
      <c r="C131" s="280">
        <f>C130/C$35</f>
        <v>974.19354838709683</v>
      </c>
      <c r="D131" s="280">
        <f t="shared" ref="D131" si="130">D130/D$35</f>
        <v>1235.7142857142858</v>
      </c>
      <c r="E131" s="280">
        <f t="shared" ref="E131" si="131">E130/E$35</f>
        <v>945.9677419354839</v>
      </c>
      <c r="F131" s="280">
        <f t="shared" ref="F131" si="132">F130/F$35</f>
        <v>944.16666666666663</v>
      </c>
      <c r="G131" s="280">
        <f t="shared" ref="G131" si="133">G130/G$35</f>
        <v>890.32258064516134</v>
      </c>
      <c r="H131" s="280">
        <f t="shared" ref="H131" si="134">H130/H$35</f>
        <v>939.16666666666663</v>
      </c>
      <c r="I131" s="280">
        <f t="shared" ref="I131" si="135">I130/I$35</f>
        <v>922.58064516129036</v>
      </c>
      <c r="J131" s="280">
        <f t="shared" ref="J131" si="136">J130/J$35</f>
        <v>933.87096774193549</v>
      </c>
      <c r="K131" s="280">
        <f t="shared" ref="K131" si="137">K130/K$35</f>
        <v>1056.6666666666667</v>
      </c>
      <c r="L131" s="280">
        <f t="shared" ref="L131" si="138">L130/L$35</f>
        <v>837.09677419354841</v>
      </c>
      <c r="M131" s="280">
        <f t="shared" ref="M131" si="139">M130/M$35</f>
        <v>895.83333333333337</v>
      </c>
      <c r="N131" s="280">
        <f t="shared" ref="N131" si="140">N130/N$35</f>
        <v>878.22580645161293</v>
      </c>
      <c r="O131" s="280">
        <f>O130/8760</f>
        <v>952.1232876712329</v>
      </c>
      <c r="P131" s="32"/>
      <c r="Q131" s="32"/>
    </row>
    <row r="132" spans="1:25" x14ac:dyDescent="0.2">
      <c r="A132" s="2" t="s">
        <v>727</v>
      </c>
      <c r="C132" s="281">
        <f>C136</f>
        <v>0.7565964184429147</v>
      </c>
      <c r="D132" s="281">
        <f t="shared" ref="D132:N132" si="141">D136</f>
        <v>0.90968366145044588</v>
      </c>
      <c r="E132" s="281">
        <f t="shared" si="141"/>
        <v>0.69638379117747629</v>
      </c>
      <c r="F132" s="281">
        <f t="shared" si="141"/>
        <v>0.69505791126815852</v>
      </c>
      <c r="G132" s="281">
        <f t="shared" si="141"/>
        <v>0.65542003875527188</v>
      </c>
      <c r="H132" s="281">
        <f t="shared" si="141"/>
        <v>0.69137711032587346</v>
      </c>
      <c r="I132" s="281">
        <f t="shared" si="141"/>
        <v>0.67916714160872371</v>
      </c>
      <c r="J132" s="281">
        <f t="shared" si="141"/>
        <v>0.68747862760743184</v>
      </c>
      <c r="K132" s="281">
        <f t="shared" si="141"/>
        <v>0.7778759324695721</v>
      </c>
      <c r="L132" s="281">
        <f t="shared" si="141"/>
        <v>0.61623731904707624</v>
      </c>
      <c r="M132" s="281">
        <f t="shared" si="141"/>
        <v>0.6594768354927365</v>
      </c>
      <c r="N132" s="281">
        <f t="shared" si="141"/>
        <v>0.64651487518522732</v>
      </c>
      <c r="O132" s="281"/>
      <c r="Q132" s="19"/>
    </row>
    <row r="133" spans="1:25" x14ac:dyDescent="0.2">
      <c r="A133" s="2" t="s">
        <v>728</v>
      </c>
      <c r="C133" s="280">
        <f>C137</f>
        <v>1287.5999999999999</v>
      </c>
      <c r="D133" s="280">
        <f t="shared" ref="D133:N133" si="142">D137</f>
        <v>1358.4</v>
      </c>
      <c r="E133" s="280">
        <f t="shared" si="142"/>
        <v>1358.4</v>
      </c>
      <c r="F133" s="280">
        <f t="shared" si="142"/>
        <v>1358.4</v>
      </c>
      <c r="G133" s="280">
        <f t="shared" si="142"/>
        <v>1358.4</v>
      </c>
      <c r="H133" s="280">
        <f t="shared" si="142"/>
        <v>1358.4</v>
      </c>
      <c r="I133" s="280">
        <f t="shared" si="142"/>
        <v>1358.4</v>
      </c>
      <c r="J133" s="280">
        <f t="shared" si="142"/>
        <v>1358.4</v>
      </c>
      <c r="K133" s="280">
        <f t="shared" si="142"/>
        <v>1358.4</v>
      </c>
      <c r="L133" s="280">
        <f t="shared" si="142"/>
        <v>1358.4</v>
      </c>
      <c r="M133" s="280">
        <f t="shared" si="142"/>
        <v>1358.4</v>
      </c>
      <c r="N133" s="280">
        <f t="shared" si="142"/>
        <v>1358.4</v>
      </c>
      <c r="O133" s="280">
        <f>SUM(C133:N133)</f>
        <v>16229.999999999998</v>
      </c>
      <c r="Q133" s="19">
        <f>MAX(C133:N133)</f>
        <v>1358.4</v>
      </c>
    </row>
    <row r="134" spans="1:25" x14ac:dyDescent="0.2">
      <c r="A134" s="2" t="s">
        <v>679</v>
      </c>
      <c r="C134" s="281">
        <f>C124</f>
        <v>0.70000000000000007</v>
      </c>
      <c r="D134" s="281">
        <f t="shared" ref="D134:N134" si="143">D124</f>
        <v>0.60000000000000009</v>
      </c>
      <c r="E134" s="281">
        <f t="shared" si="143"/>
        <v>0.64999999999999991</v>
      </c>
      <c r="F134" s="281">
        <f t="shared" si="143"/>
        <v>0.64999999999999991</v>
      </c>
      <c r="G134" s="281">
        <f t="shared" si="143"/>
        <v>0.64999999999999991</v>
      </c>
      <c r="H134" s="281">
        <f t="shared" si="143"/>
        <v>0.60000000000000009</v>
      </c>
      <c r="I134" s="281">
        <f t="shared" si="143"/>
        <v>0.60000000000000009</v>
      </c>
      <c r="J134" s="281">
        <f t="shared" si="143"/>
        <v>0.60000000000000009</v>
      </c>
      <c r="K134" s="281">
        <f t="shared" si="143"/>
        <v>0.64999999999999991</v>
      </c>
      <c r="L134" s="281">
        <f t="shared" si="143"/>
        <v>0.64999999999999991</v>
      </c>
      <c r="M134" s="281">
        <f t="shared" si="143"/>
        <v>0.64999999999999991</v>
      </c>
      <c r="N134" s="281">
        <f t="shared" si="143"/>
        <v>0.60000000000000009</v>
      </c>
      <c r="O134" s="281"/>
      <c r="P134" s="32"/>
      <c r="Q134" s="19"/>
    </row>
    <row r="135" spans="1:25" x14ac:dyDescent="0.2">
      <c r="A135" s="2" t="s">
        <v>680</v>
      </c>
      <c r="C135" s="280">
        <f>C133*C134</f>
        <v>901.32</v>
      </c>
      <c r="D135" s="280">
        <f t="shared" ref="D135:N135" si="144">D133*D134</f>
        <v>815.04000000000019</v>
      </c>
      <c r="E135" s="280">
        <f t="shared" si="144"/>
        <v>882.95999999999992</v>
      </c>
      <c r="F135" s="280">
        <f t="shared" si="144"/>
        <v>882.95999999999992</v>
      </c>
      <c r="G135" s="280">
        <f t="shared" si="144"/>
        <v>882.95999999999992</v>
      </c>
      <c r="H135" s="280">
        <f t="shared" si="144"/>
        <v>815.04000000000019</v>
      </c>
      <c r="I135" s="280">
        <f t="shared" si="144"/>
        <v>815.04000000000019</v>
      </c>
      <c r="J135" s="280">
        <f t="shared" si="144"/>
        <v>815.04000000000019</v>
      </c>
      <c r="K135" s="280">
        <f t="shared" si="144"/>
        <v>882.95999999999992</v>
      </c>
      <c r="L135" s="280">
        <f t="shared" si="144"/>
        <v>882.95999999999992</v>
      </c>
      <c r="M135" s="280">
        <f t="shared" si="144"/>
        <v>882.95999999999992</v>
      </c>
      <c r="N135" s="280">
        <f t="shared" si="144"/>
        <v>815.04000000000019</v>
      </c>
      <c r="O135" s="280">
        <f>SUM(C135:N135)</f>
        <v>10274.279999999999</v>
      </c>
      <c r="P135" s="32"/>
      <c r="Q135" s="19"/>
      <c r="R135" s="19">
        <f>O135</f>
        <v>10274.279999999999</v>
      </c>
      <c r="S135" s="19">
        <f>H135+I135+J135</f>
        <v>2445.1200000000008</v>
      </c>
      <c r="T135" s="19">
        <f>R135-S135</f>
        <v>7829.159999999998</v>
      </c>
    </row>
    <row r="136" spans="1:25" x14ac:dyDescent="0.2">
      <c r="A136" s="2" t="s">
        <v>729</v>
      </c>
      <c r="C136" s="281">
        <f>C131/C137</f>
        <v>0.7565964184429147</v>
      </c>
      <c r="D136" s="281">
        <f t="shared" ref="D136:N136" si="145">D131/D137</f>
        <v>0.90968366145044588</v>
      </c>
      <c r="E136" s="281">
        <f t="shared" si="145"/>
        <v>0.69638379117747629</v>
      </c>
      <c r="F136" s="281">
        <f t="shared" si="145"/>
        <v>0.69505791126815852</v>
      </c>
      <c r="G136" s="281">
        <f t="shared" si="145"/>
        <v>0.65542003875527188</v>
      </c>
      <c r="H136" s="281">
        <f t="shared" si="145"/>
        <v>0.69137711032587346</v>
      </c>
      <c r="I136" s="281">
        <f t="shared" si="145"/>
        <v>0.67916714160872371</v>
      </c>
      <c r="J136" s="281">
        <f t="shared" si="145"/>
        <v>0.68747862760743184</v>
      </c>
      <c r="K136" s="281">
        <f t="shared" si="145"/>
        <v>0.7778759324695721</v>
      </c>
      <c r="L136" s="281">
        <f t="shared" si="145"/>
        <v>0.61623731904707624</v>
      </c>
      <c r="M136" s="281">
        <f t="shared" si="145"/>
        <v>0.6594768354927365</v>
      </c>
      <c r="N136" s="281">
        <f t="shared" si="145"/>
        <v>0.64651487518522732</v>
      </c>
      <c r="O136" s="281"/>
      <c r="P136" s="95"/>
      <c r="Q136" s="95"/>
      <c r="U136" s="85"/>
      <c r="W136" s="85"/>
    </row>
    <row r="137" spans="1:25" x14ac:dyDescent="0.2">
      <c r="A137" s="2" t="s">
        <v>730</v>
      </c>
      <c r="C137" s="280">
        <f>BillingDat!D147</f>
        <v>1287.5999999999999</v>
      </c>
      <c r="D137" s="280">
        <f>BillingDat!E147</f>
        <v>1358.4</v>
      </c>
      <c r="E137" s="280">
        <f>BillingDat!F147</f>
        <v>1358.4</v>
      </c>
      <c r="F137" s="280">
        <f>BillingDat!G147</f>
        <v>1358.4</v>
      </c>
      <c r="G137" s="280">
        <f>BillingDat!H147</f>
        <v>1358.4</v>
      </c>
      <c r="H137" s="280">
        <f>BillingDat!I147</f>
        <v>1358.4</v>
      </c>
      <c r="I137" s="280">
        <f>BillingDat!J147</f>
        <v>1358.4</v>
      </c>
      <c r="J137" s="280">
        <f>BillingDat!K147</f>
        <v>1358.4</v>
      </c>
      <c r="K137" s="280">
        <f>BillingDat!L147</f>
        <v>1358.4</v>
      </c>
      <c r="L137" s="280">
        <f>BillingDat!M147</f>
        <v>1358.4</v>
      </c>
      <c r="M137" s="280">
        <f>BillingDat!N147</f>
        <v>1358.4</v>
      </c>
      <c r="N137" s="280">
        <f>BillingDat!O147</f>
        <v>1358.4</v>
      </c>
      <c r="O137" s="280">
        <f>SUM(C137:N137)</f>
        <v>16229.999999999998</v>
      </c>
      <c r="P137" s="32">
        <f>MAX(C137:N137)</f>
        <v>1358.4</v>
      </c>
      <c r="Q137" s="32"/>
    </row>
    <row r="138" spans="1:25" x14ac:dyDescent="0.2">
      <c r="C138" s="156"/>
      <c r="D138" s="156"/>
      <c r="E138" s="156"/>
      <c r="F138" s="156"/>
      <c r="G138" s="156"/>
      <c r="H138" s="156"/>
      <c r="I138" s="156"/>
      <c r="J138" s="156"/>
      <c r="K138" s="156"/>
      <c r="L138" s="280"/>
      <c r="M138" s="156"/>
      <c r="N138" s="156"/>
      <c r="O138" s="156"/>
    </row>
    <row r="139" spans="1:25" x14ac:dyDescent="0.2">
      <c r="A139" s="3" t="str">
        <f>A18</f>
        <v xml:space="preserve">Schedule D - Large Comm/Ind Opt Time of Day Rate </v>
      </c>
      <c r="B139" s="38">
        <f>B18</f>
        <v>15</v>
      </c>
      <c r="C139" s="280">
        <f>BillingDat!D16</f>
        <v>4</v>
      </c>
      <c r="D139" s="280">
        <f>BillingDat!E16</f>
        <v>4</v>
      </c>
      <c r="E139" s="280">
        <f>BillingDat!F16</f>
        <v>4</v>
      </c>
      <c r="F139" s="280">
        <f>BillingDat!G16</f>
        <v>4</v>
      </c>
      <c r="G139" s="280">
        <f>BillingDat!H16</f>
        <v>4</v>
      </c>
      <c r="H139" s="280">
        <f>BillingDat!I16</f>
        <v>4</v>
      </c>
      <c r="I139" s="280">
        <f>BillingDat!J16</f>
        <v>4</v>
      </c>
      <c r="J139" s="280">
        <f>BillingDat!K16</f>
        <v>4</v>
      </c>
      <c r="K139" s="280">
        <f>BillingDat!L16</f>
        <v>4</v>
      </c>
      <c r="L139" s="280">
        <f>BillingDat!M16</f>
        <v>4</v>
      </c>
      <c r="M139" s="280">
        <f>BillingDat!N16</f>
        <v>4</v>
      </c>
      <c r="N139" s="280">
        <f>BillingDat!O16</f>
        <v>4</v>
      </c>
      <c r="O139" s="280">
        <f>ROUND(SUM(C139:N139)/12,0)</f>
        <v>4</v>
      </c>
      <c r="P139" s="32"/>
      <c r="Q139" s="19"/>
      <c r="W139" s="19">
        <f>N139</f>
        <v>4</v>
      </c>
      <c r="X139" s="19">
        <f>AVERAGE(C139:N139)</f>
        <v>4</v>
      </c>
      <c r="Y139" s="19">
        <f>W139-X139</f>
        <v>0</v>
      </c>
    </row>
    <row r="140" spans="1:25" x14ac:dyDescent="0.2">
      <c r="A140" s="2" t="s">
        <v>677</v>
      </c>
      <c r="C140" s="280">
        <f>BillingDat!D38</f>
        <v>112067</v>
      </c>
      <c r="D140" s="280">
        <f>BillingDat!E38</f>
        <v>161267</v>
      </c>
      <c r="E140" s="280">
        <f>BillingDat!F38</f>
        <v>103867</v>
      </c>
      <c r="F140" s="280">
        <f>BillingDat!G38</f>
        <v>78067</v>
      </c>
      <c r="G140" s="280">
        <f>BillingDat!H38</f>
        <v>48267</v>
      </c>
      <c r="H140" s="280">
        <f>BillingDat!I38</f>
        <v>40467</v>
      </c>
      <c r="I140" s="280">
        <f>BillingDat!J38</f>
        <v>31067</v>
      </c>
      <c r="J140" s="280">
        <f>BillingDat!K38</f>
        <v>36067</v>
      </c>
      <c r="K140" s="280">
        <f>BillingDat!L38</f>
        <v>27467</v>
      </c>
      <c r="L140" s="280">
        <f>BillingDat!M38</f>
        <v>24067</v>
      </c>
      <c r="M140" s="280">
        <f>BillingDat!N38</f>
        <v>43067</v>
      </c>
      <c r="N140" s="280">
        <f>BillingDat!O38</f>
        <v>59667</v>
      </c>
      <c r="O140" s="280">
        <f>SUM(C140:N140)</f>
        <v>765404</v>
      </c>
      <c r="P140" s="95"/>
      <c r="Q140" s="95"/>
      <c r="U140" s="85"/>
      <c r="W140" s="85"/>
    </row>
    <row r="141" spans="1:25" x14ac:dyDescent="0.2">
      <c r="A141" s="2" t="s">
        <v>678</v>
      </c>
      <c r="C141" s="280">
        <f>C140/C$35</f>
        <v>150.62768817204301</v>
      </c>
      <c r="D141" s="280">
        <f t="shared" ref="D141" si="146">D140/D$35</f>
        <v>239.98065476190476</v>
      </c>
      <c r="E141" s="280">
        <f t="shared" ref="E141" si="147">E140/E$35</f>
        <v>139.60618279569891</v>
      </c>
      <c r="F141" s="280">
        <f t="shared" ref="F141" si="148">F140/F$35</f>
        <v>108.42638888888889</v>
      </c>
      <c r="G141" s="280">
        <f t="shared" ref="G141" si="149">G140/G$35</f>
        <v>64.875</v>
      </c>
      <c r="H141" s="280">
        <f t="shared" ref="H141" si="150">H140/H$35</f>
        <v>56.204166666666666</v>
      </c>
      <c r="I141" s="280">
        <f t="shared" ref="I141" si="151">I140/I$35</f>
        <v>41.756720430107528</v>
      </c>
      <c r="J141" s="280">
        <f t="shared" ref="J141" si="152">J140/J$35</f>
        <v>48.477150537634408</v>
      </c>
      <c r="K141" s="280">
        <f t="shared" ref="K141" si="153">K140/K$35</f>
        <v>38.148611111111109</v>
      </c>
      <c r="L141" s="280">
        <f t="shared" ref="L141" si="154">L140/L$35</f>
        <v>32.348118279569896</v>
      </c>
      <c r="M141" s="280">
        <f t="shared" ref="M141" si="155">M140/M$35</f>
        <v>59.81527777777778</v>
      </c>
      <c r="N141" s="280">
        <f t="shared" ref="N141" si="156">N140/N$35</f>
        <v>80.197580645161295</v>
      </c>
      <c r="O141" s="280">
        <f>O140/8760</f>
        <v>87.37488584474886</v>
      </c>
      <c r="P141" s="32"/>
      <c r="Q141" s="32"/>
    </row>
    <row r="142" spans="1:25" x14ac:dyDescent="0.2">
      <c r="A142" s="2" t="s">
        <v>727</v>
      </c>
      <c r="C142" s="281">
        <v>0.5</v>
      </c>
      <c r="D142" s="281">
        <v>0.5</v>
      </c>
      <c r="E142" s="281">
        <v>0.5</v>
      </c>
      <c r="F142" s="281">
        <v>0.5</v>
      </c>
      <c r="G142" s="281">
        <v>0.5</v>
      </c>
      <c r="H142" s="281">
        <v>0.5</v>
      </c>
      <c r="I142" s="281">
        <v>0.5</v>
      </c>
      <c r="J142" s="281">
        <v>0.5</v>
      </c>
      <c r="K142" s="281">
        <v>0.5</v>
      </c>
      <c r="L142" s="281">
        <v>0.5</v>
      </c>
      <c r="M142" s="281">
        <v>0.5</v>
      </c>
      <c r="N142" s="281">
        <v>0.5</v>
      </c>
      <c r="O142" s="281"/>
      <c r="Q142" s="19"/>
    </row>
    <row r="143" spans="1:25" x14ac:dyDescent="0.2">
      <c r="A143" s="2" t="s">
        <v>728</v>
      </c>
      <c r="C143" s="280">
        <f>C141/C142</f>
        <v>301.25537634408602</v>
      </c>
      <c r="D143" s="280">
        <f t="shared" ref="D143:N143" si="157">D141/D142</f>
        <v>479.96130952380952</v>
      </c>
      <c r="E143" s="280">
        <f t="shared" si="157"/>
        <v>279.21236559139783</v>
      </c>
      <c r="F143" s="280">
        <f t="shared" si="157"/>
        <v>216.85277777777779</v>
      </c>
      <c r="G143" s="280">
        <f t="shared" si="157"/>
        <v>129.75</v>
      </c>
      <c r="H143" s="280">
        <f t="shared" si="157"/>
        <v>112.40833333333333</v>
      </c>
      <c r="I143" s="280">
        <f t="shared" si="157"/>
        <v>83.513440860215056</v>
      </c>
      <c r="J143" s="280">
        <f t="shared" si="157"/>
        <v>96.954301075268816</v>
      </c>
      <c r="K143" s="280">
        <f t="shared" si="157"/>
        <v>76.297222222222217</v>
      </c>
      <c r="L143" s="280">
        <f t="shared" si="157"/>
        <v>64.696236559139791</v>
      </c>
      <c r="M143" s="280">
        <f t="shared" si="157"/>
        <v>119.63055555555556</v>
      </c>
      <c r="N143" s="280">
        <f t="shared" si="157"/>
        <v>160.39516129032259</v>
      </c>
      <c r="O143" s="280">
        <f>SUM(C143:N143)</f>
        <v>2120.9270801331286</v>
      </c>
      <c r="Q143" s="19">
        <f>MAX(C143:N143)</f>
        <v>479.96130952380952</v>
      </c>
    </row>
    <row r="144" spans="1:25" x14ac:dyDescent="0.2">
      <c r="A144" s="2" t="s">
        <v>679</v>
      </c>
      <c r="C144" s="281">
        <v>0.5</v>
      </c>
      <c r="D144" s="281">
        <v>0.5</v>
      </c>
      <c r="E144" s="281">
        <v>0.5</v>
      </c>
      <c r="F144" s="281">
        <v>0.5</v>
      </c>
      <c r="G144" s="281">
        <v>0.5</v>
      </c>
      <c r="H144" s="281">
        <v>0.5</v>
      </c>
      <c r="I144" s="281">
        <v>0.5</v>
      </c>
      <c r="J144" s="281">
        <v>0.5</v>
      </c>
      <c r="K144" s="281">
        <v>0.5</v>
      </c>
      <c r="L144" s="281">
        <v>0.5</v>
      </c>
      <c r="M144" s="281">
        <v>0.5</v>
      </c>
      <c r="N144" s="281">
        <v>0.5</v>
      </c>
      <c r="O144" s="281"/>
      <c r="P144" s="32"/>
      <c r="Q144" s="19"/>
    </row>
    <row r="145" spans="1:25" x14ac:dyDescent="0.2">
      <c r="A145" s="2" t="s">
        <v>680</v>
      </c>
      <c r="C145" s="280">
        <f>C143*C144</f>
        <v>150.62768817204301</v>
      </c>
      <c r="D145" s="280">
        <f t="shared" ref="D145:N145" si="158">D143*D144</f>
        <v>239.98065476190476</v>
      </c>
      <c r="E145" s="280">
        <f t="shared" si="158"/>
        <v>139.60618279569891</v>
      </c>
      <c r="F145" s="280">
        <f t="shared" si="158"/>
        <v>108.42638888888889</v>
      </c>
      <c r="G145" s="280">
        <f t="shared" si="158"/>
        <v>64.875</v>
      </c>
      <c r="H145" s="280">
        <f t="shared" si="158"/>
        <v>56.204166666666666</v>
      </c>
      <c r="I145" s="280">
        <f t="shared" si="158"/>
        <v>41.756720430107528</v>
      </c>
      <c r="J145" s="280">
        <f t="shared" si="158"/>
        <v>48.477150537634408</v>
      </c>
      <c r="K145" s="280">
        <f t="shared" si="158"/>
        <v>38.148611111111109</v>
      </c>
      <c r="L145" s="280">
        <f t="shared" si="158"/>
        <v>32.348118279569896</v>
      </c>
      <c r="M145" s="280">
        <f t="shared" si="158"/>
        <v>59.81527777777778</v>
      </c>
      <c r="N145" s="280">
        <f t="shared" si="158"/>
        <v>80.197580645161295</v>
      </c>
      <c r="O145" s="280">
        <f>SUM(C145:N145)</f>
        <v>1060.4635400665643</v>
      </c>
      <c r="P145" s="32"/>
      <c r="Q145" s="19"/>
      <c r="R145" s="19">
        <f>O145</f>
        <v>1060.4635400665643</v>
      </c>
      <c r="S145" s="19">
        <f>H145+I145+J145</f>
        <v>146.4380376344086</v>
      </c>
      <c r="T145" s="19">
        <f>R145-S145</f>
        <v>914.02550243215569</v>
      </c>
    </row>
    <row r="146" spans="1:25" x14ac:dyDescent="0.2">
      <c r="A146" s="2" t="s">
        <v>729</v>
      </c>
      <c r="C146" s="281">
        <f>C141/C147</f>
        <v>0.23616758885550804</v>
      </c>
      <c r="D146" s="281">
        <f t="shared" ref="D146:N146" si="159">D141/D147</f>
        <v>0.36649458576955524</v>
      </c>
      <c r="E146" s="281">
        <f t="shared" si="159"/>
        <v>0.2159749115032471</v>
      </c>
      <c r="F146" s="281">
        <f t="shared" si="159"/>
        <v>0.16978764310818806</v>
      </c>
      <c r="G146" s="281">
        <f t="shared" si="159"/>
        <v>0.1225907029478458</v>
      </c>
      <c r="H146" s="281">
        <f t="shared" si="159"/>
        <v>0.13052523610466016</v>
      </c>
      <c r="I146" s="281">
        <f t="shared" si="159"/>
        <v>1.9512486182293238</v>
      </c>
      <c r="J146" s="281">
        <f t="shared" si="159"/>
        <v>1.0314287348432853</v>
      </c>
      <c r="K146" s="281">
        <f t="shared" si="159"/>
        <v>1.6164665725047078</v>
      </c>
      <c r="L146" s="281">
        <f t="shared" si="159"/>
        <v>0.77019329237071177</v>
      </c>
      <c r="M146" s="281">
        <f t="shared" si="159"/>
        <v>0.10673675549210881</v>
      </c>
      <c r="N146" s="281">
        <f t="shared" si="159"/>
        <v>0.15007032306355034</v>
      </c>
      <c r="O146" s="281"/>
      <c r="P146" s="95"/>
      <c r="Q146" s="95"/>
      <c r="U146" s="85"/>
      <c r="W146" s="85"/>
    </row>
    <row r="147" spans="1:25" x14ac:dyDescent="0.2">
      <c r="A147" s="2" t="s">
        <v>730</v>
      </c>
      <c r="C147" s="280">
        <f>BillingDat!D148</f>
        <v>637.79999999999995</v>
      </c>
      <c r="D147" s="280">
        <f>BillingDat!E148</f>
        <v>654.79999999999995</v>
      </c>
      <c r="E147" s="280">
        <f>BillingDat!F148</f>
        <v>646.4</v>
      </c>
      <c r="F147" s="280">
        <f>BillingDat!G148</f>
        <v>638.6</v>
      </c>
      <c r="G147" s="280">
        <f>BillingDat!H148</f>
        <v>529.20000000000005</v>
      </c>
      <c r="H147" s="280">
        <f>BillingDat!I148</f>
        <v>430.6</v>
      </c>
      <c r="I147" s="280">
        <f>BillingDat!J148</f>
        <v>21.4</v>
      </c>
      <c r="J147" s="280">
        <f>BillingDat!K148</f>
        <v>47</v>
      </c>
      <c r="K147" s="280">
        <f>BillingDat!L148</f>
        <v>23.6</v>
      </c>
      <c r="L147" s="280">
        <f>BillingDat!M148</f>
        <v>42</v>
      </c>
      <c r="M147" s="280">
        <f>BillingDat!N148</f>
        <v>560.4</v>
      </c>
      <c r="N147" s="280">
        <f>BillingDat!O148</f>
        <v>534.4</v>
      </c>
      <c r="O147" s="280">
        <f>SUM(C147:N147)</f>
        <v>4766.2</v>
      </c>
      <c r="P147" s="32">
        <f>MAX(C147:N147)</f>
        <v>654.79999999999995</v>
      </c>
      <c r="Q147" s="32"/>
    </row>
    <row r="148" spans="1:25" x14ac:dyDescent="0.2">
      <c r="C148" s="156"/>
      <c r="D148" s="156"/>
      <c r="E148" s="156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</row>
    <row r="149" spans="1:25" x14ac:dyDescent="0.2">
      <c r="A149" s="3" t="str">
        <f>A19</f>
        <v>Net Metering Tariff</v>
      </c>
      <c r="B149" s="38">
        <f>B19</f>
        <v>20</v>
      </c>
      <c r="C149" s="280">
        <f>BillingDat!D17</f>
        <v>78</v>
      </c>
      <c r="D149" s="280">
        <f>BillingDat!E17</f>
        <v>78</v>
      </c>
      <c r="E149" s="280">
        <f>BillingDat!F17</f>
        <v>78</v>
      </c>
      <c r="F149" s="280">
        <f>BillingDat!G17</f>
        <v>78</v>
      </c>
      <c r="G149" s="280">
        <f>BillingDat!H17</f>
        <v>78</v>
      </c>
      <c r="H149" s="280">
        <f>BillingDat!I17</f>
        <v>80</v>
      </c>
      <c r="I149" s="280">
        <f>BillingDat!J17</f>
        <v>79</v>
      </c>
      <c r="J149" s="280">
        <f>BillingDat!K17</f>
        <v>80</v>
      </c>
      <c r="K149" s="280">
        <f>BillingDat!L17</f>
        <v>81</v>
      </c>
      <c r="L149" s="280">
        <f>BillingDat!M17</f>
        <v>83</v>
      </c>
      <c r="M149" s="280">
        <f>BillingDat!N17</f>
        <v>85</v>
      </c>
      <c r="N149" s="280">
        <f>BillingDat!O17</f>
        <v>84</v>
      </c>
      <c r="O149" s="280">
        <f>ROUND(SUM(C149:N149)/12,0)</f>
        <v>80</v>
      </c>
      <c r="P149" s="32"/>
      <c r="Q149" s="19"/>
      <c r="W149" s="19">
        <f>N149</f>
        <v>84</v>
      </c>
      <c r="X149" s="19">
        <f>AVERAGE(C149:N149)</f>
        <v>80.166666666666671</v>
      </c>
      <c r="Y149" s="19">
        <f>W149-X149</f>
        <v>3.8333333333333286</v>
      </c>
    </row>
    <row r="150" spans="1:25" x14ac:dyDescent="0.2">
      <c r="A150" s="2" t="s">
        <v>677</v>
      </c>
      <c r="C150" s="280">
        <f>BillingDat!D39</f>
        <v>156488</v>
      </c>
      <c r="D150" s="280">
        <f>BillingDat!E39</f>
        <v>157582</v>
      </c>
      <c r="E150" s="280">
        <f>BillingDat!F39</f>
        <v>128621</v>
      </c>
      <c r="F150" s="280">
        <f>BillingDat!G39</f>
        <v>123586</v>
      </c>
      <c r="G150" s="280">
        <f>BillingDat!H39</f>
        <v>120387</v>
      </c>
      <c r="H150" s="280">
        <f>BillingDat!I39</f>
        <v>128496</v>
      </c>
      <c r="I150" s="280">
        <f>BillingDat!J39</f>
        <v>144713</v>
      </c>
      <c r="J150" s="280">
        <f>BillingDat!K39</f>
        <v>142110</v>
      </c>
      <c r="K150" s="280">
        <f>BillingDat!L39</f>
        <v>149026</v>
      </c>
      <c r="L150" s="280">
        <f>BillingDat!M39</f>
        <v>123418</v>
      </c>
      <c r="M150" s="280">
        <f>BillingDat!N39</f>
        <v>118303</v>
      </c>
      <c r="N150" s="280">
        <f>BillingDat!O39</f>
        <v>147448</v>
      </c>
      <c r="O150" s="280">
        <f>SUM(C150:N150)</f>
        <v>1640178</v>
      </c>
      <c r="P150" s="95"/>
      <c r="Q150" s="95"/>
      <c r="U150" s="85"/>
      <c r="W150" s="85"/>
    </row>
    <row r="151" spans="1:25" x14ac:dyDescent="0.2">
      <c r="A151" s="2" t="s">
        <v>678</v>
      </c>
      <c r="C151" s="280">
        <f>C150/C$35</f>
        <v>210.33333333333334</v>
      </c>
      <c r="D151" s="280">
        <f t="shared" ref="D151:N151" si="160">D150/D$35</f>
        <v>234.4970238095238</v>
      </c>
      <c r="E151" s="280">
        <f t="shared" si="160"/>
        <v>172.87768817204301</v>
      </c>
      <c r="F151" s="280">
        <f t="shared" si="160"/>
        <v>171.64722222222221</v>
      </c>
      <c r="G151" s="280">
        <f t="shared" si="160"/>
        <v>161.81048387096774</v>
      </c>
      <c r="H151" s="280">
        <f t="shared" si="160"/>
        <v>178.46666666666667</v>
      </c>
      <c r="I151" s="280">
        <f t="shared" si="160"/>
        <v>194.50672043010752</v>
      </c>
      <c r="J151" s="280">
        <f t="shared" si="160"/>
        <v>191.00806451612902</v>
      </c>
      <c r="K151" s="280">
        <f t="shared" si="160"/>
        <v>206.98055555555555</v>
      </c>
      <c r="L151" s="280">
        <f t="shared" si="160"/>
        <v>165.88440860215053</v>
      </c>
      <c r="M151" s="280">
        <f t="shared" si="160"/>
        <v>164.30972222222223</v>
      </c>
      <c r="N151" s="280">
        <f t="shared" si="160"/>
        <v>198.18279569892474</v>
      </c>
      <c r="O151" s="280">
        <f>O150/8760</f>
        <v>187.23493150684931</v>
      </c>
      <c r="P151" s="32"/>
      <c r="Q151" s="32"/>
    </row>
    <row r="152" spans="1:25" x14ac:dyDescent="0.2">
      <c r="A152" s="2" t="s">
        <v>727</v>
      </c>
      <c r="C152" s="281">
        <f>C42</f>
        <v>0.39055790744698982</v>
      </c>
      <c r="D152" s="281">
        <f t="shared" ref="D152:N152" si="161">D42</f>
        <v>0.66996622892484514</v>
      </c>
      <c r="E152" s="281">
        <f t="shared" si="161"/>
        <v>0.51637779493183156</v>
      </c>
      <c r="F152" s="281">
        <f t="shared" si="161"/>
        <v>0.61411414947070397</v>
      </c>
      <c r="G152" s="281">
        <f t="shared" si="161"/>
        <v>0.44138292559438941</v>
      </c>
      <c r="H152" s="281">
        <f t="shared" si="161"/>
        <v>0.40424865667234161</v>
      </c>
      <c r="I152" s="281">
        <f t="shared" si="161"/>
        <v>0.51412407135250338</v>
      </c>
      <c r="J152" s="281">
        <f t="shared" si="161"/>
        <v>0.51885636018751558</v>
      </c>
      <c r="K152" s="281">
        <f t="shared" si="161"/>
        <v>0.60919000000000001</v>
      </c>
      <c r="L152" s="281">
        <f t="shared" si="161"/>
        <v>0.52902000000000005</v>
      </c>
      <c r="M152" s="281">
        <f t="shared" si="161"/>
        <v>0.43440916999068213</v>
      </c>
      <c r="N152" s="281">
        <f t="shared" si="161"/>
        <v>0.38401717818631576</v>
      </c>
      <c r="O152" s="281"/>
      <c r="Q152" s="19"/>
    </row>
    <row r="153" spans="1:25" x14ac:dyDescent="0.2">
      <c r="A153" s="2" t="s">
        <v>728</v>
      </c>
      <c r="C153" s="280">
        <f>C151/C152</f>
        <v>538.54583231522906</v>
      </c>
      <c r="D153" s="280">
        <f t="shared" ref="D153:N153" si="162">D151/D152</f>
        <v>350.01320019643703</v>
      </c>
      <c r="E153" s="280">
        <f t="shared" si="162"/>
        <v>334.789159930599</v>
      </c>
      <c r="F153" s="280">
        <f t="shared" si="162"/>
        <v>279.50377363909047</v>
      </c>
      <c r="G153" s="280">
        <f t="shared" si="162"/>
        <v>366.59887478217524</v>
      </c>
      <c r="H153" s="280">
        <f t="shared" si="162"/>
        <v>441.4774513680585</v>
      </c>
      <c r="I153" s="280">
        <f t="shared" si="162"/>
        <v>378.32642209966895</v>
      </c>
      <c r="J153" s="280">
        <f t="shared" si="162"/>
        <v>368.13283824274293</v>
      </c>
      <c r="K153" s="280">
        <f t="shared" si="162"/>
        <v>339.76354758869246</v>
      </c>
      <c r="L153" s="280">
        <f t="shared" si="162"/>
        <v>313.56925749905582</v>
      </c>
      <c r="M153" s="280">
        <f t="shared" si="162"/>
        <v>378.23723248233136</v>
      </c>
      <c r="N153" s="280">
        <f t="shared" si="162"/>
        <v>516.07794379128347</v>
      </c>
      <c r="O153" s="280">
        <f>SUM(C153:N153)</f>
        <v>4605.0355339353637</v>
      </c>
      <c r="Q153" s="19">
        <f>MAX(C153:N153)</f>
        <v>538.54583231522906</v>
      </c>
    </row>
    <row r="154" spans="1:25" x14ac:dyDescent="0.2">
      <c r="A154" s="2" t="s">
        <v>679</v>
      </c>
      <c r="C154" s="281">
        <f>C44-0.2</f>
        <v>0.75</v>
      </c>
      <c r="D154" s="281">
        <f t="shared" ref="D154:N154" si="163">D44-0.2</f>
        <v>0.73</v>
      </c>
      <c r="E154" s="281">
        <f t="shared" si="163"/>
        <v>0.7</v>
      </c>
      <c r="F154" s="281">
        <f t="shared" si="163"/>
        <v>0.7</v>
      </c>
      <c r="G154" s="281">
        <f t="shared" si="163"/>
        <v>0.75</v>
      </c>
      <c r="H154" s="281">
        <f t="shared" si="163"/>
        <v>0.75</v>
      </c>
      <c r="I154" s="281">
        <f t="shared" si="163"/>
        <v>0.78</v>
      </c>
      <c r="J154" s="281">
        <f t="shared" si="163"/>
        <v>0.78</v>
      </c>
      <c r="K154" s="281">
        <f t="shared" si="163"/>
        <v>0.75</v>
      </c>
      <c r="L154" s="281">
        <f t="shared" si="163"/>
        <v>0.73</v>
      </c>
      <c r="M154" s="281">
        <f t="shared" si="163"/>
        <v>0.7</v>
      </c>
      <c r="N154" s="281">
        <f t="shared" si="163"/>
        <v>0.7</v>
      </c>
      <c r="O154" s="281"/>
      <c r="P154" s="32"/>
      <c r="Q154" s="19"/>
    </row>
    <row r="155" spans="1:25" x14ac:dyDescent="0.2">
      <c r="A155" s="2" t="s">
        <v>680</v>
      </c>
      <c r="C155" s="280">
        <f>C153*C154</f>
        <v>403.9093742364218</v>
      </c>
      <c r="D155" s="280">
        <f t="shared" ref="D155:N155" si="164">D153*D154</f>
        <v>255.50963614339904</v>
      </c>
      <c r="E155" s="280">
        <f t="shared" si="164"/>
        <v>234.35241195141927</v>
      </c>
      <c r="F155" s="280">
        <f t="shared" si="164"/>
        <v>195.65264154736332</v>
      </c>
      <c r="G155" s="280">
        <f t="shared" si="164"/>
        <v>274.94915608663143</v>
      </c>
      <c r="H155" s="280">
        <f t="shared" si="164"/>
        <v>331.10808852604384</v>
      </c>
      <c r="I155" s="280">
        <f t="shared" si="164"/>
        <v>295.09460923774179</v>
      </c>
      <c r="J155" s="280">
        <f t="shared" si="164"/>
        <v>287.14361382933947</v>
      </c>
      <c r="K155" s="280">
        <f t="shared" si="164"/>
        <v>254.82266069151933</v>
      </c>
      <c r="L155" s="280">
        <f t="shared" si="164"/>
        <v>228.90555797431074</v>
      </c>
      <c r="M155" s="280">
        <f t="shared" si="164"/>
        <v>264.76606273763196</v>
      </c>
      <c r="N155" s="280">
        <f t="shared" si="164"/>
        <v>361.25456065389841</v>
      </c>
      <c r="O155" s="280">
        <f>SUM(C155:N155)</f>
        <v>3387.4683736157199</v>
      </c>
      <c r="P155" s="32"/>
      <c r="Q155" s="19"/>
      <c r="R155" s="19">
        <f>O155</f>
        <v>3387.4683736157199</v>
      </c>
      <c r="S155" s="19">
        <f>H155+I155+J155</f>
        <v>913.34631159312517</v>
      </c>
      <c r="T155" s="19">
        <f>R155-S155</f>
        <v>2474.1220620225949</v>
      </c>
    </row>
    <row r="156" spans="1:25" x14ac:dyDescent="0.2">
      <c r="A156" s="2" t="s">
        <v>729</v>
      </c>
      <c r="C156" s="281">
        <v>0.2</v>
      </c>
      <c r="D156" s="281">
        <f>C156</f>
        <v>0.2</v>
      </c>
      <c r="E156" s="281">
        <f t="shared" ref="E156:N156" si="165">D156</f>
        <v>0.2</v>
      </c>
      <c r="F156" s="281">
        <f t="shared" si="165"/>
        <v>0.2</v>
      </c>
      <c r="G156" s="281">
        <f t="shared" si="165"/>
        <v>0.2</v>
      </c>
      <c r="H156" s="281">
        <f t="shared" si="165"/>
        <v>0.2</v>
      </c>
      <c r="I156" s="281">
        <f t="shared" si="165"/>
        <v>0.2</v>
      </c>
      <c r="J156" s="281">
        <f t="shared" si="165"/>
        <v>0.2</v>
      </c>
      <c r="K156" s="281">
        <f t="shared" si="165"/>
        <v>0.2</v>
      </c>
      <c r="L156" s="281">
        <f t="shared" si="165"/>
        <v>0.2</v>
      </c>
      <c r="M156" s="281">
        <f t="shared" si="165"/>
        <v>0.2</v>
      </c>
      <c r="N156" s="281">
        <f t="shared" si="165"/>
        <v>0.2</v>
      </c>
      <c r="O156" s="281"/>
      <c r="P156" s="95"/>
      <c r="Q156" s="95"/>
      <c r="U156" s="85"/>
      <c r="W156" s="85"/>
    </row>
    <row r="157" spans="1:25" x14ac:dyDescent="0.2">
      <c r="A157" s="2" t="s">
        <v>730</v>
      </c>
      <c r="C157" s="280">
        <f>C151/C156</f>
        <v>1051.6666666666667</v>
      </c>
      <c r="D157" s="280">
        <f t="shared" ref="D157:N157" si="166">D151/D156</f>
        <v>1172.4851190476188</v>
      </c>
      <c r="E157" s="280">
        <f t="shared" si="166"/>
        <v>864.38844086021504</v>
      </c>
      <c r="F157" s="280">
        <f t="shared" si="166"/>
        <v>858.23611111111097</v>
      </c>
      <c r="G157" s="280">
        <f t="shared" si="166"/>
        <v>809.05241935483866</v>
      </c>
      <c r="H157" s="280">
        <f t="shared" si="166"/>
        <v>892.33333333333326</v>
      </c>
      <c r="I157" s="280">
        <f t="shared" si="166"/>
        <v>972.5336021505376</v>
      </c>
      <c r="J157" s="280">
        <f t="shared" si="166"/>
        <v>955.04032258064512</v>
      </c>
      <c r="K157" s="280">
        <f t="shared" si="166"/>
        <v>1034.9027777777776</v>
      </c>
      <c r="L157" s="280">
        <f t="shared" si="166"/>
        <v>829.42204301075265</v>
      </c>
      <c r="M157" s="280">
        <f t="shared" si="166"/>
        <v>821.54861111111109</v>
      </c>
      <c r="N157" s="280">
        <f t="shared" si="166"/>
        <v>990.91397849462362</v>
      </c>
      <c r="O157" s="280">
        <f>SUM(C157:N157)</f>
        <v>11252.52342549923</v>
      </c>
      <c r="P157" s="32">
        <f>MAX(C157:N157)</f>
        <v>1172.4851190476188</v>
      </c>
      <c r="Q157" s="32"/>
    </row>
    <row r="158" spans="1:25" x14ac:dyDescent="0.2"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</row>
    <row r="159" spans="1:25" x14ac:dyDescent="0.2">
      <c r="A159" s="3" t="str">
        <f>A20</f>
        <v>Schedule LPE4 Interruptible 1500 Firm 200</v>
      </c>
      <c r="B159" s="38">
        <f>B20</f>
        <v>24</v>
      </c>
      <c r="C159" s="280">
        <f>BillingDat!D19</f>
        <v>1</v>
      </c>
      <c r="D159" s="280">
        <f>BillingDat!E19</f>
        <v>1</v>
      </c>
      <c r="E159" s="280">
        <f>BillingDat!F19</f>
        <v>1</v>
      </c>
      <c r="F159" s="280">
        <f>BillingDat!G19</f>
        <v>1</v>
      </c>
      <c r="G159" s="280">
        <f>BillingDat!H19</f>
        <v>1</v>
      </c>
      <c r="H159" s="280">
        <f>BillingDat!I18</f>
        <v>1</v>
      </c>
      <c r="I159" s="280">
        <f>BillingDat!J18</f>
        <v>1</v>
      </c>
      <c r="J159" s="280">
        <f>BillingDat!K18</f>
        <v>1</v>
      </c>
      <c r="K159" s="280">
        <f>BillingDat!L18</f>
        <v>1</v>
      </c>
      <c r="L159" s="280">
        <f>BillingDat!M18</f>
        <v>1</v>
      </c>
      <c r="M159" s="280">
        <f>BillingDat!N18</f>
        <v>1</v>
      </c>
      <c r="N159" s="280">
        <f>BillingDat!O18</f>
        <v>1</v>
      </c>
      <c r="O159" s="280">
        <f>ROUND(SUM(C159:N159)/12,0)</f>
        <v>1</v>
      </c>
      <c r="P159" s="32"/>
      <c r="Q159" s="19"/>
    </row>
    <row r="160" spans="1:25" x14ac:dyDescent="0.2">
      <c r="A160" s="2" t="s">
        <v>677</v>
      </c>
      <c r="C160" s="280">
        <f>BillingDat!D41</f>
        <v>1275743</v>
      </c>
      <c r="D160" s="280">
        <f>BillingDat!E41</f>
        <v>1581316</v>
      </c>
      <c r="E160" s="280">
        <f>BillingDat!F41</f>
        <v>1485905</v>
      </c>
      <c r="F160" s="280">
        <f>BillingDat!G41</f>
        <v>1415939</v>
      </c>
      <c r="G160" s="280">
        <f>BillingDat!H41</f>
        <v>1276452</v>
      </c>
      <c r="H160" s="280">
        <f>BillingDat!I40</f>
        <v>1430508</v>
      </c>
      <c r="I160" s="280">
        <f>BillingDat!J40</f>
        <v>1290799</v>
      </c>
      <c r="J160" s="280">
        <f>BillingDat!K40</f>
        <v>1369419</v>
      </c>
      <c r="K160" s="280">
        <f>BillingDat!L40</f>
        <v>1613585</v>
      </c>
      <c r="L160" s="280">
        <f>BillingDat!M40</f>
        <v>1397061</v>
      </c>
      <c r="M160" s="280">
        <f>BillingDat!N40</f>
        <v>1380688</v>
      </c>
      <c r="N160" s="280">
        <f>BillingDat!O40</f>
        <v>1106244</v>
      </c>
      <c r="O160" s="280">
        <f>SUM(C160:N160)</f>
        <v>16623659</v>
      </c>
      <c r="P160" s="95"/>
      <c r="Q160" s="95"/>
      <c r="U160" s="85"/>
      <c r="W160" s="85"/>
    </row>
    <row r="161" spans="1:25" x14ac:dyDescent="0.2">
      <c r="A161" s="2" t="s">
        <v>678</v>
      </c>
      <c r="C161" s="280">
        <f>C160/C$35</f>
        <v>1714.7083333333333</v>
      </c>
      <c r="D161" s="280">
        <f t="shared" ref="D161:N161" si="167">D160/D$35</f>
        <v>2353.1488095238096</v>
      </c>
      <c r="E161" s="280">
        <f t="shared" si="167"/>
        <v>1997.1841397849462</v>
      </c>
      <c r="F161" s="280">
        <f t="shared" si="167"/>
        <v>1966.5819444444444</v>
      </c>
      <c r="G161" s="280">
        <f t="shared" si="167"/>
        <v>1715.6612903225807</v>
      </c>
      <c r="H161" s="280">
        <f t="shared" si="167"/>
        <v>1986.8166666666666</v>
      </c>
      <c r="I161" s="280">
        <f t="shared" si="167"/>
        <v>1734.9448924731182</v>
      </c>
      <c r="J161" s="280">
        <f t="shared" si="167"/>
        <v>1840.616935483871</v>
      </c>
      <c r="K161" s="280">
        <f t="shared" si="167"/>
        <v>2241.0902777777778</v>
      </c>
      <c r="L161" s="280">
        <f t="shared" si="167"/>
        <v>1877.7701612903227</v>
      </c>
      <c r="M161" s="280">
        <f t="shared" si="167"/>
        <v>1917.6222222222223</v>
      </c>
      <c r="N161" s="280">
        <f t="shared" si="167"/>
        <v>1486.8870967741937</v>
      </c>
      <c r="O161" s="280">
        <f>O160/8760</f>
        <v>1897.6779680365296</v>
      </c>
      <c r="P161" s="32"/>
      <c r="Q161" s="32"/>
    </row>
    <row r="162" spans="1:25" x14ac:dyDescent="0.2">
      <c r="A162" s="2" t="s">
        <v>727</v>
      </c>
      <c r="C162" s="281">
        <f>C166</f>
        <v>0.48680113937466873</v>
      </c>
      <c r="D162" s="281">
        <f t="shared" ref="D162:N162" si="168">D166</f>
        <v>0.70690603506483107</v>
      </c>
      <c r="E162" s="281">
        <f t="shared" si="168"/>
        <v>0.62879671928245906</v>
      </c>
      <c r="F162" s="281">
        <f t="shared" si="168"/>
        <v>0.60629607363560378</v>
      </c>
      <c r="G162" s="281">
        <f t="shared" si="168"/>
        <v>0.55035006425950495</v>
      </c>
      <c r="H162" s="281">
        <f t="shared" si="168"/>
        <v>0.62972788511925892</v>
      </c>
      <c r="I162" s="281">
        <f t="shared" si="168"/>
        <v>0.53931192569168351</v>
      </c>
      <c r="J162" s="281">
        <f t="shared" si="168"/>
        <v>0.56308643400754743</v>
      </c>
      <c r="K162" s="281">
        <f t="shared" si="168"/>
        <v>0.66708645216512419</v>
      </c>
      <c r="L162" s="281">
        <f t="shared" si="168"/>
        <v>0.56968416620865581</v>
      </c>
      <c r="M162" s="281">
        <f t="shared" si="168"/>
        <v>0.69466984807795107</v>
      </c>
      <c r="N162" s="281">
        <f t="shared" si="168"/>
        <v>0.57814136834880614</v>
      </c>
      <c r="O162" s="281"/>
      <c r="Q162" s="19"/>
    </row>
    <row r="163" spans="1:25" x14ac:dyDescent="0.2">
      <c r="A163" s="2" t="s">
        <v>728</v>
      </c>
      <c r="C163" s="280">
        <f>C161/C162</f>
        <v>3522.4</v>
      </c>
      <c r="D163" s="280">
        <f t="shared" ref="D163:N163" si="169">D161/D162</f>
        <v>3328.7999999999997</v>
      </c>
      <c r="E163" s="280">
        <f t="shared" si="169"/>
        <v>3176.1999999999994</v>
      </c>
      <c r="F163" s="280">
        <f t="shared" si="169"/>
        <v>3243.6</v>
      </c>
      <c r="G163" s="280">
        <f t="shared" si="169"/>
        <v>3117.4</v>
      </c>
      <c r="H163" s="280">
        <f t="shared" si="169"/>
        <v>3155.04</v>
      </c>
      <c r="I163" s="280">
        <f t="shared" si="169"/>
        <v>3216.96</v>
      </c>
      <c r="J163" s="280">
        <f t="shared" si="169"/>
        <v>3268.7999999999997</v>
      </c>
      <c r="K163" s="280">
        <f t="shared" si="169"/>
        <v>3359.5199999999995</v>
      </c>
      <c r="L163" s="280">
        <f t="shared" si="169"/>
        <v>3296.1599999999994</v>
      </c>
      <c r="M163" s="280">
        <f t="shared" si="169"/>
        <v>2760.48</v>
      </c>
      <c r="N163" s="280">
        <f t="shared" si="169"/>
        <v>2571.84</v>
      </c>
      <c r="O163" s="280">
        <f>SUM(C163:N163)</f>
        <v>38017.199999999997</v>
      </c>
      <c r="Q163" s="19">
        <f>MAX(C163:N163)</f>
        <v>3522.4</v>
      </c>
    </row>
    <row r="164" spans="1:25" x14ac:dyDescent="0.2">
      <c r="A164" s="2" t="s">
        <v>679</v>
      </c>
      <c r="C164" s="281">
        <v>0.6</v>
      </c>
      <c r="D164" s="281">
        <f>C164</f>
        <v>0.6</v>
      </c>
      <c r="E164" s="281">
        <f t="shared" ref="E164:N164" si="170">D164</f>
        <v>0.6</v>
      </c>
      <c r="F164" s="281">
        <f t="shared" si="170"/>
        <v>0.6</v>
      </c>
      <c r="G164" s="281">
        <f t="shared" si="170"/>
        <v>0.6</v>
      </c>
      <c r="H164" s="281">
        <f t="shared" si="170"/>
        <v>0.6</v>
      </c>
      <c r="I164" s="281">
        <f t="shared" si="170"/>
        <v>0.6</v>
      </c>
      <c r="J164" s="281">
        <f t="shared" si="170"/>
        <v>0.6</v>
      </c>
      <c r="K164" s="281">
        <f t="shared" si="170"/>
        <v>0.6</v>
      </c>
      <c r="L164" s="281">
        <f t="shared" si="170"/>
        <v>0.6</v>
      </c>
      <c r="M164" s="281">
        <f t="shared" si="170"/>
        <v>0.6</v>
      </c>
      <c r="N164" s="281">
        <f t="shared" si="170"/>
        <v>0.6</v>
      </c>
      <c r="O164" s="281"/>
      <c r="P164" s="32"/>
      <c r="Q164" s="19"/>
    </row>
    <row r="165" spans="1:25" x14ac:dyDescent="0.2">
      <c r="A165" s="2" t="s">
        <v>680</v>
      </c>
      <c r="C165" s="280">
        <f>C163*C164</f>
        <v>2113.44</v>
      </c>
      <c r="D165" s="280">
        <f t="shared" ref="D165:N165" si="171">D163*D164</f>
        <v>1997.2799999999997</v>
      </c>
      <c r="E165" s="280">
        <f t="shared" si="171"/>
        <v>1905.7199999999996</v>
      </c>
      <c r="F165" s="280">
        <f t="shared" si="171"/>
        <v>1946.1599999999999</v>
      </c>
      <c r="G165" s="280">
        <f t="shared" si="171"/>
        <v>1870.44</v>
      </c>
      <c r="H165" s="280">
        <f t="shared" si="171"/>
        <v>1893.0239999999999</v>
      </c>
      <c r="I165" s="280">
        <f t="shared" si="171"/>
        <v>1930.1759999999999</v>
      </c>
      <c r="J165" s="280">
        <f t="shared" si="171"/>
        <v>1961.2799999999997</v>
      </c>
      <c r="K165" s="280">
        <f t="shared" si="171"/>
        <v>2015.7119999999995</v>
      </c>
      <c r="L165" s="280">
        <f t="shared" si="171"/>
        <v>1977.6959999999995</v>
      </c>
      <c r="M165" s="280">
        <f t="shared" si="171"/>
        <v>1656.288</v>
      </c>
      <c r="N165" s="280">
        <f t="shared" si="171"/>
        <v>1543.104</v>
      </c>
      <c r="O165" s="280">
        <f>SUM(C165:N165)</f>
        <v>22810.319999999996</v>
      </c>
      <c r="P165" s="32"/>
      <c r="Q165" s="19"/>
      <c r="R165" s="19">
        <f>O165</f>
        <v>22810.319999999996</v>
      </c>
      <c r="S165" s="19">
        <f>H165+I165+J165</f>
        <v>5784.48</v>
      </c>
      <c r="T165" s="19">
        <f>R165-S165</f>
        <v>17025.839999999997</v>
      </c>
    </row>
    <row r="166" spans="1:25" x14ac:dyDescent="0.2">
      <c r="A166" s="2" t="s">
        <v>729</v>
      </c>
      <c r="C166" s="281">
        <f>C161/C167</f>
        <v>0.48680113937466873</v>
      </c>
      <c r="D166" s="281">
        <f t="shared" ref="D166:N166" si="172">D161/D167</f>
        <v>0.70690603506483107</v>
      </c>
      <c r="E166" s="281">
        <f t="shared" si="172"/>
        <v>0.62879671928245906</v>
      </c>
      <c r="F166" s="281">
        <f t="shared" si="172"/>
        <v>0.60629607363560378</v>
      </c>
      <c r="G166" s="281">
        <f t="shared" si="172"/>
        <v>0.55035006425950495</v>
      </c>
      <c r="H166" s="281">
        <f t="shared" si="172"/>
        <v>0.62972788511925892</v>
      </c>
      <c r="I166" s="281">
        <f t="shared" si="172"/>
        <v>0.53931192569168351</v>
      </c>
      <c r="J166" s="281">
        <f t="shared" si="172"/>
        <v>0.56308643400754743</v>
      </c>
      <c r="K166" s="281">
        <f t="shared" si="172"/>
        <v>0.66708645216512419</v>
      </c>
      <c r="L166" s="281">
        <f t="shared" si="172"/>
        <v>0.56968416620865581</v>
      </c>
      <c r="M166" s="281">
        <f t="shared" si="172"/>
        <v>0.69466984807795107</v>
      </c>
      <c r="N166" s="281">
        <f t="shared" si="172"/>
        <v>0.57814136834880614</v>
      </c>
      <c r="O166" s="281"/>
      <c r="P166" s="95"/>
      <c r="Q166" s="95"/>
      <c r="U166" s="85"/>
      <c r="W166" s="85"/>
    </row>
    <row r="167" spans="1:25" x14ac:dyDescent="0.2">
      <c r="A167" s="2" t="s">
        <v>730</v>
      </c>
      <c r="C167" s="280">
        <f>BillingDat!D151</f>
        <v>3522.4</v>
      </c>
      <c r="D167" s="280">
        <f>BillingDat!E151</f>
        <v>3328.8</v>
      </c>
      <c r="E167" s="280">
        <f>BillingDat!F151</f>
        <v>3176.2</v>
      </c>
      <c r="F167" s="280">
        <f>BillingDat!G151</f>
        <v>3243.6</v>
      </c>
      <c r="G167" s="280">
        <f>BillingDat!H151</f>
        <v>3117.4</v>
      </c>
      <c r="H167" s="280">
        <f>BillingDat!I150</f>
        <v>3155.04</v>
      </c>
      <c r="I167" s="280">
        <f>BillingDat!J150</f>
        <v>3216.96</v>
      </c>
      <c r="J167" s="280">
        <f>BillingDat!K150</f>
        <v>3268.8</v>
      </c>
      <c r="K167" s="280">
        <f>BillingDat!L150</f>
        <v>3359.52</v>
      </c>
      <c r="L167" s="280">
        <f>BillingDat!M150</f>
        <v>3296.16</v>
      </c>
      <c r="M167" s="280">
        <f>BillingDat!N150</f>
        <v>2760.48</v>
      </c>
      <c r="N167" s="280">
        <f>BillingDat!O150</f>
        <v>2571.84</v>
      </c>
      <c r="O167" s="280">
        <f>SUM(C167:N167)</f>
        <v>38017.199999999997</v>
      </c>
      <c r="P167" s="32">
        <f>MAX(C167:N167)</f>
        <v>3522.4</v>
      </c>
      <c r="Q167" s="32"/>
    </row>
    <row r="168" spans="1:25" ht="15.75" customHeight="1" x14ac:dyDescent="0.2">
      <c r="C168" s="287"/>
      <c r="D168" s="287"/>
      <c r="E168" s="287"/>
      <c r="F168" s="287"/>
      <c r="G168" s="287"/>
      <c r="H168" s="156"/>
      <c r="I168" s="156"/>
      <c r="J168" s="156"/>
      <c r="K168" s="156"/>
      <c r="L168" s="156"/>
      <c r="M168" s="156"/>
      <c r="N168" s="156"/>
      <c r="O168" s="156"/>
    </row>
    <row r="169" spans="1:25" hidden="1" x14ac:dyDescent="0.2">
      <c r="A169" s="3" t="str">
        <f>A21</f>
        <v>Schedule LPE-4  Large Power Time of DayRate Tariff</v>
      </c>
      <c r="B169" s="38">
        <f>B21</f>
        <v>36</v>
      </c>
      <c r="C169" s="280"/>
      <c r="D169" s="280"/>
      <c r="E169" s="280"/>
      <c r="F169" s="280"/>
      <c r="G169" s="280"/>
      <c r="H169" s="280"/>
      <c r="I169" s="280"/>
      <c r="J169" s="280"/>
      <c r="K169" s="280"/>
      <c r="L169" s="280"/>
      <c r="M169" s="280"/>
      <c r="N169" s="280"/>
      <c r="O169" s="280">
        <f>ROUND(SUM(C169:N169)/12,0)</f>
        <v>0</v>
      </c>
      <c r="P169" s="32"/>
      <c r="Q169" s="19"/>
      <c r="W169" s="19">
        <f>N169</f>
        <v>0</v>
      </c>
      <c r="X169" s="19" t="e">
        <f>AVERAGE(C169:N169)</f>
        <v>#DIV/0!</v>
      </c>
      <c r="Y169" s="19" t="e">
        <f>W169-X169</f>
        <v>#DIV/0!</v>
      </c>
    </row>
    <row r="170" spans="1:25" hidden="1" x14ac:dyDescent="0.2">
      <c r="A170" s="2" t="s">
        <v>677</v>
      </c>
      <c r="C170" s="280"/>
      <c r="D170" s="280"/>
      <c r="E170" s="280"/>
      <c r="F170" s="280"/>
      <c r="G170" s="280"/>
      <c r="H170" s="280"/>
      <c r="I170" s="280"/>
      <c r="J170" s="280"/>
      <c r="K170" s="280"/>
      <c r="L170" s="280"/>
      <c r="M170" s="280"/>
      <c r="N170" s="280"/>
      <c r="O170" s="280">
        <f>SUM(C170:N170)</f>
        <v>0</v>
      </c>
      <c r="P170" s="95"/>
      <c r="Q170" s="95"/>
      <c r="U170" s="85"/>
      <c r="W170" s="85"/>
    </row>
    <row r="171" spans="1:25" hidden="1" x14ac:dyDescent="0.2">
      <c r="A171" s="2" t="s">
        <v>678</v>
      </c>
      <c r="C171" s="280"/>
      <c r="D171" s="280"/>
      <c r="E171" s="280"/>
      <c r="F171" s="280"/>
      <c r="G171" s="280"/>
      <c r="H171" s="280"/>
      <c r="I171" s="280"/>
      <c r="J171" s="280"/>
      <c r="K171" s="280"/>
      <c r="L171" s="280"/>
      <c r="M171" s="280"/>
      <c r="N171" s="280"/>
      <c r="O171" s="280">
        <f>O170/8760</f>
        <v>0</v>
      </c>
      <c r="P171" s="32"/>
      <c r="Q171" s="32"/>
    </row>
    <row r="172" spans="1:25" hidden="1" x14ac:dyDescent="0.2">
      <c r="A172" s="2" t="s">
        <v>727</v>
      </c>
      <c r="C172" s="281"/>
      <c r="D172" s="281"/>
      <c r="E172" s="281"/>
      <c r="F172" s="281"/>
      <c r="G172" s="281"/>
      <c r="H172" s="281"/>
      <c r="I172" s="281"/>
      <c r="J172" s="281"/>
      <c r="K172" s="281"/>
      <c r="L172" s="281"/>
      <c r="M172" s="281"/>
      <c r="N172" s="281"/>
      <c r="O172" s="281"/>
      <c r="Q172" s="19"/>
    </row>
    <row r="173" spans="1:25" hidden="1" x14ac:dyDescent="0.2">
      <c r="A173" s="2" t="s">
        <v>728</v>
      </c>
      <c r="C173" s="280"/>
      <c r="D173" s="280"/>
      <c r="E173" s="280"/>
      <c r="F173" s="280"/>
      <c r="G173" s="280"/>
      <c r="H173" s="280"/>
      <c r="I173" s="280"/>
      <c r="J173" s="280"/>
      <c r="K173" s="280"/>
      <c r="L173" s="280"/>
      <c r="M173" s="280"/>
      <c r="N173" s="280"/>
      <c r="O173" s="280">
        <f>SUM(C173:N173)</f>
        <v>0</v>
      </c>
      <c r="Q173" s="19">
        <f>MAX(C173:N173)</f>
        <v>0</v>
      </c>
    </row>
    <row r="174" spans="1:25" hidden="1" x14ac:dyDescent="0.2">
      <c r="A174" s="2" t="s">
        <v>679</v>
      </c>
      <c r="C174" s="281"/>
      <c r="D174" s="281"/>
      <c r="E174" s="281"/>
      <c r="F174" s="281"/>
      <c r="G174" s="281"/>
      <c r="H174" s="281"/>
      <c r="I174" s="281"/>
      <c r="J174" s="281"/>
      <c r="K174" s="281"/>
      <c r="L174" s="281"/>
      <c r="M174" s="281"/>
      <c r="N174" s="281"/>
      <c r="O174" s="281"/>
      <c r="P174" s="32"/>
      <c r="Q174" s="19"/>
    </row>
    <row r="175" spans="1:25" s="148" customFormat="1" hidden="1" x14ac:dyDescent="0.2">
      <c r="A175" s="148" t="s">
        <v>680</v>
      </c>
      <c r="B175" s="154"/>
      <c r="C175" s="280"/>
      <c r="D175" s="280"/>
      <c r="E175" s="280"/>
      <c r="F175" s="280"/>
      <c r="G175" s="280"/>
      <c r="H175" s="280"/>
      <c r="I175" s="280"/>
      <c r="J175" s="280"/>
      <c r="K175" s="280"/>
      <c r="L175" s="280"/>
      <c r="M175" s="280"/>
      <c r="N175" s="280"/>
      <c r="O175" s="286">
        <f>SUM(C175:N175)</f>
        <v>0</v>
      </c>
      <c r="P175" s="90"/>
      <c r="R175" s="148">
        <f>O175</f>
        <v>0</v>
      </c>
      <c r="S175" s="148">
        <f>H175+I175+J175</f>
        <v>0</v>
      </c>
      <c r="T175" s="148">
        <f>R175-S175</f>
        <v>0</v>
      </c>
    </row>
    <row r="176" spans="1:25" hidden="1" x14ac:dyDescent="0.2">
      <c r="A176" s="2" t="s">
        <v>729</v>
      </c>
      <c r="C176" s="281"/>
      <c r="D176" s="281"/>
      <c r="E176" s="281"/>
      <c r="F176" s="281"/>
      <c r="G176" s="281"/>
      <c r="H176" s="281"/>
      <c r="I176" s="281"/>
      <c r="J176" s="281"/>
      <c r="K176" s="281"/>
      <c r="L176" s="281"/>
      <c r="M176" s="281"/>
      <c r="N176" s="281"/>
      <c r="O176" s="281"/>
      <c r="P176" s="95"/>
      <c r="Q176" s="95"/>
      <c r="U176" s="85"/>
      <c r="W176" s="85"/>
    </row>
    <row r="177" spans="1:25" hidden="1" x14ac:dyDescent="0.2">
      <c r="A177" s="2" t="s">
        <v>730</v>
      </c>
      <c r="C177" s="280"/>
      <c r="D177" s="280"/>
      <c r="E177" s="280"/>
      <c r="F177" s="280"/>
      <c r="G177" s="280"/>
      <c r="H177" s="280"/>
      <c r="I177" s="280"/>
      <c r="J177" s="280"/>
      <c r="K177" s="280"/>
      <c r="L177" s="280"/>
      <c r="M177" s="280"/>
      <c r="N177" s="280"/>
      <c r="O177" s="280">
        <f>SUM(C177:N177)</f>
        <v>0</v>
      </c>
      <c r="P177" s="32">
        <f>MAX(C177:N177)</f>
        <v>0</v>
      </c>
      <c r="Q177" s="32"/>
    </row>
    <row r="178" spans="1:25" hidden="1" x14ac:dyDescent="0.2"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</row>
    <row r="179" spans="1:25" x14ac:dyDescent="0.2">
      <c r="A179" s="3" t="str">
        <f>A22</f>
        <v>Schedule C - TOD Comm - Three Phase</v>
      </c>
      <c r="B179" s="38">
        <f>B22</f>
        <v>50</v>
      </c>
      <c r="C179" s="280">
        <f>BillingDat!D20</f>
        <v>6</v>
      </c>
      <c r="D179" s="280">
        <f>BillingDat!E20</f>
        <v>6</v>
      </c>
      <c r="E179" s="280">
        <f>BillingDat!F20</f>
        <v>6</v>
      </c>
      <c r="F179" s="280">
        <f>BillingDat!G20</f>
        <v>6</v>
      </c>
      <c r="G179" s="280">
        <f>BillingDat!H20</f>
        <v>6</v>
      </c>
      <c r="H179" s="280">
        <f>BillingDat!I20</f>
        <v>7</v>
      </c>
      <c r="I179" s="280">
        <f>BillingDat!J20</f>
        <v>7</v>
      </c>
      <c r="J179" s="280">
        <f>BillingDat!K20</f>
        <v>7</v>
      </c>
      <c r="K179" s="280">
        <f>BillingDat!L20</f>
        <v>7</v>
      </c>
      <c r="L179" s="280">
        <f>BillingDat!M20</f>
        <v>7</v>
      </c>
      <c r="M179" s="280">
        <f>BillingDat!N20</f>
        <v>7</v>
      </c>
      <c r="N179" s="280">
        <f>BillingDat!O20</f>
        <v>7</v>
      </c>
      <c r="O179" s="280">
        <f>ROUND(SUM(C179:N179)/12,0)</f>
        <v>7</v>
      </c>
      <c r="P179" s="32"/>
      <c r="Q179" s="19"/>
      <c r="W179" s="19">
        <f>N179</f>
        <v>7</v>
      </c>
      <c r="X179" s="19">
        <f>AVERAGE(C179:N179)</f>
        <v>6.583333333333333</v>
      </c>
      <c r="Y179" s="19">
        <f>W179-X179</f>
        <v>0.41666666666666696</v>
      </c>
    </row>
    <row r="180" spans="1:25" x14ac:dyDescent="0.2">
      <c r="A180" s="2" t="s">
        <v>677</v>
      </c>
      <c r="C180" s="280">
        <f>BillingDat!D42</f>
        <v>13725</v>
      </c>
      <c r="D180" s="280">
        <f>BillingDat!E42</f>
        <v>16092</v>
      </c>
      <c r="E180" s="280">
        <f>BillingDat!F42</f>
        <v>17100</v>
      </c>
      <c r="F180" s="280">
        <f>BillingDat!G42</f>
        <v>18305</v>
      </c>
      <c r="G180" s="280">
        <f>BillingDat!H42</f>
        <v>24393</v>
      </c>
      <c r="H180" s="280">
        <f>BillingDat!I42</f>
        <v>78111</v>
      </c>
      <c r="I180" s="280">
        <f>BillingDat!J42</f>
        <v>65962</v>
      </c>
      <c r="J180" s="280">
        <f>BillingDat!K42</f>
        <v>61057</v>
      </c>
      <c r="K180" s="280">
        <f>BillingDat!L42</f>
        <v>55008</v>
      </c>
      <c r="L180" s="280">
        <f>BillingDat!M42</f>
        <v>65157</v>
      </c>
      <c r="M180" s="280">
        <f>BillingDat!N42</f>
        <v>75880</v>
      </c>
      <c r="N180" s="280">
        <f>BillingDat!O42</f>
        <v>69690</v>
      </c>
      <c r="O180" s="280">
        <f>SUM(C180:N180)</f>
        <v>560480</v>
      </c>
      <c r="P180" s="95"/>
      <c r="Q180" s="95"/>
      <c r="U180" s="85"/>
      <c r="W180" s="85"/>
    </row>
    <row r="181" spans="1:25" x14ac:dyDescent="0.2">
      <c r="A181" s="2" t="s">
        <v>678</v>
      </c>
      <c r="C181" s="280">
        <f>C180/C$35</f>
        <v>18.447580645161292</v>
      </c>
      <c r="D181" s="280">
        <f t="shared" ref="D181:N181" si="173">D180/D$35</f>
        <v>23.946428571428573</v>
      </c>
      <c r="E181" s="280">
        <f t="shared" si="173"/>
        <v>22.983870967741936</v>
      </c>
      <c r="F181" s="280">
        <f t="shared" si="173"/>
        <v>25.423611111111111</v>
      </c>
      <c r="G181" s="280">
        <f t="shared" si="173"/>
        <v>32.786290322580648</v>
      </c>
      <c r="H181" s="280">
        <f t="shared" si="173"/>
        <v>108.4875</v>
      </c>
      <c r="I181" s="280">
        <f t="shared" si="173"/>
        <v>88.658602150537632</v>
      </c>
      <c r="J181" s="280">
        <f t="shared" si="173"/>
        <v>82.06586021505376</v>
      </c>
      <c r="K181" s="280">
        <f t="shared" si="173"/>
        <v>76.400000000000006</v>
      </c>
      <c r="L181" s="280">
        <f t="shared" si="173"/>
        <v>87.576612903225808</v>
      </c>
      <c r="M181" s="280">
        <f t="shared" si="173"/>
        <v>105.38888888888889</v>
      </c>
      <c r="N181" s="280">
        <f t="shared" si="173"/>
        <v>93.66935483870968</v>
      </c>
      <c r="O181" s="280">
        <f>O180/8760</f>
        <v>63.981735159817354</v>
      </c>
      <c r="P181" s="32"/>
      <c r="Q181" s="32"/>
    </row>
    <row r="182" spans="1:25" x14ac:dyDescent="0.2">
      <c r="A182" s="2" t="s">
        <v>727</v>
      </c>
      <c r="C182" s="281">
        <v>0.5</v>
      </c>
      <c r="D182" s="281">
        <f>C182</f>
        <v>0.5</v>
      </c>
      <c r="E182" s="281">
        <f t="shared" ref="E182:N182" si="174">D182</f>
        <v>0.5</v>
      </c>
      <c r="F182" s="281">
        <f t="shared" si="174"/>
        <v>0.5</v>
      </c>
      <c r="G182" s="281">
        <f t="shared" si="174"/>
        <v>0.5</v>
      </c>
      <c r="H182" s="281">
        <f t="shared" si="174"/>
        <v>0.5</v>
      </c>
      <c r="I182" s="281">
        <f t="shared" si="174"/>
        <v>0.5</v>
      </c>
      <c r="J182" s="281">
        <f t="shared" si="174"/>
        <v>0.5</v>
      </c>
      <c r="K182" s="281">
        <f t="shared" si="174"/>
        <v>0.5</v>
      </c>
      <c r="L182" s="281">
        <f t="shared" si="174"/>
        <v>0.5</v>
      </c>
      <c r="M182" s="281">
        <f t="shared" si="174"/>
        <v>0.5</v>
      </c>
      <c r="N182" s="281">
        <f t="shared" si="174"/>
        <v>0.5</v>
      </c>
      <c r="O182" s="281"/>
      <c r="Q182" s="19"/>
    </row>
    <row r="183" spans="1:25" x14ac:dyDescent="0.2">
      <c r="A183" s="2" t="s">
        <v>728</v>
      </c>
      <c r="C183" s="280">
        <f>C181/C182</f>
        <v>36.895161290322584</v>
      </c>
      <c r="D183" s="280">
        <f t="shared" ref="D183:N183" si="175">D181/D182</f>
        <v>47.892857142857146</v>
      </c>
      <c r="E183" s="280">
        <f t="shared" si="175"/>
        <v>45.967741935483872</v>
      </c>
      <c r="F183" s="280">
        <f t="shared" si="175"/>
        <v>50.847222222222221</v>
      </c>
      <c r="G183" s="280">
        <f t="shared" si="175"/>
        <v>65.572580645161295</v>
      </c>
      <c r="H183" s="280">
        <f t="shared" si="175"/>
        <v>216.97499999999999</v>
      </c>
      <c r="I183" s="280">
        <f t="shared" si="175"/>
        <v>177.31720430107526</v>
      </c>
      <c r="J183" s="280">
        <f t="shared" si="175"/>
        <v>164.13172043010752</v>
      </c>
      <c r="K183" s="280">
        <f t="shared" si="175"/>
        <v>152.80000000000001</v>
      </c>
      <c r="L183" s="280">
        <f t="shared" si="175"/>
        <v>175.15322580645162</v>
      </c>
      <c r="M183" s="280">
        <f t="shared" si="175"/>
        <v>210.77777777777777</v>
      </c>
      <c r="N183" s="280">
        <f t="shared" si="175"/>
        <v>187.33870967741936</v>
      </c>
      <c r="O183" s="280">
        <f>SUM(C183:N183)</f>
        <v>1531.6692012288788</v>
      </c>
      <c r="Q183" s="19">
        <f>MAX(C183:N183)</f>
        <v>216.97499999999999</v>
      </c>
    </row>
    <row r="184" spans="1:25" x14ac:dyDescent="0.2">
      <c r="A184" s="2" t="s">
        <v>679</v>
      </c>
      <c r="C184" s="281">
        <v>0.5</v>
      </c>
      <c r="D184" s="281">
        <f>C184</f>
        <v>0.5</v>
      </c>
      <c r="E184" s="281">
        <f t="shared" ref="E184:N184" si="176">D184</f>
        <v>0.5</v>
      </c>
      <c r="F184" s="281">
        <f t="shared" si="176"/>
        <v>0.5</v>
      </c>
      <c r="G184" s="281">
        <f t="shared" si="176"/>
        <v>0.5</v>
      </c>
      <c r="H184" s="281">
        <f t="shared" si="176"/>
        <v>0.5</v>
      </c>
      <c r="I184" s="281">
        <f t="shared" si="176"/>
        <v>0.5</v>
      </c>
      <c r="J184" s="281">
        <f t="shared" si="176"/>
        <v>0.5</v>
      </c>
      <c r="K184" s="281">
        <f t="shared" si="176"/>
        <v>0.5</v>
      </c>
      <c r="L184" s="281">
        <f t="shared" si="176"/>
        <v>0.5</v>
      </c>
      <c r="M184" s="281">
        <f t="shared" si="176"/>
        <v>0.5</v>
      </c>
      <c r="N184" s="281">
        <f t="shared" si="176"/>
        <v>0.5</v>
      </c>
      <c r="O184" s="281"/>
      <c r="P184" s="32"/>
      <c r="Q184" s="19"/>
    </row>
    <row r="185" spans="1:25" x14ac:dyDescent="0.2">
      <c r="A185" s="2" t="s">
        <v>680</v>
      </c>
      <c r="C185" s="280">
        <f>C183*C184</f>
        <v>18.447580645161292</v>
      </c>
      <c r="D185" s="280">
        <f t="shared" ref="D185:N185" si="177">D183*D184</f>
        <v>23.946428571428573</v>
      </c>
      <c r="E185" s="280">
        <f t="shared" si="177"/>
        <v>22.983870967741936</v>
      </c>
      <c r="F185" s="280">
        <f t="shared" si="177"/>
        <v>25.423611111111111</v>
      </c>
      <c r="G185" s="280">
        <f t="shared" si="177"/>
        <v>32.786290322580648</v>
      </c>
      <c r="H185" s="280">
        <f t="shared" si="177"/>
        <v>108.4875</v>
      </c>
      <c r="I185" s="280">
        <f t="shared" si="177"/>
        <v>88.658602150537632</v>
      </c>
      <c r="J185" s="280">
        <f t="shared" si="177"/>
        <v>82.06586021505376</v>
      </c>
      <c r="K185" s="280">
        <f t="shared" si="177"/>
        <v>76.400000000000006</v>
      </c>
      <c r="L185" s="280">
        <f t="shared" si="177"/>
        <v>87.576612903225808</v>
      </c>
      <c r="M185" s="280">
        <f t="shared" si="177"/>
        <v>105.38888888888889</v>
      </c>
      <c r="N185" s="280">
        <f t="shared" si="177"/>
        <v>93.66935483870968</v>
      </c>
      <c r="O185" s="280">
        <f>SUM(C185:N185)</f>
        <v>765.83460061443941</v>
      </c>
      <c r="P185" s="32"/>
      <c r="Q185" s="19"/>
      <c r="R185" s="19">
        <f>O185</f>
        <v>765.83460061443941</v>
      </c>
      <c r="S185" s="19">
        <f>H185+I185+J185</f>
        <v>279.21196236559138</v>
      </c>
      <c r="T185" s="19">
        <f>R185-S185</f>
        <v>486.62263824884803</v>
      </c>
    </row>
    <row r="186" spans="1:25" x14ac:dyDescent="0.2">
      <c r="A186" s="2" t="s">
        <v>729</v>
      </c>
      <c r="C186" s="281">
        <f>C86</f>
        <v>0.34686798043771411</v>
      </c>
      <c r="D186" s="281">
        <f t="shared" ref="D186:N186" si="178">D86</f>
        <v>0.45539884069887138</v>
      </c>
      <c r="E186" s="281">
        <f t="shared" si="178"/>
        <v>0.35035651801086165</v>
      </c>
      <c r="F186" s="281">
        <f t="shared" si="178"/>
        <v>0.36672878926652552</v>
      </c>
      <c r="G186" s="281">
        <f t="shared" si="178"/>
        <v>0.36627057379600103</v>
      </c>
      <c r="H186" s="281">
        <f t="shared" si="178"/>
        <v>0.40170520724393938</v>
      </c>
      <c r="I186" s="281">
        <f t="shared" si="178"/>
        <v>0.45600312846017355</v>
      </c>
      <c r="J186" s="281">
        <f t="shared" si="178"/>
        <v>0.50038111318073197</v>
      </c>
      <c r="K186" s="281">
        <f t="shared" si="178"/>
        <v>0.51121889556788602</v>
      </c>
      <c r="L186" s="281">
        <f t="shared" si="178"/>
        <v>0.45669932790205969</v>
      </c>
      <c r="M186" s="281">
        <f t="shared" si="178"/>
        <v>0.40041163732790142</v>
      </c>
      <c r="N186" s="281">
        <f t="shared" si="178"/>
        <v>0.35472527570971274</v>
      </c>
      <c r="O186" s="281"/>
      <c r="P186" s="95"/>
      <c r="Q186" s="95"/>
      <c r="U186" s="85"/>
      <c r="W186" s="85"/>
    </row>
    <row r="187" spans="1:25" x14ac:dyDescent="0.2">
      <c r="A187" s="2" t="s">
        <v>730</v>
      </c>
      <c r="C187" s="280">
        <f>C181/C186</f>
        <v>53.183290720239484</v>
      </c>
      <c r="D187" s="280">
        <f t="shared" ref="D187:N187" si="179">D181/D186</f>
        <v>52.583420139321227</v>
      </c>
      <c r="E187" s="280">
        <f t="shared" si="179"/>
        <v>65.601379698120525</v>
      </c>
      <c r="F187" s="280">
        <f t="shared" si="179"/>
        <v>69.325375741455986</v>
      </c>
      <c r="G187" s="280">
        <f t="shared" si="179"/>
        <v>89.513853058917533</v>
      </c>
      <c r="H187" s="280">
        <f t="shared" si="179"/>
        <v>270.06744758008557</v>
      </c>
      <c r="I187" s="280">
        <f t="shared" si="179"/>
        <v>194.42542521565377</v>
      </c>
      <c r="J187" s="280">
        <f t="shared" si="179"/>
        <v>164.00671019214209</v>
      </c>
      <c r="K187" s="280">
        <f t="shared" si="179"/>
        <v>149.4467451464823</v>
      </c>
      <c r="L187" s="280">
        <f t="shared" si="179"/>
        <v>191.75989004741174</v>
      </c>
      <c r="M187" s="280">
        <f t="shared" si="179"/>
        <v>263.20136345733823</v>
      </c>
      <c r="N187" s="280">
        <f t="shared" si="179"/>
        <v>264.06168731929728</v>
      </c>
      <c r="O187" s="280">
        <f>SUM(C187:N187)</f>
        <v>1827.176588316466</v>
      </c>
      <c r="P187" s="32">
        <f>MAX(C187:N187)</f>
        <v>270.06744758008557</v>
      </c>
      <c r="Q187" s="32"/>
    </row>
    <row r="188" spans="1:25" x14ac:dyDescent="0.2">
      <c r="C188" s="156"/>
      <c r="D188" s="156"/>
      <c r="E188" s="156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</row>
    <row r="189" spans="1:25" x14ac:dyDescent="0.2">
      <c r="A189" s="152" t="str">
        <f>A23</f>
        <v>Lighting</v>
      </c>
      <c r="B189" s="153"/>
      <c r="C189" s="280">
        <f>BillingDat!D21</f>
        <v>128</v>
      </c>
      <c r="D189" s="280">
        <f>BillingDat!E21</f>
        <v>129</v>
      </c>
      <c r="E189" s="280">
        <f>BillingDat!F21</f>
        <v>128</v>
      </c>
      <c r="F189" s="280">
        <f>BillingDat!G21</f>
        <v>130</v>
      </c>
      <c r="G189" s="280">
        <f>BillingDat!H21</f>
        <v>132</v>
      </c>
      <c r="H189" s="280">
        <f>BillingDat!I21</f>
        <v>135</v>
      </c>
      <c r="I189" s="280">
        <f>BillingDat!J21</f>
        <v>130</v>
      </c>
      <c r="J189" s="280">
        <f>BillingDat!K21</f>
        <v>129</v>
      </c>
      <c r="K189" s="280">
        <f>BillingDat!L21</f>
        <v>128</v>
      </c>
      <c r="L189" s="280">
        <f>BillingDat!M21</f>
        <v>128</v>
      </c>
      <c r="M189" s="280">
        <f>BillingDat!N21</f>
        <v>127</v>
      </c>
      <c r="N189" s="280">
        <f>BillingDat!O21</f>
        <v>126</v>
      </c>
      <c r="O189" s="280">
        <f>ROUND(SUM(C189:N189)/12,0)</f>
        <v>129</v>
      </c>
      <c r="P189" s="32"/>
      <c r="Q189" s="19"/>
      <c r="W189" s="19">
        <f>N189</f>
        <v>126</v>
      </c>
      <c r="X189" s="19">
        <f>AVERAGE(C189:N189)</f>
        <v>129.16666666666666</v>
      </c>
      <c r="Y189" s="19">
        <f>W189-X189</f>
        <v>-3.1666666666666572</v>
      </c>
    </row>
    <row r="190" spans="1:25" x14ac:dyDescent="0.2">
      <c r="A190" s="2" t="s">
        <v>677</v>
      </c>
      <c r="C190" s="280">
        <f>BillingDat!D43</f>
        <v>34586</v>
      </c>
      <c r="D190" s="280">
        <f>BillingDat!E43</f>
        <v>34481</v>
      </c>
      <c r="E190" s="280">
        <f>BillingDat!F43</f>
        <v>34435</v>
      </c>
      <c r="F190" s="280">
        <f>BillingDat!G43</f>
        <v>34507</v>
      </c>
      <c r="G190" s="280">
        <f>BillingDat!H43</f>
        <v>34552</v>
      </c>
      <c r="H190" s="280">
        <f>BillingDat!I43</f>
        <v>34536</v>
      </c>
      <c r="I190" s="280">
        <f>BillingDat!J43</f>
        <v>36438</v>
      </c>
      <c r="J190" s="280">
        <f>BillingDat!K43</f>
        <v>36525</v>
      </c>
      <c r="K190" s="280">
        <f>BillingDat!L43</f>
        <v>36346</v>
      </c>
      <c r="L190" s="280">
        <f>BillingDat!M43</f>
        <v>36298</v>
      </c>
      <c r="M190" s="280">
        <f>BillingDat!N43</f>
        <v>36338</v>
      </c>
      <c r="N190" s="280">
        <f>BillingDat!O43</f>
        <v>35094</v>
      </c>
      <c r="O190" s="280">
        <f>SUM(C190:N190)</f>
        <v>424136</v>
      </c>
      <c r="P190" s="95"/>
      <c r="Q190" s="95"/>
      <c r="U190" s="85"/>
      <c r="W190" s="85"/>
    </row>
    <row r="191" spans="1:25" x14ac:dyDescent="0.2">
      <c r="A191" s="2" t="s">
        <v>678</v>
      </c>
      <c r="C191" s="280">
        <f>C190/744</f>
        <v>46.486559139784944</v>
      </c>
      <c r="D191" s="283">
        <f>D190/720</f>
        <v>47.890277777777776</v>
      </c>
      <c r="E191" s="280">
        <f t="shared" ref="E191" si="180">E190/744</f>
        <v>46.283602150537632</v>
      </c>
      <c r="F191" s="280">
        <f>F190/720</f>
        <v>47.926388888888887</v>
      </c>
      <c r="G191" s="280">
        <f t="shared" ref="G191" si="181">G190/744</f>
        <v>46.44086021505376</v>
      </c>
      <c r="H191" s="283">
        <f>H190/744</f>
        <v>46.41935483870968</v>
      </c>
      <c r="I191" s="283">
        <f>I190/672</f>
        <v>54.223214285714285</v>
      </c>
      <c r="J191" s="280">
        <f t="shared" ref="J191" si="182">J190/744</f>
        <v>49.092741935483872</v>
      </c>
      <c r="K191" s="280">
        <f>K190/720</f>
        <v>50.480555555555554</v>
      </c>
      <c r="L191" s="280">
        <f t="shared" ref="L191" si="183">L190/744</f>
        <v>48.787634408602152</v>
      </c>
      <c r="M191" s="280">
        <f>M190/720</f>
        <v>50.469444444444441</v>
      </c>
      <c r="N191" s="280">
        <f t="shared" ref="N191" si="184">N190/744</f>
        <v>47.16935483870968</v>
      </c>
      <c r="O191" s="280">
        <f>O190/8760</f>
        <v>48.417351598173518</v>
      </c>
      <c r="P191" s="32"/>
      <c r="Q191" s="32"/>
    </row>
    <row r="192" spans="1:25" x14ac:dyDescent="0.2">
      <c r="A192" s="2" t="s">
        <v>727</v>
      </c>
      <c r="C192" s="281">
        <v>0.5</v>
      </c>
      <c r="D192" s="281">
        <v>0.5</v>
      </c>
      <c r="E192" s="281">
        <v>0.5</v>
      </c>
      <c r="F192" s="281">
        <v>0.5</v>
      </c>
      <c r="G192" s="281">
        <v>0.5</v>
      </c>
      <c r="H192" s="281">
        <v>0.5</v>
      </c>
      <c r="I192" s="281">
        <v>0.5</v>
      </c>
      <c r="J192" s="281">
        <v>0.5</v>
      </c>
      <c r="K192" s="281">
        <v>0.5</v>
      </c>
      <c r="L192" s="281">
        <v>0.5</v>
      </c>
      <c r="M192" s="281">
        <v>0.5</v>
      </c>
      <c r="N192" s="281">
        <v>0.5</v>
      </c>
      <c r="O192" s="281"/>
      <c r="Q192" s="19"/>
    </row>
    <row r="193" spans="1:23" x14ac:dyDescent="0.2">
      <c r="A193" s="2" t="s">
        <v>728</v>
      </c>
      <c r="C193" s="280">
        <f>C191/C192</f>
        <v>92.973118279569889</v>
      </c>
      <c r="D193" s="280">
        <f t="shared" ref="D193:N193" si="185">D191/D192</f>
        <v>95.780555555555551</v>
      </c>
      <c r="E193" s="280">
        <f t="shared" si="185"/>
        <v>92.567204301075265</v>
      </c>
      <c r="F193" s="280">
        <f t="shared" si="185"/>
        <v>95.852777777777774</v>
      </c>
      <c r="G193" s="280">
        <f t="shared" si="185"/>
        <v>92.881720430107521</v>
      </c>
      <c r="H193" s="280">
        <f t="shared" si="185"/>
        <v>92.838709677419359</v>
      </c>
      <c r="I193" s="280">
        <f t="shared" si="185"/>
        <v>108.44642857142857</v>
      </c>
      <c r="J193" s="280">
        <f t="shared" si="185"/>
        <v>98.185483870967744</v>
      </c>
      <c r="K193" s="280">
        <f t="shared" si="185"/>
        <v>100.96111111111111</v>
      </c>
      <c r="L193" s="280">
        <f t="shared" si="185"/>
        <v>97.575268817204304</v>
      </c>
      <c r="M193" s="280">
        <f t="shared" si="185"/>
        <v>100.93888888888888</v>
      </c>
      <c r="N193" s="280">
        <f t="shared" si="185"/>
        <v>94.338709677419359</v>
      </c>
      <c r="O193" s="280">
        <f>SUM(C193:N193)</f>
        <v>1163.3399769585253</v>
      </c>
      <c r="Q193" s="19">
        <f>MAX(C193:N193)</f>
        <v>108.44642857142857</v>
      </c>
    </row>
    <row r="194" spans="1:23" x14ac:dyDescent="0.2">
      <c r="A194" s="2" t="s">
        <v>679</v>
      </c>
      <c r="C194" s="281">
        <v>1</v>
      </c>
      <c r="D194" s="281">
        <v>1</v>
      </c>
      <c r="E194" s="281">
        <v>1</v>
      </c>
      <c r="F194" s="281">
        <v>0</v>
      </c>
      <c r="G194" s="281">
        <v>0</v>
      </c>
      <c r="H194" s="281">
        <v>0</v>
      </c>
      <c r="I194" s="281">
        <v>0</v>
      </c>
      <c r="J194" s="281">
        <v>0</v>
      </c>
      <c r="K194" s="281">
        <v>0</v>
      </c>
      <c r="L194" s="281">
        <v>1</v>
      </c>
      <c r="M194" s="281">
        <v>1</v>
      </c>
      <c r="N194" s="281">
        <v>1</v>
      </c>
      <c r="O194" s="281"/>
      <c r="P194" s="32"/>
      <c r="Q194" s="19"/>
    </row>
    <row r="195" spans="1:23" x14ac:dyDescent="0.2">
      <c r="A195" s="2" t="s">
        <v>680</v>
      </c>
      <c r="C195" s="280">
        <f t="shared" ref="C195:N195" si="186">C193*C194</f>
        <v>92.973118279569889</v>
      </c>
      <c r="D195" s="280">
        <f t="shared" si="186"/>
        <v>95.780555555555551</v>
      </c>
      <c r="E195" s="280">
        <f t="shared" si="186"/>
        <v>92.567204301075265</v>
      </c>
      <c r="F195" s="280">
        <f t="shared" si="186"/>
        <v>0</v>
      </c>
      <c r="G195" s="280">
        <f t="shared" si="186"/>
        <v>0</v>
      </c>
      <c r="H195" s="280">
        <f t="shared" si="186"/>
        <v>0</v>
      </c>
      <c r="I195" s="280">
        <f t="shared" si="186"/>
        <v>0</v>
      </c>
      <c r="J195" s="280">
        <f t="shared" si="186"/>
        <v>0</v>
      </c>
      <c r="K195" s="280">
        <f t="shared" si="186"/>
        <v>0</v>
      </c>
      <c r="L195" s="280">
        <f t="shared" si="186"/>
        <v>97.575268817204304</v>
      </c>
      <c r="M195" s="280">
        <f t="shared" si="186"/>
        <v>100.93888888888888</v>
      </c>
      <c r="N195" s="280">
        <f t="shared" si="186"/>
        <v>94.338709677419359</v>
      </c>
      <c r="O195" s="280">
        <f>SUM(C195:N195)</f>
        <v>574.17374551971318</v>
      </c>
      <c r="P195" s="32"/>
      <c r="Q195" s="19"/>
      <c r="R195" s="19">
        <f>O195</f>
        <v>574.17374551971318</v>
      </c>
      <c r="S195" s="19">
        <f>H195+I195+J195</f>
        <v>0</v>
      </c>
      <c r="T195" s="19">
        <f>R195-S195</f>
        <v>574.17374551971318</v>
      </c>
    </row>
    <row r="196" spans="1:23" x14ac:dyDescent="0.2">
      <c r="A196" s="2" t="s">
        <v>729</v>
      </c>
      <c r="C196" s="281">
        <v>0.5</v>
      </c>
      <c r="D196" s="281">
        <v>0.5</v>
      </c>
      <c r="E196" s="281">
        <v>0.5</v>
      </c>
      <c r="F196" s="281">
        <v>0.5</v>
      </c>
      <c r="G196" s="281">
        <v>0.5</v>
      </c>
      <c r="H196" s="281">
        <v>0.5</v>
      </c>
      <c r="I196" s="281">
        <v>0.5</v>
      </c>
      <c r="J196" s="281">
        <v>0.5</v>
      </c>
      <c r="K196" s="281">
        <v>0.5</v>
      </c>
      <c r="L196" s="281">
        <v>0.5</v>
      </c>
      <c r="M196" s="281">
        <v>0.5</v>
      </c>
      <c r="N196" s="281">
        <v>0.5</v>
      </c>
      <c r="O196" s="281"/>
      <c r="P196" s="95"/>
      <c r="Q196" s="95"/>
      <c r="U196" s="85"/>
      <c r="W196" s="85"/>
    </row>
    <row r="197" spans="1:23" ht="13.9" customHeight="1" x14ac:dyDescent="0.2">
      <c r="A197" s="2" t="s">
        <v>730</v>
      </c>
      <c r="C197" s="280">
        <f>C191/C196</f>
        <v>92.973118279569889</v>
      </c>
      <c r="D197" s="280">
        <f t="shared" ref="D197:N197" si="187">D191/D196</f>
        <v>95.780555555555551</v>
      </c>
      <c r="E197" s="280">
        <f t="shared" si="187"/>
        <v>92.567204301075265</v>
      </c>
      <c r="F197" s="280">
        <f t="shared" si="187"/>
        <v>95.852777777777774</v>
      </c>
      <c r="G197" s="280">
        <f t="shared" si="187"/>
        <v>92.881720430107521</v>
      </c>
      <c r="H197" s="280">
        <f t="shared" si="187"/>
        <v>92.838709677419359</v>
      </c>
      <c r="I197" s="280">
        <f t="shared" si="187"/>
        <v>108.44642857142857</v>
      </c>
      <c r="J197" s="280">
        <f t="shared" si="187"/>
        <v>98.185483870967744</v>
      </c>
      <c r="K197" s="280">
        <f t="shared" si="187"/>
        <v>100.96111111111111</v>
      </c>
      <c r="L197" s="280">
        <f t="shared" si="187"/>
        <v>97.575268817204304</v>
      </c>
      <c r="M197" s="280">
        <f t="shared" si="187"/>
        <v>100.93888888888888</v>
      </c>
      <c r="N197" s="280">
        <f t="shared" si="187"/>
        <v>94.338709677419359</v>
      </c>
      <c r="O197" s="280">
        <f>SUM(C197:N197)</f>
        <v>1163.3399769585253</v>
      </c>
      <c r="P197" s="32">
        <f>MAX(C197:N197)</f>
        <v>108.44642857142857</v>
      </c>
      <c r="Q197" s="32"/>
    </row>
    <row r="198" spans="1:23" x14ac:dyDescent="0.2"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</row>
    <row r="199" spans="1:23" hidden="1" x14ac:dyDescent="0.2">
      <c r="A199" s="152">
        <f>A24</f>
        <v>0</v>
      </c>
      <c r="B199" s="153">
        <f>B24</f>
        <v>0</v>
      </c>
      <c r="C199" s="280">
        <v>0</v>
      </c>
      <c r="D199" s="280">
        <v>0</v>
      </c>
      <c r="E199" s="280">
        <v>0</v>
      </c>
      <c r="F199" s="280">
        <v>0</v>
      </c>
      <c r="G199" s="280">
        <v>0</v>
      </c>
      <c r="H199" s="280">
        <v>0</v>
      </c>
      <c r="I199" s="280">
        <v>0</v>
      </c>
      <c r="J199" s="280">
        <v>0</v>
      </c>
      <c r="K199" s="280">
        <v>0</v>
      </c>
      <c r="L199" s="280">
        <v>0</v>
      </c>
      <c r="M199" s="280">
        <v>0</v>
      </c>
      <c r="N199" s="280">
        <v>0</v>
      </c>
      <c r="O199" s="280">
        <f>ROUND(SUM(C199:N199)/12,0)</f>
        <v>0</v>
      </c>
      <c r="P199" s="32"/>
      <c r="Q199" s="19"/>
    </row>
    <row r="200" spans="1:23" hidden="1" x14ac:dyDescent="0.2">
      <c r="A200" s="2" t="s">
        <v>677</v>
      </c>
      <c r="C200" s="280">
        <v>0</v>
      </c>
      <c r="D200" s="280">
        <v>0</v>
      </c>
      <c r="E200" s="280">
        <v>0</v>
      </c>
      <c r="F200" s="280">
        <v>0</v>
      </c>
      <c r="G200" s="280">
        <v>0</v>
      </c>
      <c r="H200" s="280">
        <v>0</v>
      </c>
      <c r="I200" s="280">
        <v>0</v>
      </c>
      <c r="J200" s="280">
        <v>0</v>
      </c>
      <c r="K200" s="280">
        <v>0</v>
      </c>
      <c r="L200" s="280">
        <v>0</v>
      </c>
      <c r="M200" s="280">
        <v>0</v>
      </c>
      <c r="N200" s="280">
        <v>0</v>
      </c>
      <c r="O200" s="280">
        <f>SUM(C200:N200)</f>
        <v>0</v>
      </c>
      <c r="P200" s="95"/>
      <c r="Q200" s="95"/>
      <c r="U200" s="85"/>
      <c r="W200" s="85"/>
    </row>
    <row r="201" spans="1:23" hidden="1" x14ac:dyDescent="0.2">
      <c r="A201" s="2" t="s">
        <v>678</v>
      </c>
      <c r="C201" s="280">
        <f>C200/744</f>
        <v>0</v>
      </c>
      <c r="D201" s="283">
        <f>D200/720</f>
        <v>0</v>
      </c>
      <c r="E201" s="280">
        <f t="shared" ref="E201" si="188">E200/744</f>
        <v>0</v>
      </c>
      <c r="F201" s="280">
        <f>F200/720</f>
        <v>0</v>
      </c>
      <c r="G201" s="280">
        <f t="shared" ref="G201" si="189">G200/744</f>
        <v>0</v>
      </c>
      <c r="H201" s="283">
        <f>H200/744</f>
        <v>0</v>
      </c>
      <c r="I201" s="283">
        <f>I200/672</f>
        <v>0</v>
      </c>
      <c r="J201" s="280">
        <f t="shared" ref="J201" si="190">J200/744</f>
        <v>0</v>
      </c>
      <c r="K201" s="280">
        <f>K200/720</f>
        <v>0</v>
      </c>
      <c r="L201" s="280">
        <f t="shared" ref="L201" si="191">L200/744</f>
        <v>0</v>
      </c>
      <c r="M201" s="280">
        <f>M200/720</f>
        <v>0</v>
      </c>
      <c r="N201" s="280">
        <f t="shared" ref="N201" si="192">N200/744</f>
        <v>0</v>
      </c>
      <c r="O201" s="280">
        <f>O200/8760</f>
        <v>0</v>
      </c>
      <c r="P201" s="32"/>
      <c r="Q201" s="32"/>
    </row>
    <row r="202" spans="1:23" hidden="1" x14ac:dyDescent="0.2">
      <c r="A202" s="2" t="s">
        <v>727</v>
      </c>
      <c r="C202" s="281">
        <v>0.5</v>
      </c>
      <c r="D202" s="281">
        <v>0.5</v>
      </c>
      <c r="E202" s="281">
        <v>0.5</v>
      </c>
      <c r="F202" s="281">
        <v>0.5</v>
      </c>
      <c r="G202" s="281">
        <v>0.5</v>
      </c>
      <c r="H202" s="281">
        <v>0.5</v>
      </c>
      <c r="I202" s="281">
        <v>0.5</v>
      </c>
      <c r="J202" s="281">
        <v>0.5</v>
      </c>
      <c r="K202" s="281">
        <v>0.5</v>
      </c>
      <c r="L202" s="281">
        <v>0.5</v>
      </c>
      <c r="M202" s="281">
        <v>0.5</v>
      </c>
      <c r="N202" s="281">
        <v>0.5</v>
      </c>
      <c r="O202" s="281"/>
      <c r="Q202" s="19"/>
    </row>
    <row r="203" spans="1:23" hidden="1" x14ac:dyDescent="0.2">
      <c r="A203" s="2" t="s">
        <v>728</v>
      </c>
      <c r="C203" s="280">
        <f>C201/C202</f>
        <v>0</v>
      </c>
      <c r="D203" s="280">
        <f t="shared" ref="D203:N203" si="193">D201/D202</f>
        <v>0</v>
      </c>
      <c r="E203" s="280">
        <f t="shared" si="193"/>
        <v>0</v>
      </c>
      <c r="F203" s="280">
        <f t="shared" si="193"/>
        <v>0</v>
      </c>
      <c r="G203" s="280">
        <f t="shared" si="193"/>
        <v>0</v>
      </c>
      <c r="H203" s="280">
        <f t="shared" si="193"/>
        <v>0</v>
      </c>
      <c r="I203" s="280">
        <f t="shared" si="193"/>
        <v>0</v>
      </c>
      <c r="J203" s="280">
        <f t="shared" si="193"/>
        <v>0</v>
      </c>
      <c r="K203" s="280">
        <f t="shared" si="193"/>
        <v>0</v>
      </c>
      <c r="L203" s="280">
        <f t="shared" si="193"/>
        <v>0</v>
      </c>
      <c r="M203" s="280">
        <f t="shared" si="193"/>
        <v>0</v>
      </c>
      <c r="N203" s="280">
        <f t="shared" si="193"/>
        <v>0</v>
      </c>
      <c r="O203" s="280">
        <f>SUM(C203:N203)</f>
        <v>0</v>
      </c>
      <c r="Q203" s="19">
        <f>MAX(C203:N203)</f>
        <v>0</v>
      </c>
    </row>
    <row r="204" spans="1:23" hidden="1" x14ac:dyDescent="0.2">
      <c r="A204" s="2" t="s">
        <v>679</v>
      </c>
      <c r="C204" s="281">
        <v>1</v>
      </c>
      <c r="D204" s="281">
        <v>1</v>
      </c>
      <c r="E204" s="281">
        <v>1</v>
      </c>
      <c r="F204" s="281">
        <v>0</v>
      </c>
      <c r="G204" s="281">
        <v>0</v>
      </c>
      <c r="H204" s="281">
        <v>0</v>
      </c>
      <c r="I204" s="281">
        <v>0</v>
      </c>
      <c r="J204" s="281">
        <v>0</v>
      </c>
      <c r="K204" s="281">
        <v>0</v>
      </c>
      <c r="L204" s="281">
        <v>1</v>
      </c>
      <c r="M204" s="281">
        <v>1</v>
      </c>
      <c r="N204" s="281">
        <v>1</v>
      </c>
      <c r="O204" s="281"/>
      <c r="P204" s="32"/>
      <c r="Q204" s="19"/>
    </row>
    <row r="205" spans="1:23" hidden="1" x14ac:dyDescent="0.2">
      <c r="A205" s="2" t="s">
        <v>680</v>
      </c>
      <c r="C205" s="280">
        <f t="shared" ref="C205:N205" si="194">C203*C204</f>
        <v>0</v>
      </c>
      <c r="D205" s="280">
        <f t="shared" si="194"/>
        <v>0</v>
      </c>
      <c r="E205" s="280">
        <f t="shared" si="194"/>
        <v>0</v>
      </c>
      <c r="F205" s="280">
        <f t="shared" si="194"/>
        <v>0</v>
      </c>
      <c r="G205" s="280">
        <f t="shared" si="194"/>
        <v>0</v>
      </c>
      <c r="H205" s="280">
        <f t="shared" si="194"/>
        <v>0</v>
      </c>
      <c r="I205" s="280">
        <f t="shared" si="194"/>
        <v>0</v>
      </c>
      <c r="J205" s="280">
        <f t="shared" si="194"/>
        <v>0</v>
      </c>
      <c r="K205" s="280">
        <f t="shared" si="194"/>
        <v>0</v>
      </c>
      <c r="L205" s="280">
        <f t="shared" si="194"/>
        <v>0</v>
      </c>
      <c r="M205" s="280">
        <f t="shared" si="194"/>
        <v>0</v>
      </c>
      <c r="N205" s="280">
        <f t="shared" si="194"/>
        <v>0</v>
      </c>
      <c r="O205" s="280">
        <f>SUM(C205:N205)</f>
        <v>0</v>
      </c>
      <c r="P205" s="32"/>
      <c r="Q205" s="19"/>
      <c r="R205" s="19">
        <f>O205</f>
        <v>0</v>
      </c>
      <c r="S205" s="19">
        <f>H205+I205+J205</f>
        <v>0</v>
      </c>
      <c r="T205" s="19">
        <f>R205-S205</f>
        <v>0</v>
      </c>
    </row>
    <row r="206" spans="1:23" hidden="1" x14ac:dyDescent="0.2">
      <c r="A206" s="2" t="s">
        <v>729</v>
      </c>
      <c r="C206" s="281">
        <v>0.5</v>
      </c>
      <c r="D206" s="281">
        <v>0.5</v>
      </c>
      <c r="E206" s="281">
        <v>0.5</v>
      </c>
      <c r="F206" s="281">
        <v>0.5</v>
      </c>
      <c r="G206" s="281">
        <v>0.5</v>
      </c>
      <c r="H206" s="281">
        <v>0.5</v>
      </c>
      <c r="I206" s="281">
        <v>0.5</v>
      </c>
      <c r="J206" s="281">
        <v>0.5</v>
      </c>
      <c r="K206" s="281">
        <v>0.5</v>
      </c>
      <c r="L206" s="281">
        <v>0.5</v>
      </c>
      <c r="M206" s="281">
        <v>0.5</v>
      </c>
      <c r="N206" s="281">
        <v>0.5</v>
      </c>
      <c r="O206" s="281"/>
      <c r="P206" s="95"/>
      <c r="Q206" s="95"/>
      <c r="U206" s="85"/>
      <c r="W206" s="85"/>
    </row>
    <row r="207" spans="1:23" ht="13.9" hidden="1" customHeight="1" x14ac:dyDescent="0.2">
      <c r="A207" s="2" t="s">
        <v>730</v>
      </c>
      <c r="C207" s="280">
        <f>C201/C206</f>
        <v>0</v>
      </c>
      <c r="D207" s="280">
        <f t="shared" ref="D207:N207" si="195">D201/D206</f>
        <v>0</v>
      </c>
      <c r="E207" s="280">
        <f t="shared" si="195"/>
        <v>0</v>
      </c>
      <c r="F207" s="280">
        <f t="shared" si="195"/>
        <v>0</v>
      </c>
      <c r="G207" s="280">
        <f t="shared" si="195"/>
        <v>0</v>
      </c>
      <c r="H207" s="280">
        <f t="shared" si="195"/>
        <v>0</v>
      </c>
      <c r="I207" s="280">
        <f t="shared" si="195"/>
        <v>0</v>
      </c>
      <c r="J207" s="280">
        <f t="shared" si="195"/>
        <v>0</v>
      </c>
      <c r="K207" s="280">
        <f t="shared" si="195"/>
        <v>0</v>
      </c>
      <c r="L207" s="280">
        <f t="shared" si="195"/>
        <v>0</v>
      </c>
      <c r="M207" s="280">
        <f t="shared" si="195"/>
        <v>0</v>
      </c>
      <c r="N207" s="280">
        <f t="shared" si="195"/>
        <v>0</v>
      </c>
      <c r="O207" s="280">
        <f>SUM(C207:N207)</f>
        <v>0</v>
      </c>
      <c r="P207" s="32">
        <f>MAX(C207:N207)</f>
        <v>0</v>
      </c>
      <c r="Q207" s="32"/>
    </row>
    <row r="208" spans="1:23" hidden="1" x14ac:dyDescent="0.2">
      <c r="C208" s="156"/>
      <c r="D208" s="156"/>
      <c r="E208" s="156"/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</row>
    <row r="209" spans="1:23" hidden="1" x14ac:dyDescent="0.2">
      <c r="A209" s="3">
        <f>A25</f>
        <v>0</v>
      </c>
      <c r="B209" s="38"/>
      <c r="C209" s="280"/>
      <c r="D209" s="280"/>
      <c r="E209" s="280"/>
      <c r="F209" s="280"/>
      <c r="G209" s="280"/>
      <c r="H209" s="280"/>
      <c r="I209" s="280"/>
      <c r="J209" s="280"/>
      <c r="K209" s="280"/>
      <c r="L209" s="280"/>
      <c r="M209" s="280"/>
      <c r="N209" s="280"/>
      <c r="O209" s="280"/>
      <c r="P209" s="32"/>
      <c r="Q209" s="19"/>
    </row>
    <row r="210" spans="1:23" hidden="1" x14ac:dyDescent="0.2">
      <c r="A210" s="2" t="s">
        <v>677</v>
      </c>
      <c r="C210" s="280">
        <v>0</v>
      </c>
      <c r="D210" s="280">
        <v>0</v>
      </c>
      <c r="E210" s="280">
        <v>0</v>
      </c>
      <c r="F210" s="280">
        <v>0</v>
      </c>
      <c r="G210" s="280">
        <v>0</v>
      </c>
      <c r="H210" s="280">
        <v>0</v>
      </c>
      <c r="I210" s="280">
        <v>0</v>
      </c>
      <c r="J210" s="280">
        <v>0</v>
      </c>
      <c r="K210" s="280">
        <v>0</v>
      </c>
      <c r="L210" s="280">
        <v>0</v>
      </c>
      <c r="M210" s="280">
        <v>0</v>
      </c>
      <c r="N210" s="280">
        <v>0</v>
      </c>
      <c r="O210" s="280">
        <f>SUM(C210:N210)</f>
        <v>0</v>
      </c>
      <c r="P210" s="95"/>
      <c r="Q210" s="95"/>
      <c r="U210" s="85"/>
      <c r="W210" s="85"/>
    </row>
    <row r="211" spans="1:23" hidden="1" x14ac:dyDescent="0.2">
      <c r="A211" s="2" t="s">
        <v>678</v>
      </c>
      <c r="C211" s="280">
        <f>C210/C$35</f>
        <v>0</v>
      </c>
      <c r="D211" s="280">
        <f t="shared" ref="D211" si="196">D210/D$35</f>
        <v>0</v>
      </c>
      <c r="E211" s="280">
        <f t="shared" ref="E211" si="197">E210/E$35</f>
        <v>0</v>
      </c>
      <c r="F211" s="280">
        <f t="shared" ref="F211" si="198">F210/F$35</f>
        <v>0</v>
      </c>
      <c r="G211" s="280">
        <f t="shared" ref="G211" si="199">G210/G$35</f>
        <v>0</v>
      </c>
      <c r="H211" s="280">
        <f t="shared" ref="H211" si="200">H210/H$35</f>
        <v>0</v>
      </c>
      <c r="I211" s="280">
        <f t="shared" ref="I211" si="201">I210/I$35</f>
        <v>0</v>
      </c>
      <c r="J211" s="280">
        <f t="shared" ref="J211" si="202">J210/J$35</f>
        <v>0</v>
      </c>
      <c r="K211" s="280">
        <f t="shared" ref="K211" si="203">K210/K$35</f>
        <v>0</v>
      </c>
      <c r="L211" s="280">
        <f t="shared" ref="L211" si="204">L210/L$35</f>
        <v>0</v>
      </c>
      <c r="M211" s="280">
        <f t="shared" ref="M211" si="205">M210/M$35</f>
        <v>0</v>
      </c>
      <c r="N211" s="280">
        <f t="shared" ref="N211" si="206">N210/N$35</f>
        <v>0</v>
      </c>
      <c r="O211" s="280">
        <f>O210/8760</f>
        <v>0</v>
      </c>
      <c r="P211" s="32"/>
      <c r="Q211" s="32"/>
    </row>
    <row r="212" spans="1:23" hidden="1" x14ac:dyDescent="0.2">
      <c r="A212" s="2" t="s">
        <v>727</v>
      </c>
      <c r="C212" s="281">
        <v>0</v>
      </c>
      <c r="D212" s="281">
        <v>0</v>
      </c>
      <c r="E212" s="281">
        <v>0</v>
      </c>
      <c r="F212" s="281">
        <v>0.25</v>
      </c>
      <c r="G212" s="281">
        <v>0.25</v>
      </c>
      <c r="H212" s="281">
        <v>0.25</v>
      </c>
      <c r="I212" s="281">
        <v>0.25</v>
      </c>
      <c r="J212" s="281">
        <v>0</v>
      </c>
      <c r="K212" s="281">
        <v>0</v>
      </c>
      <c r="L212" s="281">
        <v>0</v>
      </c>
      <c r="M212" s="281">
        <v>0</v>
      </c>
      <c r="N212" s="281">
        <v>0</v>
      </c>
      <c r="O212" s="281"/>
      <c r="Q212" s="19"/>
    </row>
    <row r="213" spans="1:23" hidden="1" x14ac:dyDescent="0.2">
      <c r="A213" s="2" t="s">
        <v>728</v>
      </c>
      <c r="C213" s="280"/>
      <c r="D213" s="280"/>
      <c r="E213" s="280"/>
      <c r="F213" s="280">
        <v>0</v>
      </c>
      <c r="G213" s="280">
        <v>0</v>
      </c>
      <c r="H213" s="280">
        <v>0</v>
      </c>
      <c r="I213" s="280">
        <v>0</v>
      </c>
      <c r="J213" s="280">
        <v>0</v>
      </c>
      <c r="K213" s="280"/>
      <c r="L213" s="280"/>
      <c r="M213" s="280"/>
      <c r="N213" s="280"/>
      <c r="O213" s="280">
        <f>SUM(C213:N213)</f>
        <v>0</v>
      </c>
      <c r="Q213" s="19">
        <f>MAX(C213:N213)</f>
        <v>0</v>
      </c>
    </row>
    <row r="214" spans="1:23" hidden="1" x14ac:dyDescent="0.2">
      <c r="A214" s="2" t="s">
        <v>679</v>
      </c>
      <c r="C214" s="281">
        <v>1</v>
      </c>
      <c r="D214" s="281">
        <v>1</v>
      </c>
      <c r="E214" s="281">
        <v>1</v>
      </c>
      <c r="F214" s="281">
        <v>0</v>
      </c>
      <c r="G214" s="281">
        <v>0</v>
      </c>
      <c r="H214" s="281">
        <v>0</v>
      </c>
      <c r="I214" s="281">
        <v>0</v>
      </c>
      <c r="J214" s="281">
        <v>0</v>
      </c>
      <c r="K214" s="281">
        <v>0</v>
      </c>
      <c r="L214" s="281">
        <v>1</v>
      </c>
      <c r="M214" s="281">
        <v>1</v>
      </c>
      <c r="N214" s="281">
        <v>1</v>
      </c>
      <c r="O214" s="281"/>
      <c r="P214" s="32"/>
      <c r="Q214" s="19"/>
    </row>
    <row r="215" spans="1:23" hidden="1" x14ac:dyDescent="0.2">
      <c r="A215" s="2" t="s">
        <v>680</v>
      </c>
      <c r="C215" s="280">
        <f t="shared" ref="C215:N215" si="207">C213*C214</f>
        <v>0</v>
      </c>
      <c r="D215" s="280">
        <f t="shared" si="207"/>
        <v>0</v>
      </c>
      <c r="E215" s="280">
        <f t="shared" si="207"/>
        <v>0</v>
      </c>
      <c r="F215" s="280">
        <f t="shared" si="207"/>
        <v>0</v>
      </c>
      <c r="G215" s="280">
        <f t="shared" si="207"/>
        <v>0</v>
      </c>
      <c r="H215" s="280">
        <f t="shared" si="207"/>
        <v>0</v>
      </c>
      <c r="I215" s="280">
        <f t="shared" si="207"/>
        <v>0</v>
      </c>
      <c r="J215" s="280">
        <f t="shared" si="207"/>
        <v>0</v>
      </c>
      <c r="K215" s="280">
        <f t="shared" si="207"/>
        <v>0</v>
      </c>
      <c r="L215" s="280">
        <f t="shared" si="207"/>
        <v>0</v>
      </c>
      <c r="M215" s="280">
        <f t="shared" si="207"/>
        <v>0</v>
      </c>
      <c r="N215" s="280">
        <f t="shared" si="207"/>
        <v>0</v>
      </c>
      <c r="O215" s="280">
        <f>SUM(C215:N215)</f>
        <v>0</v>
      </c>
      <c r="P215" s="32"/>
      <c r="Q215" s="19"/>
      <c r="R215" s="19">
        <f>O215</f>
        <v>0</v>
      </c>
      <c r="S215" s="19">
        <f>H215+I215+J215</f>
        <v>0</v>
      </c>
      <c r="T215" s="19">
        <f>R215-S215</f>
        <v>0</v>
      </c>
    </row>
    <row r="216" spans="1:23" hidden="1" x14ac:dyDescent="0.2">
      <c r="A216" s="2" t="s">
        <v>729</v>
      </c>
      <c r="C216" s="281">
        <v>0.65</v>
      </c>
      <c r="D216" s="281">
        <v>0.65</v>
      </c>
      <c r="E216" s="281">
        <v>0.65</v>
      </c>
      <c r="F216" s="281">
        <v>0.65</v>
      </c>
      <c r="G216" s="281">
        <v>0.65</v>
      </c>
      <c r="H216" s="281">
        <v>0.65</v>
      </c>
      <c r="I216" s="281">
        <v>0.65</v>
      </c>
      <c r="J216" s="281">
        <v>0.65</v>
      </c>
      <c r="K216" s="281">
        <v>0.65</v>
      </c>
      <c r="L216" s="281">
        <v>0.65</v>
      </c>
      <c r="M216" s="281">
        <v>0.65</v>
      </c>
      <c r="N216" s="281">
        <v>0.65</v>
      </c>
      <c r="O216" s="281"/>
      <c r="P216" s="95"/>
      <c r="Q216" s="95"/>
      <c r="U216" s="85"/>
      <c r="W216" s="85"/>
    </row>
    <row r="217" spans="1:23" ht="13.9" hidden="1" customHeight="1" x14ac:dyDescent="0.2">
      <c r="A217" s="2" t="s">
        <v>730</v>
      </c>
      <c r="C217" s="280">
        <f>C211/C216</f>
        <v>0</v>
      </c>
      <c r="D217" s="280">
        <f t="shared" ref="D217:N217" si="208">D211/D216</f>
        <v>0</v>
      </c>
      <c r="E217" s="280">
        <f t="shared" si="208"/>
        <v>0</v>
      </c>
      <c r="F217" s="280">
        <f t="shared" si="208"/>
        <v>0</v>
      </c>
      <c r="G217" s="280">
        <f t="shared" si="208"/>
        <v>0</v>
      </c>
      <c r="H217" s="280">
        <f t="shared" si="208"/>
        <v>0</v>
      </c>
      <c r="I217" s="280">
        <f t="shared" si="208"/>
        <v>0</v>
      </c>
      <c r="J217" s="280">
        <f t="shared" si="208"/>
        <v>0</v>
      </c>
      <c r="K217" s="280">
        <f t="shared" si="208"/>
        <v>0</v>
      </c>
      <c r="L217" s="280">
        <f t="shared" si="208"/>
        <v>0</v>
      </c>
      <c r="M217" s="280">
        <f t="shared" si="208"/>
        <v>0</v>
      </c>
      <c r="N217" s="280">
        <f t="shared" si="208"/>
        <v>0</v>
      </c>
      <c r="O217" s="280">
        <f>SUM(C217:N217)</f>
        <v>0</v>
      </c>
      <c r="P217" s="32">
        <f>MAX(C217:N217)</f>
        <v>0</v>
      </c>
      <c r="Q217" s="32"/>
    </row>
    <row r="218" spans="1:23" x14ac:dyDescent="0.2">
      <c r="C218" s="280"/>
      <c r="D218" s="280"/>
      <c r="E218" s="280"/>
      <c r="F218" s="280"/>
      <c r="G218" s="280"/>
      <c r="H218" s="280"/>
      <c r="I218" s="280"/>
      <c r="J218" s="280"/>
      <c r="K218" s="280"/>
      <c r="L218" s="280"/>
      <c r="M218" s="280"/>
      <c r="N218" s="280"/>
      <c r="O218" s="280"/>
    </row>
    <row r="219" spans="1:23" x14ac:dyDescent="0.2">
      <c r="A219" s="2" t="s">
        <v>715</v>
      </c>
      <c r="C219" s="280">
        <f t="shared" ref="C219:N219" si="209">C40+C50+C60+C70+C80+C90+C100+C110+C120+C130+C140+C150+C160+C170+C180+C210</f>
        <v>48211360</v>
      </c>
      <c r="D219" s="280">
        <f t="shared" si="209"/>
        <v>50065824</v>
      </c>
      <c r="E219" s="280">
        <f t="shared" si="209"/>
        <v>38517515</v>
      </c>
      <c r="F219" s="280">
        <f t="shared" si="209"/>
        <v>33921918</v>
      </c>
      <c r="G219" s="280">
        <f t="shared" si="209"/>
        <v>32650584</v>
      </c>
      <c r="H219" s="280">
        <f t="shared" si="209"/>
        <v>37103898</v>
      </c>
      <c r="I219" s="280">
        <f t="shared" si="209"/>
        <v>44817347</v>
      </c>
      <c r="J219" s="280">
        <f t="shared" si="209"/>
        <v>44334686</v>
      </c>
      <c r="K219" s="280">
        <f t="shared" si="209"/>
        <v>43280361</v>
      </c>
      <c r="L219" s="280">
        <f t="shared" si="209"/>
        <v>34570177</v>
      </c>
      <c r="M219" s="280">
        <f t="shared" si="209"/>
        <v>34070084</v>
      </c>
      <c r="N219" s="280">
        <f t="shared" si="209"/>
        <v>42676990</v>
      </c>
      <c r="O219" s="280">
        <f>SUM(C219:N219)</f>
        <v>484220744</v>
      </c>
      <c r="P219" s="32"/>
      <c r="Q219" s="32"/>
    </row>
    <row r="220" spans="1:23" x14ac:dyDescent="0.2">
      <c r="C220" s="280"/>
      <c r="D220" s="280"/>
      <c r="E220" s="280"/>
      <c r="F220" s="280"/>
      <c r="G220" s="280"/>
      <c r="H220" s="280"/>
      <c r="I220" s="280"/>
      <c r="J220" s="280"/>
      <c r="K220" s="280"/>
      <c r="L220" s="280"/>
      <c r="M220" s="280"/>
      <c r="N220" s="280"/>
      <c r="O220" s="280"/>
      <c r="P220" s="32"/>
      <c r="Q220" s="32"/>
    </row>
    <row r="221" spans="1:23" x14ac:dyDescent="0.2">
      <c r="A221" s="2" t="s">
        <v>710</v>
      </c>
      <c r="C221" s="280">
        <f>'Purchased Power'!C67</f>
        <v>141772</v>
      </c>
      <c r="D221" s="280">
        <f>'Purchased Power'!D67</f>
        <v>97585</v>
      </c>
      <c r="E221" s="280">
        <f>'Purchased Power'!E67</f>
        <v>84218</v>
      </c>
      <c r="F221" s="280">
        <f>'Purchased Power'!F67</f>
        <v>67090</v>
      </c>
      <c r="G221" s="280">
        <f>'Purchased Power'!G67</f>
        <v>80092</v>
      </c>
      <c r="H221" s="280">
        <f>'Purchased Power'!H67</f>
        <v>98408</v>
      </c>
      <c r="I221" s="280">
        <f>'Purchased Power'!I67</f>
        <v>100158</v>
      </c>
      <c r="J221" s="280">
        <f>'Purchased Power'!J67</f>
        <v>96565</v>
      </c>
      <c r="K221" s="280">
        <f>'Purchased Power'!K67</f>
        <v>84244</v>
      </c>
      <c r="L221" s="280">
        <f>'Purchased Power'!L67</f>
        <v>72352</v>
      </c>
      <c r="M221" s="280">
        <f>'Purchased Power'!M67</f>
        <v>82359</v>
      </c>
      <c r="N221" s="280">
        <f>'Purchased Power'!N67</f>
        <v>117479</v>
      </c>
      <c r="O221" s="280">
        <f>SUM(C221:N221)</f>
        <v>1122322</v>
      </c>
      <c r="P221" s="32"/>
      <c r="Q221" s="32"/>
      <c r="R221" s="32"/>
      <c r="S221" s="32"/>
    </row>
    <row r="222" spans="1:23" x14ac:dyDescent="0.2">
      <c r="A222" s="2" t="s">
        <v>711</v>
      </c>
      <c r="C222" s="284">
        <f t="shared" ref="C222:N222" si="210">C45+C55+C65+C75+C85+C95+C105+C115+C125+C135+C145+C155+C165+C175+C185+C215+C195+C205</f>
        <v>141771.99960052426</v>
      </c>
      <c r="D222" s="284">
        <f t="shared" si="210"/>
        <v>97585.000000700937</v>
      </c>
      <c r="E222" s="284">
        <f t="shared" si="210"/>
        <v>84218.000006907474</v>
      </c>
      <c r="F222" s="284">
        <f t="shared" si="210"/>
        <v>67090.000072247873</v>
      </c>
      <c r="G222" s="284">
        <f t="shared" si="210"/>
        <v>80092.000001879103</v>
      </c>
      <c r="H222" s="284">
        <f t="shared" si="210"/>
        <v>98407.99999990176</v>
      </c>
      <c r="I222" s="284">
        <f t="shared" si="210"/>
        <v>100157.99999992886</v>
      </c>
      <c r="J222" s="284">
        <f t="shared" si="210"/>
        <v>96564.999999935375</v>
      </c>
      <c r="K222" s="284">
        <f t="shared" si="210"/>
        <v>84243.954518341518</v>
      </c>
      <c r="L222" s="284">
        <f t="shared" si="210"/>
        <v>72352.139179783408</v>
      </c>
      <c r="M222" s="284">
        <f t="shared" si="210"/>
        <v>82358.999999895197</v>
      </c>
      <c r="N222" s="284">
        <f t="shared" si="210"/>
        <v>117478.9999999318</v>
      </c>
      <c r="O222" s="284">
        <f>SUM(C222:N222)</f>
        <v>1122322.0933799776</v>
      </c>
      <c r="P222" s="90"/>
    </row>
    <row r="223" spans="1:23" x14ac:dyDescent="0.2">
      <c r="A223" s="2" t="s">
        <v>712</v>
      </c>
      <c r="C223" s="19">
        <f t="shared" ref="C223:O223" si="211">C221-C222</f>
        <v>3.9947574259713292E-4</v>
      </c>
      <c r="D223" s="19">
        <f t="shared" si="211"/>
        <v>-7.0093665271997452E-7</v>
      </c>
      <c r="E223" s="19">
        <f t="shared" si="211"/>
        <v>-6.9074740167707205E-6</v>
      </c>
      <c r="F223" s="19">
        <f t="shared" si="211"/>
        <v>-7.2247872594743967E-5</v>
      </c>
      <c r="G223" s="19">
        <f t="shared" si="211"/>
        <v>-1.8791033653542399E-6</v>
      </c>
      <c r="H223" s="19">
        <f t="shared" si="211"/>
        <v>9.8239979706704617E-8</v>
      </c>
      <c r="I223" s="19">
        <f t="shared" si="211"/>
        <v>7.1144313551485538E-8</v>
      </c>
      <c r="J223" s="19">
        <f t="shared" si="211"/>
        <v>6.4625055529177189E-8</v>
      </c>
      <c r="K223" s="19">
        <f t="shared" si="211"/>
        <v>4.5481658482458442E-2</v>
      </c>
      <c r="L223" s="19">
        <f t="shared" si="211"/>
        <v>-0.13917978340759873</v>
      </c>
      <c r="M223" s="19">
        <f t="shared" si="211"/>
        <v>1.0480289347469807E-7</v>
      </c>
      <c r="N223" s="19">
        <f t="shared" si="211"/>
        <v>6.8204826675355434E-8</v>
      </c>
      <c r="O223" s="19">
        <f t="shared" si="211"/>
        <v>-9.3379977624863386E-2</v>
      </c>
    </row>
    <row r="224" spans="1:23" x14ac:dyDescent="0.2"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</row>
    <row r="225" spans="3:15" x14ac:dyDescent="0.2"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</row>
    <row r="226" spans="3:15" x14ac:dyDescent="0.2"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</row>
    <row r="227" spans="3:15" x14ac:dyDescent="0.2"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</row>
    <row r="228" spans="3:15" x14ac:dyDescent="0.2"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</row>
    <row r="229" spans="3:15" x14ac:dyDescent="0.2"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</row>
  </sheetData>
  <printOptions horizontalCentered="1"/>
  <pageMargins left="0.25" right="0.25" top="1" bottom="0.32" header="0.5" footer="0.25"/>
  <pageSetup scale="59" fitToWidth="2" fitToHeight="5" pageOrder="overThenDown" orientation="landscape" r:id="rId1"/>
  <headerFooter alignWithMargins="0">
    <oddFooter>&amp;RExhibit JW-6
Page &amp;P of &amp;N</oddFooter>
  </headerFooter>
  <rowBreaks count="3" manualBreakCount="3">
    <brk id="31" max="19" man="1"/>
    <brk id="108" max="19" man="1"/>
    <brk id="158" max="19" man="1"/>
  </rowBreaks>
  <colBreaks count="1" manualBreakCount="1">
    <brk id="11" max="218" man="1"/>
  </colBreaks>
  <ignoredErrors>
    <ignoredError sqref="C53 C55 D53:N55 C103:N105 D35:M35 C153:N153 D201:M201 D191:M191 C63:N63 C65:N65 D75:N75 D183:N18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R87"/>
  <sheetViews>
    <sheetView tabSelected="1" view="pageBreakPreview" topLeftCell="A62" zoomScaleNormal="85" zoomScaleSheetLayoutView="100" workbookViewId="0">
      <selection activeCell="F92" sqref="F92"/>
    </sheetView>
  </sheetViews>
  <sheetFormatPr defaultColWidth="9.140625" defaultRowHeight="12.75" x14ac:dyDescent="0.2"/>
  <cols>
    <col min="1" max="1" width="5.7109375" style="287" customWidth="1"/>
    <col min="2" max="2" width="28.85546875" style="287" customWidth="1"/>
    <col min="3" max="3" width="18.7109375" style="287" bestFit="1" customWidth="1"/>
    <col min="4" max="14" width="12.85546875" style="287" bestFit="1" customWidth="1"/>
    <col min="15" max="15" width="14" style="287" bestFit="1" customWidth="1"/>
    <col min="16" max="16" width="14.42578125" style="287" bestFit="1" customWidth="1"/>
    <col min="17" max="17" width="11.42578125" style="287" bestFit="1" customWidth="1"/>
    <col min="18" max="16384" width="9.140625" style="287"/>
  </cols>
  <sheetData>
    <row r="1" spans="1:18" x14ac:dyDescent="0.2">
      <c r="A1" s="290" t="str">
        <f>'Summary of Returns'!A1</f>
        <v>FARMERS R.E.C.C.</v>
      </c>
      <c r="O1" s="290">
        <f>'Summary of Returns'!I1</f>
        <v>2024</v>
      </c>
    </row>
    <row r="2" spans="1:18" x14ac:dyDescent="0.2">
      <c r="A2" s="290" t="s">
        <v>96</v>
      </c>
    </row>
    <row r="3" spans="1:18" ht="25.5" customHeight="1" x14ac:dyDescent="0.2"/>
    <row r="4" spans="1:18" x14ac:dyDescent="0.2">
      <c r="A4" s="291" t="s">
        <v>913</v>
      </c>
      <c r="B4" s="291" t="s">
        <v>914</v>
      </c>
      <c r="C4" s="292" t="s">
        <v>975</v>
      </c>
      <c r="D4" s="292" t="s">
        <v>976</v>
      </c>
      <c r="E4" s="292" t="s">
        <v>977</v>
      </c>
      <c r="F4" s="292" t="s">
        <v>978</v>
      </c>
      <c r="G4" s="292" t="s">
        <v>979</v>
      </c>
      <c r="H4" s="292" t="s">
        <v>980</v>
      </c>
      <c r="I4" s="292" t="s">
        <v>981</v>
      </c>
      <c r="J4" s="292" t="s">
        <v>982</v>
      </c>
      <c r="K4" s="292" t="s">
        <v>983</v>
      </c>
      <c r="L4" s="292" t="s">
        <v>984</v>
      </c>
      <c r="M4" s="292" t="s">
        <v>985</v>
      </c>
      <c r="N4" s="292" t="s">
        <v>986</v>
      </c>
      <c r="O4" s="291" t="s">
        <v>831</v>
      </c>
      <c r="P4" s="293"/>
      <c r="R4" s="289"/>
    </row>
    <row r="5" spans="1:18" x14ac:dyDescent="0.2">
      <c r="A5" s="289">
        <v>1</v>
      </c>
      <c r="B5" s="294" t="s">
        <v>1023</v>
      </c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95"/>
    </row>
    <row r="6" spans="1:18" x14ac:dyDescent="0.2">
      <c r="A6" s="289">
        <f>A5+1</f>
        <v>2</v>
      </c>
      <c r="B6" s="296" t="s">
        <v>1015</v>
      </c>
      <c r="C6" s="280">
        <f t="shared" ref="C6:N6" si="0">C34-C21</f>
        <v>138449</v>
      </c>
      <c r="D6" s="280">
        <f t="shared" si="0"/>
        <v>95764</v>
      </c>
      <c r="E6" s="280">
        <f t="shared" si="0"/>
        <v>80528</v>
      </c>
      <c r="F6" s="280">
        <f t="shared" si="0"/>
        <v>63494</v>
      </c>
      <c r="G6" s="280">
        <f t="shared" si="0"/>
        <v>76318</v>
      </c>
      <c r="H6" s="280">
        <f t="shared" si="0"/>
        <v>93578</v>
      </c>
      <c r="I6" s="280">
        <f t="shared" si="0"/>
        <v>95570</v>
      </c>
      <c r="J6" s="280">
        <f t="shared" si="0"/>
        <v>91137</v>
      </c>
      <c r="K6" s="280">
        <f t="shared" si="0"/>
        <v>79733</v>
      </c>
      <c r="L6" s="280">
        <f t="shared" si="0"/>
        <v>68968</v>
      </c>
      <c r="M6" s="280">
        <f t="shared" si="0"/>
        <v>80808</v>
      </c>
      <c r="N6" s="280">
        <f t="shared" si="0"/>
        <v>112702</v>
      </c>
      <c r="O6" s="295">
        <f t="shared" ref="O6:O19" si="1">SUM(C6:N6)</f>
        <v>1077049</v>
      </c>
    </row>
    <row r="7" spans="1:18" x14ac:dyDescent="0.2">
      <c r="A7" s="289">
        <f t="shared" ref="A7:A71" si="2">A6+1</f>
        <v>3</v>
      </c>
      <c r="B7" s="296" t="s">
        <v>1147</v>
      </c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95"/>
    </row>
    <row r="8" spans="1:18" x14ac:dyDescent="0.2">
      <c r="A8" s="289">
        <f t="shared" si="2"/>
        <v>4</v>
      </c>
      <c r="B8" s="296" t="s">
        <v>1148</v>
      </c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95"/>
    </row>
    <row r="9" spans="1:18" x14ac:dyDescent="0.2">
      <c r="A9" s="289">
        <f t="shared" si="2"/>
        <v>5</v>
      </c>
      <c r="B9" s="296" t="s">
        <v>1149</v>
      </c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95"/>
    </row>
    <row r="10" spans="1:18" x14ac:dyDescent="0.2">
      <c r="A10" s="289">
        <f>A9+1</f>
        <v>6</v>
      </c>
      <c r="B10" s="296" t="s">
        <v>833</v>
      </c>
      <c r="C10" s="280">
        <f t="shared" ref="C10:N10" si="3">C38-C25</f>
        <v>56532739</v>
      </c>
      <c r="D10" s="280">
        <f t="shared" si="3"/>
        <v>38738318</v>
      </c>
      <c r="E10" s="280">
        <f t="shared" si="3"/>
        <v>34843256</v>
      </c>
      <c r="F10" s="280">
        <f t="shared" si="3"/>
        <v>31120511</v>
      </c>
      <c r="G10" s="280">
        <f t="shared" si="3"/>
        <v>33024415</v>
      </c>
      <c r="H10" s="280">
        <f t="shared" si="3"/>
        <v>41036897</v>
      </c>
      <c r="I10" s="280">
        <f t="shared" si="3"/>
        <v>45041679</v>
      </c>
      <c r="J10" s="280">
        <f t="shared" si="3"/>
        <v>43557373</v>
      </c>
      <c r="K10" s="280">
        <f t="shared" si="3"/>
        <v>34653096</v>
      </c>
      <c r="L10" s="280">
        <f t="shared" si="3"/>
        <v>31422714</v>
      </c>
      <c r="M10" s="280">
        <f t="shared" si="3"/>
        <v>33277204</v>
      </c>
      <c r="N10" s="280">
        <f t="shared" si="3"/>
        <v>44906646</v>
      </c>
      <c r="O10" s="295">
        <f t="shared" si="1"/>
        <v>468154848</v>
      </c>
    </row>
    <row r="11" spans="1:18" x14ac:dyDescent="0.2">
      <c r="A11" s="289">
        <f t="shared" si="2"/>
        <v>7</v>
      </c>
      <c r="B11" s="296" t="s">
        <v>1150</v>
      </c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95"/>
    </row>
    <row r="12" spans="1:18" x14ac:dyDescent="0.2">
      <c r="A12" s="289">
        <f t="shared" si="2"/>
        <v>8</v>
      </c>
      <c r="B12" s="296" t="s">
        <v>1151</v>
      </c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95"/>
    </row>
    <row r="13" spans="1:18" x14ac:dyDescent="0.2">
      <c r="A13" s="289">
        <f>A12+1</f>
        <v>9</v>
      </c>
      <c r="B13" s="296" t="s">
        <v>1016</v>
      </c>
      <c r="C13" s="280">
        <f t="shared" ref="C13:N14" si="4">C41-C28</f>
        <v>902688</v>
      </c>
      <c r="D13" s="280">
        <f t="shared" si="4"/>
        <v>624381</v>
      </c>
      <c r="E13" s="280">
        <f t="shared" si="4"/>
        <v>525042</v>
      </c>
      <c r="F13" s="280">
        <f t="shared" si="4"/>
        <v>413979</v>
      </c>
      <c r="G13" s="280">
        <f t="shared" si="4"/>
        <v>489300</v>
      </c>
      <c r="H13" s="280">
        <f t="shared" si="4"/>
        <v>603345</v>
      </c>
      <c r="I13" s="280">
        <f t="shared" si="4"/>
        <v>617135</v>
      </c>
      <c r="J13" s="280">
        <f t="shared" si="4"/>
        <v>588903</v>
      </c>
      <c r="K13" s="280">
        <f t="shared" si="4"/>
        <v>517379</v>
      </c>
      <c r="L13" s="280">
        <f t="shared" si="4"/>
        <v>448079</v>
      </c>
      <c r="M13" s="280">
        <f t="shared" si="4"/>
        <v>526017</v>
      </c>
      <c r="N13" s="280">
        <f t="shared" si="4"/>
        <v>734754</v>
      </c>
      <c r="O13" s="295">
        <f t="shared" si="1"/>
        <v>6991002</v>
      </c>
    </row>
    <row r="14" spans="1:18" x14ac:dyDescent="0.2">
      <c r="A14" s="289">
        <f t="shared" si="2"/>
        <v>10</v>
      </c>
      <c r="B14" s="296" t="s">
        <v>1017</v>
      </c>
      <c r="C14" s="280">
        <f t="shared" si="4"/>
        <v>2628481</v>
      </c>
      <c r="D14" s="280">
        <f t="shared" si="4"/>
        <v>1802693</v>
      </c>
      <c r="E14" s="280">
        <f t="shared" si="4"/>
        <v>1622994</v>
      </c>
      <c r="F14" s="280">
        <f t="shared" si="4"/>
        <v>1450883</v>
      </c>
      <c r="G14" s="280">
        <f t="shared" si="4"/>
        <v>1579159</v>
      </c>
      <c r="H14" s="280">
        <f t="shared" si="4"/>
        <v>1969854</v>
      </c>
      <c r="I14" s="280">
        <f t="shared" si="4"/>
        <v>2163562</v>
      </c>
      <c r="J14" s="280">
        <f t="shared" si="4"/>
        <v>2095633</v>
      </c>
      <c r="K14" s="280">
        <f t="shared" si="4"/>
        <v>2050043</v>
      </c>
      <c r="L14" s="280">
        <f t="shared" si="4"/>
        <v>1818232</v>
      </c>
      <c r="M14" s="280">
        <f t="shared" si="4"/>
        <v>1925210</v>
      </c>
      <c r="N14" s="280">
        <f t="shared" si="4"/>
        <v>2595511</v>
      </c>
      <c r="O14" s="295">
        <f t="shared" si="1"/>
        <v>23702255</v>
      </c>
    </row>
    <row r="15" spans="1:18" x14ac:dyDescent="0.2">
      <c r="A15" s="289">
        <f t="shared" si="2"/>
        <v>11</v>
      </c>
      <c r="B15" s="296" t="s">
        <v>1018</v>
      </c>
      <c r="C15" s="280">
        <f t="shared" ref="C15:N16" si="5">C43</f>
        <v>2416</v>
      </c>
      <c r="D15" s="280">
        <f t="shared" si="5"/>
        <v>2416</v>
      </c>
      <c r="E15" s="280">
        <f t="shared" si="5"/>
        <v>2416</v>
      </c>
      <c r="F15" s="280">
        <f t="shared" si="5"/>
        <v>2416</v>
      </c>
      <c r="G15" s="280">
        <f t="shared" si="5"/>
        <v>2416</v>
      </c>
      <c r="H15" s="280">
        <f t="shared" si="5"/>
        <v>2416</v>
      </c>
      <c r="I15" s="280">
        <f t="shared" si="5"/>
        <v>2416</v>
      </c>
      <c r="J15" s="280">
        <f t="shared" si="5"/>
        <v>2416</v>
      </c>
      <c r="K15" s="280">
        <f t="shared" si="5"/>
        <v>2416</v>
      </c>
      <c r="L15" s="280">
        <f t="shared" si="5"/>
        <v>2416</v>
      </c>
      <c r="M15" s="280">
        <f t="shared" si="5"/>
        <v>2416</v>
      </c>
      <c r="N15" s="280">
        <f t="shared" si="5"/>
        <v>2416</v>
      </c>
      <c r="O15" s="295">
        <f t="shared" si="1"/>
        <v>28992</v>
      </c>
      <c r="P15" s="297"/>
      <c r="R15" s="289"/>
    </row>
    <row r="16" spans="1:18" x14ac:dyDescent="0.2">
      <c r="A16" s="289">
        <f t="shared" si="2"/>
        <v>12</v>
      </c>
      <c r="B16" s="296" t="s">
        <v>1019</v>
      </c>
      <c r="C16" s="280">
        <f t="shared" si="5"/>
        <v>58967</v>
      </c>
      <c r="D16" s="280">
        <f t="shared" si="5"/>
        <v>58967</v>
      </c>
      <c r="E16" s="280">
        <f t="shared" si="5"/>
        <v>58967</v>
      </c>
      <c r="F16" s="280">
        <f t="shared" si="5"/>
        <v>58967</v>
      </c>
      <c r="G16" s="280">
        <f t="shared" si="5"/>
        <v>58967</v>
      </c>
      <c r="H16" s="280">
        <f t="shared" si="5"/>
        <v>58967</v>
      </c>
      <c r="I16" s="280">
        <f t="shared" si="5"/>
        <v>58967</v>
      </c>
      <c r="J16" s="280">
        <f t="shared" si="5"/>
        <v>58967</v>
      </c>
      <c r="K16" s="280">
        <f t="shared" si="5"/>
        <v>58967</v>
      </c>
      <c r="L16" s="280">
        <f t="shared" si="5"/>
        <v>58967</v>
      </c>
      <c r="M16" s="280">
        <f t="shared" si="5"/>
        <v>58967</v>
      </c>
      <c r="N16" s="280">
        <f t="shared" si="5"/>
        <v>58967</v>
      </c>
      <c r="O16" s="295">
        <f t="shared" si="1"/>
        <v>707604</v>
      </c>
      <c r="P16" s="293"/>
      <c r="R16" s="289"/>
    </row>
    <row r="17" spans="1:18" x14ac:dyDescent="0.2">
      <c r="A17" s="289">
        <f t="shared" si="2"/>
        <v>13</v>
      </c>
      <c r="B17" s="296" t="s">
        <v>1020</v>
      </c>
      <c r="C17" s="280">
        <f t="shared" ref="C17:N18" si="6">C45-C30</f>
        <v>489573</v>
      </c>
      <c r="D17" s="280">
        <f t="shared" si="6"/>
        <v>569840</v>
      </c>
      <c r="E17" s="280">
        <f t="shared" si="6"/>
        <v>374914</v>
      </c>
      <c r="F17" s="280">
        <f t="shared" si="6"/>
        <v>77801</v>
      </c>
      <c r="G17" s="280">
        <f t="shared" si="6"/>
        <v>290615</v>
      </c>
      <c r="H17" s="280">
        <f t="shared" si="6"/>
        <v>324191</v>
      </c>
      <c r="I17" s="280">
        <f t="shared" si="6"/>
        <v>269799</v>
      </c>
      <c r="J17" s="280">
        <f t="shared" si="6"/>
        <v>331909</v>
      </c>
      <c r="K17" s="280">
        <f t="shared" si="6"/>
        <v>230789</v>
      </c>
      <c r="L17" s="280">
        <f t="shared" si="6"/>
        <v>-143603</v>
      </c>
      <c r="M17" s="280">
        <f t="shared" si="6"/>
        <v>-197001</v>
      </c>
      <c r="N17" s="280">
        <f t="shared" si="6"/>
        <v>-292342</v>
      </c>
      <c r="O17" s="295">
        <f t="shared" si="1"/>
        <v>2326485</v>
      </c>
      <c r="P17" s="293"/>
      <c r="R17" s="289"/>
    </row>
    <row r="18" spans="1:18" x14ac:dyDescent="0.2">
      <c r="A18" s="289">
        <f t="shared" si="2"/>
        <v>14</v>
      </c>
      <c r="B18" s="296" t="s">
        <v>1021</v>
      </c>
      <c r="C18" s="280">
        <f t="shared" si="6"/>
        <v>676816</v>
      </c>
      <c r="D18" s="280">
        <f t="shared" si="6"/>
        <v>468531</v>
      </c>
      <c r="E18" s="280">
        <f t="shared" si="6"/>
        <v>279625</v>
      </c>
      <c r="F18" s="280">
        <f t="shared" si="6"/>
        <v>295797</v>
      </c>
      <c r="G18" s="280">
        <f t="shared" si="6"/>
        <v>430843</v>
      </c>
      <c r="H18" s="280">
        <f t="shared" si="6"/>
        <v>637187</v>
      </c>
      <c r="I18" s="280">
        <f t="shared" si="6"/>
        <v>612860</v>
      </c>
      <c r="J18" s="280">
        <f t="shared" si="6"/>
        <v>537918</v>
      </c>
      <c r="K18" s="280">
        <f t="shared" si="6"/>
        <v>513870</v>
      </c>
      <c r="L18" s="280">
        <f t="shared" si="6"/>
        <v>392698</v>
      </c>
      <c r="M18" s="280">
        <f t="shared" si="6"/>
        <v>442513</v>
      </c>
      <c r="N18" s="280">
        <f t="shared" si="6"/>
        <v>701423</v>
      </c>
      <c r="O18" s="295">
        <f t="shared" si="1"/>
        <v>5990081</v>
      </c>
      <c r="P18" s="293"/>
      <c r="R18" s="289"/>
    </row>
    <row r="19" spans="1:18" x14ac:dyDescent="0.2">
      <c r="A19" s="289">
        <f t="shared" si="2"/>
        <v>15</v>
      </c>
      <c r="B19" s="296" t="s">
        <v>1022</v>
      </c>
      <c r="C19" s="280">
        <f t="shared" ref="C19:N19" si="7">SUM(C6:C18)</f>
        <v>61430129</v>
      </c>
      <c r="D19" s="280">
        <f t="shared" si="7"/>
        <v>42360910</v>
      </c>
      <c r="E19" s="280">
        <f t="shared" si="7"/>
        <v>37787742</v>
      </c>
      <c r="F19" s="280">
        <f t="shared" si="7"/>
        <v>33483848</v>
      </c>
      <c r="G19" s="280">
        <f t="shared" si="7"/>
        <v>35952033</v>
      </c>
      <c r="H19" s="280">
        <f t="shared" si="7"/>
        <v>44726435</v>
      </c>
      <c r="I19" s="280">
        <f t="shared" si="7"/>
        <v>48861988</v>
      </c>
      <c r="J19" s="280">
        <f t="shared" si="7"/>
        <v>47264256</v>
      </c>
      <c r="K19" s="280">
        <f t="shared" si="7"/>
        <v>38106293</v>
      </c>
      <c r="L19" s="280">
        <f t="shared" si="7"/>
        <v>34068471</v>
      </c>
      <c r="M19" s="280">
        <f t="shared" si="7"/>
        <v>36116134</v>
      </c>
      <c r="N19" s="280">
        <f t="shared" si="7"/>
        <v>48820077</v>
      </c>
      <c r="O19" s="295">
        <f t="shared" si="1"/>
        <v>508978316</v>
      </c>
      <c r="P19" s="293"/>
      <c r="R19" s="289"/>
    </row>
    <row r="20" spans="1:18" x14ac:dyDescent="0.2">
      <c r="A20" s="289">
        <f t="shared" si="2"/>
        <v>16</v>
      </c>
      <c r="B20" s="294" t="s">
        <v>1046</v>
      </c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95"/>
      <c r="P20" s="293"/>
      <c r="R20" s="289"/>
    </row>
    <row r="21" spans="1:18" x14ac:dyDescent="0.2">
      <c r="A21" s="289">
        <f t="shared" si="2"/>
        <v>17</v>
      </c>
      <c r="B21" s="296" t="s">
        <v>1015</v>
      </c>
      <c r="C21" s="280">
        <v>5295</v>
      </c>
      <c r="D21" s="280">
        <v>5295</v>
      </c>
      <c r="E21" s="280">
        <v>5295</v>
      </c>
      <c r="F21" s="280">
        <v>5295</v>
      </c>
      <c r="G21" s="280">
        <v>5192</v>
      </c>
      <c r="H21" s="280">
        <v>5192</v>
      </c>
      <c r="I21" s="280">
        <v>5192</v>
      </c>
      <c r="J21" s="280">
        <v>5428</v>
      </c>
      <c r="K21" s="280">
        <v>5428</v>
      </c>
      <c r="L21" s="280">
        <v>5428</v>
      </c>
      <c r="M21" s="280">
        <v>5428</v>
      </c>
      <c r="N21" s="280">
        <v>5428</v>
      </c>
      <c r="O21" s="295">
        <f t="shared" ref="O21:O32" si="8">SUM(C21:N21)</f>
        <v>63896</v>
      </c>
      <c r="P21" s="293"/>
      <c r="R21" s="298"/>
    </row>
    <row r="22" spans="1:18" x14ac:dyDescent="0.2">
      <c r="A22" s="289">
        <f t="shared" si="2"/>
        <v>18</v>
      </c>
      <c r="B22" s="296" t="s">
        <v>1147</v>
      </c>
      <c r="C22" s="280">
        <v>3323</v>
      </c>
      <c r="D22" s="280">
        <v>1821</v>
      </c>
      <c r="E22" s="280">
        <v>3690</v>
      </c>
      <c r="F22" s="280">
        <v>3596</v>
      </c>
      <c r="G22" s="280">
        <v>3774</v>
      </c>
      <c r="H22" s="280">
        <v>4830</v>
      </c>
      <c r="I22" s="280">
        <v>4588</v>
      </c>
      <c r="J22" s="280">
        <v>5428</v>
      </c>
      <c r="K22" s="280">
        <v>4511</v>
      </c>
      <c r="L22" s="280">
        <v>3384</v>
      </c>
      <c r="M22" s="280">
        <v>1551</v>
      </c>
      <c r="N22" s="280">
        <v>4777</v>
      </c>
      <c r="O22" s="295"/>
      <c r="P22" s="297"/>
      <c r="R22" s="289"/>
    </row>
    <row r="23" spans="1:18" x14ac:dyDescent="0.2">
      <c r="A23" s="289">
        <f t="shared" si="2"/>
        <v>19</v>
      </c>
      <c r="B23" s="296" t="s">
        <v>1148</v>
      </c>
      <c r="C23" s="280">
        <v>4860</v>
      </c>
      <c r="D23" s="280">
        <v>5203</v>
      </c>
      <c r="E23" s="280">
        <v>5002</v>
      </c>
      <c r="F23" s="280">
        <v>5289</v>
      </c>
      <c r="G23" s="280">
        <v>5407</v>
      </c>
      <c r="H23" s="280">
        <v>5621</v>
      </c>
      <c r="I23" s="280">
        <v>5644</v>
      </c>
      <c r="J23" s="280">
        <v>5478</v>
      </c>
      <c r="K23" s="280">
        <v>5020</v>
      </c>
      <c r="L23" s="280">
        <v>5007</v>
      </c>
      <c r="M23" s="280">
        <v>4918</v>
      </c>
      <c r="N23" s="280">
        <v>4781</v>
      </c>
      <c r="O23" s="295"/>
      <c r="P23" s="293"/>
      <c r="R23" s="289"/>
    </row>
    <row r="24" spans="1:18" x14ac:dyDescent="0.2">
      <c r="A24" s="289">
        <f t="shared" si="2"/>
        <v>20</v>
      </c>
      <c r="B24" s="296" t="s">
        <v>1149</v>
      </c>
      <c r="C24" s="280">
        <v>3000</v>
      </c>
      <c r="D24" s="280">
        <v>3000</v>
      </c>
      <c r="E24" s="280">
        <v>3000</v>
      </c>
      <c r="F24" s="280">
        <v>3000</v>
      </c>
      <c r="G24" s="280">
        <v>3000</v>
      </c>
      <c r="H24" s="280">
        <v>3000</v>
      </c>
      <c r="I24" s="280">
        <v>3000</v>
      </c>
      <c r="J24" s="280">
        <v>3000</v>
      </c>
      <c r="K24" s="280">
        <v>3000</v>
      </c>
      <c r="L24" s="280">
        <v>3000</v>
      </c>
      <c r="M24" s="280">
        <v>3000</v>
      </c>
      <c r="N24" s="280">
        <v>3000</v>
      </c>
      <c r="O24" s="295"/>
      <c r="P24" s="293"/>
      <c r="R24" s="298"/>
    </row>
    <row r="25" spans="1:18" x14ac:dyDescent="0.2">
      <c r="A25" s="289">
        <f t="shared" si="2"/>
        <v>21</v>
      </c>
      <c r="B25" s="296" t="s">
        <v>1152</v>
      </c>
      <c r="C25" s="280">
        <v>2719251</v>
      </c>
      <c r="D25" s="280">
        <v>2639343</v>
      </c>
      <c r="E25" s="280">
        <v>2693675</v>
      </c>
      <c r="F25" s="280">
        <v>2896779</v>
      </c>
      <c r="G25" s="280">
        <v>2959843</v>
      </c>
      <c r="H25" s="280">
        <v>2926079</v>
      </c>
      <c r="I25" s="280">
        <v>2864049</v>
      </c>
      <c r="J25" s="280">
        <v>3170170</v>
      </c>
      <c r="K25" s="280">
        <v>2751118</v>
      </c>
      <c r="L25" s="280">
        <v>3162333</v>
      </c>
      <c r="M25" s="280">
        <v>2787378</v>
      </c>
      <c r="N25" s="280">
        <v>2249843</v>
      </c>
      <c r="O25" s="295">
        <f t="shared" si="8"/>
        <v>33819861</v>
      </c>
      <c r="P25" s="293"/>
      <c r="R25" s="289"/>
    </row>
    <row r="26" spans="1:18" x14ac:dyDescent="0.2">
      <c r="A26" s="289">
        <f t="shared" si="2"/>
        <v>22</v>
      </c>
      <c r="B26" s="296" t="s">
        <v>1150</v>
      </c>
      <c r="C26" s="280">
        <v>2719251</v>
      </c>
      <c r="D26" s="280">
        <v>2639343</v>
      </c>
      <c r="E26" s="280">
        <v>2693675</v>
      </c>
      <c r="F26" s="280">
        <v>2896779</v>
      </c>
      <c r="G26" s="280">
        <v>2959843</v>
      </c>
      <c r="H26" s="280">
        <v>2926079</v>
      </c>
      <c r="I26" s="280">
        <v>2864049</v>
      </c>
      <c r="J26" s="280">
        <v>3170170</v>
      </c>
      <c r="K26" s="280">
        <v>2751118</v>
      </c>
      <c r="L26" s="280">
        <v>3162333</v>
      </c>
      <c r="M26" s="280">
        <v>2787378</v>
      </c>
      <c r="N26" s="280">
        <v>2249843</v>
      </c>
      <c r="O26" s="295"/>
      <c r="P26" s="293"/>
      <c r="R26" s="289"/>
    </row>
    <row r="27" spans="1:18" x14ac:dyDescent="0.2">
      <c r="A27" s="289">
        <f t="shared" si="2"/>
        <v>23</v>
      </c>
      <c r="B27" s="296" t="s">
        <v>1151</v>
      </c>
      <c r="C27" s="280">
        <v>1200000</v>
      </c>
      <c r="D27" s="280">
        <v>1200000</v>
      </c>
      <c r="E27" s="280">
        <v>1200000</v>
      </c>
      <c r="F27" s="280">
        <v>1200000</v>
      </c>
      <c r="G27" s="280">
        <v>1200000</v>
      </c>
      <c r="H27" s="280">
        <v>1200000</v>
      </c>
      <c r="I27" s="280">
        <v>1200000</v>
      </c>
      <c r="J27" s="280">
        <v>1200000</v>
      </c>
      <c r="K27" s="280">
        <v>1200000</v>
      </c>
      <c r="L27" s="280">
        <v>1200000</v>
      </c>
      <c r="M27" s="280">
        <v>1200000</v>
      </c>
      <c r="N27" s="280">
        <v>1200000</v>
      </c>
      <c r="O27" s="295"/>
      <c r="P27" s="293"/>
      <c r="R27" s="289"/>
    </row>
    <row r="28" spans="1:18" x14ac:dyDescent="0.2">
      <c r="A28" s="289">
        <f t="shared" si="2"/>
        <v>24</v>
      </c>
      <c r="B28" s="296" t="s">
        <v>1016</v>
      </c>
      <c r="C28" s="280">
        <v>39660</v>
      </c>
      <c r="D28" s="280">
        <v>39660</v>
      </c>
      <c r="E28" s="280">
        <v>39660</v>
      </c>
      <c r="F28" s="280">
        <v>39660</v>
      </c>
      <c r="G28" s="280">
        <v>38888</v>
      </c>
      <c r="H28" s="280">
        <v>38888</v>
      </c>
      <c r="I28" s="280">
        <v>38888</v>
      </c>
      <c r="J28" s="280">
        <v>40656</v>
      </c>
      <c r="K28" s="280">
        <v>40656</v>
      </c>
      <c r="L28" s="280">
        <v>40656</v>
      </c>
      <c r="M28" s="280">
        <v>40656</v>
      </c>
      <c r="N28" s="280">
        <v>40656</v>
      </c>
      <c r="O28" s="295">
        <f t="shared" si="8"/>
        <v>478584</v>
      </c>
      <c r="P28" s="293"/>
      <c r="R28" s="289"/>
    </row>
    <row r="29" spans="1:18" x14ac:dyDescent="0.2">
      <c r="A29" s="289">
        <f t="shared" si="2"/>
        <v>25</v>
      </c>
      <c r="B29" s="296" t="s">
        <v>1017</v>
      </c>
      <c r="C29" s="280">
        <v>108455</v>
      </c>
      <c r="D29" s="280">
        <v>105268</v>
      </c>
      <c r="E29" s="280">
        <v>107435</v>
      </c>
      <c r="F29" s="280">
        <v>115535</v>
      </c>
      <c r="G29" s="280">
        <v>118050</v>
      </c>
      <c r="H29" s="280">
        <v>116704</v>
      </c>
      <c r="I29" s="280">
        <v>114230</v>
      </c>
      <c r="J29" s="280">
        <v>126439</v>
      </c>
      <c r="K29" s="280">
        <v>140676</v>
      </c>
      <c r="L29" s="280">
        <v>161703</v>
      </c>
      <c r="M29" s="280">
        <v>142530</v>
      </c>
      <c r="N29" s="280">
        <v>115043</v>
      </c>
      <c r="O29" s="295">
        <f t="shared" si="8"/>
        <v>1472068</v>
      </c>
      <c r="P29" s="293"/>
      <c r="R29" s="289"/>
    </row>
    <row r="30" spans="1:18" x14ac:dyDescent="0.2">
      <c r="A30" s="289">
        <f t="shared" si="2"/>
        <v>26</v>
      </c>
      <c r="B30" s="296" t="s">
        <v>1020</v>
      </c>
      <c r="C30" s="280">
        <v>23549</v>
      </c>
      <c r="D30" s="280">
        <v>38825</v>
      </c>
      <c r="E30" s="280">
        <v>28984</v>
      </c>
      <c r="F30" s="280">
        <v>7242</v>
      </c>
      <c r="G30" s="280">
        <v>26047</v>
      </c>
      <c r="H30" s="280">
        <v>23116</v>
      </c>
      <c r="I30" s="280">
        <v>17156</v>
      </c>
      <c r="J30" s="280">
        <v>24157</v>
      </c>
      <c r="K30" s="280">
        <v>18322</v>
      </c>
      <c r="L30" s="280">
        <v>-14452</v>
      </c>
      <c r="M30" s="280">
        <v>-16501</v>
      </c>
      <c r="N30" s="280">
        <v>-14646</v>
      </c>
      <c r="O30" s="295">
        <f t="shared" si="8"/>
        <v>161799</v>
      </c>
      <c r="P30" s="293"/>
      <c r="R30" s="289"/>
    </row>
    <row r="31" spans="1:18" x14ac:dyDescent="0.2">
      <c r="A31" s="289">
        <f t="shared" si="2"/>
        <v>27</v>
      </c>
      <c r="B31" s="296" t="s">
        <v>1021</v>
      </c>
      <c r="C31" s="280">
        <v>28462</v>
      </c>
      <c r="D31" s="280">
        <v>28151</v>
      </c>
      <c r="E31" s="280">
        <v>19052</v>
      </c>
      <c r="F31" s="280">
        <v>23976</v>
      </c>
      <c r="G31" s="280">
        <v>32571</v>
      </c>
      <c r="H31" s="280">
        <v>38529</v>
      </c>
      <c r="I31" s="280">
        <v>33578</v>
      </c>
      <c r="J31" s="280">
        <v>33469</v>
      </c>
      <c r="K31" s="280">
        <v>35878</v>
      </c>
      <c r="L31" s="280">
        <v>33786</v>
      </c>
      <c r="M31" s="280">
        <v>31854</v>
      </c>
      <c r="N31" s="280">
        <v>31934</v>
      </c>
      <c r="O31" s="295">
        <f t="shared" si="8"/>
        <v>371240</v>
      </c>
      <c r="P31" s="293"/>
      <c r="R31" s="289"/>
    </row>
    <row r="32" spans="1:18" x14ac:dyDescent="0.2">
      <c r="A32" s="289">
        <f t="shared" si="2"/>
        <v>28</v>
      </c>
      <c r="B32" s="296" t="s">
        <v>1022</v>
      </c>
      <c r="C32" s="280">
        <f>C28+C29+C30+C31</f>
        <v>200126</v>
      </c>
      <c r="D32" s="280">
        <f t="shared" ref="D32:N32" si="9">D28+D29+D30+D31</f>
        <v>211904</v>
      </c>
      <c r="E32" s="280">
        <f t="shared" si="9"/>
        <v>195131</v>
      </c>
      <c r="F32" s="280">
        <f t="shared" si="9"/>
        <v>186413</v>
      </c>
      <c r="G32" s="280">
        <f t="shared" si="9"/>
        <v>215556</v>
      </c>
      <c r="H32" s="280">
        <f t="shared" si="9"/>
        <v>217237</v>
      </c>
      <c r="I32" s="280">
        <f t="shared" si="9"/>
        <v>203852</v>
      </c>
      <c r="J32" s="280">
        <f t="shared" si="9"/>
        <v>224721</v>
      </c>
      <c r="K32" s="280">
        <f t="shared" si="9"/>
        <v>235532</v>
      </c>
      <c r="L32" s="280">
        <f t="shared" si="9"/>
        <v>221693</v>
      </c>
      <c r="M32" s="280">
        <f t="shared" si="9"/>
        <v>198539</v>
      </c>
      <c r="N32" s="280">
        <f t="shared" si="9"/>
        <v>172987</v>
      </c>
      <c r="O32" s="295">
        <f t="shared" si="8"/>
        <v>2483691</v>
      </c>
      <c r="P32" s="293"/>
      <c r="R32" s="298"/>
    </row>
    <row r="33" spans="1:17" ht="15" x14ac:dyDescent="0.25">
      <c r="A33" s="289">
        <f t="shared" si="2"/>
        <v>29</v>
      </c>
      <c r="B33" s="294" t="s">
        <v>831</v>
      </c>
      <c r="C33" s="299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295"/>
    </row>
    <row r="34" spans="1:17" x14ac:dyDescent="0.2">
      <c r="A34" s="289">
        <f t="shared" si="2"/>
        <v>30</v>
      </c>
      <c r="B34" s="296" t="s">
        <v>1015</v>
      </c>
      <c r="C34" s="280">
        <v>143744</v>
      </c>
      <c r="D34" s="280">
        <v>101059</v>
      </c>
      <c r="E34" s="280">
        <v>85823</v>
      </c>
      <c r="F34" s="280">
        <v>68789</v>
      </c>
      <c r="G34" s="280">
        <v>81510</v>
      </c>
      <c r="H34" s="280">
        <v>98770</v>
      </c>
      <c r="I34" s="280">
        <v>100762</v>
      </c>
      <c r="J34" s="280">
        <v>96565</v>
      </c>
      <c r="K34" s="280">
        <v>85161</v>
      </c>
      <c r="L34" s="280">
        <v>74396</v>
      </c>
      <c r="M34" s="280">
        <v>86236</v>
      </c>
      <c r="N34" s="280">
        <v>118130</v>
      </c>
      <c r="O34" s="295">
        <f t="shared" ref="O34:O60" si="10">SUM(C34:N34)</f>
        <v>1140945</v>
      </c>
    </row>
    <row r="35" spans="1:17" x14ac:dyDescent="0.2">
      <c r="A35" s="289">
        <f t="shared" si="2"/>
        <v>31</v>
      </c>
      <c r="B35" s="296" t="s">
        <v>1147</v>
      </c>
      <c r="C35" s="280">
        <v>141772</v>
      </c>
      <c r="D35" s="280">
        <v>97585</v>
      </c>
      <c r="E35" s="280">
        <v>84218</v>
      </c>
      <c r="F35" s="280">
        <v>67090</v>
      </c>
      <c r="G35" s="280">
        <v>80092</v>
      </c>
      <c r="H35" s="280">
        <v>98408</v>
      </c>
      <c r="I35" s="280">
        <v>100158</v>
      </c>
      <c r="J35" s="280">
        <v>96565</v>
      </c>
      <c r="K35" s="280">
        <v>84244</v>
      </c>
      <c r="L35" s="280">
        <v>72352</v>
      </c>
      <c r="M35" s="280">
        <v>82359</v>
      </c>
      <c r="N35" s="280">
        <v>117479</v>
      </c>
      <c r="O35" s="295"/>
    </row>
    <row r="36" spans="1:17" x14ac:dyDescent="0.2">
      <c r="A36" s="289">
        <f t="shared" si="2"/>
        <v>32</v>
      </c>
      <c r="B36" s="296" t="s">
        <v>1148</v>
      </c>
      <c r="C36" s="280">
        <v>151207</v>
      </c>
      <c r="D36" s="280">
        <v>108755</v>
      </c>
      <c r="E36" s="280">
        <v>96227</v>
      </c>
      <c r="F36" s="280">
        <v>82657</v>
      </c>
      <c r="G36" s="280">
        <v>92423</v>
      </c>
      <c r="H36" s="280">
        <v>111644</v>
      </c>
      <c r="I36" s="280">
        <v>113711</v>
      </c>
      <c r="J36" s="280">
        <v>114185</v>
      </c>
      <c r="K36" s="280">
        <v>99722</v>
      </c>
      <c r="L36" s="280">
        <v>85152</v>
      </c>
      <c r="M36" s="280">
        <v>95037</v>
      </c>
      <c r="N36" s="280">
        <v>123361</v>
      </c>
      <c r="O36" s="295"/>
      <c r="Q36" s="301"/>
    </row>
    <row r="37" spans="1:17" x14ac:dyDescent="0.2">
      <c r="A37" s="289">
        <f t="shared" si="2"/>
        <v>33</v>
      </c>
      <c r="B37" s="296" t="s">
        <v>1149</v>
      </c>
      <c r="C37" s="280">
        <v>3000</v>
      </c>
      <c r="D37" s="280">
        <v>3000</v>
      </c>
      <c r="E37" s="280">
        <v>3000</v>
      </c>
      <c r="F37" s="280">
        <v>3000</v>
      </c>
      <c r="G37" s="280">
        <v>3000</v>
      </c>
      <c r="H37" s="280">
        <v>3000</v>
      </c>
      <c r="I37" s="280">
        <v>3000</v>
      </c>
      <c r="J37" s="280">
        <v>3000</v>
      </c>
      <c r="K37" s="280">
        <v>3000</v>
      </c>
      <c r="L37" s="280">
        <v>3000</v>
      </c>
      <c r="M37" s="280">
        <v>3000</v>
      </c>
      <c r="N37" s="280">
        <v>3000</v>
      </c>
      <c r="O37" s="295"/>
      <c r="Q37" s="301"/>
    </row>
    <row r="38" spans="1:17" x14ac:dyDescent="0.2">
      <c r="A38" s="289">
        <f t="shared" si="2"/>
        <v>34</v>
      </c>
      <c r="B38" s="296" t="s">
        <v>1152</v>
      </c>
      <c r="C38" s="280">
        <v>59251990</v>
      </c>
      <c r="D38" s="280">
        <v>41377661</v>
      </c>
      <c r="E38" s="280">
        <v>37536931</v>
      </c>
      <c r="F38" s="280">
        <v>34017290</v>
      </c>
      <c r="G38" s="280">
        <v>35984258</v>
      </c>
      <c r="H38" s="280">
        <v>43962976</v>
      </c>
      <c r="I38" s="280">
        <v>47905728</v>
      </c>
      <c r="J38" s="280">
        <v>46727543</v>
      </c>
      <c r="K38" s="280">
        <v>37404214</v>
      </c>
      <c r="L38" s="280">
        <v>34585047</v>
      </c>
      <c r="M38" s="280">
        <v>36064582</v>
      </c>
      <c r="N38" s="280">
        <v>47156489</v>
      </c>
      <c r="O38" s="295">
        <f t="shared" si="10"/>
        <v>501974709</v>
      </c>
    </row>
    <row r="39" spans="1:17" x14ac:dyDescent="0.2">
      <c r="A39" s="289">
        <f t="shared" si="2"/>
        <v>35</v>
      </c>
      <c r="B39" s="296" t="s">
        <v>1150</v>
      </c>
      <c r="C39" s="280">
        <v>59251990</v>
      </c>
      <c r="D39" s="280">
        <v>41377661</v>
      </c>
      <c r="E39" s="280">
        <v>37536931</v>
      </c>
      <c r="F39" s="280">
        <v>34017290</v>
      </c>
      <c r="G39" s="280">
        <v>35984258</v>
      </c>
      <c r="H39" s="280">
        <v>43962976</v>
      </c>
      <c r="I39" s="280">
        <v>47905728</v>
      </c>
      <c r="J39" s="280">
        <v>46727543</v>
      </c>
      <c r="K39" s="280">
        <v>37404214</v>
      </c>
      <c r="L39" s="280">
        <v>34585047</v>
      </c>
      <c r="M39" s="280">
        <v>36064852</v>
      </c>
      <c r="N39" s="280">
        <v>47156489</v>
      </c>
      <c r="O39" s="295"/>
    </row>
    <row r="40" spans="1:17" x14ac:dyDescent="0.2">
      <c r="A40" s="289">
        <f t="shared" si="2"/>
        <v>36</v>
      </c>
      <c r="B40" s="296" t="s">
        <v>1151</v>
      </c>
      <c r="C40" s="280">
        <v>1200000</v>
      </c>
      <c r="D40" s="280">
        <v>1200000</v>
      </c>
      <c r="E40" s="280">
        <v>1200000</v>
      </c>
      <c r="F40" s="280">
        <v>1200000</v>
      </c>
      <c r="G40" s="280">
        <v>1200000</v>
      </c>
      <c r="H40" s="280">
        <v>1200000</v>
      </c>
      <c r="I40" s="280">
        <v>1200000</v>
      </c>
      <c r="J40" s="280">
        <v>1200000</v>
      </c>
      <c r="K40" s="280">
        <v>1200000</v>
      </c>
      <c r="L40" s="280">
        <v>1200000</v>
      </c>
      <c r="M40" s="280">
        <v>1200000</v>
      </c>
      <c r="N40" s="280">
        <v>1200000</v>
      </c>
      <c r="O40" s="295"/>
    </row>
    <row r="41" spans="1:17" x14ac:dyDescent="0.2">
      <c r="A41" s="289">
        <f t="shared" si="2"/>
        <v>37</v>
      </c>
      <c r="B41" s="296" t="s">
        <v>1016</v>
      </c>
      <c r="C41" s="280">
        <v>942348</v>
      </c>
      <c r="D41" s="280">
        <v>664041</v>
      </c>
      <c r="E41" s="280">
        <v>564702</v>
      </c>
      <c r="F41" s="280">
        <v>453639</v>
      </c>
      <c r="G41" s="280">
        <v>528188</v>
      </c>
      <c r="H41" s="280">
        <v>642233</v>
      </c>
      <c r="I41" s="280">
        <v>656023</v>
      </c>
      <c r="J41" s="280">
        <v>629559</v>
      </c>
      <c r="K41" s="280">
        <v>558035</v>
      </c>
      <c r="L41" s="280">
        <v>488735</v>
      </c>
      <c r="M41" s="280">
        <v>566673</v>
      </c>
      <c r="N41" s="280">
        <v>775410</v>
      </c>
      <c r="O41" s="295">
        <f t="shared" si="10"/>
        <v>7469586</v>
      </c>
    </row>
    <row r="42" spans="1:17" x14ac:dyDescent="0.2">
      <c r="A42" s="289">
        <f t="shared" si="2"/>
        <v>38</v>
      </c>
      <c r="B42" s="296" t="s">
        <v>1017</v>
      </c>
      <c r="C42" s="280">
        <v>2736936</v>
      </c>
      <c r="D42" s="280">
        <v>1907961</v>
      </c>
      <c r="E42" s="280">
        <v>1730429</v>
      </c>
      <c r="F42" s="280">
        <v>1566418</v>
      </c>
      <c r="G42" s="280">
        <v>1697209</v>
      </c>
      <c r="H42" s="280">
        <v>2086558</v>
      </c>
      <c r="I42" s="280">
        <v>2277792</v>
      </c>
      <c r="J42" s="280">
        <v>2222072</v>
      </c>
      <c r="K42" s="280">
        <v>2190719</v>
      </c>
      <c r="L42" s="280">
        <v>1979935</v>
      </c>
      <c r="M42" s="280">
        <v>2067740</v>
      </c>
      <c r="N42" s="280">
        <v>2710554</v>
      </c>
      <c r="O42" s="295">
        <f t="shared" si="10"/>
        <v>25174323</v>
      </c>
    </row>
    <row r="43" spans="1:17" x14ac:dyDescent="0.2">
      <c r="A43" s="289">
        <f t="shared" si="2"/>
        <v>39</v>
      </c>
      <c r="B43" s="296" t="s">
        <v>1018</v>
      </c>
      <c r="C43" s="280">
        <v>2416</v>
      </c>
      <c r="D43" s="280">
        <v>2416</v>
      </c>
      <c r="E43" s="280">
        <v>2416</v>
      </c>
      <c r="F43" s="280">
        <v>2416</v>
      </c>
      <c r="G43" s="280">
        <v>2416</v>
      </c>
      <c r="H43" s="280">
        <v>2416</v>
      </c>
      <c r="I43" s="280">
        <v>2416</v>
      </c>
      <c r="J43" s="280">
        <v>2416</v>
      </c>
      <c r="K43" s="280">
        <v>2416</v>
      </c>
      <c r="L43" s="280">
        <v>2416</v>
      </c>
      <c r="M43" s="280">
        <v>2416</v>
      </c>
      <c r="N43" s="280">
        <v>2416</v>
      </c>
      <c r="O43" s="295">
        <f t="shared" si="10"/>
        <v>28992</v>
      </c>
    </row>
    <row r="44" spans="1:17" x14ac:dyDescent="0.2">
      <c r="A44" s="289">
        <f t="shared" si="2"/>
        <v>40</v>
      </c>
      <c r="B44" s="296" t="s">
        <v>1019</v>
      </c>
      <c r="C44" s="280">
        <v>58967</v>
      </c>
      <c r="D44" s="280">
        <v>58967</v>
      </c>
      <c r="E44" s="280">
        <v>58967</v>
      </c>
      <c r="F44" s="280">
        <v>58967</v>
      </c>
      <c r="G44" s="280">
        <v>58967</v>
      </c>
      <c r="H44" s="280">
        <v>58967</v>
      </c>
      <c r="I44" s="280">
        <v>58967</v>
      </c>
      <c r="J44" s="280">
        <v>58967</v>
      </c>
      <c r="K44" s="280">
        <v>58967</v>
      </c>
      <c r="L44" s="280">
        <v>58967</v>
      </c>
      <c r="M44" s="280">
        <v>58967</v>
      </c>
      <c r="N44" s="280">
        <v>58967</v>
      </c>
      <c r="O44" s="295">
        <f t="shared" si="10"/>
        <v>707604</v>
      </c>
    </row>
    <row r="45" spans="1:17" x14ac:dyDescent="0.2">
      <c r="A45" s="289">
        <f t="shared" si="2"/>
        <v>41</v>
      </c>
      <c r="B45" s="296" t="s">
        <v>1020</v>
      </c>
      <c r="C45" s="280">
        <v>513122</v>
      </c>
      <c r="D45" s="280">
        <v>608665</v>
      </c>
      <c r="E45" s="280">
        <v>403898</v>
      </c>
      <c r="F45" s="280">
        <v>85043</v>
      </c>
      <c r="G45" s="280">
        <v>316662</v>
      </c>
      <c r="H45" s="280">
        <v>347307</v>
      </c>
      <c r="I45" s="280">
        <v>286955</v>
      </c>
      <c r="J45" s="280">
        <v>356066</v>
      </c>
      <c r="K45" s="280">
        <v>249111</v>
      </c>
      <c r="L45" s="280">
        <v>-158055</v>
      </c>
      <c r="M45" s="280">
        <v>-213502</v>
      </c>
      <c r="N45" s="280">
        <v>-306988</v>
      </c>
      <c r="O45" s="295">
        <f t="shared" si="10"/>
        <v>2488284</v>
      </c>
    </row>
    <row r="46" spans="1:17" x14ac:dyDescent="0.2">
      <c r="A46" s="289">
        <f t="shared" si="2"/>
        <v>42</v>
      </c>
      <c r="B46" s="296" t="s">
        <v>1021</v>
      </c>
      <c r="C46" s="280">
        <v>705278</v>
      </c>
      <c r="D46" s="280">
        <v>496682</v>
      </c>
      <c r="E46" s="280">
        <v>298677</v>
      </c>
      <c r="F46" s="280">
        <v>319773</v>
      </c>
      <c r="G46" s="280">
        <v>463414</v>
      </c>
      <c r="H46" s="280">
        <v>675716</v>
      </c>
      <c r="I46" s="280">
        <v>646438</v>
      </c>
      <c r="J46" s="280">
        <v>571387</v>
      </c>
      <c r="K46" s="280">
        <v>549748</v>
      </c>
      <c r="L46" s="280">
        <v>426484</v>
      </c>
      <c r="M46" s="280">
        <v>474367</v>
      </c>
      <c r="N46" s="280">
        <v>733357</v>
      </c>
      <c r="O46" s="295">
        <f t="shared" si="10"/>
        <v>6361321</v>
      </c>
    </row>
    <row r="47" spans="1:17" x14ac:dyDescent="0.2">
      <c r="A47" s="289">
        <f t="shared" si="2"/>
        <v>43</v>
      </c>
      <c r="B47" s="296" t="s">
        <v>1022</v>
      </c>
      <c r="C47" s="280">
        <f>SUM(C41:C46)</f>
        <v>4959067</v>
      </c>
      <c r="D47" s="280">
        <f>SUM(D41:D46)</f>
        <v>3738732</v>
      </c>
      <c r="E47" s="280">
        <f t="shared" ref="E47:N47" si="11">SUM(E41:E46)</f>
        <v>3059089</v>
      </c>
      <c r="F47" s="280">
        <f t="shared" si="11"/>
        <v>2486256</v>
      </c>
      <c r="G47" s="280">
        <f t="shared" si="11"/>
        <v>3066856</v>
      </c>
      <c r="H47" s="280">
        <f t="shared" si="11"/>
        <v>3813197</v>
      </c>
      <c r="I47" s="280">
        <f t="shared" si="11"/>
        <v>3928591</v>
      </c>
      <c r="J47" s="280">
        <f t="shared" si="11"/>
        <v>3840467</v>
      </c>
      <c r="K47" s="280">
        <f t="shared" si="11"/>
        <v>3608996</v>
      </c>
      <c r="L47" s="280">
        <f t="shared" si="11"/>
        <v>2798482</v>
      </c>
      <c r="M47" s="280">
        <f t="shared" si="11"/>
        <v>2956661</v>
      </c>
      <c r="N47" s="280">
        <f t="shared" si="11"/>
        <v>3973716</v>
      </c>
      <c r="O47" s="295">
        <f t="shared" si="10"/>
        <v>42230110</v>
      </c>
    </row>
    <row r="48" spans="1:17" x14ac:dyDescent="0.2">
      <c r="A48" s="289">
        <f t="shared" si="2"/>
        <v>44</v>
      </c>
      <c r="B48" s="302" t="s">
        <v>1024</v>
      </c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95"/>
    </row>
    <row r="49" spans="1:17" x14ac:dyDescent="0.2">
      <c r="A49" s="289">
        <f t="shared" si="2"/>
        <v>45</v>
      </c>
      <c r="B49" s="296" t="s">
        <v>1025</v>
      </c>
      <c r="C49" s="280">
        <v>-4117</v>
      </c>
      <c r="D49" s="280">
        <v>-4132</v>
      </c>
      <c r="E49" s="280">
        <v>-4144</v>
      </c>
      <c r="F49" s="280">
        <v>-4149</v>
      </c>
      <c r="G49" s="280">
        <v>-4142</v>
      </c>
      <c r="H49" s="280">
        <v>-4161</v>
      </c>
      <c r="I49" s="280">
        <v>0</v>
      </c>
      <c r="J49" s="280">
        <v>0</v>
      </c>
      <c r="K49" s="280">
        <v>0</v>
      </c>
      <c r="L49" s="280">
        <v>-4158</v>
      </c>
      <c r="M49" s="280">
        <v>-4161</v>
      </c>
      <c r="N49" s="280">
        <v>-4161</v>
      </c>
      <c r="O49" s="295">
        <f t="shared" si="10"/>
        <v>-37325</v>
      </c>
    </row>
    <row r="50" spans="1:17" x14ac:dyDescent="0.2">
      <c r="A50" s="289">
        <f t="shared" si="2"/>
        <v>46</v>
      </c>
      <c r="B50" s="296" t="s">
        <v>1021</v>
      </c>
      <c r="C50" s="280">
        <v>-683</v>
      </c>
      <c r="D50" s="280">
        <v>-633</v>
      </c>
      <c r="E50" s="280">
        <v>-448</v>
      </c>
      <c r="F50" s="280">
        <v>-612</v>
      </c>
      <c r="G50" s="280">
        <v>-737</v>
      </c>
      <c r="H50" s="280">
        <v>-897</v>
      </c>
      <c r="I50" s="280">
        <v>0</v>
      </c>
      <c r="J50" s="280">
        <v>0</v>
      </c>
      <c r="K50" s="280">
        <v>0</v>
      </c>
      <c r="L50" s="280">
        <v>-748</v>
      </c>
      <c r="M50" s="280">
        <v>-795</v>
      </c>
      <c r="N50" s="280">
        <v>-942</v>
      </c>
      <c r="O50" s="295">
        <f t="shared" si="10"/>
        <v>-6495</v>
      </c>
    </row>
    <row r="51" spans="1:17" x14ac:dyDescent="0.2">
      <c r="A51" s="289">
        <f t="shared" si="2"/>
        <v>47</v>
      </c>
      <c r="B51" s="296" t="s">
        <v>1022</v>
      </c>
      <c r="C51" s="280">
        <f>C49+C50</f>
        <v>-4800</v>
      </c>
      <c r="D51" s="280">
        <f>D49+D50</f>
        <v>-4765</v>
      </c>
      <c r="E51" s="280">
        <f t="shared" ref="E51:N51" si="12">E49+E50</f>
        <v>-4592</v>
      </c>
      <c r="F51" s="280">
        <f t="shared" si="12"/>
        <v>-4761</v>
      </c>
      <c r="G51" s="280">
        <f t="shared" si="12"/>
        <v>-4879</v>
      </c>
      <c r="H51" s="280">
        <f t="shared" si="12"/>
        <v>-5058</v>
      </c>
      <c r="I51" s="280">
        <f t="shared" si="12"/>
        <v>0</v>
      </c>
      <c r="J51" s="280">
        <f t="shared" si="12"/>
        <v>0</v>
      </c>
      <c r="K51" s="280">
        <f t="shared" si="12"/>
        <v>0</v>
      </c>
      <c r="L51" s="280">
        <f t="shared" si="12"/>
        <v>-4906</v>
      </c>
      <c r="M51" s="280">
        <f t="shared" si="12"/>
        <v>-4956</v>
      </c>
      <c r="N51" s="280">
        <f t="shared" si="12"/>
        <v>-5103</v>
      </c>
      <c r="O51" s="295">
        <f t="shared" si="10"/>
        <v>-43820</v>
      </c>
    </row>
    <row r="52" spans="1:17" x14ac:dyDescent="0.2">
      <c r="A52" s="289">
        <f t="shared" si="2"/>
        <v>48</v>
      </c>
      <c r="B52" s="302" t="s">
        <v>1047</v>
      </c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95"/>
    </row>
    <row r="53" spans="1:17" x14ac:dyDescent="0.2">
      <c r="A53" s="289">
        <f t="shared" si="2"/>
        <v>49</v>
      </c>
      <c r="B53" s="296" t="s">
        <v>1048</v>
      </c>
      <c r="C53" s="280">
        <v>28</v>
      </c>
      <c r="D53" s="280">
        <v>28</v>
      </c>
      <c r="E53" s="280">
        <v>28</v>
      </c>
      <c r="F53" s="280">
        <v>28</v>
      </c>
      <c r="G53" s="280">
        <v>28</v>
      </c>
      <c r="H53" s="280">
        <v>28</v>
      </c>
      <c r="I53" s="280">
        <v>28</v>
      </c>
      <c r="J53" s="280">
        <v>28</v>
      </c>
      <c r="K53" s="280">
        <v>28</v>
      </c>
      <c r="L53" s="280">
        <v>28</v>
      </c>
      <c r="M53" s="280">
        <v>28</v>
      </c>
      <c r="N53" s="280">
        <v>28</v>
      </c>
      <c r="O53" s="295">
        <f t="shared" si="10"/>
        <v>336</v>
      </c>
    </row>
    <row r="54" spans="1:17" x14ac:dyDescent="0.2">
      <c r="A54" s="289">
        <f t="shared" si="2"/>
        <v>50</v>
      </c>
      <c r="B54" s="303" t="s">
        <v>1153</v>
      </c>
      <c r="C54" s="280"/>
      <c r="D54" s="280"/>
      <c r="E54" s="280"/>
      <c r="F54" s="280">
        <v>-5</v>
      </c>
      <c r="G54" s="280">
        <v>-9</v>
      </c>
      <c r="H54" s="280">
        <v>-8</v>
      </c>
      <c r="I54" s="280">
        <v>-8</v>
      </c>
      <c r="J54" s="280">
        <v>-5</v>
      </c>
      <c r="K54" s="280">
        <v>-13</v>
      </c>
      <c r="L54" s="280">
        <v>-11</v>
      </c>
      <c r="M54" s="280">
        <v>-13</v>
      </c>
      <c r="N54" s="280">
        <v>-13</v>
      </c>
      <c r="O54" s="295">
        <f t="shared" si="10"/>
        <v>-85</v>
      </c>
    </row>
    <row r="55" spans="1:17" x14ac:dyDescent="0.2">
      <c r="A55" s="289">
        <f t="shared" si="2"/>
        <v>51</v>
      </c>
      <c r="B55" s="303" t="s">
        <v>1154</v>
      </c>
      <c r="C55" s="280"/>
      <c r="D55" s="280"/>
      <c r="E55" s="280"/>
      <c r="F55" s="280"/>
      <c r="G55" s="280"/>
      <c r="H55" s="280"/>
      <c r="I55" s="280"/>
      <c r="J55" s="280">
        <v>-56766</v>
      </c>
      <c r="K55" s="280"/>
      <c r="L55" s="280"/>
      <c r="M55" s="280"/>
      <c r="N55" s="280"/>
      <c r="O55" s="295">
        <f t="shared" si="10"/>
        <v>-56766</v>
      </c>
    </row>
    <row r="56" spans="1:17" x14ac:dyDescent="0.2">
      <c r="A56" s="289">
        <f t="shared" si="2"/>
        <v>52</v>
      </c>
      <c r="B56" s="303" t="s">
        <v>1050</v>
      </c>
      <c r="C56" s="280">
        <v>-2751</v>
      </c>
      <c r="D56" s="280">
        <v>-2573</v>
      </c>
      <c r="E56" s="280">
        <v>-2751</v>
      </c>
      <c r="F56" s="280">
        <v>-2662</v>
      </c>
      <c r="G56" s="280">
        <v>-2751</v>
      </c>
      <c r="H56" s="280">
        <v>-2256</v>
      </c>
      <c r="I56" s="280">
        <v>1089</v>
      </c>
      <c r="J56" s="280">
        <v>-593</v>
      </c>
      <c r="K56" s="280">
        <v>-574</v>
      </c>
      <c r="L56" s="280">
        <v>-593</v>
      </c>
      <c r="M56" s="280">
        <v>-574</v>
      </c>
      <c r="N56" s="280">
        <v>-593</v>
      </c>
      <c r="O56" s="295">
        <f t="shared" si="10"/>
        <v>-17582</v>
      </c>
    </row>
    <row r="57" spans="1:17" x14ac:dyDescent="0.2">
      <c r="A57" s="289">
        <f t="shared" si="2"/>
        <v>53</v>
      </c>
      <c r="B57" s="303" t="s">
        <v>1049</v>
      </c>
      <c r="C57" s="280">
        <v>-34</v>
      </c>
      <c r="D57" s="280">
        <v>-29</v>
      </c>
      <c r="E57" s="280">
        <v>-47</v>
      </c>
      <c r="F57" s="280">
        <v>-54</v>
      </c>
      <c r="G57" s="280">
        <v>-56</v>
      </c>
      <c r="H57" s="280">
        <v>-67</v>
      </c>
      <c r="I57" s="280">
        <v>-71</v>
      </c>
      <c r="J57" s="280">
        <v>-81</v>
      </c>
      <c r="K57" s="280">
        <v>-79</v>
      </c>
      <c r="L57" s="280">
        <v>-62</v>
      </c>
      <c r="M57" s="280">
        <v>-61</v>
      </c>
      <c r="N57" s="280">
        <v>-41</v>
      </c>
      <c r="O57" s="295">
        <f t="shared" si="10"/>
        <v>-682</v>
      </c>
    </row>
    <row r="58" spans="1:17" x14ac:dyDescent="0.2">
      <c r="A58" s="289">
        <f t="shared" si="2"/>
        <v>54</v>
      </c>
      <c r="B58" s="296"/>
      <c r="C58" s="280"/>
      <c r="D58" s="280"/>
      <c r="E58" s="280"/>
      <c r="F58" s="280"/>
      <c r="G58" s="280"/>
      <c r="H58" s="280"/>
      <c r="I58" s="280"/>
      <c r="J58" s="280"/>
      <c r="K58" s="280"/>
      <c r="L58" s="280"/>
      <c r="M58" s="280"/>
      <c r="N58" s="280"/>
      <c r="O58" s="295"/>
    </row>
    <row r="59" spans="1:17" x14ac:dyDescent="0.2">
      <c r="A59" s="289">
        <f t="shared" si="2"/>
        <v>55</v>
      </c>
      <c r="B59" s="303" t="s">
        <v>1051</v>
      </c>
      <c r="C59" s="280">
        <f>C47+C53+C51+SUM(C56:C57)+C54+C55</f>
        <v>4951510</v>
      </c>
      <c r="D59" s="280">
        <f t="shared" ref="D59:N59" si="13">D47+D53+D51+SUM(D56:D57)+D54+D55</f>
        <v>3731393</v>
      </c>
      <c r="E59" s="280">
        <f t="shared" si="13"/>
        <v>3051727</v>
      </c>
      <c r="F59" s="280">
        <f t="shared" si="13"/>
        <v>2478802</v>
      </c>
      <c r="G59" s="280">
        <f t="shared" si="13"/>
        <v>3059189</v>
      </c>
      <c r="H59" s="280">
        <f t="shared" si="13"/>
        <v>3805836</v>
      </c>
      <c r="I59" s="280">
        <f t="shared" si="13"/>
        <v>3929629</v>
      </c>
      <c r="J59" s="280">
        <f t="shared" si="13"/>
        <v>3783050</v>
      </c>
      <c r="K59" s="280">
        <f t="shared" si="13"/>
        <v>3608358</v>
      </c>
      <c r="L59" s="280">
        <f t="shared" si="13"/>
        <v>2792938</v>
      </c>
      <c r="M59" s="280">
        <f t="shared" si="13"/>
        <v>2951085</v>
      </c>
      <c r="N59" s="280">
        <f t="shared" si="13"/>
        <v>3967994</v>
      </c>
      <c r="O59" s="295">
        <f t="shared" si="10"/>
        <v>42111511</v>
      </c>
    </row>
    <row r="60" spans="1:17" x14ac:dyDescent="0.2">
      <c r="A60" s="289">
        <f t="shared" si="2"/>
        <v>56</v>
      </c>
      <c r="B60" s="303" t="s">
        <v>1155</v>
      </c>
      <c r="C60" s="280">
        <f>C59-C57-C55-C54</f>
        <v>4951544</v>
      </c>
      <c r="D60" s="280">
        <f t="shared" ref="D60:N60" si="14">D59-D57-D55-D54</f>
        <v>3731422</v>
      </c>
      <c r="E60" s="280">
        <f t="shared" si="14"/>
        <v>3051774</v>
      </c>
      <c r="F60" s="280">
        <f t="shared" si="14"/>
        <v>2478861</v>
      </c>
      <c r="G60" s="280">
        <f t="shared" si="14"/>
        <v>3059254</v>
      </c>
      <c r="H60" s="280">
        <f t="shared" si="14"/>
        <v>3805911</v>
      </c>
      <c r="I60" s="280">
        <f t="shared" si="14"/>
        <v>3929708</v>
      </c>
      <c r="J60" s="280">
        <f t="shared" si="14"/>
        <v>3839902</v>
      </c>
      <c r="K60" s="280">
        <f t="shared" si="14"/>
        <v>3608450</v>
      </c>
      <c r="L60" s="280">
        <f t="shared" si="14"/>
        <v>2793011</v>
      </c>
      <c r="M60" s="280">
        <f t="shared" si="14"/>
        <v>2951159</v>
      </c>
      <c r="N60" s="280">
        <f t="shared" si="14"/>
        <v>3968048</v>
      </c>
      <c r="O60" s="295">
        <f t="shared" si="10"/>
        <v>42169044</v>
      </c>
    </row>
    <row r="61" spans="1:17" x14ac:dyDescent="0.2">
      <c r="A61" s="289">
        <f t="shared" si="2"/>
        <v>57</v>
      </c>
      <c r="B61" s="303"/>
      <c r="C61" s="280"/>
      <c r="D61" s="280"/>
      <c r="E61" s="280"/>
      <c r="F61" s="280"/>
      <c r="G61" s="280"/>
      <c r="H61" s="280"/>
      <c r="I61" s="280"/>
      <c r="J61" s="280"/>
      <c r="K61" s="280"/>
      <c r="L61" s="280"/>
      <c r="M61" s="280"/>
      <c r="N61" s="280"/>
      <c r="O61" s="280"/>
      <c r="Q61" s="301"/>
    </row>
    <row r="62" spans="1:17" x14ac:dyDescent="0.2">
      <c r="A62" s="289">
        <f t="shared" si="2"/>
        <v>58</v>
      </c>
      <c r="B62" s="303" t="s">
        <v>1052</v>
      </c>
      <c r="C62" s="280">
        <v>325390</v>
      </c>
      <c r="D62" s="280">
        <v>338353</v>
      </c>
      <c r="E62" s="280">
        <v>344068</v>
      </c>
      <c r="F62" s="280">
        <v>342443</v>
      </c>
      <c r="G62" s="280">
        <v>397440</v>
      </c>
      <c r="H62" s="280">
        <v>423210</v>
      </c>
      <c r="I62" s="280">
        <v>431152</v>
      </c>
      <c r="J62" s="280">
        <v>414401</v>
      </c>
      <c r="K62" s="280">
        <v>420046</v>
      </c>
      <c r="L62" s="280">
        <v>427167</v>
      </c>
      <c r="M62" s="280">
        <v>434959</v>
      </c>
      <c r="N62" s="280">
        <v>402843</v>
      </c>
      <c r="O62" s="295">
        <f t="shared" ref="O62:O63" si="15">SUM(C62:N62)</f>
        <v>4701472</v>
      </c>
      <c r="Q62" s="301"/>
    </row>
    <row r="63" spans="1:17" x14ac:dyDescent="0.2">
      <c r="A63" s="289">
        <f t="shared" si="2"/>
        <v>59</v>
      </c>
      <c r="B63" s="303" t="s">
        <v>1053</v>
      </c>
      <c r="C63" s="280">
        <v>34980</v>
      </c>
      <c r="D63" s="280">
        <v>34725</v>
      </c>
      <c r="E63" s="280">
        <v>36072</v>
      </c>
      <c r="F63" s="280">
        <v>46548</v>
      </c>
      <c r="G63" s="280">
        <v>24215</v>
      </c>
      <c r="H63" s="280">
        <v>36265</v>
      </c>
      <c r="I63" s="280">
        <v>18014.25</v>
      </c>
      <c r="J63" s="280">
        <v>49498</v>
      </c>
      <c r="K63" s="280">
        <v>48320</v>
      </c>
      <c r="L63" s="280">
        <v>18214.5</v>
      </c>
      <c r="M63" s="280">
        <v>34078</v>
      </c>
      <c r="N63" s="280">
        <v>18635.050000000003</v>
      </c>
      <c r="O63" s="295">
        <f t="shared" si="15"/>
        <v>399564.79999999999</v>
      </c>
    </row>
    <row r="64" spans="1:17" x14ac:dyDescent="0.2">
      <c r="A64" s="289">
        <f t="shared" si="2"/>
        <v>60</v>
      </c>
      <c r="B64" s="303"/>
      <c r="C64" s="280"/>
      <c r="D64" s="280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</row>
    <row r="65" spans="1:16" x14ac:dyDescent="0.2">
      <c r="A65" s="289">
        <f t="shared" si="2"/>
        <v>61</v>
      </c>
      <c r="B65" s="303" t="s">
        <v>1022</v>
      </c>
      <c r="C65" s="280">
        <f>C59+C63</f>
        <v>4986490</v>
      </c>
      <c r="D65" s="280">
        <f t="shared" ref="D65:O65" si="16">D59+D63</f>
        <v>3766118</v>
      </c>
      <c r="E65" s="280">
        <f t="shared" si="16"/>
        <v>3087799</v>
      </c>
      <c r="F65" s="280">
        <f t="shared" si="16"/>
        <v>2525350</v>
      </c>
      <c r="G65" s="280">
        <f t="shared" si="16"/>
        <v>3083404</v>
      </c>
      <c r="H65" s="280">
        <f t="shared" si="16"/>
        <v>3842101</v>
      </c>
      <c r="I65" s="280">
        <f t="shared" si="16"/>
        <v>3947643.25</v>
      </c>
      <c r="J65" s="280">
        <f t="shared" si="16"/>
        <v>3832548</v>
      </c>
      <c r="K65" s="280">
        <f t="shared" si="16"/>
        <v>3656678</v>
      </c>
      <c r="L65" s="280">
        <f t="shared" si="16"/>
        <v>2811152.5</v>
      </c>
      <c r="M65" s="280">
        <f t="shared" si="16"/>
        <v>2985163</v>
      </c>
      <c r="N65" s="280">
        <f t="shared" si="16"/>
        <v>3986629.05</v>
      </c>
      <c r="O65" s="280">
        <f t="shared" si="16"/>
        <v>42511075.799999997</v>
      </c>
    </row>
    <row r="66" spans="1:16" x14ac:dyDescent="0.2">
      <c r="A66" s="289">
        <f t="shared" si="2"/>
        <v>62</v>
      </c>
      <c r="B66" s="303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280"/>
    </row>
    <row r="67" spans="1:16" x14ac:dyDescent="0.2">
      <c r="A67" s="289">
        <f t="shared" si="2"/>
        <v>63</v>
      </c>
      <c r="B67" s="303" t="s">
        <v>1118</v>
      </c>
      <c r="C67" s="280">
        <f>C35</f>
        <v>141772</v>
      </c>
      <c r="D67" s="280">
        <f t="shared" ref="D67:N68" si="17">D35</f>
        <v>97585</v>
      </c>
      <c r="E67" s="280">
        <f t="shared" si="17"/>
        <v>84218</v>
      </c>
      <c r="F67" s="280">
        <f t="shared" si="17"/>
        <v>67090</v>
      </c>
      <c r="G67" s="280">
        <f t="shared" si="17"/>
        <v>80092</v>
      </c>
      <c r="H67" s="280">
        <f t="shared" si="17"/>
        <v>98408</v>
      </c>
      <c r="I67" s="280">
        <f t="shared" si="17"/>
        <v>100158</v>
      </c>
      <c r="J67" s="280">
        <f t="shared" si="17"/>
        <v>96565</v>
      </c>
      <c r="K67" s="280">
        <f t="shared" si="17"/>
        <v>84244</v>
      </c>
      <c r="L67" s="280">
        <f t="shared" si="17"/>
        <v>72352</v>
      </c>
      <c r="M67" s="280">
        <f t="shared" si="17"/>
        <v>82359</v>
      </c>
      <c r="N67" s="280">
        <f t="shared" si="17"/>
        <v>117479</v>
      </c>
      <c r="O67" s="280">
        <f>SUM(C67:N67)</f>
        <v>1122322</v>
      </c>
    </row>
    <row r="68" spans="1:16" x14ac:dyDescent="0.2">
      <c r="A68" s="289">
        <f t="shared" si="2"/>
        <v>64</v>
      </c>
      <c r="B68" s="303" t="s">
        <v>1120</v>
      </c>
      <c r="C68" s="280">
        <f>C36</f>
        <v>151207</v>
      </c>
      <c r="D68" s="280">
        <f t="shared" si="17"/>
        <v>108755</v>
      </c>
      <c r="E68" s="280">
        <f t="shared" si="17"/>
        <v>96227</v>
      </c>
      <c r="F68" s="280">
        <f t="shared" si="17"/>
        <v>82657</v>
      </c>
      <c r="G68" s="280">
        <f t="shared" si="17"/>
        <v>92423</v>
      </c>
      <c r="H68" s="280">
        <f t="shared" si="17"/>
        <v>111644</v>
      </c>
      <c r="I68" s="280">
        <f t="shared" si="17"/>
        <v>113711</v>
      </c>
      <c r="J68" s="280">
        <f t="shared" si="17"/>
        <v>114185</v>
      </c>
      <c r="K68" s="280">
        <f t="shared" si="17"/>
        <v>99722</v>
      </c>
      <c r="L68" s="280">
        <f t="shared" si="17"/>
        <v>85152</v>
      </c>
      <c r="M68" s="280">
        <f t="shared" si="17"/>
        <v>95037</v>
      </c>
      <c r="N68" s="280">
        <f t="shared" si="17"/>
        <v>123361</v>
      </c>
      <c r="O68" s="280">
        <f>SUM(C68:N68)</f>
        <v>1274081</v>
      </c>
    </row>
    <row r="69" spans="1:16" x14ac:dyDescent="0.2">
      <c r="A69" s="289">
        <f t="shared" si="2"/>
        <v>65</v>
      </c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</row>
    <row r="70" spans="1:16" x14ac:dyDescent="0.2">
      <c r="A70" s="289">
        <f t="shared" si="2"/>
        <v>66</v>
      </c>
      <c r="B70" s="287" t="s">
        <v>969</v>
      </c>
      <c r="C70" s="304">
        <f>C41+C43+C44+(C76*C46)</f>
        <v>1426897.8</v>
      </c>
      <c r="D70" s="304">
        <f t="shared" ref="D70:N70" si="18">D41+D43+D44+(D76*D46)</f>
        <v>1023433.2</v>
      </c>
      <c r="E70" s="304">
        <f t="shared" si="18"/>
        <v>805291.2</v>
      </c>
      <c r="F70" s="304">
        <f t="shared" si="18"/>
        <v>706885.8</v>
      </c>
      <c r="G70" s="304">
        <f t="shared" si="18"/>
        <v>867619.39999999991</v>
      </c>
      <c r="H70" s="304">
        <f t="shared" si="18"/>
        <v>1109045.6000000001</v>
      </c>
      <c r="I70" s="304">
        <f t="shared" si="18"/>
        <v>1105268.8</v>
      </c>
      <c r="J70" s="304">
        <f t="shared" si="18"/>
        <v>1033774.2</v>
      </c>
      <c r="K70" s="304">
        <f t="shared" si="18"/>
        <v>949266.8</v>
      </c>
      <c r="L70" s="304">
        <f t="shared" si="18"/>
        <v>806008.4</v>
      </c>
      <c r="M70" s="304">
        <f t="shared" si="18"/>
        <v>912676.2</v>
      </c>
      <c r="N70" s="304">
        <f t="shared" si="18"/>
        <v>1276807.2</v>
      </c>
      <c r="O70" s="304">
        <f t="shared" ref="O70:O72" si="19">SUM(C70:N70)</f>
        <v>12022974.6</v>
      </c>
    </row>
    <row r="71" spans="1:16" x14ac:dyDescent="0.2">
      <c r="A71" s="289">
        <f t="shared" si="2"/>
        <v>67</v>
      </c>
      <c r="B71" s="287" t="s">
        <v>970</v>
      </c>
      <c r="C71" s="304">
        <f>C42+C45+(C77*C46)</f>
        <v>3532169.2</v>
      </c>
      <c r="D71" s="304">
        <f t="shared" ref="D71:N71" si="20">D42+D45+(D77*D46)</f>
        <v>2715298.8</v>
      </c>
      <c r="E71" s="304">
        <f t="shared" si="20"/>
        <v>2253797.7999999998</v>
      </c>
      <c r="F71" s="304">
        <f t="shared" si="20"/>
        <v>1779370.2</v>
      </c>
      <c r="G71" s="304">
        <f t="shared" si="20"/>
        <v>2199236.6</v>
      </c>
      <c r="H71" s="304">
        <f t="shared" si="20"/>
        <v>2704151.4</v>
      </c>
      <c r="I71" s="304">
        <f t="shared" si="20"/>
        <v>2823322.2</v>
      </c>
      <c r="J71" s="304">
        <f t="shared" si="20"/>
        <v>2806692.8</v>
      </c>
      <c r="K71" s="304">
        <f t="shared" si="20"/>
        <v>2659729.2000000002</v>
      </c>
      <c r="L71" s="304">
        <f t="shared" si="20"/>
        <v>1992473.6000000001</v>
      </c>
      <c r="M71" s="304">
        <f t="shared" si="20"/>
        <v>2043984.8</v>
      </c>
      <c r="N71" s="304">
        <f t="shared" si="20"/>
        <v>2696908.7999999998</v>
      </c>
      <c r="O71" s="304">
        <f t="shared" si="19"/>
        <v>30207135.400000002</v>
      </c>
    </row>
    <row r="72" spans="1:16" x14ac:dyDescent="0.2">
      <c r="A72" s="289">
        <f t="shared" ref="A72:A81" si="21">A71+1</f>
        <v>68</v>
      </c>
      <c r="B72" s="287" t="s">
        <v>971</v>
      </c>
      <c r="C72" s="305">
        <f>C70+C71</f>
        <v>4959067</v>
      </c>
      <c r="D72" s="305">
        <f t="shared" ref="D72:N72" si="22">D70+D71</f>
        <v>3738732</v>
      </c>
      <c r="E72" s="305">
        <f t="shared" si="22"/>
        <v>3059089</v>
      </c>
      <c r="F72" s="305">
        <f t="shared" si="22"/>
        <v>2486256</v>
      </c>
      <c r="G72" s="305">
        <f t="shared" si="22"/>
        <v>3066856</v>
      </c>
      <c r="H72" s="305">
        <f t="shared" si="22"/>
        <v>3813197</v>
      </c>
      <c r="I72" s="305">
        <f t="shared" si="22"/>
        <v>3928591</v>
      </c>
      <c r="J72" s="305">
        <f t="shared" si="22"/>
        <v>3840467</v>
      </c>
      <c r="K72" s="305">
        <f t="shared" si="22"/>
        <v>3608996</v>
      </c>
      <c r="L72" s="305">
        <f t="shared" si="22"/>
        <v>2798482</v>
      </c>
      <c r="M72" s="305">
        <f t="shared" si="22"/>
        <v>2956661</v>
      </c>
      <c r="N72" s="305">
        <f t="shared" si="22"/>
        <v>3973716</v>
      </c>
      <c r="O72" s="305">
        <f t="shared" si="19"/>
        <v>42230110</v>
      </c>
    </row>
    <row r="73" spans="1:16" x14ac:dyDescent="0.2">
      <c r="A73" s="289">
        <f t="shared" si="21"/>
        <v>69</v>
      </c>
      <c r="B73" s="287" t="s">
        <v>972</v>
      </c>
      <c r="C73" s="283">
        <f>C70/C72</f>
        <v>0.28773513243519394</v>
      </c>
      <c r="D73" s="283">
        <f t="shared" ref="D73:O73" si="23">D70/D72</f>
        <v>0.27373804808689151</v>
      </c>
      <c r="E73" s="283">
        <f t="shared" si="23"/>
        <v>0.26324543025717784</v>
      </c>
      <c r="F73" s="283">
        <f t="shared" si="23"/>
        <v>0.28431738324613398</v>
      </c>
      <c r="G73" s="283">
        <f t="shared" si="23"/>
        <v>0.28290190344770016</v>
      </c>
      <c r="H73" s="283">
        <f t="shared" si="23"/>
        <v>0.29084403454634</v>
      </c>
      <c r="I73" s="283">
        <f t="shared" si="23"/>
        <v>0.28133974750743967</v>
      </c>
      <c r="J73" s="283">
        <f t="shared" si="23"/>
        <v>0.26917929512218175</v>
      </c>
      <c r="K73" s="283">
        <f t="shared" si="23"/>
        <v>0.26302794461395912</v>
      </c>
      <c r="L73" s="283">
        <f t="shared" si="23"/>
        <v>0.28801628883087332</v>
      </c>
      <c r="M73" s="283">
        <f t="shared" si="23"/>
        <v>0.30868476298094372</v>
      </c>
      <c r="N73" s="283">
        <f t="shared" si="23"/>
        <v>0.32131314870010841</v>
      </c>
      <c r="O73" s="283">
        <f t="shared" si="23"/>
        <v>0.28470147484815927</v>
      </c>
    </row>
    <row r="74" spans="1:16" x14ac:dyDescent="0.2">
      <c r="A74" s="289">
        <f t="shared" si="21"/>
        <v>70</v>
      </c>
      <c r="B74" s="287" t="s">
        <v>973</v>
      </c>
      <c r="C74" s="283">
        <f>C71/C72</f>
        <v>0.71226486756480611</v>
      </c>
      <c r="D74" s="283">
        <f t="shared" ref="D74:O74" si="24">D71/D72</f>
        <v>0.72626195191310849</v>
      </c>
      <c r="E74" s="283">
        <f t="shared" si="24"/>
        <v>0.73675456974282205</v>
      </c>
      <c r="F74" s="283">
        <f t="shared" si="24"/>
        <v>0.71568261675386602</v>
      </c>
      <c r="G74" s="283">
        <f t="shared" si="24"/>
        <v>0.71709809655229984</v>
      </c>
      <c r="H74" s="283">
        <f t="shared" si="24"/>
        <v>0.70915596545366</v>
      </c>
      <c r="I74" s="283">
        <f t="shared" si="24"/>
        <v>0.71866025249256038</v>
      </c>
      <c r="J74" s="283">
        <f t="shared" si="24"/>
        <v>0.73082070487781825</v>
      </c>
      <c r="K74" s="283">
        <f t="shared" si="24"/>
        <v>0.73697205538604094</v>
      </c>
      <c r="L74" s="283">
        <f t="shared" si="24"/>
        <v>0.71198371116912673</v>
      </c>
      <c r="M74" s="283">
        <f t="shared" si="24"/>
        <v>0.69131523701905628</v>
      </c>
      <c r="N74" s="283">
        <f t="shared" si="24"/>
        <v>0.67868685129989159</v>
      </c>
      <c r="O74" s="283">
        <f t="shared" si="24"/>
        <v>0.71529852515184078</v>
      </c>
    </row>
    <row r="75" spans="1:16" ht="15" x14ac:dyDescent="0.25">
      <c r="A75" s="289">
        <f t="shared" si="21"/>
        <v>71</v>
      </c>
      <c r="B75" s="299"/>
      <c r="C75" s="299"/>
      <c r="D75" s="299"/>
      <c r="E75" s="299"/>
      <c r="F75" s="299"/>
      <c r="G75" s="299"/>
      <c r="H75" s="299"/>
      <c r="I75" s="299"/>
      <c r="J75" s="299"/>
      <c r="K75" s="299"/>
      <c r="L75" s="299"/>
      <c r="M75" s="299"/>
      <c r="N75" s="299"/>
      <c r="O75" s="299"/>
    </row>
    <row r="76" spans="1:16" x14ac:dyDescent="0.2">
      <c r="A76" s="289">
        <f t="shared" si="21"/>
        <v>72</v>
      </c>
      <c r="B76" s="286" t="s">
        <v>1160</v>
      </c>
      <c r="C76" s="286">
        <v>0.6</v>
      </c>
      <c r="D76" s="286">
        <v>0.6</v>
      </c>
      <c r="E76" s="286">
        <v>0.6</v>
      </c>
      <c r="F76" s="286">
        <v>0.6</v>
      </c>
      <c r="G76" s="286">
        <v>0.6</v>
      </c>
      <c r="H76" s="286">
        <v>0.6</v>
      </c>
      <c r="I76" s="286">
        <v>0.6</v>
      </c>
      <c r="J76" s="286">
        <v>0.6</v>
      </c>
      <c r="K76" s="286">
        <v>0.6</v>
      </c>
      <c r="L76" s="286">
        <v>0.6</v>
      </c>
      <c r="M76" s="286">
        <v>0.6</v>
      </c>
      <c r="N76" s="286">
        <v>0.6</v>
      </c>
      <c r="O76" s="286">
        <v>0.6</v>
      </c>
      <c r="P76" s="286"/>
    </row>
    <row r="77" spans="1:16" x14ac:dyDescent="0.2">
      <c r="A77" s="289">
        <f t="shared" si="21"/>
        <v>73</v>
      </c>
      <c r="B77" s="287" t="s">
        <v>1161</v>
      </c>
      <c r="C77" s="288">
        <v>0.4</v>
      </c>
      <c r="D77" s="288">
        <v>0.4</v>
      </c>
      <c r="E77" s="288">
        <v>0.4</v>
      </c>
      <c r="F77" s="288">
        <v>0.4</v>
      </c>
      <c r="G77" s="288">
        <v>0.4</v>
      </c>
      <c r="H77" s="288">
        <v>0.4</v>
      </c>
      <c r="I77" s="288">
        <v>0.4</v>
      </c>
      <c r="J77" s="288">
        <v>0.4</v>
      </c>
      <c r="K77" s="288">
        <v>0.4</v>
      </c>
      <c r="L77" s="288">
        <v>0.4</v>
      </c>
      <c r="M77" s="288">
        <v>0.4</v>
      </c>
      <c r="N77" s="288">
        <v>0.4</v>
      </c>
      <c r="O77" s="288">
        <v>0.4</v>
      </c>
      <c r="P77" s="288"/>
    </row>
    <row r="78" spans="1:16" x14ac:dyDescent="0.2">
      <c r="A78" s="289">
        <f t="shared" si="21"/>
        <v>74</v>
      </c>
      <c r="B78" s="289"/>
    </row>
    <row r="79" spans="1:16" x14ac:dyDescent="0.2">
      <c r="A79" s="289">
        <f t="shared" si="21"/>
        <v>75</v>
      </c>
      <c r="B79" s="287" t="s">
        <v>990</v>
      </c>
      <c r="C79" s="301"/>
      <c r="D79" s="301"/>
      <c r="E79" s="301"/>
      <c r="F79" s="301"/>
      <c r="G79" s="301"/>
      <c r="H79" s="301"/>
      <c r="I79" s="301"/>
      <c r="J79" s="301"/>
      <c r="K79" s="301"/>
      <c r="L79" s="301"/>
      <c r="M79" s="301"/>
      <c r="N79" s="306" t="s">
        <v>1156</v>
      </c>
      <c r="O79" s="280">
        <f>O60+O63</f>
        <v>42568608.799999997</v>
      </c>
    </row>
    <row r="80" spans="1:16" ht="15" x14ac:dyDescent="0.25">
      <c r="A80" s="289">
        <f t="shared" si="21"/>
        <v>76</v>
      </c>
      <c r="B80" s="299"/>
      <c r="C80" s="299"/>
      <c r="D80" s="299"/>
      <c r="E80" s="299"/>
      <c r="F80" s="299"/>
      <c r="G80" s="299"/>
      <c r="H80" s="299"/>
      <c r="I80" s="299"/>
      <c r="J80" s="299"/>
      <c r="K80" s="299"/>
      <c r="L80" s="299"/>
      <c r="M80" s="299"/>
      <c r="N80" s="306" t="s">
        <v>1157</v>
      </c>
      <c r="O80" s="280">
        <v>42568608.799999997</v>
      </c>
    </row>
    <row r="81" spans="1:15" ht="15" x14ac:dyDescent="0.25">
      <c r="A81" s="289">
        <f t="shared" si="21"/>
        <v>77</v>
      </c>
      <c r="B81" s="299"/>
      <c r="C81" s="299"/>
      <c r="D81" s="299"/>
      <c r="E81" s="299"/>
      <c r="F81" s="299"/>
      <c r="G81" s="299"/>
      <c r="H81" s="299"/>
      <c r="I81" s="299"/>
      <c r="J81" s="299"/>
      <c r="K81" s="299"/>
      <c r="L81" s="299"/>
      <c r="M81" s="299"/>
      <c r="N81" s="307" t="s">
        <v>989</v>
      </c>
      <c r="O81" s="308">
        <f>O80-O79</f>
        <v>0</v>
      </c>
    </row>
    <row r="82" spans="1:15" ht="15" x14ac:dyDescent="0.25">
      <c r="A82" s="289"/>
      <c r="B82" s="299"/>
      <c r="C82" s="299"/>
      <c r="D82" s="299"/>
      <c r="E82" s="299"/>
      <c r="F82" s="299"/>
      <c r="G82" s="299"/>
      <c r="H82" s="299"/>
      <c r="I82" s="299"/>
      <c r="J82" s="299"/>
      <c r="K82" s="299"/>
      <c r="L82" s="299"/>
      <c r="M82" s="299"/>
      <c r="N82" s="306"/>
      <c r="O82" s="309"/>
    </row>
    <row r="83" spans="1:15" x14ac:dyDescent="0.2">
      <c r="A83" s="289"/>
      <c r="B83" s="287" t="s">
        <v>1140</v>
      </c>
      <c r="C83" s="301">
        <f t="shared" ref="C83:N83" si="25">C45</f>
        <v>513122</v>
      </c>
      <c r="D83" s="301">
        <f t="shared" si="25"/>
        <v>608665</v>
      </c>
      <c r="E83" s="301">
        <f t="shared" si="25"/>
        <v>403898</v>
      </c>
      <c r="F83" s="301">
        <f t="shared" si="25"/>
        <v>85043</v>
      </c>
      <c r="G83" s="301">
        <f t="shared" si="25"/>
        <v>316662</v>
      </c>
      <c r="H83" s="301">
        <f t="shared" si="25"/>
        <v>347307</v>
      </c>
      <c r="I83" s="301">
        <f t="shared" si="25"/>
        <v>286955</v>
      </c>
      <c r="J83" s="301">
        <f t="shared" si="25"/>
        <v>356066</v>
      </c>
      <c r="K83" s="301">
        <f t="shared" si="25"/>
        <v>249111</v>
      </c>
      <c r="L83" s="301">
        <f t="shared" si="25"/>
        <v>-158055</v>
      </c>
      <c r="M83" s="301">
        <f t="shared" si="25"/>
        <v>-213502</v>
      </c>
      <c r="N83" s="301">
        <f t="shared" si="25"/>
        <v>-306988</v>
      </c>
      <c r="O83" s="295">
        <f t="shared" ref="O83:O84" si="26">SUM(C83:N83)</f>
        <v>2488284</v>
      </c>
    </row>
    <row r="84" spans="1:15" ht="15" x14ac:dyDescent="0.25">
      <c r="A84" s="299"/>
      <c r="B84" s="287" t="s">
        <v>1141</v>
      </c>
      <c r="C84" s="301">
        <f>C46+C50</f>
        <v>704595</v>
      </c>
      <c r="D84" s="301">
        <f t="shared" ref="D84:N84" si="27">D46+D50</f>
        <v>496049</v>
      </c>
      <c r="E84" s="301">
        <f t="shared" si="27"/>
        <v>298229</v>
      </c>
      <c r="F84" s="301">
        <f t="shared" si="27"/>
        <v>319161</v>
      </c>
      <c r="G84" s="301">
        <f t="shared" si="27"/>
        <v>462677</v>
      </c>
      <c r="H84" s="301">
        <f t="shared" si="27"/>
        <v>674819</v>
      </c>
      <c r="I84" s="301">
        <f t="shared" si="27"/>
        <v>646438</v>
      </c>
      <c r="J84" s="301">
        <f t="shared" si="27"/>
        <v>571387</v>
      </c>
      <c r="K84" s="301">
        <f t="shared" si="27"/>
        <v>549748</v>
      </c>
      <c r="L84" s="301">
        <f t="shared" si="27"/>
        <v>425736</v>
      </c>
      <c r="M84" s="301">
        <f t="shared" si="27"/>
        <v>473572</v>
      </c>
      <c r="N84" s="301">
        <f t="shared" si="27"/>
        <v>732415</v>
      </c>
      <c r="O84" s="295">
        <f t="shared" si="26"/>
        <v>6354826</v>
      </c>
    </row>
    <row r="85" spans="1:15" ht="15" x14ac:dyDescent="0.25">
      <c r="A85" s="299"/>
      <c r="B85" s="299"/>
      <c r="C85" s="301"/>
      <c r="D85" s="301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</row>
    <row r="86" spans="1:15" ht="15" x14ac:dyDescent="0.25">
      <c r="A86" s="299"/>
      <c r="B86" s="299"/>
      <c r="C86" s="304"/>
      <c r="D86" s="299"/>
      <c r="E86" s="299"/>
      <c r="F86" s="299"/>
      <c r="G86" s="299"/>
      <c r="H86" s="299"/>
      <c r="I86" s="299"/>
      <c r="J86" s="299"/>
      <c r="K86" s="299"/>
      <c r="L86" s="299"/>
      <c r="M86" s="299"/>
      <c r="N86" s="299"/>
      <c r="O86" s="299"/>
    </row>
    <row r="87" spans="1:15" ht="15" x14ac:dyDescent="0.25">
      <c r="A87" s="299"/>
      <c r="B87" s="299"/>
      <c r="C87" s="310"/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0"/>
    </row>
  </sheetData>
  <printOptions horizontalCentered="1"/>
  <pageMargins left="0.45" right="0.45" top="0.75" bottom="0.75" header="0.55000000000000004" footer="0.3"/>
  <pageSetup scale="51" orientation="landscape" r:id="rId1"/>
  <headerFooter>
    <oddFooter>&amp;RExhibit JW-7
Page 1 of 3</oddFooter>
  </headerFooter>
  <ignoredErrors>
    <ignoredError sqref="C47 D47:N4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P89"/>
  <sheetViews>
    <sheetView tabSelected="1" view="pageBreakPreview" zoomScale="75" zoomScaleNormal="100" zoomScaleSheetLayoutView="75" workbookViewId="0">
      <selection activeCell="F92" sqref="F92"/>
    </sheetView>
  </sheetViews>
  <sheetFormatPr defaultColWidth="9.140625" defaultRowHeight="12.75" x14ac:dyDescent="0.2"/>
  <cols>
    <col min="1" max="1" width="5.5703125" style="2" customWidth="1"/>
    <col min="2" max="2" width="50.140625" style="14" customWidth="1"/>
    <col min="3" max="3" width="10.7109375" style="2" customWidth="1"/>
    <col min="4" max="4" width="13.28515625" style="2" customWidth="1"/>
    <col min="5" max="5" width="13.28515625" style="156" customWidth="1"/>
    <col min="6" max="6" width="13.28515625" style="2" customWidth="1"/>
    <col min="7" max="7" width="12.85546875" style="2" customWidth="1"/>
    <col min="8" max="8" width="12" style="2" bestFit="1" customWidth="1"/>
    <col min="9" max="9" width="9.140625" style="2" customWidth="1"/>
    <col min="10" max="10" width="9.7109375" style="2" customWidth="1"/>
    <col min="11" max="11" width="9.140625" style="2" customWidth="1"/>
    <col min="12" max="14" width="9.140625" style="2"/>
    <col min="15" max="15" width="9.140625" style="2" customWidth="1"/>
    <col min="16" max="16384" width="9.140625" style="2"/>
  </cols>
  <sheetData>
    <row r="1" spans="1:8" x14ac:dyDescent="0.2">
      <c r="A1" s="1" t="str">
        <f>'Summary of Returns'!A1</f>
        <v>FARMERS R.E.C.C.</v>
      </c>
    </row>
    <row r="2" spans="1:8" x14ac:dyDescent="0.2">
      <c r="A2" s="1" t="s">
        <v>676</v>
      </c>
    </row>
    <row r="4" spans="1:8" ht="62.25" customHeight="1" thickBot="1" x14ac:dyDescent="0.25">
      <c r="A4" s="42" t="s">
        <v>913</v>
      </c>
      <c r="B4" s="65" t="s">
        <v>725</v>
      </c>
      <c r="C4" s="188" t="s">
        <v>839</v>
      </c>
      <c r="D4" s="60" t="s">
        <v>1027</v>
      </c>
      <c r="E4" s="311" t="s">
        <v>1028</v>
      </c>
      <c r="F4" s="60" t="s">
        <v>1029</v>
      </c>
      <c r="G4" s="60" t="s">
        <v>840</v>
      </c>
      <c r="H4" s="61"/>
    </row>
    <row r="5" spans="1:8" x14ac:dyDescent="0.2">
      <c r="A5" s="14"/>
      <c r="B5" s="1"/>
      <c r="C5" s="38"/>
    </row>
    <row r="6" spans="1:8" x14ac:dyDescent="0.2">
      <c r="A6" s="14">
        <v>1</v>
      </c>
      <c r="B6" s="2" t="str">
        <f>'Summary of Returns'!B10</f>
        <v xml:space="preserve">Schedule R - Residential Rate </v>
      </c>
      <c r="C6" s="104">
        <f>'Summary of Returns'!C10</f>
        <v>1</v>
      </c>
      <c r="D6" s="82">
        <f>'Billing Det'!C8</f>
        <v>24574</v>
      </c>
      <c r="E6" s="312">
        <v>398</v>
      </c>
      <c r="F6" s="82">
        <f>E6*D6</f>
        <v>9780452</v>
      </c>
      <c r="G6" s="105">
        <f>F6/F$32</f>
        <v>0.88225156069222332</v>
      </c>
      <c r="H6" s="105"/>
    </row>
    <row r="7" spans="1:8" hidden="1" x14ac:dyDescent="0.2">
      <c r="A7" s="14">
        <v>2</v>
      </c>
      <c r="B7" s="2" t="str">
        <f>'Summary of Returns'!B11</f>
        <v>Schedule R - Pay As You Go ("Prepay")</v>
      </c>
      <c r="C7" s="104">
        <f>'Summary of Returns'!C11</f>
        <v>2</v>
      </c>
      <c r="D7" s="82">
        <f>'Billing Det'!C9</f>
        <v>0</v>
      </c>
      <c r="E7" s="312">
        <v>321</v>
      </c>
      <c r="F7" s="82">
        <f t="shared" ref="F7:F9" si="0">E7*D7</f>
        <v>0</v>
      </c>
      <c r="G7" s="105">
        <f t="shared" ref="G7:G9" si="1">F7/F$32</f>
        <v>0</v>
      </c>
      <c r="H7" s="105"/>
    </row>
    <row r="8" spans="1:8" x14ac:dyDescent="0.2">
      <c r="A8" s="14">
        <v>3</v>
      </c>
      <c r="B8" s="2" t="str">
        <f>'Summary of Returns'!B12</f>
        <v>Schedule R - Residential Time of Day Rate</v>
      </c>
      <c r="C8" s="104">
        <f>'Summary of Returns'!C12</f>
        <v>3</v>
      </c>
      <c r="D8" s="82">
        <f>'Billing Det'!C10</f>
        <v>1</v>
      </c>
      <c r="E8" s="312">
        <v>398</v>
      </c>
      <c r="F8" s="82">
        <f t="shared" si="0"/>
        <v>398</v>
      </c>
      <c r="G8" s="105">
        <f t="shared" si="1"/>
        <v>3.5901829604143541E-5</v>
      </c>
      <c r="H8" s="105"/>
    </row>
    <row r="9" spans="1:8" x14ac:dyDescent="0.2">
      <c r="A9" s="14">
        <v>4</v>
      </c>
      <c r="B9" s="2" t="str">
        <f>'Summary of Returns'!B13</f>
        <v>Schedule C - Comm. &amp; Indust. Service Rate &lt; 50 kW</v>
      </c>
      <c r="C9" s="104">
        <f>'Summary of Returns'!C13</f>
        <v>4</v>
      </c>
      <c r="D9" s="82">
        <f>'Billing Det'!C11</f>
        <v>1768</v>
      </c>
      <c r="E9" s="312">
        <v>398</v>
      </c>
      <c r="F9" s="82">
        <f t="shared" si="0"/>
        <v>703664</v>
      </c>
      <c r="G9" s="105">
        <f t="shared" si="1"/>
        <v>6.3474434740125776E-2</v>
      </c>
      <c r="H9" s="105"/>
    </row>
    <row r="10" spans="1:8" x14ac:dyDescent="0.2">
      <c r="A10" s="14">
        <v>5</v>
      </c>
      <c r="B10" s="2" t="str">
        <f>'Summary of Returns'!B14</f>
        <v>Schedule C - Comm. &amp; Indust. Service Rate &gt; 50 kW</v>
      </c>
      <c r="C10" s="104">
        <f>'Summary of Returns'!C14</f>
        <v>5</v>
      </c>
      <c r="D10" s="82">
        <f>'Billing Det'!C12</f>
        <v>99</v>
      </c>
      <c r="E10" s="312">
        <v>4116</v>
      </c>
      <c r="F10" s="82">
        <f t="shared" ref="F10:F22" si="2">E10*D10</f>
        <v>407484</v>
      </c>
      <c r="G10" s="105">
        <f t="shared" ref="G10:G22" si="3">F10/F$32</f>
        <v>3.6757339533705594E-2</v>
      </c>
      <c r="H10" s="105"/>
    </row>
    <row r="11" spans="1:8" x14ac:dyDescent="0.2">
      <c r="A11" s="14">
        <v>6</v>
      </c>
      <c r="B11" s="2" t="str">
        <f>'Summary of Returns'!B15</f>
        <v>Residential Off Peak Electric Thermal Storage Tariff</v>
      </c>
      <c r="C11" s="104">
        <f>'Summary of Returns'!C15</f>
        <v>7</v>
      </c>
      <c r="D11" s="82">
        <f>'Billing Det'!C13</f>
        <v>82</v>
      </c>
      <c r="E11" s="312">
        <v>398</v>
      </c>
      <c r="F11" s="82">
        <f t="shared" si="2"/>
        <v>32636</v>
      </c>
      <c r="G11" s="105">
        <f t="shared" si="3"/>
        <v>2.9439500275397702E-3</v>
      </c>
      <c r="H11" s="105"/>
    </row>
    <row r="12" spans="1:8" hidden="1" x14ac:dyDescent="0.2">
      <c r="A12" s="14">
        <v>7</v>
      </c>
      <c r="B12" s="2" t="str">
        <f>'Summary of Returns'!B16</f>
        <v>Small Comm. Off-Peak Electric Thermal Storage Tariff</v>
      </c>
      <c r="C12" s="104">
        <f>'Summary of Returns'!C16</f>
        <v>8</v>
      </c>
      <c r="D12" s="82">
        <v>0</v>
      </c>
      <c r="E12" s="312">
        <v>800</v>
      </c>
      <c r="F12" s="82">
        <f t="shared" si="2"/>
        <v>0</v>
      </c>
      <c r="G12" s="105">
        <f t="shared" si="3"/>
        <v>0</v>
      </c>
      <c r="H12" s="105"/>
    </row>
    <row r="13" spans="1:8" x14ac:dyDescent="0.2">
      <c r="A13" s="14">
        <v>8</v>
      </c>
      <c r="B13" s="2" t="str">
        <f>'Summary of Returns'!B17</f>
        <v>Schedule C - Large Commercial 10% Discount</v>
      </c>
      <c r="C13" s="104">
        <f>'Summary of Returns'!C17</f>
        <v>9</v>
      </c>
      <c r="D13" s="82">
        <f>'Billing Det'!C15</f>
        <v>4</v>
      </c>
      <c r="E13" s="312">
        <v>12864</v>
      </c>
      <c r="F13" s="82">
        <f t="shared" si="2"/>
        <v>51456</v>
      </c>
      <c r="G13" s="105">
        <f t="shared" si="3"/>
        <v>4.6416194575648493E-3</v>
      </c>
      <c r="H13" s="105"/>
    </row>
    <row r="14" spans="1:8" x14ac:dyDescent="0.2">
      <c r="A14" s="14">
        <v>9</v>
      </c>
      <c r="B14" s="2" t="str">
        <f>'Summary of Returns'!B18</f>
        <v>Schedule E - Large Industrial Rate</v>
      </c>
      <c r="C14" s="104">
        <f>'Summary of Returns'!C18</f>
        <v>10</v>
      </c>
      <c r="D14" s="82">
        <f>'Billing Det'!C16</f>
        <v>1</v>
      </c>
      <c r="E14" s="312">
        <v>13430</v>
      </c>
      <c r="F14" s="82">
        <f t="shared" si="2"/>
        <v>13430</v>
      </c>
      <c r="G14" s="105">
        <f t="shared" si="3"/>
        <v>1.2114612351347934E-3</v>
      </c>
      <c r="H14" s="105"/>
    </row>
    <row r="15" spans="1:8" x14ac:dyDescent="0.2">
      <c r="A15" s="14">
        <v>10</v>
      </c>
      <c r="B15" s="2" t="str">
        <f>'Summary of Returns'!B19</f>
        <v>Schedule LPC-2   Large Power Rate Tariff</v>
      </c>
      <c r="C15" s="104">
        <f>'Summary of Returns'!C19</f>
        <v>14</v>
      </c>
      <c r="D15" s="82">
        <f>'Billing Det'!C17</f>
        <v>1</v>
      </c>
      <c r="E15" s="312">
        <v>12864</v>
      </c>
      <c r="F15" s="82">
        <f t="shared" si="2"/>
        <v>12864</v>
      </c>
      <c r="G15" s="105">
        <f t="shared" si="3"/>
        <v>1.1604048643912123E-3</v>
      </c>
      <c r="H15" s="105"/>
    </row>
    <row r="16" spans="1:8" x14ac:dyDescent="0.2">
      <c r="A16" s="14">
        <v>11</v>
      </c>
      <c r="B16" s="2" t="str">
        <f>'Summary of Returns'!B20</f>
        <v xml:space="preserve">Schedule D - Large Comm/Ind Opt Time of Day Rate </v>
      </c>
      <c r="C16" s="104">
        <f>'Summary of Returns'!C20</f>
        <v>15</v>
      </c>
      <c r="D16" s="82">
        <f>'Billing Det'!C18</f>
        <v>4</v>
      </c>
      <c r="E16" s="312">
        <v>2330</v>
      </c>
      <c r="F16" s="82">
        <f t="shared" si="2"/>
        <v>9320</v>
      </c>
      <c r="G16" s="105">
        <f t="shared" si="3"/>
        <v>8.4071621083069798E-4</v>
      </c>
      <c r="H16" s="46"/>
    </row>
    <row r="17" spans="1:8" x14ac:dyDescent="0.2">
      <c r="A17" s="14">
        <v>12</v>
      </c>
      <c r="B17" s="2" t="str">
        <f>'Summary of Returns'!B21</f>
        <v>Net Metering Tariff</v>
      </c>
      <c r="C17" s="104">
        <f>'Summary of Returns'!C21</f>
        <v>20</v>
      </c>
      <c r="D17" s="82">
        <f>'Billing Det'!C19</f>
        <v>80</v>
      </c>
      <c r="E17" s="312">
        <v>398</v>
      </c>
      <c r="F17" s="82">
        <f t="shared" si="2"/>
        <v>31840</v>
      </c>
      <c r="G17" s="105">
        <f t="shared" si="3"/>
        <v>2.8721463683314833E-3</v>
      </c>
      <c r="H17" s="46"/>
    </row>
    <row r="18" spans="1:8" hidden="1" x14ac:dyDescent="0.2">
      <c r="A18" s="14">
        <v>13</v>
      </c>
      <c r="B18" s="2" t="str">
        <f>'Summary of Returns'!B22</f>
        <v>Schedule LPE4 Interruptible 1500 Firm 200</v>
      </c>
      <c r="C18" s="104">
        <f>'Summary of Returns'!C22</f>
        <v>24</v>
      </c>
      <c r="D18" s="82">
        <f>'Billing Det'!C20</f>
        <v>1</v>
      </c>
      <c r="E18" s="312">
        <v>13430</v>
      </c>
      <c r="F18" s="82">
        <f t="shared" si="2"/>
        <v>13430</v>
      </c>
      <c r="G18" s="105">
        <f t="shared" si="3"/>
        <v>1.2114612351347934E-3</v>
      </c>
      <c r="H18" s="46"/>
    </row>
    <row r="19" spans="1:8" hidden="1" x14ac:dyDescent="0.2">
      <c r="A19" s="14">
        <v>14</v>
      </c>
      <c r="B19" s="2" t="str">
        <f>'Summary of Returns'!B23</f>
        <v>Schedule LPE-4  Large Power Time of DayRate Tariff</v>
      </c>
      <c r="C19" s="104">
        <f>'Summary of Returns'!C23</f>
        <v>36</v>
      </c>
      <c r="D19" s="82">
        <f>'Billing Det'!C21</f>
        <v>0</v>
      </c>
      <c r="E19" s="312">
        <v>12964</v>
      </c>
      <c r="F19" s="82">
        <f t="shared" si="2"/>
        <v>0</v>
      </c>
      <c r="G19" s="105">
        <f t="shared" si="3"/>
        <v>0</v>
      </c>
      <c r="H19" s="46"/>
    </row>
    <row r="20" spans="1:8" x14ac:dyDescent="0.2">
      <c r="A20" s="14">
        <v>15</v>
      </c>
      <c r="B20" s="2" t="str">
        <f>'Summary of Returns'!B24</f>
        <v>Schedule C - TOD Comm - Three Phase</v>
      </c>
      <c r="C20" s="104">
        <f>'Summary of Returns'!C24</f>
        <v>50</v>
      </c>
      <c r="D20" s="82">
        <f>'Billing Det'!C22</f>
        <v>7</v>
      </c>
      <c r="E20" s="312">
        <v>4116</v>
      </c>
      <c r="F20" s="82">
        <f t="shared" si="2"/>
        <v>28812</v>
      </c>
      <c r="G20" s="105">
        <f t="shared" si="3"/>
        <v>2.599003805413527E-3</v>
      </c>
      <c r="H20" s="46"/>
    </row>
    <row r="21" spans="1:8" hidden="1" x14ac:dyDescent="0.2">
      <c r="A21" s="14"/>
      <c r="B21" s="2" t="str">
        <f>'Summary of Returns'!B25</f>
        <v>Lighting</v>
      </c>
      <c r="C21" s="104" t="str">
        <f>'Summary of Returns'!C25</f>
        <v>OL</v>
      </c>
      <c r="D21" s="82">
        <f>'Billing Det'!C23</f>
        <v>129</v>
      </c>
      <c r="E21" s="312">
        <v>0</v>
      </c>
      <c r="F21" s="82">
        <f t="shared" si="2"/>
        <v>0</v>
      </c>
      <c r="G21" s="105">
        <f t="shared" si="3"/>
        <v>0</v>
      </c>
      <c r="H21" s="46"/>
    </row>
    <row r="22" spans="1:8" hidden="1" x14ac:dyDescent="0.2">
      <c r="A22" s="14">
        <v>17</v>
      </c>
      <c r="B22" s="2">
        <f>'Summary of Returns'!B26</f>
        <v>0</v>
      </c>
      <c r="C22" s="104">
        <f>'Summary of Returns'!C26</f>
        <v>0</v>
      </c>
      <c r="D22" s="82">
        <f>'Billing Det'!C24</f>
        <v>0</v>
      </c>
      <c r="E22" s="312">
        <v>0</v>
      </c>
      <c r="F22" s="82">
        <f t="shared" si="2"/>
        <v>0</v>
      </c>
      <c r="G22" s="105">
        <f t="shared" si="3"/>
        <v>0</v>
      </c>
      <c r="H22" s="46"/>
    </row>
    <row r="23" spans="1:8" hidden="1" x14ac:dyDescent="0.2">
      <c r="A23" s="14"/>
      <c r="B23" s="2"/>
      <c r="C23" s="104"/>
      <c r="D23" s="32"/>
      <c r="E23" s="280"/>
      <c r="F23" s="32"/>
      <c r="G23" s="105"/>
      <c r="H23" s="46"/>
    </row>
    <row r="24" spans="1:8" hidden="1" x14ac:dyDescent="0.2">
      <c r="A24" s="14"/>
      <c r="B24" s="2"/>
      <c r="C24" s="104"/>
      <c r="D24" s="32"/>
      <c r="E24" s="280"/>
      <c r="F24" s="32"/>
      <c r="G24" s="105"/>
      <c r="H24" s="46"/>
    </row>
    <row r="25" spans="1:8" hidden="1" x14ac:dyDescent="0.2">
      <c r="A25" s="14"/>
      <c r="B25" s="2"/>
      <c r="C25" s="104"/>
      <c r="D25" s="32"/>
      <c r="E25" s="280"/>
      <c r="F25" s="32"/>
      <c r="G25" s="105"/>
      <c r="H25" s="46"/>
    </row>
    <row r="26" spans="1:8" hidden="1" x14ac:dyDescent="0.2">
      <c r="A26" s="14"/>
      <c r="B26" s="2"/>
      <c r="C26" s="104"/>
      <c r="D26" s="32"/>
      <c r="E26" s="280"/>
      <c r="F26" s="32"/>
      <c r="G26" s="105"/>
      <c r="H26" s="46"/>
    </row>
    <row r="27" spans="1:8" hidden="1" x14ac:dyDescent="0.2">
      <c r="A27" s="14"/>
      <c r="B27" s="2"/>
      <c r="C27" s="104"/>
      <c r="D27" s="32"/>
      <c r="E27" s="280"/>
      <c r="F27" s="32"/>
      <c r="G27" s="105"/>
      <c r="H27" s="46"/>
    </row>
    <row r="28" spans="1:8" hidden="1" x14ac:dyDescent="0.2">
      <c r="A28" s="14"/>
      <c r="B28" s="2"/>
      <c r="C28" s="104"/>
      <c r="D28" s="32"/>
      <c r="E28" s="280"/>
      <c r="F28" s="32"/>
      <c r="G28" s="105"/>
      <c r="H28" s="46"/>
    </row>
    <row r="29" spans="1:8" hidden="1" x14ac:dyDescent="0.2">
      <c r="A29" s="14"/>
      <c r="B29" s="2"/>
      <c r="C29" s="104"/>
      <c r="D29" s="32"/>
      <c r="E29" s="280"/>
      <c r="F29" s="32"/>
      <c r="G29" s="105"/>
      <c r="H29" s="46"/>
    </row>
    <row r="30" spans="1:8" hidden="1" x14ac:dyDescent="0.2">
      <c r="A30" s="14"/>
      <c r="B30" s="2"/>
      <c r="C30" s="14"/>
      <c r="D30" s="32"/>
      <c r="E30" s="280"/>
      <c r="F30" s="32"/>
      <c r="G30" s="105"/>
      <c r="H30" s="46"/>
    </row>
    <row r="31" spans="1:8" hidden="1" x14ac:dyDescent="0.2">
      <c r="A31" s="14"/>
      <c r="B31" s="2"/>
      <c r="C31" s="14"/>
      <c r="D31" s="32"/>
      <c r="E31" s="280"/>
      <c r="F31" s="32"/>
      <c r="G31" s="105"/>
      <c r="H31" s="46"/>
    </row>
    <row r="32" spans="1:8" ht="13.5" thickBot="1" x14ac:dyDescent="0.25">
      <c r="A32" s="14">
        <v>16</v>
      </c>
      <c r="B32" s="189" t="s">
        <v>0</v>
      </c>
      <c r="C32" s="106"/>
      <c r="D32" s="107">
        <f>SUM(D6:D31)</f>
        <v>26751</v>
      </c>
      <c r="E32" s="313"/>
      <c r="F32" s="107">
        <f t="shared" ref="F32" si="4">SUM(F6:F31)</f>
        <v>11085786</v>
      </c>
      <c r="G32" s="190">
        <f>SUM(G6:G31)</f>
        <v>1</v>
      </c>
      <c r="H32" s="166"/>
    </row>
    <row r="33" spans="1:16" ht="13.5" thickTop="1" x14ac:dyDescent="0.2">
      <c r="A33" s="14"/>
      <c r="B33" s="2"/>
      <c r="C33" s="108"/>
      <c r="D33" s="32"/>
      <c r="E33" s="280"/>
      <c r="F33" s="32"/>
    </row>
    <row r="34" spans="1:16" x14ac:dyDescent="0.2">
      <c r="B34" s="108"/>
      <c r="C34" s="32"/>
    </row>
    <row r="35" spans="1:16" x14ac:dyDescent="0.2">
      <c r="B35" s="108"/>
      <c r="C35" s="32"/>
    </row>
    <row r="36" spans="1:16" x14ac:dyDescent="0.2">
      <c r="B36" s="109"/>
      <c r="C36" s="110"/>
    </row>
    <row r="37" spans="1:16" s="1" customFormat="1" x14ac:dyDescent="0.2">
      <c r="A37" s="2"/>
      <c r="B37" s="109"/>
      <c r="C37" s="110"/>
      <c r="D37" s="2"/>
      <c r="E37" s="15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">
      <c r="B38" s="109"/>
      <c r="C38" s="110"/>
    </row>
    <row r="39" spans="1:16" x14ac:dyDescent="0.2">
      <c r="B39" s="108"/>
      <c r="C39" s="32"/>
    </row>
    <row r="40" spans="1:16" x14ac:dyDescent="0.2">
      <c r="B40" s="108"/>
      <c r="C40" s="32"/>
    </row>
    <row r="41" spans="1:16" x14ac:dyDescent="0.2">
      <c r="B41" s="108"/>
      <c r="C41" s="32"/>
    </row>
    <row r="42" spans="1:16" x14ac:dyDescent="0.2">
      <c r="B42" s="108"/>
      <c r="C42" s="32"/>
    </row>
    <row r="43" spans="1:16" x14ac:dyDescent="0.2">
      <c r="B43" s="108"/>
      <c r="C43" s="32"/>
    </row>
    <row r="44" spans="1:16" x14ac:dyDescent="0.2">
      <c r="B44" s="108"/>
      <c r="C44" s="32"/>
    </row>
    <row r="45" spans="1:16" x14ac:dyDescent="0.2">
      <c r="B45" s="108"/>
      <c r="C45" s="32"/>
    </row>
    <row r="46" spans="1:16" x14ac:dyDescent="0.2">
      <c r="B46" s="108"/>
      <c r="C46" s="32"/>
    </row>
    <row r="47" spans="1:16" x14ac:dyDescent="0.2">
      <c r="B47" s="108"/>
      <c r="C47" s="32"/>
    </row>
    <row r="48" spans="1:16" x14ac:dyDescent="0.2">
      <c r="B48" s="108"/>
      <c r="C48" s="32"/>
    </row>
    <row r="49" spans="2:3" x14ac:dyDescent="0.2">
      <c r="B49" s="108"/>
      <c r="C49" s="32"/>
    </row>
    <row r="50" spans="2:3" x14ac:dyDescent="0.2">
      <c r="B50" s="108"/>
      <c r="C50" s="32"/>
    </row>
    <row r="51" spans="2:3" x14ac:dyDescent="0.2">
      <c r="B51" s="108"/>
      <c r="C51" s="32"/>
    </row>
    <row r="52" spans="2:3" x14ac:dyDescent="0.2">
      <c r="B52" s="108"/>
      <c r="C52" s="32"/>
    </row>
    <row r="53" spans="2:3" x14ac:dyDescent="0.2">
      <c r="B53" s="108"/>
      <c r="C53" s="32"/>
    </row>
    <row r="54" spans="2:3" x14ac:dyDescent="0.2">
      <c r="B54" s="108"/>
      <c r="C54" s="32"/>
    </row>
    <row r="55" spans="2:3" x14ac:dyDescent="0.2">
      <c r="B55" s="108"/>
      <c r="C55" s="32"/>
    </row>
    <row r="56" spans="2:3" x14ac:dyDescent="0.2">
      <c r="B56" s="108"/>
      <c r="C56" s="32"/>
    </row>
    <row r="57" spans="2:3" x14ac:dyDescent="0.2">
      <c r="B57" s="108"/>
      <c r="C57" s="32"/>
    </row>
    <row r="58" spans="2:3" x14ac:dyDescent="0.2">
      <c r="B58" s="108"/>
      <c r="C58" s="32"/>
    </row>
    <row r="59" spans="2:3" x14ac:dyDescent="0.2">
      <c r="B59" s="108"/>
      <c r="C59" s="32"/>
    </row>
    <row r="60" spans="2:3" x14ac:dyDescent="0.2">
      <c r="B60" s="108"/>
      <c r="C60" s="32"/>
    </row>
    <row r="61" spans="2:3" x14ac:dyDescent="0.2">
      <c r="B61" s="108"/>
      <c r="C61" s="32"/>
    </row>
    <row r="62" spans="2:3" x14ac:dyDescent="0.2">
      <c r="B62" s="108"/>
      <c r="C62" s="32"/>
    </row>
    <row r="63" spans="2:3" x14ac:dyDescent="0.2">
      <c r="B63" s="108"/>
      <c r="C63" s="32"/>
    </row>
    <row r="64" spans="2:3" x14ac:dyDescent="0.2">
      <c r="B64" s="108"/>
      <c r="C64" s="32"/>
    </row>
    <row r="65" spans="2:3" x14ac:dyDescent="0.2">
      <c r="B65" s="108"/>
      <c r="C65" s="32"/>
    </row>
    <row r="66" spans="2:3" x14ac:dyDescent="0.2">
      <c r="B66" s="108"/>
      <c r="C66" s="32"/>
    </row>
    <row r="67" spans="2:3" x14ac:dyDescent="0.2">
      <c r="B67" s="108"/>
      <c r="C67" s="32"/>
    </row>
    <row r="68" spans="2:3" x14ac:dyDescent="0.2">
      <c r="B68" s="108"/>
      <c r="C68" s="32"/>
    </row>
    <row r="69" spans="2:3" x14ac:dyDescent="0.2">
      <c r="B69" s="108"/>
      <c r="C69" s="32"/>
    </row>
    <row r="70" spans="2:3" x14ac:dyDescent="0.2">
      <c r="B70" s="108"/>
      <c r="C70" s="32"/>
    </row>
    <row r="71" spans="2:3" x14ac:dyDescent="0.2">
      <c r="B71" s="108"/>
      <c r="C71" s="32"/>
    </row>
    <row r="72" spans="2:3" x14ac:dyDescent="0.2">
      <c r="B72" s="108"/>
      <c r="C72" s="32"/>
    </row>
    <row r="73" spans="2:3" x14ac:dyDescent="0.2">
      <c r="B73" s="108"/>
      <c r="C73" s="32"/>
    </row>
    <row r="74" spans="2:3" x14ac:dyDescent="0.2">
      <c r="B74" s="108"/>
      <c r="C74" s="32"/>
    </row>
    <row r="75" spans="2:3" x14ac:dyDescent="0.2">
      <c r="B75" s="108"/>
      <c r="C75" s="32"/>
    </row>
    <row r="76" spans="2:3" x14ac:dyDescent="0.2">
      <c r="B76" s="108"/>
      <c r="C76" s="32"/>
    </row>
    <row r="77" spans="2:3" x14ac:dyDescent="0.2">
      <c r="B77" s="108"/>
      <c r="C77" s="32"/>
    </row>
    <row r="78" spans="2:3" x14ac:dyDescent="0.2">
      <c r="B78" s="108"/>
      <c r="C78" s="32"/>
    </row>
    <row r="79" spans="2:3" x14ac:dyDescent="0.2">
      <c r="B79" s="108"/>
      <c r="C79" s="32"/>
    </row>
    <row r="80" spans="2:3" x14ac:dyDescent="0.2">
      <c r="B80" s="108"/>
      <c r="C80" s="32"/>
    </row>
    <row r="81" spans="2:3" x14ac:dyDescent="0.2">
      <c r="B81" s="108"/>
      <c r="C81" s="32"/>
    </row>
    <row r="82" spans="2:3" x14ac:dyDescent="0.2">
      <c r="B82" s="108"/>
      <c r="C82" s="32"/>
    </row>
    <row r="83" spans="2:3" x14ac:dyDescent="0.2">
      <c r="B83" s="108"/>
      <c r="C83" s="32"/>
    </row>
    <row r="84" spans="2:3" x14ac:dyDescent="0.2">
      <c r="B84" s="108"/>
      <c r="C84" s="32"/>
    </row>
    <row r="85" spans="2:3" x14ac:dyDescent="0.2">
      <c r="B85" s="108"/>
      <c r="C85" s="32"/>
    </row>
    <row r="86" spans="2:3" x14ac:dyDescent="0.2">
      <c r="B86" s="108"/>
      <c r="C86" s="32"/>
    </row>
    <row r="87" spans="2:3" x14ac:dyDescent="0.2">
      <c r="B87" s="111"/>
    </row>
    <row r="88" spans="2:3" x14ac:dyDescent="0.2">
      <c r="B88" s="111"/>
    </row>
    <row r="89" spans="2:3" x14ac:dyDescent="0.2">
      <c r="B89" s="111"/>
    </row>
  </sheetData>
  <phoneticPr fontId="0" type="noConversion"/>
  <printOptions horizontalCentered="1"/>
  <pageMargins left="0.75" right="0.75" top="1" bottom="1" header="0.5" footer="0.5"/>
  <pageSetup orientation="landscape" r:id="rId1"/>
  <headerFooter alignWithMargins="0">
    <oddFooter>&amp;RExhibit JW-7
Page 2 of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G72"/>
  <sheetViews>
    <sheetView tabSelected="1" view="pageBreakPreview" zoomScale="75" zoomScaleNormal="100" zoomScaleSheetLayoutView="75" workbookViewId="0">
      <selection activeCell="F92" sqref="F92"/>
    </sheetView>
  </sheetViews>
  <sheetFormatPr defaultColWidth="9.140625" defaultRowHeight="12.75" x14ac:dyDescent="0.2"/>
  <cols>
    <col min="1" max="1" width="6.7109375" style="2" customWidth="1"/>
    <col min="2" max="2" width="51" style="14" customWidth="1"/>
    <col min="3" max="3" width="8.42578125" style="13" customWidth="1"/>
    <col min="4" max="4" width="13.28515625" style="13" customWidth="1"/>
    <col min="5" max="5" width="13.28515625" style="314" customWidth="1"/>
    <col min="6" max="6" width="13.28515625" style="13" customWidth="1"/>
    <col min="7" max="7" width="12.85546875" style="2" customWidth="1"/>
    <col min="8" max="8" width="15.42578125" style="2" customWidth="1"/>
    <col min="9" max="9" width="15" style="2" customWidth="1"/>
    <col min="10" max="16384" width="9.140625" style="2"/>
  </cols>
  <sheetData>
    <row r="1" spans="1:7" x14ac:dyDescent="0.2">
      <c r="A1" s="1" t="str">
        <f>'Summary of Returns'!A1</f>
        <v>FARMERS R.E.C.C.</v>
      </c>
    </row>
    <row r="2" spans="1:7" x14ac:dyDescent="0.2">
      <c r="A2" s="1" t="s">
        <v>697</v>
      </c>
    </row>
    <row r="4" spans="1:7" ht="45.75" customHeight="1" thickBot="1" x14ac:dyDescent="0.25">
      <c r="A4" s="42" t="s">
        <v>913</v>
      </c>
      <c r="B4" s="65" t="s">
        <v>725</v>
      </c>
      <c r="C4" s="188" t="s">
        <v>731</v>
      </c>
      <c r="D4" s="60" t="s">
        <v>841</v>
      </c>
      <c r="E4" s="311" t="s">
        <v>1030</v>
      </c>
      <c r="F4" s="60" t="s">
        <v>1031</v>
      </c>
      <c r="G4" s="60" t="s">
        <v>1032</v>
      </c>
    </row>
    <row r="5" spans="1:7" x14ac:dyDescent="0.2">
      <c r="A5" s="14"/>
      <c r="B5" s="1"/>
      <c r="C5" s="38"/>
    </row>
    <row r="6" spans="1:7" x14ac:dyDescent="0.2">
      <c r="A6" s="14">
        <v>1</v>
      </c>
      <c r="B6" s="2" t="str">
        <f>'Summary of Returns'!B10</f>
        <v xml:space="preserve">Schedule R - Residential Rate </v>
      </c>
      <c r="C6" s="104">
        <f>'Summary of Returns'!C10</f>
        <v>1</v>
      </c>
      <c r="D6" s="82">
        <f>'Billing Det'!C8</f>
        <v>24574</v>
      </c>
      <c r="E6" s="312">
        <v>5650</v>
      </c>
      <c r="F6" s="82">
        <f>E6*D6</f>
        <v>138843100</v>
      </c>
      <c r="G6" s="105">
        <f>F6/F$32</f>
        <v>0.87165020687261763</v>
      </c>
    </row>
    <row r="7" spans="1:7" hidden="1" x14ac:dyDescent="0.2">
      <c r="A7" s="14">
        <v>2</v>
      </c>
      <c r="B7" s="2" t="str">
        <f>'Summary of Returns'!B11</f>
        <v>Schedule R - Pay As You Go ("Prepay")</v>
      </c>
      <c r="C7" s="104">
        <f>'Summary of Returns'!C11</f>
        <v>2</v>
      </c>
      <c r="D7" s="82">
        <f>'Billing Det'!C9</f>
        <v>0</v>
      </c>
      <c r="E7" s="312"/>
      <c r="F7" s="82">
        <f t="shared" ref="F7:F11" si="0">E7*D7</f>
        <v>0</v>
      </c>
      <c r="G7" s="105">
        <f t="shared" ref="G7:G11" si="1">F7/F$32</f>
        <v>0</v>
      </c>
    </row>
    <row r="8" spans="1:7" x14ac:dyDescent="0.2">
      <c r="A8" s="14">
        <v>3</v>
      </c>
      <c r="B8" s="2" t="str">
        <f>'Summary of Returns'!B12</f>
        <v>Schedule R - Residential Time of Day Rate</v>
      </c>
      <c r="C8" s="104">
        <f>'Summary of Returns'!C12</f>
        <v>3</v>
      </c>
      <c r="D8" s="82">
        <f>'Billing Det'!C10</f>
        <v>1</v>
      </c>
      <c r="E8" s="312">
        <v>5650</v>
      </c>
      <c r="F8" s="82">
        <f t="shared" si="0"/>
        <v>5650</v>
      </c>
      <c r="G8" s="105">
        <f t="shared" si="1"/>
        <v>3.5470424305062979E-5</v>
      </c>
    </row>
    <row r="9" spans="1:7" x14ac:dyDescent="0.2">
      <c r="A9" s="14">
        <v>4</v>
      </c>
      <c r="B9" s="2" t="str">
        <f>'Summary of Returns'!B13</f>
        <v>Schedule C - Comm. &amp; Indust. Service Rate &lt; 50 kW</v>
      </c>
      <c r="C9" s="104">
        <f>'Summary of Returns'!C13</f>
        <v>4</v>
      </c>
      <c r="D9" s="82">
        <f>'Billing Det'!C11</f>
        <v>1768</v>
      </c>
      <c r="E9" s="312">
        <v>7906</v>
      </c>
      <c r="F9" s="82">
        <f t="shared" si="0"/>
        <v>13977808</v>
      </c>
      <c r="G9" s="105">
        <f t="shared" si="1"/>
        <v>8.7751996568974103E-2</v>
      </c>
    </row>
    <row r="10" spans="1:7" x14ac:dyDescent="0.2">
      <c r="A10" s="14">
        <v>5</v>
      </c>
      <c r="B10" s="2" t="str">
        <f>'Summary of Returns'!B14</f>
        <v>Schedule C - Comm. &amp; Indust. Service Rate &gt; 50 kW</v>
      </c>
      <c r="C10" s="104">
        <f>'Summary of Returns'!C14</f>
        <v>5</v>
      </c>
      <c r="D10" s="82">
        <f>'Billing Det'!C12</f>
        <v>99</v>
      </c>
      <c r="E10" s="312">
        <v>47076</v>
      </c>
      <c r="F10" s="82">
        <f t="shared" si="0"/>
        <v>4660524</v>
      </c>
      <c r="G10" s="105">
        <f t="shared" si="1"/>
        <v>2.9258542259102537E-2</v>
      </c>
    </row>
    <row r="11" spans="1:7" x14ac:dyDescent="0.2">
      <c r="A11" s="14">
        <v>6</v>
      </c>
      <c r="B11" s="2" t="str">
        <f>'Summary of Returns'!B15</f>
        <v>Residential Off Peak Electric Thermal Storage Tariff</v>
      </c>
      <c r="C11" s="104">
        <f>'Summary of Returns'!C15</f>
        <v>7</v>
      </c>
      <c r="D11" s="82">
        <f>'Billing Det'!C13</f>
        <v>82</v>
      </c>
      <c r="E11" s="312">
        <v>398</v>
      </c>
      <c r="F11" s="82">
        <f t="shared" si="0"/>
        <v>32636</v>
      </c>
      <c r="G11" s="105">
        <f t="shared" si="1"/>
        <v>2.0488721550797085E-4</v>
      </c>
    </row>
    <row r="12" spans="1:7" hidden="1" x14ac:dyDescent="0.2">
      <c r="A12" s="14">
        <v>7</v>
      </c>
      <c r="B12" s="2" t="str">
        <f>'Summary of Returns'!B16</f>
        <v>Small Comm. Off-Peak Electric Thermal Storage Tariff</v>
      </c>
      <c r="C12" s="104">
        <f>'Summary of Returns'!C16</f>
        <v>8</v>
      </c>
      <c r="D12" s="82">
        <f>'Billing Det'!C14</f>
        <v>6</v>
      </c>
      <c r="E12" s="312"/>
      <c r="F12" s="82">
        <f t="shared" ref="F12:F22" si="2">E12*D12</f>
        <v>0</v>
      </c>
      <c r="G12" s="105">
        <f t="shared" ref="G12:G22" si="3">F12/F$32</f>
        <v>0</v>
      </c>
    </row>
    <row r="13" spans="1:7" x14ac:dyDescent="0.2">
      <c r="A13" s="14">
        <v>8</v>
      </c>
      <c r="B13" s="2" t="str">
        <f>'Summary of Returns'!B17</f>
        <v>Schedule C - Large Commercial 10% Discount</v>
      </c>
      <c r="C13" s="104">
        <f>'Summary of Returns'!C17</f>
        <v>9</v>
      </c>
      <c r="D13" s="82">
        <f>'Billing Det'!C15</f>
        <v>4</v>
      </c>
      <c r="E13" s="312">
        <v>17321</v>
      </c>
      <c r="F13" s="82">
        <f t="shared" si="2"/>
        <v>69284</v>
      </c>
      <c r="G13" s="105">
        <f t="shared" si="3"/>
        <v>4.3496157124813862E-4</v>
      </c>
    </row>
    <row r="14" spans="1:7" x14ac:dyDescent="0.2">
      <c r="A14" s="14">
        <v>9</v>
      </c>
      <c r="B14" s="2" t="str">
        <f>'Summary of Returns'!B18</f>
        <v>Schedule E - Large Industrial Rate</v>
      </c>
      <c r="C14" s="104">
        <f>'Summary of Returns'!C18</f>
        <v>10</v>
      </c>
      <c r="D14" s="82">
        <f>'Billing Det'!C16</f>
        <v>1</v>
      </c>
      <c r="E14" s="312">
        <v>654994</v>
      </c>
      <c r="F14" s="82">
        <f t="shared" si="2"/>
        <v>654994</v>
      </c>
      <c r="G14" s="105">
        <f t="shared" si="3"/>
        <v>4.112020371198304E-3</v>
      </c>
    </row>
    <row r="15" spans="1:7" x14ac:dyDescent="0.2">
      <c r="A15" s="14">
        <v>10</v>
      </c>
      <c r="B15" s="2" t="str">
        <f>'Summary of Returns'!B19</f>
        <v>Schedule LPC-2   Large Power Rate Tariff</v>
      </c>
      <c r="C15" s="104">
        <f>'Summary of Returns'!C19</f>
        <v>14</v>
      </c>
      <c r="D15" s="82">
        <f>'Billing Det'!C17</f>
        <v>1</v>
      </c>
      <c r="E15" s="312">
        <v>117527</v>
      </c>
      <c r="F15" s="82">
        <f t="shared" si="2"/>
        <v>117527</v>
      </c>
      <c r="G15" s="105">
        <f t="shared" si="3"/>
        <v>7.37828771203741E-4</v>
      </c>
    </row>
    <row r="16" spans="1:7" x14ac:dyDescent="0.2">
      <c r="A16" s="14">
        <v>11</v>
      </c>
      <c r="B16" s="2" t="str">
        <f>'Summary of Returns'!B20</f>
        <v xml:space="preserve">Schedule D - Large Comm/Ind Opt Time of Day Rate </v>
      </c>
      <c r="C16" s="104">
        <f>'Summary of Returns'!C20</f>
        <v>15</v>
      </c>
      <c r="D16" s="82">
        <f>'Billing Det'!C18</f>
        <v>4</v>
      </c>
      <c r="E16" s="312">
        <v>23330</v>
      </c>
      <c r="F16" s="82">
        <f t="shared" si="2"/>
        <v>93320</v>
      </c>
      <c r="G16" s="105">
        <f t="shared" si="3"/>
        <v>5.858584063979605E-4</v>
      </c>
    </row>
    <row r="17" spans="1:7" x14ac:dyDescent="0.2">
      <c r="A17" s="14">
        <v>12</v>
      </c>
      <c r="B17" s="2" t="str">
        <f>'Summary of Returns'!B21</f>
        <v>Net Metering Tariff</v>
      </c>
      <c r="C17" s="104">
        <f>'Summary of Returns'!C21</f>
        <v>20</v>
      </c>
      <c r="D17" s="82">
        <f>'Billing Det'!C19</f>
        <v>80</v>
      </c>
      <c r="E17" s="312">
        <v>6002</v>
      </c>
      <c r="F17" s="82">
        <f t="shared" si="2"/>
        <v>480160</v>
      </c>
      <c r="G17" s="105">
        <f t="shared" si="3"/>
        <v>3.0144210503219538E-3</v>
      </c>
    </row>
    <row r="18" spans="1:7" hidden="1" x14ac:dyDescent="0.2">
      <c r="A18" s="14">
        <v>13</v>
      </c>
      <c r="B18" s="2" t="str">
        <f>'Summary of Returns'!B22</f>
        <v>Schedule LPE4 Interruptible 1500 Firm 200</v>
      </c>
      <c r="C18" s="104">
        <f>'Summary of Returns'!C22</f>
        <v>24</v>
      </c>
      <c r="D18" s="82">
        <f>'Billing Det'!C20</f>
        <v>1</v>
      </c>
      <c r="E18" s="312"/>
      <c r="F18" s="82">
        <f t="shared" si="2"/>
        <v>0</v>
      </c>
      <c r="G18" s="105">
        <f t="shared" si="3"/>
        <v>0</v>
      </c>
    </row>
    <row r="19" spans="1:7" hidden="1" x14ac:dyDescent="0.2">
      <c r="A19" s="14">
        <v>14</v>
      </c>
      <c r="B19" s="2" t="str">
        <f>'Summary of Returns'!B23</f>
        <v>Schedule LPE-4  Large Power Time of DayRate Tariff</v>
      </c>
      <c r="C19" s="104">
        <f>'Summary of Returns'!C23</f>
        <v>36</v>
      </c>
      <c r="D19" s="82">
        <f>'Billing Det'!C21</f>
        <v>0</v>
      </c>
      <c r="E19" s="312">
        <v>465691</v>
      </c>
      <c r="F19" s="82">
        <f t="shared" si="2"/>
        <v>0</v>
      </c>
      <c r="G19" s="105">
        <f t="shared" si="3"/>
        <v>0</v>
      </c>
    </row>
    <row r="20" spans="1:7" x14ac:dyDescent="0.2">
      <c r="A20" s="14">
        <v>15</v>
      </c>
      <c r="B20" s="2" t="str">
        <f>'Summary of Returns'!B24</f>
        <v>Schedule C - TOD Comm - Three Phase</v>
      </c>
      <c r="C20" s="104">
        <f>'Summary of Returns'!C24</f>
        <v>50</v>
      </c>
      <c r="D20" s="82">
        <f>'Billing Det'!C22</f>
        <v>7</v>
      </c>
      <c r="E20" s="312">
        <v>50376</v>
      </c>
      <c r="F20" s="82">
        <f t="shared" si="2"/>
        <v>352632</v>
      </c>
      <c r="G20" s="105">
        <f t="shared" si="3"/>
        <v>2.2138064891226491E-3</v>
      </c>
    </row>
    <row r="21" spans="1:7" hidden="1" x14ac:dyDescent="0.2">
      <c r="A21" s="14"/>
      <c r="B21" s="2" t="str">
        <f>'Summary of Returns'!B25</f>
        <v>Lighting</v>
      </c>
      <c r="C21" s="104" t="str">
        <f>'Summary of Returns'!C25</f>
        <v>OL</v>
      </c>
      <c r="D21" s="82">
        <f>'Billing Det'!C23</f>
        <v>129</v>
      </c>
      <c r="E21" s="312">
        <v>0</v>
      </c>
      <c r="F21" s="82">
        <f t="shared" si="2"/>
        <v>0</v>
      </c>
      <c r="G21" s="105">
        <f t="shared" si="3"/>
        <v>0</v>
      </c>
    </row>
    <row r="22" spans="1:7" hidden="1" x14ac:dyDescent="0.2">
      <c r="A22" s="14">
        <v>17</v>
      </c>
      <c r="B22" s="2">
        <f>'Summary of Returns'!B26</f>
        <v>0</v>
      </c>
      <c r="C22" s="104">
        <f>'Summary of Returns'!C26</f>
        <v>0</v>
      </c>
      <c r="D22" s="82">
        <f>'Billing Det'!C24</f>
        <v>0</v>
      </c>
      <c r="E22" s="312">
        <v>0</v>
      </c>
      <c r="F22" s="82">
        <f t="shared" si="2"/>
        <v>0</v>
      </c>
      <c r="G22" s="105">
        <f t="shared" si="3"/>
        <v>0</v>
      </c>
    </row>
    <row r="23" spans="1:7" hidden="1" x14ac:dyDescent="0.2">
      <c r="A23" s="14"/>
      <c r="B23" s="2"/>
      <c r="C23" s="191"/>
      <c r="D23" s="113"/>
      <c r="E23" s="315"/>
      <c r="F23" s="110"/>
      <c r="G23" s="192"/>
    </row>
    <row r="24" spans="1:7" hidden="1" x14ac:dyDescent="0.2">
      <c r="A24" s="14"/>
      <c r="B24" s="2"/>
      <c r="C24" s="191"/>
      <c r="D24" s="113"/>
      <c r="E24" s="315"/>
      <c r="F24" s="110"/>
      <c r="G24" s="192"/>
    </row>
    <row r="25" spans="1:7" hidden="1" x14ac:dyDescent="0.2">
      <c r="A25" s="14"/>
      <c r="B25" s="2"/>
      <c r="C25" s="191"/>
      <c r="D25" s="113"/>
      <c r="E25" s="315"/>
      <c r="F25" s="110"/>
      <c r="G25" s="192"/>
    </row>
    <row r="26" spans="1:7" hidden="1" x14ac:dyDescent="0.2">
      <c r="A26" s="14"/>
      <c r="B26" s="2"/>
      <c r="C26" s="191"/>
      <c r="D26" s="113"/>
      <c r="E26" s="315"/>
      <c r="F26" s="110"/>
      <c r="G26" s="192"/>
    </row>
    <row r="27" spans="1:7" hidden="1" x14ac:dyDescent="0.2">
      <c r="A27" s="14"/>
      <c r="B27" s="2"/>
      <c r="C27" s="191"/>
      <c r="D27" s="113"/>
      <c r="E27" s="315"/>
      <c r="F27" s="110"/>
      <c r="G27" s="192"/>
    </row>
    <row r="28" spans="1:7" hidden="1" x14ac:dyDescent="0.2">
      <c r="A28" s="14"/>
      <c r="B28" s="2"/>
      <c r="C28" s="191"/>
      <c r="D28" s="113"/>
      <c r="E28" s="315"/>
      <c r="F28" s="110"/>
      <c r="G28" s="192"/>
    </row>
    <row r="29" spans="1:7" hidden="1" x14ac:dyDescent="0.2">
      <c r="A29" s="14"/>
      <c r="B29" s="2"/>
      <c r="C29" s="14"/>
      <c r="D29" s="113"/>
      <c r="E29" s="315"/>
      <c r="F29" s="110"/>
      <c r="G29" s="192"/>
    </row>
    <row r="30" spans="1:7" hidden="1" x14ac:dyDescent="0.2">
      <c r="A30" s="14"/>
      <c r="B30" s="2"/>
      <c r="C30" s="14"/>
      <c r="D30" s="113"/>
      <c r="E30" s="315"/>
      <c r="F30" s="110"/>
      <c r="G30" s="192"/>
    </row>
    <row r="31" spans="1:7" hidden="1" x14ac:dyDescent="0.2">
      <c r="A31" s="14"/>
      <c r="B31" s="2"/>
      <c r="C31" s="14"/>
      <c r="D31" s="113"/>
      <c r="E31" s="315"/>
      <c r="F31" s="110"/>
      <c r="G31" s="192"/>
    </row>
    <row r="32" spans="1:7" hidden="1" x14ac:dyDescent="0.2">
      <c r="A32" s="14"/>
      <c r="B32" s="2"/>
      <c r="C32" s="14"/>
      <c r="D32" s="113"/>
      <c r="E32" s="315"/>
      <c r="F32" s="110">
        <f t="shared" ref="F32" si="4">SUM(F6:F31)</f>
        <v>159287635</v>
      </c>
      <c r="G32" s="166">
        <f>SUM(G6:G31)</f>
        <v>0.99999999999999989</v>
      </c>
    </row>
    <row r="33" spans="1:7" ht="13.5" thickBot="1" x14ac:dyDescent="0.25">
      <c r="A33" s="14">
        <v>16</v>
      </c>
      <c r="B33" s="189" t="s">
        <v>0</v>
      </c>
      <c r="C33" s="106"/>
      <c r="D33" s="112">
        <f>SUM(D6:D32)</f>
        <v>26757</v>
      </c>
      <c r="E33" s="316"/>
      <c r="F33" s="112"/>
      <c r="G33" s="193">
        <f t="shared" ref="G33" si="5">D33/D$33</f>
        <v>1</v>
      </c>
    </row>
    <row r="34" spans="1:7" ht="13.5" thickTop="1" x14ac:dyDescent="0.2">
      <c r="B34" s="109"/>
      <c r="C34" s="113"/>
    </row>
    <row r="35" spans="1:7" x14ac:dyDescent="0.2">
      <c r="B35" s="109"/>
      <c r="C35" s="113"/>
    </row>
    <row r="36" spans="1:7" x14ac:dyDescent="0.2">
      <c r="B36" s="109"/>
      <c r="C36" s="113"/>
    </row>
    <row r="37" spans="1:7" x14ac:dyDescent="0.2">
      <c r="B37" s="109"/>
      <c r="C37" s="113"/>
    </row>
    <row r="38" spans="1:7" x14ac:dyDescent="0.2">
      <c r="B38" s="109"/>
      <c r="C38" s="113"/>
    </row>
    <row r="39" spans="1:7" x14ac:dyDescent="0.2">
      <c r="B39" s="109"/>
      <c r="C39" s="113"/>
    </row>
    <row r="40" spans="1:7" x14ac:dyDescent="0.2">
      <c r="B40" s="109"/>
      <c r="C40" s="113"/>
    </row>
    <row r="41" spans="1:7" x14ac:dyDescent="0.2">
      <c r="B41" s="109"/>
      <c r="C41" s="113"/>
    </row>
    <row r="42" spans="1:7" x14ac:dyDescent="0.2">
      <c r="B42" s="109"/>
      <c r="C42" s="113"/>
    </row>
    <row r="43" spans="1:7" x14ac:dyDescent="0.2">
      <c r="B43" s="109"/>
      <c r="C43" s="113"/>
    </row>
    <row r="44" spans="1:7" x14ac:dyDescent="0.2">
      <c r="B44" s="109"/>
      <c r="C44" s="113"/>
    </row>
    <row r="45" spans="1:7" x14ac:dyDescent="0.2">
      <c r="B45" s="109"/>
      <c r="C45" s="113"/>
    </row>
    <row r="46" spans="1:7" x14ac:dyDescent="0.2">
      <c r="B46" s="109"/>
      <c r="C46" s="113"/>
    </row>
    <row r="47" spans="1:7" x14ac:dyDescent="0.2">
      <c r="B47" s="109"/>
      <c r="C47" s="113"/>
    </row>
    <row r="48" spans="1:7" x14ac:dyDescent="0.2">
      <c r="B48" s="109"/>
      <c r="C48" s="113"/>
    </row>
    <row r="49" spans="2:3" x14ac:dyDescent="0.2">
      <c r="B49" s="109"/>
      <c r="C49" s="113"/>
    </row>
    <row r="50" spans="2:3" x14ac:dyDescent="0.2">
      <c r="B50" s="109"/>
      <c r="C50" s="113"/>
    </row>
    <row r="51" spans="2:3" x14ac:dyDescent="0.2">
      <c r="B51" s="109"/>
      <c r="C51" s="113"/>
    </row>
    <row r="52" spans="2:3" x14ac:dyDescent="0.2">
      <c r="B52" s="109"/>
      <c r="C52" s="113"/>
    </row>
    <row r="53" spans="2:3" x14ac:dyDescent="0.2">
      <c r="B53" s="109"/>
      <c r="C53" s="113"/>
    </row>
    <row r="54" spans="2:3" x14ac:dyDescent="0.2">
      <c r="B54" s="109"/>
      <c r="C54" s="113"/>
    </row>
    <row r="55" spans="2:3" x14ac:dyDescent="0.2">
      <c r="B55" s="109"/>
      <c r="C55" s="113"/>
    </row>
    <row r="56" spans="2:3" x14ac:dyDescent="0.2">
      <c r="B56" s="109"/>
      <c r="C56" s="113"/>
    </row>
    <row r="57" spans="2:3" x14ac:dyDescent="0.2">
      <c r="B57" s="109"/>
      <c r="C57" s="113"/>
    </row>
    <row r="58" spans="2:3" x14ac:dyDescent="0.2">
      <c r="B58" s="109"/>
      <c r="C58" s="113"/>
    </row>
    <row r="59" spans="2:3" x14ac:dyDescent="0.2">
      <c r="B59" s="109"/>
      <c r="C59" s="113"/>
    </row>
    <row r="60" spans="2:3" x14ac:dyDescent="0.2">
      <c r="B60" s="109"/>
      <c r="C60" s="113"/>
    </row>
    <row r="61" spans="2:3" x14ac:dyDescent="0.2">
      <c r="B61" s="109"/>
      <c r="C61" s="113"/>
    </row>
    <row r="62" spans="2:3" x14ac:dyDescent="0.2">
      <c r="B62" s="109"/>
      <c r="C62" s="113"/>
    </row>
    <row r="63" spans="2:3" x14ac:dyDescent="0.2">
      <c r="B63" s="109"/>
      <c r="C63" s="113"/>
    </row>
    <row r="64" spans="2:3" x14ac:dyDescent="0.2">
      <c r="B64" s="109"/>
      <c r="C64" s="113"/>
    </row>
    <row r="65" spans="2:3" x14ac:dyDescent="0.2">
      <c r="B65" s="109"/>
      <c r="C65" s="113"/>
    </row>
    <row r="66" spans="2:3" x14ac:dyDescent="0.2">
      <c r="B66" s="109"/>
      <c r="C66" s="113"/>
    </row>
    <row r="67" spans="2:3" x14ac:dyDescent="0.2">
      <c r="B67" s="109"/>
      <c r="C67" s="113"/>
    </row>
    <row r="68" spans="2:3" x14ac:dyDescent="0.2">
      <c r="B68" s="109"/>
      <c r="C68" s="113"/>
    </row>
    <row r="69" spans="2:3" x14ac:dyDescent="0.2">
      <c r="B69" s="109"/>
      <c r="C69" s="113"/>
    </row>
    <row r="70" spans="2:3" x14ac:dyDescent="0.2">
      <c r="B70" s="109"/>
      <c r="C70" s="113"/>
    </row>
    <row r="71" spans="2:3" x14ac:dyDescent="0.2">
      <c r="B71" s="109"/>
      <c r="C71" s="113"/>
    </row>
    <row r="72" spans="2:3" x14ac:dyDescent="0.2">
      <c r="B72" s="109"/>
      <c r="C72" s="113"/>
    </row>
  </sheetData>
  <phoneticPr fontId="0" type="noConversion"/>
  <printOptions horizontalCentered="1"/>
  <pageMargins left="0.75" right="0.75" top="1" bottom="1" header="0.5" footer="0.5"/>
  <pageSetup orientation="landscape" r:id="rId1"/>
  <headerFooter alignWithMargins="0">
    <oddFooter>&amp;RExhibit JW-7
Page 3 of 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37"/>
  <sheetViews>
    <sheetView view="pageBreakPreview" topLeftCell="A110" zoomScaleNormal="83" zoomScaleSheetLayoutView="100" workbookViewId="0">
      <selection activeCell="I123" sqref="I123"/>
    </sheetView>
  </sheetViews>
  <sheetFormatPr defaultColWidth="9.140625" defaultRowHeight="12.75" x14ac:dyDescent="0.2"/>
  <cols>
    <col min="1" max="1" width="3.140625" style="2" customWidth="1"/>
    <col min="2" max="2" width="39.85546875" style="2" customWidth="1"/>
    <col min="3" max="3" width="10.42578125" style="2" bestFit="1" customWidth="1"/>
    <col min="4" max="4" width="16.85546875" style="2" bestFit="1" customWidth="1"/>
    <col min="5" max="5" width="12.7109375" style="2" bestFit="1" customWidth="1"/>
    <col min="6" max="6" width="13.28515625" style="2" customWidth="1"/>
    <col min="7" max="7" width="3.7109375" style="2" customWidth="1"/>
    <col min="8" max="8" width="14.5703125" style="2" customWidth="1"/>
    <col min="9" max="9" width="18.42578125" style="2" customWidth="1"/>
    <col min="10" max="10" width="13.7109375" style="2" bestFit="1" customWidth="1"/>
    <col min="11" max="11" width="2.28515625" style="2" customWidth="1"/>
    <col min="12" max="12" width="6.28515625" style="14" customWidth="1"/>
    <col min="13" max="13" width="14.140625" style="2" bestFit="1" customWidth="1"/>
    <col min="14" max="14" width="10.28515625" style="2" customWidth="1"/>
    <col min="15" max="15" width="10.42578125" style="2" customWidth="1"/>
    <col min="16" max="16384" width="9.140625" style="2"/>
  </cols>
  <sheetData>
    <row r="1" spans="1:13" x14ac:dyDescent="0.2">
      <c r="A1" s="1" t="str">
        <f>'Summary of Returns'!A1</f>
        <v>FARMERS R.E.C.C.</v>
      </c>
    </row>
    <row r="2" spans="1:13" x14ac:dyDescent="0.2">
      <c r="A2" s="1" t="s">
        <v>956</v>
      </c>
    </row>
    <row r="4" spans="1:13" x14ac:dyDescent="0.2">
      <c r="A4" s="1" t="s">
        <v>946</v>
      </c>
      <c r="B4" s="3"/>
      <c r="D4" s="17"/>
      <c r="E4" s="17"/>
      <c r="F4" s="17"/>
      <c r="G4" s="17"/>
      <c r="H4" s="17"/>
      <c r="I4" s="17"/>
      <c r="J4" s="17"/>
      <c r="K4" s="17"/>
      <c r="L4" s="18"/>
      <c r="M4" s="17"/>
    </row>
    <row r="5" spans="1:13" x14ac:dyDescent="0.2">
      <c r="C5" s="275"/>
      <c r="F5" s="38" t="s">
        <v>921</v>
      </c>
      <c r="I5" s="38" t="s">
        <v>922</v>
      </c>
    </row>
    <row r="6" spans="1:13" x14ac:dyDescent="0.2">
      <c r="C6" s="136"/>
      <c r="D6" s="38"/>
      <c r="E6" s="4"/>
      <c r="F6" s="38" t="s">
        <v>923</v>
      </c>
      <c r="H6" s="38"/>
      <c r="I6" s="38"/>
      <c r="J6" s="38"/>
      <c r="K6" s="38"/>
    </row>
    <row r="7" spans="1:13" x14ac:dyDescent="0.2">
      <c r="B7" s="5" t="s">
        <v>6</v>
      </c>
      <c r="C7" s="6" t="s">
        <v>924</v>
      </c>
      <c r="D7" s="84" t="s">
        <v>925</v>
      </c>
      <c r="E7" s="7" t="s">
        <v>926</v>
      </c>
      <c r="F7" s="84" t="s">
        <v>927</v>
      </c>
      <c r="H7" s="8" t="s">
        <v>928</v>
      </c>
      <c r="I7" s="8" t="s">
        <v>929</v>
      </c>
      <c r="J7" s="8" t="s">
        <v>930</v>
      </c>
      <c r="K7" s="9"/>
    </row>
    <row r="8" spans="1:13" x14ac:dyDescent="0.2">
      <c r="B8" s="156" t="s">
        <v>1054</v>
      </c>
      <c r="C8" s="283">
        <v>41.74</v>
      </c>
      <c r="D8" s="282">
        <v>2081614.72</v>
      </c>
      <c r="E8" s="280">
        <v>20562104</v>
      </c>
      <c r="F8" s="10">
        <f t="shared" ref="F8" si="0">D8/E8</f>
        <v>0.10123549224340077</v>
      </c>
      <c r="G8" s="19"/>
      <c r="H8" s="10">
        <f t="shared" ref="H8" si="1">F8*E8^0.5</f>
        <v>459.05695816566038</v>
      </c>
      <c r="I8" s="10">
        <f t="shared" ref="I8" si="2">E8^0.5</f>
        <v>4534.5456222205994</v>
      </c>
      <c r="J8" s="10">
        <f t="shared" ref="J8" si="3">C8*E8^0.5</f>
        <v>189271.93427148781</v>
      </c>
      <c r="K8" s="10"/>
    </row>
    <row r="9" spans="1:13" x14ac:dyDescent="0.2">
      <c r="B9" s="156" t="s">
        <v>1055</v>
      </c>
      <c r="C9" s="283">
        <v>66.369</v>
      </c>
      <c r="D9" s="282">
        <v>4783451.5199999996</v>
      </c>
      <c r="E9" s="280">
        <v>10284972</v>
      </c>
      <c r="F9" s="10">
        <f t="shared" ref="F9:F14" si="4">D9/E9</f>
        <v>0.46509135075914643</v>
      </c>
      <c r="G9" s="19"/>
      <c r="H9" s="10">
        <f t="shared" ref="H9:H14" si="5">F9*E9^0.5</f>
        <v>1491.5568808220796</v>
      </c>
      <c r="I9" s="10">
        <f t="shared" ref="I9:I14" si="6">E9^0.5</f>
        <v>3207.019176743413</v>
      </c>
      <c r="J9" s="10">
        <f t="shared" ref="J9:J14" si="7">C9*E9^0.5</f>
        <v>212846.65574128358</v>
      </c>
      <c r="K9" s="10"/>
    </row>
    <row r="10" spans="1:13" x14ac:dyDescent="0.2">
      <c r="B10" s="156" t="s">
        <v>1056</v>
      </c>
      <c r="C10" s="283">
        <v>105.53100000000001</v>
      </c>
      <c r="D10" s="282">
        <v>1965969.27</v>
      </c>
      <c r="E10" s="280">
        <v>5270505</v>
      </c>
      <c r="F10" s="10">
        <f t="shared" si="4"/>
        <v>0.37301345317004725</v>
      </c>
      <c r="G10" s="19"/>
      <c r="H10" s="10">
        <f t="shared" si="5"/>
        <v>856.34863591232329</v>
      </c>
      <c r="I10" s="10">
        <f t="shared" si="6"/>
        <v>2295.7580447425203</v>
      </c>
      <c r="J10" s="10">
        <f t="shared" si="7"/>
        <v>242273.64221972291</v>
      </c>
      <c r="K10" s="10"/>
    </row>
    <row r="11" spans="1:13" x14ac:dyDescent="0.2">
      <c r="B11" s="156" t="s">
        <v>1057</v>
      </c>
      <c r="C11" s="283">
        <v>133.072</v>
      </c>
      <c r="D11" s="282">
        <v>7394.15</v>
      </c>
      <c r="E11" s="280">
        <v>79472</v>
      </c>
      <c r="F11" s="10">
        <f t="shared" si="4"/>
        <v>9.3040945238574591E-2</v>
      </c>
      <c r="G11" s="19"/>
      <c r="H11" s="10">
        <f t="shared" si="5"/>
        <v>26.228966911333096</v>
      </c>
      <c r="I11" s="10">
        <f t="shared" si="6"/>
        <v>281.90778634156243</v>
      </c>
      <c r="J11" s="10">
        <f t="shared" si="7"/>
        <v>37514.032944044397</v>
      </c>
      <c r="K11" s="10"/>
    </row>
    <row r="12" spans="1:13" x14ac:dyDescent="0.2">
      <c r="B12" s="156" t="s">
        <v>1058</v>
      </c>
      <c r="C12" s="283">
        <v>167.8</v>
      </c>
      <c r="D12" s="282">
        <v>48624.75</v>
      </c>
      <c r="E12" s="280">
        <v>318662</v>
      </c>
      <c r="F12" s="10">
        <f t="shared" si="4"/>
        <v>0.15259036220195693</v>
      </c>
      <c r="G12" s="19"/>
      <c r="H12" s="10">
        <f t="shared" si="5"/>
        <v>86.137495984499139</v>
      </c>
      <c r="I12" s="10">
        <f t="shared" si="6"/>
        <v>564.5015500421589</v>
      </c>
      <c r="J12" s="10">
        <f t="shared" si="7"/>
        <v>94723.36009707427</v>
      </c>
      <c r="K12" s="10"/>
    </row>
    <row r="13" spans="1:13" x14ac:dyDescent="0.2">
      <c r="B13" s="156" t="s">
        <v>1059</v>
      </c>
      <c r="C13" s="283">
        <v>211.59200000000001</v>
      </c>
      <c r="D13" s="282">
        <v>805228.22</v>
      </c>
      <c r="E13" s="280">
        <v>1236204</v>
      </c>
      <c r="F13" s="10">
        <f t="shared" si="4"/>
        <v>0.65137163445515467</v>
      </c>
      <c r="G13" s="19"/>
      <c r="H13" s="10">
        <f t="shared" si="5"/>
        <v>724.2256704721359</v>
      </c>
      <c r="I13" s="10">
        <f t="shared" si="6"/>
        <v>1111.8471117919046</v>
      </c>
      <c r="J13" s="10">
        <f t="shared" si="7"/>
        <v>235257.95407827268</v>
      </c>
      <c r="K13" s="10"/>
    </row>
    <row r="14" spans="1:13" x14ac:dyDescent="0.2">
      <c r="B14" s="156" t="s">
        <v>1060</v>
      </c>
      <c r="C14" s="283">
        <v>249.816</v>
      </c>
      <c r="D14" s="282">
        <v>115013.66</v>
      </c>
      <c r="E14" s="280">
        <v>34894</v>
      </c>
      <c r="F14" s="10">
        <f t="shared" si="4"/>
        <v>3.2960870063621255</v>
      </c>
      <c r="G14" s="19"/>
      <c r="H14" s="10">
        <f t="shared" si="5"/>
        <v>615.70693538415765</v>
      </c>
      <c r="I14" s="10">
        <f t="shared" si="6"/>
        <v>186.79935760060846</v>
      </c>
      <c r="J14" s="10">
        <f t="shared" si="7"/>
        <v>46665.468318353604</v>
      </c>
      <c r="K14" s="10"/>
    </row>
    <row r="15" spans="1:13" x14ac:dyDescent="0.2">
      <c r="B15" s="156" t="s">
        <v>1061</v>
      </c>
      <c r="C15" s="283">
        <v>397</v>
      </c>
      <c r="D15" s="282">
        <v>1251934.6200000001</v>
      </c>
      <c r="E15" s="280">
        <v>1021334</v>
      </c>
      <c r="F15" s="10">
        <f t="shared" ref="F15:F24" si="8">D15/E15</f>
        <v>1.2257837494884143</v>
      </c>
      <c r="G15" s="19"/>
      <c r="H15" s="10">
        <f t="shared" ref="H15:H24" si="9">F15*E15^0.5</f>
        <v>1238.790181030651</v>
      </c>
      <c r="I15" s="10">
        <f t="shared" ref="I15:I24" si="10">E15^0.5</f>
        <v>1010.6107064542706</v>
      </c>
      <c r="J15" s="10">
        <f t="shared" ref="J15:J24" si="11">C15*E15^0.5</f>
        <v>401212.45046234544</v>
      </c>
      <c r="K15" s="10"/>
    </row>
    <row r="16" spans="1:13" x14ac:dyDescent="0.2">
      <c r="B16" s="156" t="s">
        <v>1062</v>
      </c>
      <c r="C16" s="283">
        <v>452</v>
      </c>
      <c r="D16" s="282">
        <v>16077.89</v>
      </c>
      <c r="E16" s="280">
        <v>75969</v>
      </c>
      <c r="F16" s="10">
        <f t="shared" si="8"/>
        <v>0.21163751003698877</v>
      </c>
      <c r="G16" s="19"/>
      <c r="H16" s="10">
        <f t="shared" si="9"/>
        <v>58.332534714759326</v>
      </c>
      <c r="I16" s="10">
        <f t="shared" si="10"/>
        <v>275.62474489784114</v>
      </c>
      <c r="J16" s="10">
        <f t="shared" si="11"/>
        <v>124582.38469382419</v>
      </c>
      <c r="K16" s="10"/>
    </row>
    <row r="17" spans="2:11" x14ac:dyDescent="0.2">
      <c r="B17" s="156" t="s">
        <v>1063</v>
      </c>
      <c r="C17" s="283">
        <v>37</v>
      </c>
      <c r="D17" s="282">
        <v>15945</v>
      </c>
      <c r="E17" s="280">
        <v>8265</v>
      </c>
      <c r="F17" s="10">
        <f t="shared" si="8"/>
        <v>1.9292196007259528</v>
      </c>
      <c r="G17" s="19"/>
      <c r="H17" s="10">
        <f t="shared" si="9"/>
        <v>175.38929994037639</v>
      </c>
      <c r="I17" s="10">
        <f t="shared" si="10"/>
        <v>90.912045406535654</v>
      </c>
      <c r="J17" s="10">
        <f t="shared" si="11"/>
        <v>3363.745680041819</v>
      </c>
      <c r="K17" s="10"/>
    </row>
    <row r="18" spans="2:11" x14ac:dyDescent="0.2">
      <c r="B18" s="156" t="s">
        <v>1064</v>
      </c>
      <c r="C18" s="283">
        <v>26.251000000000001</v>
      </c>
      <c r="D18" s="282">
        <v>147.26</v>
      </c>
      <c r="E18" s="280">
        <v>2983</v>
      </c>
      <c r="F18" s="10">
        <f t="shared" si="8"/>
        <v>4.9366409654710022E-2</v>
      </c>
      <c r="G18" s="19"/>
      <c r="H18" s="10">
        <f t="shared" si="9"/>
        <v>2.6962376537969717</v>
      </c>
      <c r="I18" s="10">
        <f t="shared" si="10"/>
        <v>54.616847217685496</v>
      </c>
      <c r="J18" s="10">
        <f t="shared" si="11"/>
        <v>1433.7468563114621</v>
      </c>
      <c r="K18" s="10"/>
    </row>
    <row r="19" spans="2:11" x14ac:dyDescent="0.2">
      <c r="B19" s="156" t="s">
        <v>1065</v>
      </c>
      <c r="C19" s="283">
        <v>41.74</v>
      </c>
      <c r="D19" s="282">
        <v>232.85</v>
      </c>
      <c r="E19" s="280">
        <v>3318</v>
      </c>
      <c r="F19" s="10">
        <f t="shared" si="8"/>
        <v>7.0177817962628092E-2</v>
      </c>
      <c r="G19" s="19"/>
      <c r="H19" s="10">
        <f t="shared" si="9"/>
        <v>4.0423885157908748</v>
      </c>
      <c r="I19" s="10">
        <f t="shared" si="10"/>
        <v>57.602083295658673</v>
      </c>
      <c r="J19" s="10">
        <f t="shared" si="11"/>
        <v>2404.310956760793</v>
      </c>
      <c r="K19" s="10"/>
    </row>
    <row r="20" spans="2:11" x14ac:dyDescent="0.2">
      <c r="B20" s="156" t="s">
        <v>1066</v>
      </c>
      <c r="C20" s="283">
        <v>66.37</v>
      </c>
      <c r="D20" s="282">
        <v>2223.62</v>
      </c>
      <c r="E20" s="280">
        <v>25712</v>
      </c>
      <c r="F20" s="10">
        <f t="shared" si="8"/>
        <v>8.6481798382078409E-2</v>
      </c>
      <c r="G20" s="19"/>
      <c r="H20" s="10">
        <f t="shared" si="9"/>
        <v>13.86732333647547</v>
      </c>
      <c r="I20" s="10">
        <f t="shared" si="10"/>
        <v>160.34961802261955</v>
      </c>
      <c r="J20" s="10">
        <f t="shared" si="11"/>
        <v>10642.40414816126</v>
      </c>
      <c r="K20" s="10"/>
    </row>
    <row r="21" spans="2:11" x14ac:dyDescent="0.2">
      <c r="B21" s="156" t="s">
        <v>1067</v>
      </c>
      <c r="C21" s="283">
        <v>105.53100000000001</v>
      </c>
      <c r="D21" s="282">
        <v>11360.33</v>
      </c>
      <c r="E21" s="280">
        <v>89991</v>
      </c>
      <c r="F21" s="10">
        <f t="shared" si="8"/>
        <v>0.1262385127401629</v>
      </c>
      <c r="G21" s="19"/>
      <c r="H21" s="10">
        <f t="shared" si="9"/>
        <v>37.869660197015961</v>
      </c>
      <c r="I21" s="10">
        <f t="shared" si="10"/>
        <v>299.98499962498124</v>
      </c>
      <c r="J21" s="10">
        <f t="shared" si="11"/>
        <v>31657.716995423896</v>
      </c>
      <c r="K21" s="10"/>
    </row>
    <row r="22" spans="2:11" x14ac:dyDescent="0.2">
      <c r="B22" s="156" t="s">
        <v>1068</v>
      </c>
      <c r="C22" s="283">
        <v>133.072</v>
      </c>
      <c r="D22" s="282">
        <v>625.54999999999995</v>
      </c>
      <c r="E22" s="280">
        <v>250</v>
      </c>
      <c r="F22" s="10">
        <f t="shared" si="8"/>
        <v>2.5021999999999998</v>
      </c>
      <c r="G22" s="19"/>
      <c r="H22" s="10">
        <f t="shared" si="9"/>
        <v>39.563255806366591</v>
      </c>
      <c r="I22" s="10">
        <f t="shared" si="10"/>
        <v>15.811388300841896</v>
      </c>
      <c r="J22" s="10">
        <f t="shared" si="11"/>
        <v>2104.0530639696331</v>
      </c>
      <c r="K22" s="10"/>
    </row>
    <row r="23" spans="2:11" x14ac:dyDescent="0.2">
      <c r="B23" s="156" t="s">
        <v>1102</v>
      </c>
      <c r="C23" s="283">
        <v>33.100999999999999</v>
      </c>
      <c r="D23" s="282">
        <v>25699.85</v>
      </c>
      <c r="E23" s="280">
        <v>796292</v>
      </c>
      <c r="F23" s="10">
        <f t="shared" si="8"/>
        <v>3.2274404364228196E-2</v>
      </c>
      <c r="G23" s="19"/>
      <c r="H23" s="10">
        <f t="shared" si="9"/>
        <v>28.800127621245188</v>
      </c>
      <c r="I23" s="10">
        <f t="shared" si="10"/>
        <v>892.35194850462449</v>
      </c>
      <c r="J23" s="10">
        <f t="shared" si="11"/>
        <v>29537.741847451576</v>
      </c>
      <c r="K23" s="10"/>
    </row>
    <row r="24" spans="2:11" x14ac:dyDescent="0.2">
      <c r="B24" s="156" t="s">
        <v>1069</v>
      </c>
      <c r="C24" s="283">
        <v>26.25</v>
      </c>
      <c r="D24" s="282">
        <v>6214.9</v>
      </c>
      <c r="E24" s="280">
        <v>195345</v>
      </c>
      <c r="F24" s="10">
        <f t="shared" si="8"/>
        <v>3.1814993985000893E-2</v>
      </c>
      <c r="G24" s="19"/>
      <c r="H24" s="10">
        <f t="shared" si="9"/>
        <v>14.061543518311993</v>
      </c>
      <c r="I24" s="10">
        <f t="shared" si="10"/>
        <v>441.97850626472774</v>
      </c>
      <c r="J24" s="10">
        <f t="shared" si="11"/>
        <v>11601.935789449104</v>
      </c>
      <c r="K24" s="10"/>
    </row>
    <row r="25" spans="2:11" x14ac:dyDescent="0.2">
      <c r="B25" s="156" t="s">
        <v>1070</v>
      </c>
      <c r="C25" s="283">
        <v>26.25</v>
      </c>
      <c r="D25" s="282">
        <v>102.78</v>
      </c>
      <c r="E25" s="280">
        <v>7111</v>
      </c>
      <c r="F25" s="10">
        <f t="shared" ref="F25" si="12">D25/E25</f>
        <v>1.4453663338489664E-2</v>
      </c>
      <c r="G25" s="19"/>
      <c r="H25" s="10">
        <f t="shared" ref="H25" si="13">F25*E25^0.5</f>
        <v>1.2188303893200103</v>
      </c>
      <c r="I25" s="10">
        <f t="shared" ref="I25" si="14">E25^0.5</f>
        <v>84.326745460737428</v>
      </c>
      <c r="J25" s="10">
        <f t="shared" ref="J25" si="15">C25*E25^0.5</f>
        <v>2213.5770683443575</v>
      </c>
      <c r="K25" s="10"/>
    </row>
    <row r="26" spans="2:11" x14ac:dyDescent="0.2">
      <c r="B26" s="11" t="s">
        <v>831</v>
      </c>
      <c r="C26" s="128"/>
      <c r="D26" s="20">
        <f>SUM(D8:D25)</f>
        <v>11137860.939999999</v>
      </c>
      <c r="E26" s="21">
        <f>SUM(E8:E25)</f>
        <v>40013383</v>
      </c>
    </row>
    <row r="28" spans="2:11" x14ac:dyDescent="0.2">
      <c r="B28" s="5" t="s">
        <v>931</v>
      </c>
      <c r="H28" s="270" t="s">
        <v>932</v>
      </c>
      <c r="I28" s="270"/>
    </row>
    <row r="30" spans="2:11" x14ac:dyDescent="0.2">
      <c r="B30" s="2" t="s">
        <v>933</v>
      </c>
      <c r="D30" s="22">
        <f>H30</f>
        <v>2.96512122359962E-3</v>
      </c>
      <c r="H30" s="22">
        <f t="array" ref="H30:I32">LINEST(H8:H25,I8:J25,FALSE,TRUE)</f>
        <v>2.96512122359962E-3</v>
      </c>
      <c r="I30" s="22">
        <v>6.2369024718669605E-2</v>
      </c>
    </row>
    <row r="31" spans="2:11" x14ac:dyDescent="0.2">
      <c r="B31" s="2" t="s">
        <v>934</v>
      </c>
      <c r="D31" s="22">
        <f>I30</f>
        <v>6.2369024718669605E-2</v>
      </c>
      <c r="H31" s="22">
        <v>6.0604233032605362E-4</v>
      </c>
      <c r="I31" s="22">
        <v>5.9552862784631164E-2</v>
      </c>
    </row>
    <row r="32" spans="2:11" x14ac:dyDescent="0.2">
      <c r="B32" s="2" t="s">
        <v>935</v>
      </c>
      <c r="D32" s="23">
        <f>H32</f>
        <v>0.8190681077188624</v>
      </c>
      <c r="H32" s="22">
        <v>0.8190681077188624</v>
      </c>
      <c r="I32" s="22">
        <v>252.8466163769304</v>
      </c>
    </row>
    <row r="33" spans="1:15" x14ac:dyDescent="0.2">
      <c r="H33" s="22"/>
      <c r="I33" s="22"/>
    </row>
    <row r="34" spans="1:15" x14ac:dyDescent="0.2">
      <c r="B34" s="12" t="s">
        <v>936</v>
      </c>
      <c r="C34" s="24"/>
    </row>
    <row r="35" spans="1:15" x14ac:dyDescent="0.2">
      <c r="C35" s="24"/>
      <c r="H35" s="148"/>
      <c r="I35" s="148"/>
    </row>
    <row r="36" spans="1:15" x14ac:dyDescent="0.2">
      <c r="B36" s="2" t="s">
        <v>937</v>
      </c>
      <c r="C36" s="24"/>
      <c r="D36" s="19">
        <f>E26</f>
        <v>40013383</v>
      </c>
    </row>
    <row r="37" spans="1:15" x14ac:dyDescent="0.2">
      <c r="B37" s="2" t="s">
        <v>938</v>
      </c>
      <c r="C37" s="24"/>
      <c r="D37" s="25">
        <f>D31</f>
        <v>6.2369024718669605E-2</v>
      </c>
      <c r="E37" s="13"/>
      <c r="F37" s="14"/>
    </row>
    <row r="38" spans="1:15" x14ac:dyDescent="0.2">
      <c r="B38" s="2" t="s">
        <v>939</v>
      </c>
      <c r="C38" s="24"/>
      <c r="D38" s="142">
        <f>MIN(F8:F25)</f>
        <v>1.4453663338489664E-2</v>
      </c>
    </row>
    <row r="39" spans="1:15" x14ac:dyDescent="0.2">
      <c r="B39" s="2" t="s">
        <v>940</v>
      </c>
      <c r="C39" s="24"/>
      <c r="D39" s="194" t="s">
        <v>947</v>
      </c>
    </row>
    <row r="40" spans="1:15" x14ac:dyDescent="0.2">
      <c r="B40" s="2" t="s">
        <v>941</v>
      </c>
      <c r="C40" s="24"/>
      <c r="D40" s="26">
        <f>IF(D39="Z",D36*D37,D36*D38)</f>
        <v>2495595.673404594</v>
      </c>
    </row>
    <row r="41" spans="1:15" x14ac:dyDescent="0.2">
      <c r="B41" s="2" t="s">
        <v>942</v>
      </c>
      <c r="C41" s="24"/>
      <c r="D41" s="26">
        <f>D26</f>
        <v>11137860.939999999</v>
      </c>
    </row>
    <row r="42" spans="1:15" x14ac:dyDescent="0.2">
      <c r="B42" s="2" t="s">
        <v>943</v>
      </c>
      <c r="C42" s="24"/>
      <c r="D42" s="27">
        <f>D40/D41</f>
        <v>0.22406417954474786</v>
      </c>
    </row>
    <row r="43" spans="1:15" x14ac:dyDescent="0.2">
      <c r="B43" s="2" t="s">
        <v>944</v>
      </c>
      <c r="C43" s="24"/>
      <c r="D43" s="28">
        <f>D42</f>
        <v>0.22406417954474786</v>
      </c>
    </row>
    <row r="44" spans="1:15" x14ac:dyDescent="0.2">
      <c r="B44" s="2" t="s">
        <v>945</v>
      </c>
      <c r="C44" s="24"/>
      <c r="D44" s="29">
        <f>1-D43</f>
        <v>0.77593582045525211</v>
      </c>
    </row>
    <row r="46" spans="1:15" x14ac:dyDescent="0.2">
      <c r="C46" s="14"/>
      <c r="F46" s="14"/>
    </row>
    <row r="47" spans="1:15" x14ac:dyDescent="0.2">
      <c r="A47" s="1" t="s">
        <v>948</v>
      </c>
      <c r="B47" s="3"/>
      <c r="D47" s="17"/>
      <c r="E47" s="17"/>
      <c r="F47" s="17"/>
      <c r="G47" s="17"/>
      <c r="H47" s="17"/>
      <c r="I47" s="17"/>
      <c r="J47" s="17"/>
      <c r="K47" s="17"/>
      <c r="L47" s="18"/>
      <c r="M47" s="17"/>
      <c r="O47" s="10"/>
    </row>
    <row r="48" spans="1:15" x14ac:dyDescent="0.2">
      <c r="C48" s="275"/>
      <c r="F48" s="38" t="s">
        <v>921</v>
      </c>
      <c r="I48" s="38" t="s">
        <v>922</v>
      </c>
    </row>
    <row r="49" spans="2:11" x14ac:dyDescent="0.2">
      <c r="C49" s="136"/>
      <c r="D49" s="38"/>
      <c r="E49" s="4"/>
      <c r="F49" s="38" t="s">
        <v>923</v>
      </c>
      <c r="H49" s="38"/>
      <c r="I49" s="38"/>
      <c r="J49" s="38"/>
      <c r="K49" s="38"/>
    </row>
    <row r="50" spans="2:11" x14ac:dyDescent="0.2">
      <c r="B50" s="5" t="s">
        <v>6</v>
      </c>
      <c r="C50" s="6" t="s">
        <v>924</v>
      </c>
      <c r="D50" s="84" t="s">
        <v>925</v>
      </c>
      <c r="E50" s="7" t="s">
        <v>926</v>
      </c>
      <c r="F50" s="84" t="s">
        <v>927</v>
      </c>
      <c r="H50" s="8" t="s">
        <v>928</v>
      </c>
      <c r="I50" s="8" t="s">
        <v>929</v>
      </c>
      <c r="J50" s="8" t="s">
        <v>930</v>
      </c>
      <c r="K50" s="9"/>
    </row>
    <row r="51" spans="2:11" x14ac:dyDescent="0.2">
      <c r="B51" s="156" t="s">
        <v>1071</v>
      </c>
      <c r="C51" s="283">
        <v>66.369</v>
      </c>
      <c r="D51" s="282">
        <v>3553.74</v>
      </c>
      <c r="E51" s="280">
        <v>2897</v>
      </c>
      <c r="F51" s="10">
        <f t="shared" ref="F51" si="16">D51/E51</f>
        <v>1.2266965826717293</v>
      </c>
      <c r="G51" s="19"/>
      <c r="H51" s="10">
        <f t="shared" ref="H51" si="17">F51*E51^0.5</f>
        <v>66.025455043519628</v>
      </c>
      <c r="I51" s="10">
        <f t="shared" ref="I51" si="18">E51^0.5</f>
        <v>53.823786563191554</v>
      </c>
      <c r="J51" s="10">
        <f t="shared" ref="J51" si="19">C51*E51^0.5</f>
        <v>3572.2308904124602</v>
      </c>
      <c r="K51" s="10"/>
    </row>
    <row r="52" spans="2:11" x14ac:dyDescent="0.2">
      <c r="B52" s="156" t="s">
        <v>1072</v>
      </c>
      <c r="C52" s="283">
        <v>83.69</v>
      </c>
      <c r="D52" s="282">
        <v>28087.47</v>
      </c>
      <c r="E52" s="280">
        <v>8440</v>
      </c>
      <c r="F52" s="10">
        <f t="shared" ref="F52" si="20">D52/E52</f>
        <v>3.327899289099526</v>
      </c>
      <c r="G52" s="19"/>
      <c r="H52" s="10">
        <f t="shared" ref="H52" si="21">F52*E52^0.5</f>
        <v>305.73235263152026</v>
      </c>
      <c r="I52" s="10">
        <f t="shared" ref="I52" si="22">E52^0.5</f>
        <v>91.869472622846814</v>
      </c>
      <c r="J52" s="10">
        <f t="shared" ref="J52" si="23">C52*E52^0.5</f>
        <v>7688.5561638060499</v>
      </c>
      <c r="K52" s="10"/>
    </row>
    <row r="53" spans="2:11" x14ac:dyDescent="0.2">
      <c r="B53" s="156" t="s">
        <v>1073</v>
      </c>
      <c r="C53" s="283">
        <v>105.53100000000001</v>
      </c>
      <c r="D53" s="282">
        <v>1010957.33</v>
      </c>
      <c r="E53" s="280">
        <v>263262</v>
      </c>
      <c r="F53" s="10">
        <f t="shared" ref="F53:F56" si="24">D53/E53</f>
        <v>3.8401187030410768</v>
      </c>
      <c r="G53" s="19"/>
      <c r="H53" s="10">
        <f t="shared" ref="H53:H56" si="25">F53*E53^0.5</f>
        <v>1970.3289448489227</v>
      </c>
      <c r="I53" s="10">
        <f t="shared" ref="I53:I56" si="26">E53^0.5</f>
        <v>513.09063526827299</v>
      </c>
      <c r="J53" s="10">
        <f t="shared" ref="J53:J56" si="27">C53*E53^0.5</f>
        <v>54146.96783049612</v>
      </c>
      <c r="K53" s="10"/>
    </row>
    <row r="54" spans="2:11" x14ac:dyDescent="0.2">
      <c r="B54" s="156" t="s">
        <v>1074</v>
      </c>
      <c r="C54" s="283">
        <v>211.59200000000001</v>
      </c>
      <c r="D54" s="282">
        <v>8651.48</v>
      </c>
      <c r="E54" s="280">
        <v>1773</v>
      </c>
      <c r="F54" s="10">
        <f t="shared" si="24"/>
        <v>4.8795713479977438</v>
      </c>
      <c r="G54" s="19"/>
      <c r="H54" s="10">
        <f t="shared" si="25"/>
        <v>205.46414267646682</v>
      </c>
      <c r="I54" s="10">
        <f t="shared" si="26"/>
        <v>42.107006542854599</v>
      </c>
      <c r="J54" s="10">
        <f t="shared" si="27"/>
        <v>8909.5057284156901</v>
      </c>
      <c r="K54" s="10"/>
    </row>
    <row r="55" spans="2:11" x14ac:dyDescent="0.2">
      <c r="B55" s="156" t="s">
        <v>1075</v>
      </c>
      <c r="C55" s="283">
        <v>211.59200000000001</v>
      </c>
      <c r="D55" s="282">
        <v>131046.72</v>
      </c>
      <c r="E55" s="280">
        <v>19530</v>
      </c>
      <c r="F55" s="10">
        <f t="shared" si="24"/>
        <v>6.7100215053763446</v>
      </c>
      <c r="G55" s="19"/>
      <c r="H55" s="10">
        <f t="shared" si="25"/>
        <v>937.7240049231076</v>
      </c>
      <c r="I55" s="10">
        <f t="shared" si="26"/>
        <v>139.74977638622539</v>
      </c>
      <c r="J55" s="10">
        <f t="shared" si="27"/>
        <v>29569.934685114204</v>
      </c>
      <c r="K55" s="10"/>
    </row>
    <row r="56" spans="2:11" x14ac:dyDescent="0.2">
      <c r="B56" s="156" t="s">
        <v>1076</v>
      </c>
      <c r="C56" s="283">
        <v>500</v>
      </c>
      <c r="D56" s="282">
        <v>215660.41</v>
      </c>
      <c r="E56" s="280">
        <v>14155</v>
      </c>
      <c r="F56" s="10">
        <f t="shared" si="24"/>
        <v>15.23563475803603</v>
      </c>
      <c r="G56" s="19"/>
      <c r="H56" s="10">
        <f t="shared" si="25"/>
        <v>1812.656403880311</v>
      </c>
      <c r="I56" s="10">
        <f t="shared" si="26"/>
        <v>118.97478724502936</v>
      </c>
      <c r="J56" s="10">
        <f t="shared" si="27"/>
        <v>59487.393622514683</v>
      </c>
      <c r="K56" s="10"/>
    </row>
    <row r="57" spans="2:11" x14ac:dyDescent="0.2">
      <c r="B57" s="156" t="s">
        <v>1077</v>
      </c>
      <c r="C57" s="283">
        <v>750</v>
      </c>
      <c r="D57" s="282">
        <v>149092.41</v>
      </c>
      <c r="E57" s="280">
        <v>10214</v>
      </c>
      <c r="F57" s="10">
        <f t="shared" ref="F57" si="28">D57/E57</f>
        <v>14.596868024280401</v>
      </c>
      <c r="G57" s="19"/>
      <c r="H57" s="10">
        <f t="shared" ref="H57" si="29">F57*E57^0.5</f>
        <v>1475.222773750427</v>
      </c>
      <c r="I57" s="10">
        <f t="shared" ref="I57" si="30">E57^0.5</f>
        <v>101.06433594498111</v>
      </c>
      <c r="J57" s="10">
        <f t="shared" ref="J57" si="31">C57*E57^0.5</f>
        <v>75798.251958735826</v>
      </c>
      <c r="K57" s="10"/>
    </row>
    <row r="58" spans="2:11" x14ac:dyDescent="0.2">
      <c r="B58" s="11" t="s">
        <v>831</v>
      </c>
      <c r="C58" s="128"/>
      <c r="D58" s="20">
        <f>SUM(D51:D57)</f>
        <v>1547049.5599999998</v>
      </c>
      <c r="E58" s="117">
        <f>SUM(E51:E57)</f>
        <v>320271</v>
      </c>
    </row>
    <row r="60" spans="2:11" x14ac:dyDescent="0.2">
      <c r="B60" s="5" t="s">
        <v>931</v>
      </c>
      <c r="H60" s="270" t="s">
        <v>932</v>
      </c>
      <c r="I60" s="270"/>
    </row>
    <row r="62" spans="2:11" x14ac:dyDescent="0.2">
      <c r="B62" s="2" t="s">
        <v>933</v>
      </c>
      <c r="D62" s="77">
        <f>H62</f>
        <v>2.0919485221927561E-2</v>
      </c>
      <c r="H62" s="22">
        <f t="array" ref="H62:I64">LINEST(H51:H57,I51:J57,FALSE,TRUE)</f>
        <v>2.0919485221927561E-2</v>
      </c>
      <c r="I62" s="22">
        <v>1.6999749133313324</v>
      </c>
    </row>
    <row r="63" spans="2:11" x14ac:dyDescent="0.2">
      <c r="B63" s="2" t="s">
        <v>934</v>
      </c>
      <c r="D63" s="77">
        <f>I62</f>
        <v>1.6999749133313324</v>
      </c>
      <c r="H63" s="22">
        <v>2.7789023985955912E-3</v>
      </c>
      <c r="I63" s="22">
        <v>0.5650483441884151</v>
      </c>
    </row>
    <row r="64" spans="2:11" x14ac:dyDescent="0.2">
      <c r="B64" s="2" t="s">
        <v>935</v>
      </c>
      <c r="D64" s="116">
        <f>H64</f>
        <v>0.97738589430507927</v>
      </c>
      <c r="E64" s="195"/>
      <c r="H64" s="22">
        <v>0.97738589430507927</v>
      </c>
      <c r="I64" s="22">
        <v>216.50080007765501</v>
      </c>
    </row>
    <row r="65" spans="1:13" x14ac:dyDescent="0.2">
      <c r="H65" s="22"/>
      <c r="I65" s="22"/>
    </row>
    <row r="66" spans="1:13" x14ac:dyDescent="0.2">
      <c r="B66" s="12" t="s">
        <v>936</v>
      </c>
      <c r="C66" s="131"/>
    </row>
    <row r="67" spans="1:13" x14ac:dyDescent="0.2">
      <c r="C67" s="131"/>
    </row>
    <row r="68" spans="1:13" x14ac:dyDescent="0.2">
      <c r="B68" s="2" t="s">
        <v>937</v>
      </c>
      <c r="C68" s="131"/>
      <c r="D68" s="19">
        <f>E58</f>
        <v>320271</v>
      </c>
      <c r="I68" s="148"/>
    </row>
    <row r="69" spans="1:13" x14ac:dyDescent="0.2">
      <c r="B69" s="2" t="s">
        <v>938</v>
      </c>
      <c r="C69" s="131"/>
      <c r="D69" s="95">
        <f>D63</f>
        <v>1.6999749133313324</v>
      </c>
      <c r="E69" s="13"/>
      <c r="F69" s="14"/>
    </row>
    <row r="70" spans="1:13" x14ac:dyDescent="0.2">
      <c r="B70" s="2" t="s">
        <v>939</v>
      </c>
      <c r="C70" s="131"/>
      <c r="D70" s="95">
        <f>MIN(F51:F57)</f>
        <v>1.2266965826717293</v>
      </c>
    </row>
    <row r="71" spans="1:13" x14ac:dyDescent="0.2">
      <c r="B71" s="2" t="s">
        <v>940</v>
      </c>
      <c r="C71" s="131"/>
      <c r="D71" s="194" t="s">
        <v>947</v>
      </c>
    </row>
    <row r="72" spans="1:13" x14ac:dyDescent="0.2">
      <c r="B72" s="2" t="s">
        <v>941</v>
      </c>
      <c r="C72" s="24"/>
      <c r="D72" s="26">
        <f>IF(D71="Z",D68*D69,D68*D70)</f>
        <v>544452.66546753922</v>
      </c>
    </row>
    <row r="73" spans="1:13" x14ac:dyDescent="0.2">
      <c r="B73" s="2" t="s">
        <v>942</v>
      </c>
      <c r="C73" s="24"/>
      <c r="D73" s="26">
        <f>D58</f>
        <v>1547049.5599999998</v>
      </c>
    </row>
    <row r="74" spans="1:13" x14ac:dyDescent="0.2">
      <c r="B74" s="2" t="s">
        <v>943</v>
      </c>
      <c r="C74" s="24"/>
      <c r="D74" s="27">
        <f>D72/D73</f>
        <v>0.35192968573517402</v>
      </c>
    </row>
    <row r="75" spans="1:13" x14ac:dyDescent="0.2">
      <c r="B75" s="2" t="s">
        <v>944</v>
      </c>
      <c r="C75" s="24"/>
      <c r="D75" s="28">
        <f>D74</f>
        <v>0.35192968573517402</v>
      </c>
    </row>
    <row r="76" spans="1:13" x14ac:dyDescent="0.2">
      <c r="B76" s="2" t="s">
        <v>945</v>
      </c>
      <c r="C76" s="24"/>
      <c r="D76" s="29">
        <f>1-D75</f>
        <v>0.64807031426482598</v>
      </c>
    </row>
    <row r="79" spans="1:13" x14ac:dyDescent="0.2">
      <c r="A79" s="1" t="s">
        <v>949</v>
      </c>
      <c r="B79" s="3"/>
      <c r="C79" s="17"/>
      <c r="D79" s="17"/>
      <c r="E79" s="17"/>
      <c r="F79" s="17"/>
      <c r="G79" s="17"/>
      <c r="H79" s="17"/>
      <c r="I79" s="17"/>
      <c r="J79" s="17"/>
      <c r="K79" s="17"/>
      <c r="L79" s="18"/>
      <c r="M79" s="17"/>
    </row>
    <row r="80" spans="1:13" x14ac:dyDescent="0.2">
      <c r="C80" s="275"/>
      <c r="F80" s="38" t="s">
        <v>921</v>
      </c>
      <c r="I80" s="38" t="s">
        <v>922</v>
      </c>
      <c r="L80" s="271" t="s">
        <v>1010</v>
      </c>
      <c r="M80" s="271"/>
    </row>
    <row r="81" spans="2:13" x14ac:dyDescent="0.2">
      <c r="D81" s="38"/>
      <c r="E81" s="4"/>
      <c r="F81" s="38" t="s">
        <v>923</v>
      </c>
      <c r="H81" s="38"/>
      <c r="I81" s="38"/>
      <c r="J81" s="38"/>
      <c r="K81" s="38"/>
    </row>
    <row r="82" spans="2:13" x14ac:dyDescent="0.2">
      <c r="B82" s="5" t="s">
        <v>6</v>
      </c>
      <c r="C82" s="6" t="s">
        <v>924</v>
      </c>
      <c r="D82" s="84" t="s">
        <v>925</v>
      </c>
      <c r="E82" s="7" t="s">
        <v>926</v>
      </c>
      <c r="F82" s="84" t="s">
        <v>927</v>
      </c>
      <c r="H82" s="8" t="s">
        <v>928</v>
      </c>
      <c r="I82" s="8" t="s">
        <v>929</v>
      </c>
      <c r="J82" s="8" t="s">
        <v>930</v>
      </c>
      <c r="K82" s="9"/>
      <c r="L82" s="7" t="s">
        <v>950</v>
      </c>
      <c r="M82" s="15" t="s">
        <v>951</v>
      </c>
    </row>
    <row r="83" spans="2:13" x14ac:dyDescent="0.2">
      <c r="B83" s="156" t="s">
        <v>1092</v>
      </c>
      <c r="C83" s="283">
        <v>5</v>
      </c>
      <c r="D83" s="282">
        <v>79518</v>
      </c>
      <c r="E83" s="280">
        <v>74</v>
      </c>
      <c r="F83" s="10">
        <f t="shared" ref="F83:F107" si="32">D83/E83</f>
        <v>1074.5675675675675</v>
      </c>
      <c r="G83" s="19"/>
      <c r="H83" s="10">
        <f t="shared" ref="H83:H100" si="33">F83*E83^0.5</f>
        <v>9243.7797376310209</v>
      </c>
      <c r="I83" s="10">
        <f t="shared" ref="I83:I100" si="34">E83^0.5</f>
        <v>8.6023252670426267</v>
      </c>
      <c r="J83" s="10">
        <f t="shared" ref="J83:J100" si="35">C83*E83^0.5</f>
        <v>43.011626335213137</v>
      </c>
      <c r="K83" s="10"/>
      <c r="L83" s="14">
        <f t="shared" ref="L83" si="36">IF(C83&gt;50,0,1)</f>
        <v>1</v>
      </c>
      <c r="M83" s="19">
        <f t="shared" ref="M83:M100" si="37">L83*E83</f>
        <v>74</v>
      </c>
    </row>
    <row r="84" spans="2:13" x14ac:dyDescent="0.2">
      <c r="B84" s="156" t="s">
        <v>1097</v>
      </c>
      <c r="C84" s="283">
        <v>10</v>
      </c>
      <c r="D84" s="282">
        <v>1252451.6499999999</v>
      </c>
      <c r="E84" s="280">
        <v>1652</v>
      </c>
      <c r="F84" s="10">
        <f t="shared" si="32"/>
        <v>758.14264527845035</v>
      </c>
      <c r="G84" s="19"/>
      <c r="H84" s="10">
        <f t="shared" ref="H84:H92" si="38">F84*E84^0.5</f>
        <v>30814.558361501138</v>
      </c>
      <c r="I84" s="10">
        <f t="shared" ref="I84:I92" si="39">E84^0.5</f>
        <v>40.64480286580315</v>
      </c>
      <c r="J84" s="10">
        <f t="shared" ref="J84:J92" si="40">C84*E84^0.5</f>
        <v>406.44802865803149</v>
      </c>
      <c r="K84" s="10"/>
      <c r="L84" s="14">
        <f t="shared" ref="L84:L92" si="41">IF(C84&gt;50,0,1)</f>
        <v>1</v>
      </c>
      <c r="M84" s="19">
        <f t="shared" ref="M84:M92" si="42">L84*E84</f>
        <v>1652</v>
      </c>
    </row>
    <row r="85" spans="2:13" x14ac:dyDescent="0.2">
      <c r="B85" s="156" t="s">
        <v>1078</v>
      </c>
      <c r="C85" s="283">
        <v>15</v>
      </c>
      <c r="D85" s="282">
        <v>8200632.1200000001</v>
      </c>
      <c r="E85" s="280">
        <v>9394</v>
      </c>
      <c r="F85" s="10">
        <f t="shared" si="32"/>
        <v>872.96488396849054</v>
      </c>
      <c r="G85" s="19"/>
      <c r="H85" s="10">
        <f t="shared" si="38"/>
        <v>84610.06953728426</v>
      </c>
      <c r="I85" s="10">
        <f t="shared" si="39"/>
        <v>96.922649571707439</v>
      </c>
      <c r="J85" s="10">
        <f t="shared" si="40"/>
        <v>1453.8397435756115</v>
      </c>
      <c r="K85" s="10"/>
      <c r="L85" s="14">
        <f t="shared" si="41"/>
        <v>1</v>
      </c>
      <c r="M85" s="19">
        <f t="shared" si="42"/>
        <v>9394</v>
      </c>
    </row>
    <row r="86" spans="2:13" x14ac:dyDescent="0.2">
      <c r="B86" s="156" t="s">
        <v>1079</v>
      </c>
      <c r="C86" s="283">
        <v>25</v>
      </c>
      <c r="D86" s="282">
        <v>4310238.46</v>
      </c>
      <c r="E86" s="280">
        <v>4317</v>
      </c>
      <c r="F86" s="10">
        <f t="shared" si="32"/>
        <v>998.43374102385917</v>
      </c>
      <c r="G86" s="19"/>
      <c r="H86" s="10">
        <f t="shared" si="38"/>
        <v>65600.971870260561</v>
      </c>
      <c r="I86" s="10">
        <f t="shared" si="39"/>
        <v>65.703881163900817</v>
      </c>
      <c r="J86" s="10">
        <f t="shared" si="40"/>
        <v>1642.5970290975204</v>
      </c>
      <c r="K86" s="10"/>
      <c r="L86" s="14">
        <f t="shared" si="41"/>
        <v>1</v>
      </c>
      <c r="M86" s="19">
        <f t="shared" si="42"/>
        <v>4317</v>
      </c>
    </row>
    <row r="87" spans="2:13" x14ac:dyDescent="0.2">
      <c r="B87" s="156" t="s">
        <v>1093</v>
      </c>
      <c r="C87" s="283">
        <v>37.5</v>
      </c>
      <c r="D87" s="282">
        <v>715643.33</v>
      </c>
      <c r="E87" s="280">
        <v>560</v>
      </c>
      <c r="F87" s="10">
        <f t="shared" si="32"/>
        <v>1277.9345178571427</v>
      </c>
      <c r="G87" s="19"/>
      <c r="H87" s="10">
        <f t="shared" si="38"/>
        <v>30241.450260879192</v>
      </c>
      <c r="I87" s="10">
        <f t="shared" si="39"/>
        <v>23.664319132398465</v>
      </c>
      <c r="J87" s="10">
        <f t="shared" si="40"/>
        <v>887.41196746494245</v>
      </c>
      <c r="K87" s="10"/>
      <c r="L87" s="14">
        <f t="shared" si="41"/>
        <v>1</v>
      </c>
      <c r="M87" s="19">
        <f t="shared" si="42"/>
        <v>560</v>
      </c>
    </row>
    <row r="88" spans="2:13" x14ac:dyDescent="0.2">
      <c r="B88" s="156" t="s">
        <v>1094</v>
      </c>
      <c r="C88" s="283">
        <v>50</v>
      </c>
      <c r="D88" s="282">
        <v>513993.21</v>
      </c>
      <c r="E88" s="280">
        <v>337</v>
      </c>
      <c r="F88" s="10">
        <f t="shared" si="32"/>
        <v>1525.2024035608308</v>
      </c>
      <c r="G88" s="19"/>
      <c r="H88" s="10">
        <f t="shared" si="38"/>
        <v>27998.994255257578</v>
      </c>
      <c r="I88" s="10">
        <f t="shared" si="39"/>
        <v>18.357559750685819</v>
      </c>
      <c r="J88" s="10">
        <f t="shared" si="40"/>
        <v>917.87798753429092</v>
      </c>
      <c r="K88" s="10"/>
      <c r="L88" s="14">
        <f t="shared" si="41"/>
        <v>1</v>
      </c>
      <c r="M88" s="19">
        <f t="shared" si="42"/>
        <v>337</v>
      </c>
    </row>
    <row r="89" spans="2:13" x14ac:dyDescent="0.2">
      <c r="B89" s="156" t="s">
        <v>1095</v>
      </c>
      <c r="C89" s="283">
        <v>75</v>
      </c>
      <c r="D89" s="282">
        <v>391931.15</v>
      </c>
      <c r="E89" s="280">
        <v>164</v>
      </c>
      <c r="F89" s="10">
        <f t="shared" si="32"/>
        <v>2389.824085365854</v>
      </c>
      <c r="G89" s="19"/>
      <c r="H89" s="10">
        <f t="shared" si="38"/>
        <v>30604.681048413779</v>
      </c>
      <c r="I89" s="10">
        <f t="shared" si="39"/>
        <v>12.806248474865697</v>
      </c>
      <c r="J89" s="10">
        <f t="shared" si="40"/>
        <v>960.46863561492728</v>
      </c>
      <c r="K89" s="10"/>
      <c r="L89" s="14">
        <f t="shared" si="41"/>
        <v>0</v>
      </c>
      <c r="M89" s="19">
        <f t="shared" si="42"/>
        <v>0</v>
      </c>
    </row>
    <row r="90" spans="2:13" x14ac:dyDescent="0.2">
      <c r="B90" s="156" t="s">
        <v>1101</v>
      </c>
      <c r="C90" s="283">
        <v>100</v>
      </c>
      <c r="D90" s="282">
        <v>212090.39</v>
      </c>
      <c r="E90" s="280">
        <v>92</v>
      </c>
      <c r="F90" s="10">
        <f t="shared" si="32"/>
        <v>2305.3303260869566</v>
      </c>
      <c r="G90" s="19"/>
      <c r="H90" s="10">
        <f t="shared" si="38"/>
        <v>22111.951698993234</v>
      </c>
      <c r="I90" s="10">
        <f t="shared" si="39"/>
        <v>9.5916630466254382</v>
      </c>
      <c r="J90" s="10">
        <f t="shared" si="40"/>
        <v>959.16630466254378</v>
      </c>
      <c r="K90" s="10"/>
      <c r="L90" s="14">
        <f t="shared" si="41"/>
        <v>0</v>
      </c>
      <c r="M90" s="19">
        <f t="shared" si="42"/>
        <v>0</v>
      </c>
    </row>
    <row r="91" spans="2:13" x14ac:dyDescent="0.2">
      <c r="B91" s="156" t="s">
        <v>1080</v>
      </c>
      <c r="C91" s="283">
        <v>167</v>
      </c>
      <c r="D91" s="282">
        <v>86692.07</v>
      </c>
      <c r="E91" s="280">
        <v>37</v>
      </c>
      <c r="F91" s="10">
        <f t="shared" si="32"/>
        <v>2343.0289189189193</v>
      </c>
      <c r="G91" s="19"/>
      <c r="H91" s="10">
        <f t="shared" si="38"/>
        <v>14252.088515405147</v>
      </c>
      <c r="I91" s="10">
        <f t="shared" si="39"/>
        <v>6.0827625302982193</v>
      </c>
      <c r="J91" s="10">
        <f t="shared" si="40"/>
        <v>1015.8213425598026</v>
      </c>
      <c r="K91" s="10"/>
      <c r="L91" s="14">
        <f t="shared" si="41"/>
        <v>0</v>
      </c>
      <c r="M91" s="19">
        <f t="shared" si="42"/>
        <v>0</v>
      </c>
    </row>
    <row r="92" spans="2:13" x14ac:dyDescent="0.2">
      <c r="B92" s="156" t="s">
        <v>1081</v>
      </c>
      <c r="C92" s="283">
        <v>333</v>
      </c>
      <c r="D92" s="282">
        <v>37425.910000000003</v>
      </c>
      <c r="E92" s="280">
        <v>9</v>
      </c>
      <c r="F92" s="10">
        <f t="shared" si="32"/>
        <v>4158.434444444445</v>
      </c>
      <c r="G92" s="19"/>
      <c r="H92" s="10">
        <f t="shared" si="38"/>
        <v>12475.303333333335</v>
      </c>
      <c r="I92" s="10">
        <f t="shared" si="39"/>
        <v>3</v>
      </c>
      <c r="J92" s="10">
        <f t="shared" si="40"/>
        <v>999</v>
      </c>
      <c r="K92" s="10"/>
      <c r="L92" s="14">
        <f t="shared" si="41"/>
        <v>0</v>
      </c>
      <c r="M92" s="19">
        <f t="shared" si="42"/>
        <v>0</v>
      </c>
    </row>
    <row r="93" spans="2:13" x14ac:dyDescent="0.2">
      <c r="B93" s="156" t="s">
        <v>1082</v>
      </c>
      <c r="C93" s="283">
        <v>500</v>
      </c>
      <c r="D93" s="282">
        <v>853002.95</v>
      </c>
      <c r="E93" s="280">
        <v>131</v>
      </c>
      <c r="F93" s="10">
        <f t="shared" si="32"/>
        <v>6511.4729007633587</v>
      </c>
      <c r="G93" s="19"/>
      <c r="H93" s="10">
        <f t="shared" ref="H93" si="43">F93*E93^0.5</f>
        <v>74527.213775883254</v>
      </c>
      <c r="I93" s="10">
        <f t="shared" ref="I93" si="44">E93^0.5</f>
        <v>11.445523142259598</v>
      </c>
      <c r="J93" s="10">
        <f t="shared" ref="J93" si="45">C93*E93^0.5</f>
        <v>5722.7615711297985</v>
      </c>
      <c r="K93" s="10"/>
      <c r="L93" s="14">
        <f t="shared" ref="L93:L107" si="46">IF(C93&gt;50,0,1)</f>
        <v>0</v>
      </c>
      <c r="M93" s="19">
        <f t="shared" ref="M93" si="47">L93*E93</f>
        <v>0</v>
      </c>
    </row>
    <row r="94" spans="2:13" x14ac:dyDescent="0.2">
      <c r="B94" s="156" t="s">
        <v>1098</v>
      </c>
      <c r="C94" s="283">
        <v>1000</v>
      </c>
      <c r="D94" s="282">
        <v>160885.76999999999</v>
      </c>
      <c r="E94" s="280">
        <v>14</v>
      </c>
      <c r="F94" s="10">
        <f t="shared" si="32"/>
        <v>11491.840714285714</v>
      </c>
      <c r="G94" s="19"/>
      <c r="H94" s="10">
        <f t="shared" si="33"/>
        <v>42998.530696236667</v>
      </c>
      <c r="I94" s="10">
        <f t="shared" si="34"/>
        <v>3.7416573867739413</v>
      </c>
      <c r="J94" s="10">
        <f t="shared" si="35"/>
        <v>3741.6573867739412</v>
      </c>
      <c r="K94" s="10"/>
      <c r="L94" s="14">
        <f t="shared" si="46"/>
        <v>0</v>
      </c>
      <c r="M94" s="19">
        <f t="shared" si="37"/>
        <v>0</v>
      </c>
    </row>
    <row r="95" spans="2:13" x14ac:dyDescent="0.2">
      <c r="B95" s="156" t="s">
        <v>1096</v>
      </c>
      <c r="C95" s="283">
        <v>300</v>
      </c>
      <c r="D95" s="282">
        <v>267419.86</v>
      </c>
      <c r="E95" s="280">
        <v>33</v>
      </c>
      <c r="F95" s="10">
        <f t="shared" si="32"/>
        <v>8103.6321212121211</v>
      </c>
      <c r="G95" s="19"/>
      <c r="H95" s="10">
        <f t="shared" ref="H95" si="48">F95*E95^0.5</f>
        <v>46551.822384800878</v>
      </c>
      <c r="I95" s="10">
        <f t="shared" ref="I95" si="49">E95^0.5</f>
        <v>5.7445626465380286</v>
      </c>
      <c r="J95" s="10">
        <f t="shared" ref="J95" si="50">C95*E95^0.5</f>
        <v>1723.3687939614085</v>
      </c>
      <c r="K95" s="10"/>
      <c r="L95" s="14">
        <f t="shared" ref="L95" si="51">IF(C95&gt;50,0,1)</f>
        <v>0</v>
      </c>
      <c r="M95" s="19">
        <f t="shared" ref="M95" si="52">L95*E95</f>
        <v>0</v>
      </c>
    </row>
    <row r="96" spans="2:13" x14ac:dyDescent="0.2">
      <c r="B96" s="156" t="s">
        <v>1099</v>
      </c>
      <c r="C96" s="283">
        <v>500</v>
      </c>
      <c r="D96" s="282">
        <v>305410</v>
      </c>
      <c r="E96" s="280">
        <v>31</v>
      </c>
      <c r="F96" s="10">
        <f t="shared" si="32"/>
        <v>9851.9354838709678</v>
      </c>
      <c r="G96" s="19"/>
      <c r="H96" s="10">
        <f t="shared" si="33"/>
        <v>54853.255291997317</v>
      </c>
      <c r="I96" s="10">
        <f t="shared" si="34"/>
        <v>5.5677643628300215</v>
      </c>
      <c r="J96" s="10">
        <f t="shared" si="35"/>
        <v>2783.8821814150106</v>
      </c>
      <c r="K96" s="10"/>
      <c r="L96" s="14">
        <f t="shared" si="46"/>
        <v>0</v>
      </c>
      <c r="M96" s="19">
        <f t="shared" si="37"/>
        <v>0</v>
      </c>
    </row>
    <row r="97" spans="2:13" x14ac:dyDescent="0.2">
      <c r="B97" s="156" t="s">
        <v>1100</v>
      </c>
      <c r="C97" s="283">
        <v>1000</v>
      </c>
      <c r="D97" s="282">
        <v>111676</v>
      </c>
      <c r="E97" s="280">
        <v>8</v>
      </c>
      <c r="F97" s="10">
        <f t="shared" si="32"/>
        <v>13959.5</v>
      </c>
      <c r="G97" s="19"/>
      <c r="H97" s="10">
        <f t="shared" si="33"/>
        <v>39483.428447894446</v>
      </c>
      <c r="I97" s="10">
        <f t="shared" si="34"/>
        <v>2.8284271247461903</v>
      </c>
      <c r="J97" s="10">
        <f t="shared" si="35"/>
        <v>2828.4271247461902</v>
      </c>
      <c r="K97" s="10"/>
      <c r="L97" s="14">
        <f t="shared" si="46"/>
        <v>0</v>
      </c>
      <c r="M97" s="19">
        <f t="shared" si="37"/>
        <v>0</v>
      </c>
    </row>
    <row r="98" spans="2:13" x14ac:dyDescent="0.2">
      <c r="B98" s="156" t="s">
        <v>1083</v>
      </c>
      <c r="C98" s="283">
        <v>1500</v>
      </c>
      <c r="D98" s="282">
        <v>431052.9</v>
      </c>
      <c r="E98" s="280">
        <v>20</v>
      </c>
      <c r="F98" s="10">
        <f t="shared" si="32"/>
        <v>21552.645</v>
      </c>
      <c r="G98" s="19"/>
      <c r="H98" s="10">
        <f t="shared" si="33"/>
        <v>96386.35862984191</v>
      </c>
      <c r="I98" s="10">
        <f t="shared" si="34"/>
        <v>4.4721359549995796</v>
      </c>
      <c r="J98" s="10">
        <f t="shared" si="35"/>
        <v>6708.2039324993693</v>
      </c>
      <c r="K98" s="10"/>
      <c r="L98" s="14">
        <f t="shared" si="46"/>
        <v>0</v>
      </c>
      <c r="M98" s="19">
        <f t="shared" si="37"/>
        <v>0</v>
      </c>
    </row>
    <row r="99" spans="2:13" x14ac:dyDescent="0.2">
      <c r="B99" s="156" t="s">
        <v>1084</v>
      </c>
      <c r="C99" s="283">
        <v>2500</v>
      </c>
      <c r="D99" s="282">
        <v>321139.68</v>
      </c>
      <c r="E99" s="280">
        <v>13</v>
      </c>
      <c r="F99" s="10">
        <f t="shared" si="32"/>
        <v>24703.052307692305</v>
      </c>
      <c r="G99" s="19"/>
      <c r="H99" s="10">
        <f t="shared" si="33"/>
        <v>89068.12175585363</v>
      </c>
      <c r="I99" s="10">
        <f t="shared" si="34"/>
        <v>3.6055512754639891</v>
      </c>
      <c r="J99" s="10">
        <f t="shared" si="35"/>
        <v>9013.8781886599736</v>
      </c>
      <c r="K99" s="10"/>
      <c r="L99" s="14">
        <f t="shared" si="46"/>
        <v>0</v>
      </c>
      <c r="M99" s="19">
        <f t="shared" si="37"/>
        <v>0</v>
      </c>
    </row>
    <row r="100" spans="2:13" x14ac:dyDescent="0.2">
      <c r="B100" s="156" t="s">
        <v>1085</v>
      </c>
      <c r="C100" s="283">
        <v>3000</v>
      </c>
      <c r="D100" s="282">
        <v>334873</v>
      </c>
      <c r="E100" s="280">
        <v>5</v>
      </c>
      <c r="F100" s="10">
        <f t="shared" si="32"/>
        <v>66974.600000000006</v>
      </c>
      <c r="G100" s="19"/>
      <c r="H100" s="10">
        <f t="shared" si="33"/>
        <v>149759.75836585744</v>
      </c>
      <c r="I100" s="10">
        <f t="shared" si="34"/>
        <v>2.2360679774997898</v>
      </c>
      <c r="J100" s="10">
        <f t="shared" si="35"/>
        <v>6708.2039324993693</v>
      </c>
      <c r="K100" s="10"/>
      <c r="L100" s="14">
        <f t="shared" si="46"/>
        <v>0</v>
      </c>
      <c r="M100" s="19">
        <f t="shared" si="37"/>
        <v>0</v>
      </c>
    </row>
    <row r="101" spans="2:13" x14ac:dyDescent="0.2">
      <c r="B101" s="156" t="s">
        <v>1086</v>
      </c>
      <c r="C101" s="283">
        <v>15</v>
      </c>
      <c r="D101" s="282">
        <v>2195</v>
      </c>
      <c r="E101" s="280">
        <v>2</v>
      </c>
      <c r="F101" s="10">
        <f t="shared" si="32"/>
        <v>1097.5</v>
      </c>
      <c r="G101" s="19"/>
      <c r="H101" s="10">
        <f t="shared" ref="H101" si="53">F101*E101^0.5</f>
        <v>1552.099384704472</v>
      </c>
      <c r="I101" s="10">
        <f t="shared" ref="I101" si="54">E101^0.5</f>
        <v>1.4142135623730951</v>
      </c>
      <c r="J101" s="10">
        <f t="shared" ref="J101" si="55">C101*E101^0.5</f>
        <v>21.213203435596427</v>
      </c>
      <c r="K101" s="10"/>
      <c r="L101" s="14">
        <f t="shared" si="46"/>
        <v>1</v>
      </c>
      <c r="M101" s="19">
        <f t="shared" ref="M101" si="56">L101*E101</f>
        <v>2</v>
      </c>
    </row>
    <row r="102" spans="2:13" x14ac:dyDescent="0.2">
      <c r="B102" s="156" t="s">
        <v>1087</v>
      </c>
      <c r="C102" s="283">
        <v>25</v>
      </c>
      <c r="D102" s="282">
        <v>655846.81999999995</v>
      </c>
      <c r="E102" s="280">
        <v>405</v>
      </c>
      <c r="F102" s="10">
        <f t="shared" si="32"/>
        <v>1619.3748641975308</v>
      </c>
      <c r="G102" s="19"/>
      <c r="H102" s="10">
        <f t="shared" ref="H102:H106" si="57">F102*E102^0.5</f>
        <v>32589.290496601523</v>
      </c>
      <c r="I102" s="10">
        <f t="shared" ref="I102:I106" si="58">E102^0.5</f>
        <v>20.124611797498108</v>
      </c>
      <c r="J102" s="10">
        <f t="shared" ref="J102:J106" si="59">C102*E102^0.5</f>
        <v>503.11529493745269</v>
      </c>
      <c r="K102" s="10"/>
      <c r="L102" s="14">
        <f t="shared" si="46"/>
        <v>1</v>
      </c>
      <c r="M102" s="19">
        <f t="shared" ref="M102:M106" si="60">L102*E102</f>
        <v>405</v>
      </c>
    </row>
    <row r="103" spans="2:13" x14ac:dyDescent="0.2">
      <c r="B103" s="156" t="s">
        <v>1088</v>
      </c>
      <c r="C103" s="283">
        <v>75</v>
      </c>
      <c r="D103" s="282">
        <v>126706</v>
      </c>
      <c r="E103" s="280">
        <v>67</v>
      </c>
      <c r="F103" s="10">
        <f t="shared" si="32"/>
        <v>1891.1343283582089</v>
      </c>
      <c r="G103" s="19"/>
      <c r="H103" s="10">
        <f t="shared" si="57"/>
        <v>15479.601616610011</v>
      </c>
      <c r="I103" s="10">
        <f t="shared" si="58"/>
        <v>8.1853527718724504</v>
      </c>
      <c r="J103" s="10">
        <f t="shared" si="59"/>
        <v>613.90145789043379</v>
      </c>
      <c r="K103" s="10"/>
      <c r="L103" s="14">
        <f t="shared" si="46"/>
        <v>0</v>
      </c>
      <c r="M103" s="19">
        <f t="shared" si="60"/>
        <v>0</v>
      </c>
    </row>
    <row r="104" spans="2:13" x14ac:dyDescent="0.2">
      <c r="B104" s="156" t="s">
        <v>1089</v>
      </c>
      <c r="C104" s="283">
        <v>167</v>
      </c>
      <c r="D104" s="282">
        <v>280232.63</v>
      </c>
      <c r="E104" s="280">
        <v>69</v>
      </c>
      <c r="F104" s="10">
        <f t="shared" si="32"/>
        <v>4061.342463768116</v>
      </c>
      <c r="G104" s="19"/>
      <c r="H104" s="10">
        <f t="shared" si="57"/>
        <v>33736.044225018719</v>
      </c>
      <c r="I104" s="10">
        <f t="shared" si="58"/>
        <v>8.3066238629180749</v>
      </c>
      <c r="J104" s="10">
        <f t="shared" si="59"/>
        <v>1387.2061851073186</v>
      </c>
      <c r="K104" s="10"/>
      <c r="L104" s="14">
        <f t="shared" si="46"/>
        <v>0</v>
      </c>
      <c r="M104" s="19">
        <f t="shared" si="60"/>
        <v>0</v>
      </c>
    </row>
    <row r="105" spans="2:13" x14ac:dyDescent="0.2">
      <c r="B105" s="156" t="s">
        <v>1090</v>
      </c>
      <c r="C105" s="283">
        <v>250</v>
      </c>
      <c r="D105" s="282">
        <v>19392</v>
      </c>
      <c r="E105" s="280">
        <v>4</v>
      </c>
      <c r="F105" s="10">
        <f t="shared" ref="F105" si="61">D105/E105</f>
        <v>4848</v>
      </c>
      <c r="G105" s="19"/>
      <c r="H105" s="10">
        <f t="shared" ref="H105" si="62">F105*E105^0.5</f>
        <v>9696</v>
      </c>
      <c r="I105" s="10">
        <f t="shared" ref="I105" si="63">E105^0.5</f>
        <v>2</v>
      </c>
      <c r="J105" s="10">
        <f t="shared" ref="J105" si="64">C105*E105^0.5</f>
        <v>500</v>
      </c>
      <c r="K105" s="10"/>
      <c r="L105" s="14">
        <f t="shared" ref="L105" si="65">IF(C105&gt;50,0,1)</f>
        <v>0</v>
      </c>
      <c r="M105" s="19">
        <f t="shared" ref="M105" si="66">L105*E105</f>
        <v>0</v>
      </c>
    </row>
    <row r="106" spans="2:13" x14ac:dyDescent="0.2">
      <c r="B106" s="156" t="s">
        <v>1091</v>
      </c>
      <c r="C106" s="283">
        <v>5000</v>
      </c>
      <c r="D106" s="282">
        <v>75411.63</v>
      </c>
      <c r="E106" s="280">
        <v>4</v>
      </c>
      <c r="F106" s="10">
        <f t="shared" si="32"/>
        <v>18852.907500000001</v>
      </c>
      <c r="G106" s="19"/>
      <c r="H106" s="10">
        <f t="shared" si="57"/>
        <v>37705.815000000002</v>
      </c>
      <c r="I106" s="10">
        <f t="shared" si="58"/>
        <v>2</v>
      </c>
      <c r="J106" s="10">
        <f t="shared" si="59"/>
        <v>10000</v>
      </c>
      <c r="K106" s="10"/>
      <c r="L106" s="14">
        <f t="shared" si="46"/>
        <v>0</v>
      </c>
      <c r="M106" s="19">
        <f t="shared" si="60"/>
        <v>0</v>
      </c>
    </row>
    <row r="107" spans="2:13" x14ac:dyDescent="0.2">
      <c r="B107" s="156" t="s">
        <v>1159</v>
      </c>
      <c r="C107" s="283">
        <v>1000</v>
      </c>
      <c r="D107" s="282">
        <v>16436</v>
      </c>
      <c r="E107" s="280">
        <v>1</v>
      </c>
      <c r="F107" s="10">
        <f t="shared" si="32"/>
        <v>16436</v>
      </c>
      <c r="G107" s="19"/>
      <c r="H107" s="10">
        <f t="shared" ref="H107" si="67">F107*E107^0.5</f>
        <v>16436</v>
      </c>
      <c r="I107" s="10">
        <f t="shared" ref="I107" si="68">E107^0.5</f>
        <v>1</v>
      </c>
      <c r="J107" s="10">
        <f t="shared" ref="J107" si="69">C107*E107^0.5</f>
        <v>1000</v>
      </c>
      <c r="K107" s="10"/>
      <c r="L107" s="14">
        <f t="shared" si="46"/>
        <v>0</v>
      </c>
      <c r="M107" s="19">
        <f t="shared" ref="M107" si="70">L107*E107</f>
        <v>0</v>
      </c>
    </row>
    <row r="108" spans="2:13" x14ac:dyDescent="0.2">
      <c r="B108" s="11" t="s">
        <v>831</v>
      </c>
      <c r="C108" s="128"/>
      <c r="D108" s="20">
        <f>SUM(D83:D107)</f>
        <v>19762296.529999997</v>
      </c>
      <c r="E108" s="117">
        <f>SUM(E83:E107)</f>
        <v>17443</v>
      </c>
      <c r="M108" s="21">
        <f>SUM(M83:M107)</f>
        <v>16741</v>
      </c>
    </row>
    <row r="110" spans="2:13" x14ac:dyDescent="0.2">
      <c r="B110" s="5" t="s">
        <v>931</v>
      </c>
      <c r="H110" s="270" t="s">
        <v>932</v>
      </c>
      <c r="I110" s="270"/>
    </row>
    <row r="112" spans="2:13" x14ac:dyDescent="0.2">
      <c r="B112" s="2" t="s">
        <v>933</v>
      </c>
      <c r="D112" s="77">
        <f>H112</f>
        <v>10.78183909726787</v>
      </c>
      <c r="H112" s="22">
        <f t="array" ref="H112:I114">LINEST(H83:H107,I83:J107,FALSE,TRUE)</f>
        <v>10.78183909726787</v>
      </c>
      <c r="I112" s="22">
        <v>778.56366199765421</v>
      </c>
    </row>
    <row r="113" spans="1:13" x14ac:dyDescent="0.2">
      <c r="B113" s="2" t="s">
        <v>934</v>
      </c>
      <c r="D113" s="77">
        <f>I112</f>
        <v>778.56366199765421</v>
      </c>
      <c r="H113" s="22">
        <v>1.304213048435569</v>
      </c>
      <c r="I113" s="22">
        <v>185.01001009713741</v>
      </c>
    </row>
    <row r="114" spans="1:13" x14ac:dyDescent="0.2">
      <c r="B114" s="2" t="s">
        <v>935</v>
      </c>
      <c r="D114" s="116">
        <f>H114</f>
        <v>0.82438836070165811</v>
      </c>
      <c r="H114" s="22">
        <v>0.82438836070165811</v>
      </c>
      <c r="I114" s="22">
        <v>23769.610339582472</v>
      </c>
    </row>
    <row r="115" spans="1:13" x14ac:dyDescent="0.2">
      <c r="H115" s="22"/>
      <c r="I115" s="22"/>
    </row>
    <row r="116" spans="1:13" x14ac:dyDescent="0.2">
      <c r="B116" s="12" t="s">
        <v>936</v>
      </c>
      <c r="C116" s="131"/>
    </row>
    <row r="117" spans="1:13" x14ac:dyDescent="0.2">
      <c r="C117" s="131"/>
      <c r="F117" s="16"/>
    </row>
    <row r="118" spans="1:13" x14ac:dyDescent="0.2">
      <c r="B118" s="2" t="s">
        <v>937</v>
      </c>
      <c r="C118" s="196"/>
      <c r="D118" s="19">
        <f>IF(D121="M",E108,M108)</f>
        <v>16741</v>
      </c>
      <c r="F118" s="16" t="s">
        <v>952</v>
      </c>
    </row>
    <row r="119" spans="1:13" x14ac:dyDescent="0.2">
      <c r="B119" s="2" t="s">
        <v>938</v>
      </c>
      <c r="C119" s="131"/>
      <c r="D119" s="95">
        <f>D113</f>
        <v>778.56366199765421</v>
      </c>
      <c r="E119" s="13"/>
      <c r="F119" s="16" t="s">
        <v>953</v>
      </c>
    </row>
    <row r="120" spans="1:13" x14ac:dyDescent="0.2">
      <c r="B120" s="2" t="s">
        <v>939</v>
      </c>
      <c r="C120" s="131"/>
      <c r="D120" s="95">
        <f>MIN(F83:F107)</f>
        <v>758.14264527845035</v>
      </c>
      <c r="F120" s="2" t="s">
        <v>1011</v>
      </c>
    </row>
    <row r="121" spans="1:13" x14ac:dyDescent="0.2">
      <c r="B121" s="2" t="s">
        <v>940</v>
      </c>
      <c r="C121" s="131"/>
      <c r="D121" s="194" t="s">
        <v>947</v>
      </c>
    </row>
    <row r="122" spans="1:13" x14ac:dyDescent="0.2">
      <c r="B122" s="2" t="s">
        <v>941</v>
      </c>
      <c r="C122" s="24"/>
      <c r="D122" s="26">
        <f>IF(D121="Z",D118*D119,D118*D120)</f>
        <v>13033934.265502729</v>
      </c>
    </row>
    <row r="123" spans="1:13" x14ac:dyDescent="0.2">
      <c r="B123" s="2" t="s">
        <v>942</v>
      </c>
      <c r="C123" s="24"/>
      <c r="D123" s="26">
        <f>D108</f>
        <v>19762296.529999997</v>
      </c>
    </row>
    <row r="124" spans="1:13" x14ac:dyDescent="0.2">
      <c r="B124" s="2" t="s">
        <v>943</v>
      </c>
      <c r="C124" s="24"/>
      <c r="D124" s="27">
        <f>D122/D123</f>
        <v>0.65953540600489768</v>
      </c>
    </row>
    <row r="125" spans="1:13" x14ac:dyDescent="0.2">
      <c r="B125" s="2" t="s">
        <v>944</v>
      </c>
      <c r="C125" s="24"/>
      <c r="D125" s="28">
        <f>D124</f>
        <v>0.65953540600489768</v>
      </c>
    </row>
    <row r="126" spans="1:13" x14ac:dyDescent="0.2">
      <c r="B126" s="2" t="s">
        <v>945</v>
      </c>
      <c r="C126" s="24"/>
      <c r="D126" s="29">
        <f>1-D125</f>
        <v>0.34046459399510232</v>
      </c>
    </row>
    <row r="128" spans="1:13" x14ac:dyDescent="0.2">
      <c r="A128" s="1"/>
      <c r="B128" s="128"/>
      <c r="C128" s="128"/>
      <c r="D128" s="128"/>
      <c r="E128" s="128"/>
      <c r="F128" s="128"/>
      <c r="G128" s="128"/>
      <c r="H128" s="91"/>
      <c r="I128" s="91"/>
      <c r="J128" s="91"/>
      <c r="K128" s="91"/>
      <c r="L128" s="91"/>
      <c r="M128" s="91"/>
    </row>
    <row r="129" spans="1:15" x14ac:dyDescent="0.2">
      <c r="A129" s="1"/>
      <c r="B129" s="114" t="s">
        <v>954</v>
      </c>
      <c r="C129" s="42" t="s">
        <v>955</v>
      </c>
      <c r="D129" s="115" t="s">
        <v>10</v>
      </c>
      <c r="E129" s="115" t="s">
        <v>12</v>
      </c>
      <c r="H129" s="42" t="s">
        <v>991</v>
      </c>
    </row>
    <row r="130" spans="1:15" x14ac:dyDescent="0.2">
      <c r="B130" s="2" t="s">
        <v>201</v>
      </c>
      <c r="C130" s="14">
        <v>365</v>
      </c>
      <c r="D130" s="23">
        <f>D44</f>
        <v>0.77593582045525211</v>
      </c>
      <c r="E130" s="23">
        <f>D43</f>
        <v>0.22406417954474786</v>
      </c>
      <c r="H130" s="130" t="str">
        <f>D39</f>
        <v>Z</v>
      </c>
      <c r="M130" s="10"/>
    </row>
    <row r="131" spans="1:15" x14ac:dyDescent="0.2">
      <c r="B131" s="2" t="s">
        <v>202</v>
      </c>
      <c r="C131" s="14">
        <v>367</v>
      </c>
      <c r="D131" s="23">
        <f>D76</f>
        <v>0.64807031426482598</v>
      </c>
      <c r="E131" s="23">
        <f>D75</f>
        <v>0.35192968573517402</v>
      </c>
      <c r="H131" s="130" t="str">
        <f>D71</f>
        <v>Z</v>
      </c>
      <c r="M131" s="10"/>
    </row>
    <row r="132" spans="1:15" x14ac:dyDescent="0.2">
      <c r="B132" s="2" t="s">
        <v>203</v>
      </c>
      <c r="C132" s="14">
        <v>368</v>
      </c>
      <c r="D132" s="116">
        <f>D126</f>
        <v>0.34046459399510232</v>
      </c>
      <c r="E132" s="116">
        <f>D125</f>
        <v>0.65953540600489768</v>
      </c>
      <c r="H132" s="130" t="str">
        <f>D121</f>
        <v>Z</v>
      </c>
      <c r="M132" s="10"/>
    </row>
    <row r="133" spans="1:15" x14ac:dyDescent="0.2">
      <c r="M133" s="56"/>
      <c r="N133" s="56"/>
      <c r="O133" s="56"/>
    </row>
    <row r="134" spans="1:15" x14ac:dyDescent="0.2">
      <c r="D134" s="23"/>
      <c r="E134" s="23"/>
    </row>
    <row r="135" spans="1:15" x14ac:dyDescent="0.2">
      <c r="D135" s="23"/>
      <c r="E135" s="23"/>
    </row>
    <row r="136" spans="1:15" x14ac:dyDescent="0.2">
      <c r="D136" s="23"/>
      <c r="E136" s="23"/>
    </row>
    <row r="137" spans="1:15" x14ac:dyDescent="0.2">
      <c r="D137" s="116"/>
      <c r="E137" s="116"/>
    </row>
  </sheetData>
  <mergeCells count="4">
    <mergeCell ref="H28:I28"/>
    <mergeCell ref="H60:I60"/>
    <mergeCell ref="L80:M80"/>
    <mergeCell ref="H110:I110"/>
  </mergeCells>
  <printOptions horizontalCentered="1"/>
  <pageMargins left="0.7" right="0.7" top="0.75" bottom="0.75" header="0.3" footer="0.3"/>
  <pageSetup scale="72" fitToHeight="3" orientation="landscape" r:id="rId1"/>
  <headerFooter>
    <oddFooter>&amp;RExhibit JW-8
Page &amp;P of &amp;N</oddFooter>
  </headerFooter>
  <rowBreaks count="2" manualBreakCount="2">
    <brk id="45" max="16383" man="1"/>
    <brk id="77" max="16383" man="1"/>
  </rowBreaks>
  <ignoredErrors>
    <ignoredError sqref="D113 D31 D6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104F9-13F2-48E4-8398-905626E7E2AB}">
  <sheetPr>
    <tabColor theme="5" tint="0.59999389629810485"/>
  </sheetPr>
  <dimension ref="B3:S159"/>
  <sheetViews>
    <sheetView workbookViewId="0">
      <selection activeCell="M124" sqref="M124"/>
    </sheetView>
  </sheetViews>
  <sheetFormatPr defaultRowHeight="12.75" x14ac:dyDescent="0.2"/>
  <cols>
    <col min="1" max="1" width="3.28515625" style="200" customWidth="1"/>
    <col min="2" max="2" width="45.7109375" style="200" bestFit="1" customWidth="1"/>
    <col min="3" max="3" width="9.140625" style="199"/>
    <col min="4" max="15" width="11.7109375" style="200" customWidth="1"/>
    <col min="16" max="16" width="12.7109375" style="200" bestFit="1" customWidth="1"/>
    <col min="17" max="17" width="11.7109375" style="200" bestFit="1" customWidth="1"/>
    <col min="18" max="257" width="9.140625" style="200"/>
    <col min="258" max="258" width="32.28515625" style="200" bestFit="1" customWidth="1"/>
    <col min="259" max="259" width="9.140625" style="200"/>
    <col min="260" max="271" width="11.7109375" style="200" bestFit="1" customWidth="1"/>
    <col min="272" max="272" width="12.7109375" style="200" bestFit="1" customWidth="1"/>
    <col min="273" max="273" width="11.7109375" style="200" bestFit="1" customWidth="1"/>
    <col min="274" max="513" width="9.140625" style="200"/>
    <col min="514" max="514" width="32.28515625" style="200" bestFit="1" customWidth="1"/>
    <col min="515" max="515" width="9.140625" style="200"/>
    <col min="516" max="527" width="11.7109375" style="200" bestFit="1" customWidth="1"/>
    <col min="528" max="528" width="12.7109375" style="200" bestFit="1" customWidth="1"/>
    <col min="529" max="529" width="11.7109375" style="200" bestFit="1" customWidth="1"/>
    <col min="530" max="769" width="9.140625" style="200"/>
    <col min="770" max="770" width="32.28515625" style="200" bestFit="1" customWidth="1"/>
    <col min="771" max="771" width="9.140625" style="200"/>
    <col min="772" max="783" width="11.7109375" style="200" bestFit="1" customWidth="1"/>
    <col min="784" max="784" width="12.7109375" style="200" bestFit="1" customWidth="1"/>
    <col min="785" max="785" width="11.7109375" style="200" bestFit="1" customWidth="1"/>
    <col min="786" max="1025" width="9.140625" style="200"/>
    <col min="1026" max="1026" width="32.28515625" style="200" bestFit="1" customWidth="1"/>
    <col min="1027" max="1027" width="9.140625" style="200"/>
    <col min="1028" max="1039" width="11.7109375" style="200" bestFit="1" customWidth="1"/>
    <col min="1040" max="1040" width="12.7109375" style="200" bestFit="1" customWidth="1"/>
    <col min="1041" max="1041" width="11.7109375" style="200" bestFit="1" customWidth="1"/>
    <col min="1042" max="1281" width="9.140625" style="200"/>
    <col min="1282" max="1282" width="32.28515625" style="200" bestFit="1" customWidth="1"/>
    <col min="1283" max="1283" width="9.140625" style="200"/>
    <col min="1284" max="1295" width="11.7109375" style="200" bestFit="1" customWidth="1"/>
    <col min="1296" max="1296" width="12.7109375" style="200" bestFit="1" customWidth="1"/>
    <col min="1297" max="1297" width="11.7109375" style="200" bestFit="1" customWidth="1"/>
    <col min="1298" max="1537" width="9.140625" style="200"/>
    <col min="1538" max="1538" width="32.28515625" style="200" bestFit="1" customWidth="1"/>
    <col min="1539" max="1539" width="9.140625" style="200"/>
    <col min="1540" max="1551" width="11.7109375" style="200" bestFit="1" customWidth="1"/>
    <col min="1552" max="1552" width="12.7109375" style="200" bestFit="1" customWidth="1"/>
    <col min="1553" max="1553" width="11.7109375" style="200" bestFit="1" customWidth="1"/>
    <col min="1554" max="1793" width="9.140625" style="200"/>
    <col min="1794" max="1794" width="32.28515625" style="200" bestFit="1" customWidth="1"/>
    <col min="1795" max="1795" width="9.140625" style="200"/>
    <col min="1796" max="1807" width="11.7109375" style="200" bestFit="1" customWidth="1"/>
    <col min="1808" max="1808" width="12.7109375" style="200" bestFit="1" customWidth="1"/>
    <col min="1809" max="1809" width="11.7109375" style="200" bestFit="1" customWidth="1"/>
    <col min="1810" max="2049" width="9.140625" style="200"/>
    <col min="2050" max="2050" width="32.28515625" style="200" bestFit="1" customWidth="1"/>
    <col min="2051" max="2051" width="9.140625" style="200"/>
    <col min="2052" max="2063" width="11.7109375" style="200" bestFit="1" customWidth="1"/>
    <col min="2064" max="2064" width="12.7109375" style="200" bestFit="1" customWidth="1"/>
    <col min="2065" max="2065" width="11.7109375" style="200" bestFit="1" customWidth="1"/>
    <col min="2066" max="2305" width="9.140625" style="200"/>
    <col min="2306" max="2306" width="32.28515625" style="200" bestFit="1" customWidth="1"/>
    <col min="2307" max="2307" width="9.140625" style="200"/>
    <col min="2308" max="2319" width="11.7109375" style="200" bestFit="1" customWidth="1"/>
    <col min="2320" max="2320" width="12.7109375" style="200" bestFit="1" customWidth="1"/>
    <col min="2321" max="2321" width="11.7109375" style="200" bestFit="1" customWidth="1"/>
    <col min="2322" max="2561" width="9.140625" style="200"/>
    <col min="2562" max="2562" width="32.28515625" style="200" bestFit="1" customWidth="1"/>
    <col min="2563" max="2563" width="9.140625" style="200"/>
    <col min="2564" max="2575" width="11.7109375" style="200" bestFit="1" customWidth="1"/>
    <col min="2576" max="2576" width="12.7109375" style="200" bestFit="1" customWidth="1"/>
    <col min="2577" max="2577" width="11.7109375" style="200" bestFit="1" customWidth="1"/>
    <col min="2578" max="2817" width="9.140625" style="200"/>
    <col min="2818" max="2818" width="32.28515625" style="200" bestFit="1" customWidth="1"/>
    <col min="2819" max="2819" width="9.140625" style="200"/>
    <col min="2820" max="2831" width="11.7109375" style="200" bestFit="1" customWidth="1"/>
    <col min="2832" max="2832" width="12.7109375" style="200" bestFit="1" customWidth="1"/>
    <col min="2833" max="2833" width="11.7109375" style="200" bestFit="1" customWidth="1"/>
    <col min="2834" max="3073" width="9.140625" style="200"/>
    <col min="3074" max="3074" width="32.28515625" style="200" bestFit="1" customWidth="1"/>
    <col min="3075" max="3075" width="9.140625" style="200"/>
    <col min="3076" max="3087" width="11.7109375" style="200" bestFit="1" customWidth="1"/>
    <col min="3088" max="3088" width="12.7109375" style="200" bestFit="1" customWidth="1"/>
    <col min="3089" max="3089" width="11.7109375" style="200" bestFit="1" customWidth="1"/>
    <col min="3090" max="3329" width="9.140625" style="200"/>
    <col min="3330" max="3330" width="32.28515625" style="200" bestFit="1" customWidth="1"/>
    <col min="3331" max="3331" width="9.140625" style="200"/>
    <col min="3332" max="3343" width="11.7109375" style="200" bestFit="1" customWidth="1"/>
    <col min="3344" max="3344" width="12.7109375" style="200" bestFit="1" customWidth="1"/>
    <col min="3345" max="3345" width="11.7109375" style="200" bestFit="1" customWidth="1"/>
    <col min="3346" max="3585" width="9.140625" style="200"/>
    <col min="3586" max="3586" width="32.28515625" style="200" bestFit="1" customWidth="1"/>
    <col min="3587" max="3587" width="9.140625" style="200"/>
    <col min="3588" max="3599" width="11.7109375" style="200" bestFit="1" customWidth="1"/>
    <col min="3600" max="3600" width="12.7109375" style="200" bestFit="1" customWidth="1"/>
    <col min="3601" max="3601" width="11.7109375" style="200" bestFit="1" customWidth="1"/>
    <col min="3602" max="3841" width="9.140625" style="200"/>
    <col min="3842" max="3842" width="32.28515625" style="200" bestFit="1" customWidth="1"/>
    <col min="3843" max="3843" width="9.140625" style="200"/>
    <col min="3844" max="3855" width="11.7109375" style="200" bestFit="1" customWidth="1"/>
    <col min="3856" max="3856" width="12.7109375" style="200" bestFit="1" customWidth="1"/>
    <col min="3857" max="3857" width="11.7109375" style="200" bestFit="1" customWidth="1"/>
    <col min="3858" max="4097" width="9.140625" style="200"/>
    <col min="4098" max="4098" width="32.28515625" style="200" bestFit="1" customWidth="1"/>
    <col min="4099" max="4099" width="9.140625" style="200"/>
    <col min="4100" max="4111" width="11.7109375" style="200" bestFit="1" customWidth="1"/>
    <col min="4112" max="4112" width="12.7109375" style="200" bestFit="1" customWidth="1"/>
    <col min="4113" max="4113" width="11.7109375" style="200" bestFit="1" customWidth="1"/>
    <col min="4114" max="4353" width="9.140625" style="200"/>
    <col min="4354" max="4354" width="32.28515625" style="200" bestFit="1" customWidth="1"/>
    <col min="4355" max="4355" width="9.140625" style="200"/>
    <col min="4356" max="4367" width="11.7109375" style="200" bestFit="1" customWidth="1"/>
    <col min="4368" max="4368" width="12.7109375" style="200" bestFit="1" customWidth="1"/>
    <col min="4369" max="4369" width="11.7109375" style="200" bestFit="1" customWidth="1"/>
    <col min="4370" max="4609" width="9.140625" style="200"/>
    <col min="4610" max="4610" width="32.28515625" style="200" bestFit="1" customWidth="1"/>
    <col min="4611" max="4611" width="9.140625" style="200"/>
    <col min="4612" max="4623" width="11.7109375" style="200" bestFit="1" customWidth="1"/>
    <col min="4624" max="4624" width="12.7109375" style="200" bestFit="1" customWidth="1"/>
    <col min="4625" max="4625" width="11.7109375" style="200" bestFit="1" customWidth="1"/>
    <col min="4626" max="4865" width="9.140625" style="200"/>
    <col min="4866" max="4866" width="32.28515625" style="200" bestFit="1" customWidth="1"/>
    <col min="4867" max="4867" width="9.140625" style="200"/>
    <col min="4868" max="4879" width="11.7109375" style="200" bestFit="1" customWidth="1"/>
    <col min="4880" max="4880" width="12.7109375" style="200" bestFit="1" customWidth="1"/>
    <col min="4881" max="4881" width="11.7109375" style="200" bestFit="1" customWidth="1"/>
    <col min="4882" max="5121" width="9.140625" style="200"/>
    <col min="5122" max="5122" width="32.28515625" style="200" bestFit="1" customWidth="1"/>
    <col min="5123" max="5123" width="9.140625" style="200"/>
    <col min="5124" max="5135" width="11.7109375" style="200" bestFit="1" customWidth="1"/>
    <col min="5136" max="5136" width="12.7109375" style="200" bestFit="1" customWidth="1"/>
    <col min="5137" max="5137" width="11.7109375" style="200" bestFit="1" customWidth="1"/>
    <col min="5138" max="5377" width="9.140625" style="200"/>
    <col min="5378" max="5378" width="32.28515625" style="200" bestFit="1" customWidth="1"/>
    <col min="5379" max="5379" width="9.140625" style="200"/>
    <col min="5380" max="5391" width="11.7109375" style="200" bestFit="1" customWidth="1"/>
    <col min="5392" max="5392" width="12.7109375" style="200" bestFit="1" customWidth="1"/>
    <col min="5393" max="5393" width="11.7109375" style="200" bestFit="1" customWidth="1"/>
    <col min="5394" max="5633" width="9.140625" style="200"/>
    <col min="5634" max="5634" width="32.28515625" style="200" bestFit="1" customWidth="1"/>
    <col min="5635" max="5635" width="9.140625" style="200"/>
    <col min="5636" max="5647" width="11.7109375" style="200" bestFit="1" customWidth="1"/>
    <col min="5648" max="5648" width="12.7109375" style="200" bestFit="1" customWidth="1"/>
    <col min="5649" max="5649" width="11.7109375" style="200" bestFit="1" customWidth="1"/>
    <col min="5650" max="5889" width="9.140625" style="200"/>
    <col min="5890" max="5890" width="32.28515625" style="200" bestFit="1" customWidth="1"/>
    <col min="5891" max="5891" width="9.140625" style="200"/>
    <col min="5892" max="5903" width="11.7109375" style="200" bestFit="1" customWidth="1"/>
    <col min="5904" max="5904" width="12.7109375" style="200" bestFit="1" customWidth="1"/>
    <col min="5905" max="5905" width="11.7109375" style="200" bestFit="1" customWidth="1"/>
    <col min="5906" max="6145" width="9.140625" style="200"/>
    <col min="6146" max="6146" width="32.28515625" style="200" bestFit="1" customWidth="1"/>
    <col min="6147" max="6147" width="9.140625" style="200"/>
    <col min="6148" max="6159" width="11.7109375" style="200" bestFit="1" customWidth="1"/>
    <col min="6160" max="6160" width="12.7109375" style="200" bestFit="1" customWidth="1"/>
    <col min="6161" max="6161" width="11.7109375" style="200" bestFit="1" customWidth="1"/>
    <col min="6162" max="6401" width="9.140625" style="200"/>
    <col min="6402" max="6402" width="32.28515625" style="200" bestFit="1" customWidth="1"/>
    <col min="6403" max="6403" width="9.140625" style="200"/>
    <col min="6404" max="6415" width="11.7109375" style="200" bestFit="1" customWidth="1"/>
    <col min="6416" max="6416" width="12.7109375" style="200" bestFit="1" customWidth="1"/>
    <col min="6417" max="6417" width="11.7109375" style="200" bestFit="1" customWidth="1"/>
    <col min="6418" max="6657" width="9.140625" style="200"/>
    <col min="6658" max="6658" width="32.28515625" style="200" bestFit="1" customWidth="1"/>
    <col min="6659" max="6659" width="9.140625" style="200"/>
    <col min="6660" max="6671" width="11.7109375" style="200" bestFit="1" customWidth="1"/>
    <col min="6672" max="6672" width="12.7109375" style="200" bestFit="1" customWidth="1"/>
    <col min="6673" max="6673" width="11.7109375" style="200" bestFit="1" customWidth="1"/>
    <col min="6674" max="6913" width="9.140625" style="200"/>
    <col min="6914" max="6914" width="32.28515625" style="200" bestFit="1" customWidth="1"/>
    <col min="6915" max="6915" width="9.140625" style="200"/>
    <col min="6916" max="6927" width="11.7109375" style="200" bestFit="1" customWidth="1"/>
    <col min="6928" max="6928" width="12.7109375" style="200" bestFit="1" customWidth="1"/>
    <col min="6929" max="6929" width="11.7109375" style="200" bestFit="1" customWidth="1"/>
    <col min="6930" max="7169" width="9.140625" style="200"/>
    <col min="7170" max="7170" width="32.28515625" style="200" bestFit="1" customWidth="1"/>
    <col min="7171" max="7171" width="9.140625" style="200"/>
    <col min="7172" max="7183" width="11.7109375" style="200" bestFit="1" customWidth="1"/>
    <col min="7184" max="7184" width="12.7109375" style="200" bestFit="1" customWidth="1"/>
    <col min="7185" max="7185" width="11.7109375" style="200" bestFit="1" customWidth="1"/>
    <col min="7186" max="7425" width="9.140625" style="200"/>
    <col min="7426" max="7426" width="32.28515625" style="200" bestFit="1" customWidth="1"/>
    <col min="7427" max="7427" width="9.140625" style="200"/>
    <col min="7428" max="7439" width="11.7109375" style="200" bestFit="1" customWidth="1"/>
    <col min="7440" max="7440" width="12.7109375" style="200" bestFit="1" customWidth="1"/>
    <col min="7441" max="7441" width="11.7109375" style="200" bestFit="1" customWidth="1"/>
    <col min="7442" max="7681" width="9.140625" style="200"/>
    <col min="7682" max="7682" width="32.28515625" style="200" bestFit="1" customWidth="1"/>
    <col min="7683" max="7683" width="9.140625" style="200"/>
    <col min="7684" max="7695" width="11.7109375" style="200" bestFit="1" customWidth="1"/>
    <col min="7696" max="7696" width="12.7109375" style="200" bestFit="1" customWidth="1"/>
    <col min="7697" max="7697" width="11.7109375" style="200" bestFit="1" customWidth="1"/>
    <col min="7698" max="7937" width="9.140625" style="200"/>
    <col min="7938" max="7938" width="32.28515625" style="200" bestFit="1" customWidth="1"/>
    <col min="7939" max="7939" width="9.140625" style="200"/>
    <col min="7940" max="7951" width="11.7109375" style="200" bestFit="1" customWidth="1"/>
    <col min="7952" max="7952" width="12.7109375" style="200" bestFit="1" customWidth="1"/>
    <col min="7953" max="7953" width="11.7109375" style="200" bestFit="1" customWidth="1"/>
    <col min="7954" max="8193" width="9.140625" style="200"/>
    <col min="8194" max="8194" width="32.28515625" style="200" bestFit="1" customWidth="1"/>
    <col min="8195" max="8195" width="9.140625" style="200"/>
    <col min="8196" max="8207" width="11.7109375" style="200" bestFit="1" customWidth="1"/>
    <col min="8208" max="8208" width="12.7109375" style="200" bestFit="1" customWidth="1"/>
    <col min="8209" max="8209" width="11.7109375" style="200" bestFit="1" customWidth="1"/>
    <col min="8210" max="8449" width="9.140625" style="200"/>
    <col min="8450" max="8450" width="32.28515625" style="200" bestFit="1" customWidth="1"/>
    <col min="8451" max="8451" width="9.140625" style="200"/>
    <col min="8452" max="8463" width="11.7109375" style="200" bestFit="1" customWidth="1"/>
    <col min="8464" max="8464" width="12.7109375" style="200" bestFit="1" customWidth="1"/>
    <col min="8465" max="8465" width="11.7109375" style="200" bestFit="1" customWidth="1"/>
    <col min="8466" max="8705" width="9.140625" style="200"/>
    <col min="8706" max="8706" width="32.28515625" style="200" bestFit="1" customWidth="1"/>
    <col min="8707" max="8707" width="9.140625" style="200"/>
    <col min="8708" max="8719" width="11.7109375" style="200" bestFit="1" customWidth="1"/>
    <col min="8720" max="8720" width="12.7109375" style="200" bestFit="1" customWidth="1"/>
    <col min="8721" max="8721" width="11.7109375" style="200" bestFit="1" customWidth="1"/>
    <col min="8722" max="8961" width="9.140625" style="200"/>
    <col min="8962" max="8962" width="32.28515625" style="200" bestFit="1" customWidth="1"/>
    <col min="8963" max="8963" width="9.140625" style="200"/>
    <col min="8964" max="8975" width="11.7109375" style="200" bestFit="1" customWidth="1"/>
    <col min="8976" max="8976" width="12.7109375" style="200" bestFit="1" customWidth="1"/>
    <col min="8977" max="8977" width="11.7109375" style="200" bestFit="1" customWidth="1"/>
    <col min="8978" max="9217" width="9.140625" style="200"/>
    <col min="9218" max="9218" width="32.28515625" style="200" bestFit="1" customWidth="1"/>
    <col min="9219" max="9219" width="9.140625" style="200"/>
    <col min="9220" max="9231" width="11.7109375" style="200" bestFit="1" customWidth="1"/>
    <col min="9232" max="9232" width="12.7109375" style="200" bestFit="1" customWidth="1"/>
    <col min="9233" max="9233" width="11.7109375" style="200" bestFit="1" customWidth="1"/>
    <col min="9234" max="9473" width="9.140625" style="200"/>
    <col min="9474" max="9474" width="32.28515625" style="200" bestFit="1" customWidth="1"/>
    <col min="9475" max="9475" width="9.140625" style="200"/>
    <col min="9476" max="9487" width="11.7109375" style="200" bestFit="1" customWidth="1"/>
    <col min="9488" max="9488" width="12.7109375" style="200" bestFit="1" customWidth="1"/>
    <col min="9489" max="9489" width="11.7109375" style="200" bestFit="1" customWidth="1"/>
    <col min="9490" max="9729" width="9.140625" style="200"/>
    <col min="9730" max="9730" width="32.28515625" style="200" bestFit="1" customWidth="1"/>
    <col min="9731" max="9731" width="9.140625" style="200"/>
    <col min="9732" max="9743" width="11.7109375" style="200" bestFit="1" customWidth="1"/>
    <col min="9744" max="9744" width="12.7109375" style="200" bestFit="1" customWidth="1"/>
    <col min="9745" max="9745" width="11.7109375" style="200" bestFit="1" customWidth="1"/>
    <col min="9746" max="9985" width="9.140625" style="200"/>
    <col min="9986" max="9986" width="32.28515625" style="200" bestFit="1" customWidth="1"/>
    <col min="9987" max="9987" width="9.140625" style="200"/>
    <col min="9988" max="9999" width="11.7109375" style="200" bestFit="1" customWidth="1"/>
    <col min="10000" max="10000" width="12.7109375" style="200" bestFit="1" customWidth="1"/>
    <col min="10001" max="10001" width="11.7109375" style="200" bestFit="1" customWidth="1"/>
    <col min="10002" max="10241" width="9.140625" style="200"/>
    <col min="10242" max="10242" width="32.28515625" style="200" bestFit="1" customWidth="1"/>
    <col min="10243" max="10243" width="9.140625" style="200"/>
    <col min="10244" max="10255" width="11.7109375" style="200" bestFit="1" customWidth="1"/>
    <col min="10256" max="10256" width="12.7109375" style="200" bestFit="1" customWidth="1"/>
    <col min="10257" max="10257" width="11.7109375" style="200" bestFit="1" customWidth="1"/>
    <col min="10258" max="10497" width="9.140625" style="200"/>
    <col min="10498" max="10498" width="32.28515625" style="200" bestFit="1" customWidth="1"/>
    <col min="10499" max="10499" width="9.140625" style="200"/>
    <col min="10500" max="10511" width="11.7109375" style="200" bestFit="1" customWidth="1"/>
    <col min="10512" max="10512" width="12.7109375" style="200" bestFit="1" customWidth="1"/>
    <col min="10513" max="10513" width="11.7109375" style="200" bestFit="1" customWidth="1"/>
    <col min="10514" max="10753" width="9.140625" style="200"/>
    <col min="10754" max="10754" width="32.28515625" style="200" bestFit="1" customWidth="1"/>
    <col min="10755" max="10755" width="9.140625" style="200"/>
    <col min="10756" max="10767" width="11.7109375" style="200" bestFit="1" customWidth="1"/>
    <col min="10768" max="10768" width="12.7109375" style="200" bestFit="1" customWidth="1"/>
    <col min="10769" max="10769" width="11.7109375" style="200" bestFit="1" customWidth="1"/>
    <col min="10770" max="11009" width="9.140625" style="200"/>
    <col min="11010" max="11010" width="32.28515625" style="200" bestFit="1" customWidth="1"/>
    <col min="11011" max="11011" width="9.140625" style="200"/>
    <col min="11012" max="11023" width="11.7109375" style="200" bestFit="1" customWidth="1"/>
    <col min="11024" max="11024" width="12.7109375" style="200" bestFit="1" customWidth="1"/>
    <col min="11025" max="11025" width="11.7109375" style="200" bestFit="1" customWidth="1"/>
    <col min="11026" max="11265" width="9.140625" style="200"/>
    <col min="11266" max="11266" width="32.28515625" style="200" bestFit="1" customWidth="1"/>
    <col min="11267" max="11267" width="9.140625" style="200"/>
    <col min="11268" max="11279" width="11.7109375" style="200" bestFit="1" customWidth="1"/>
    <col min="11280" max="11280" width="12.7109375" style="200" bestFit="1" customWidth="1"/>
    <col min="11281" max="11281" width="11.7109375" style="200" bestFit="1" customWidth="1"/>
    <col min="11282" max="11521" width="9.140625" style="200"/>
    <col min="11522" max="11522" width="32.28515625" style="200" bestFit="1" customWidth="1"/>
    <col min="11523" max="11523" width="9.140625" style="200"/>
    <col min="11524" max="11535" width="11.7109375" style="200" bestFit="1" customWidth="1"/>
    <col min="11536" max="11536" width="12.7109375" style="200" bestFit="1" customWidth="1"/>
    <col min="11537" max="11537" width="11.7109375" style="200" bestFit="1" customWidth="1"/>
    <col min="11538" max="11777" width="9.140625" style="200"/>
    <col min="11778" max="11778" width="32.28515625" style="200" bestFit="1" customWidth="1"/>
    <col min="11779" max="11779" width="9.140625" style="200"/>
    <col min="11780" max="11791" width="11.7109375" style="200" bestFit="1" customWidth="1"/>
    <col min="11792" max="11792" width="12.7109375" style="200" bestFit="1" customWidth="1"/>
    <col min="11793" max="11793" width="11.7109375" style="200" bestFit="1" customWidth="1"/>
    <col min="11794" max="12033" width="9.140625" style="200"/>
    <col min="12034" max="12034" width="32.28515625" style="200" bestFit="1" customWidth="1"/>
    <col min="12035" max="12035" width="9.140625" style="200"/>
    <col min="12036" max="12047" width="11.7109375" style="200" bestFit="1" customWidth="1"/>
    <col min="12048" max="12048" width="12.7109375" style="200" bestFit="1" customWidth="1"/>
    <col min="12049" max="12049" width="11.7109375" style="200" bestFit="1" customWidth="1"/>
    <col min="12050" max="12289" width="9.140625" style="200"/>
    <col min="12290" max="12290" width="32.28515625" style="200" bestFit="1" customWidth="1"/>
    <col min="12291" max="12291" width="9.140625" style="200"/>
    <col min="12292" max="12303" width="11.7109375" style="200" bestFit="1" customWidth="1"/>
    <col min="12304" max="12304" width="12.7109375" style="200" bestFit="1" customWidth="1"/>
    <col min="12305" max="12305" width="11.7109375" style="200" bestFit="1" customWidth="1"/>
    <col min="12306" max="12545" width="9.140625" style="200"/>
    <col min="12546" max="12546" width="32.28515625" style="200" bestFit="1" customWidth="1"/>
    <col min="12547" max="12547" width="9.140625" style="200"/>
    <col min="12548" max="12559" width="11.7109375" style="200" bestFit="1" customWidth="1"/>
    <col min="12560" max="12560" width="12.7109375" style="200" bestFit="1" customWidth="1"/>
    <col min="12561" max="12561" width="11.7109375" style="200" bestFit="1" customWidth="1"/>
    <col min="12562" max="12801" width="9.140625" style="200"/>
    <col min="12802" max="12802" width="32.28515625" style="200" bestFit="1" customWidth="1"/>
    <col min="12803" max="12803" width="9.140625" style="200"/>
    <col min="12804" max="12815" width="11.7109375" style="200" bestFit="1" customWidth="1"/>
    <col min="12816" max="12816" width="12.7109375" style="200" bestFit="1" customWidth="1"/>
    <col min="12817" max="12817" width="11.7109375" style="200" bestFit="1" customWidth="1"/>
    <col min="12818" max="13057" width="9.140625" style="200"/>
    <col min="13058" max="13058" width="32.28515625" style="200" bestFit="1" customWidth="1"/>
    <col min="13059" max="13059" width="9.140625" style="200"/>
    <col min="13060" max="13071" width="11.7109375" style="200" bestFit="1" customWidth="1"/>
    <col min="13072" max="13072" width="12.7109375" style="200" bestFit="1" customWidth="1"/>
    <col min="13073" max="13073" width="11.7109375" style="200" bestFit="1" customWidth="1"/>
    <col min="13074" max="13313" width="9.140625" style="200"/>
    <col min="13314" max="13314" width="32.28515625" style="200" bestFit="1" customWidth="1"/>
    <col min="13315" max="13315" width="9.140625" style="200"/>
    <col min="13316" max="13327" width="11.7109375" style="200" bestFit="1" customWidth="1"/>
    <col min="13328" max="13328" width="12.7109375" style="200" bestFit="1" customWidth="1"/>
    <col min="13329" max="13329" width="11.7109375" style="200" bestFit="1" customWidth="1"/>
    <col min="13330" max="13569" width="9.140625" style="200"/>
    <col min="13570" max="13570" width="32.28515625" style="200" bestFit="1" customWidth="1"/>
    <col min="13571" max="13571" width="9.140625" style="200"/>
    <col min="13572" max="13583" width="11.7109375" style="200" bestFit="1" customWidth="1"/>
    <col min="13584" max="13584" width="12.7109375" style="200" bestFit="1" customWidth="1"/>
    <col min="13585" max="13585" width="11.7109375" style="200" bestFit="1" customWidth="1"/>
    <col min="13586" max="13825" width="9.140625" style="200"/>
    <col min="13826" max="13826" width="32.28515625" style="200" bestFit="1" customWidth="1"/>
    <col min="13827" max="13827" width="9.140625" style="200"/>
    <col min="13828" max="13839" width="11.7109375" style="200" bestFit="1" customWidth="1"/>
    <col min="13840" max="13840" width="12.7109375" style="200" bestFit="1" customWidth="1"/>
    <col min="13841" max="13841" width="11.7109375" style="200" bestFit="1" customWidth="1"/>
    <col min="13842" max="14081" width="9.140625" style="200"/>
    <col min="14082" max="14082" width="32.28515625" style="200" bestFit="1" customWidth="1"/>
    <col min="14083" max="14083" width="9.140625" style="200"/>
    <col min="14084" max="14095" width="11.7109375" style="200" bestFit="1" customWidth="1"/>
    <col min="14096" max="14096" width="12.7109375" style="200" bestFit="1" customWidth="1"/>
    <col min="14097" max="14097" width="11.7109375" style="200" bestFit="1" customWidth="1"/>
    <col min="14098" max="14337" width="9.140625" style="200"/>
    <col min="14338" max="14338" width="32.28515625" style="200" bestFit="1" customWidth="1"/>
    <col min="14339" max="14339" width="9.140625" style="200"/>
    <col min="14340" max="14351" width="11.7109375" style="200" bestFit="1" customWidth="1"/>
    <col min="14352" max="14352" width="12.7109375" style="200" bestFit="1" customWidth="1"/>
    <col min="14353" max="14353" width="11.7109375" style="200" bestFit="1" customWidth="1"/>
    <col min="14354" max="14593" width="9.140625" style="200"/>
    <col min="14594" max="14594" width="32.28515625" style="200" bestFit="1" customWidth="1"/>
    <col min="14595" max="14595" width="9.140625" style="200"/>
    <col min="14596" max="14607" width="11.7109375" style="200" bestFit="1" customWidth="1"/>
    <col min="14608" max="14608" width="12.7109375" style="200" bestFit="1" customWidth="1"/>
    <col min="14609" max="14609" width="11.7109375" style="200" bestFit="1" customWidth="1"/>
    <col min="14610" max="14849" width="9.140625" style="200"/>
    <col min="14850" max="14850" width="32.28515625" style="200" bestFit="1" customWidth="1"/>
    <col min="14851" max="14851" width="9.140625" style="200"/>
    <col min="14852" max="14863" width="11.7109375" style="200" bestFit="1" customWidth="1"/>
    <col min="14864" max="14864" width="12.7109375" style="200" bestFit="1" customWidth="1"/>
    <col min="14865" max="14865" width="11.7109375" style="200" bestFit="1" customWidth="1"/>
    <col min="14866" max="15105" width="9.140625" style="200"/>
    <col min="15106" max="15106" width="32.28515625" style="200" bestFit="1" customWidth="1"/>
    <col min="15107" max="15107" width="9.140625" style="200"/>
    <col min="15108" max="15119" width="11.7109375" style="200" bestFit="1" customWidth="1"/>
    <col min="15120" max="15120" width="12.7109375" style="200" bestFit="1" customWidth="1"/>
    <col min="15121" max="15121" width="11.7109375" style="200" bestFit="1" customWidth="1"/>
    <col min="15122" max="15361" width="9.140625" style="200"/>
    <col min="15362" max="15362" width="32.28515625" style="200" bestFit="1" customWidth="1"/>
    <col min="15363" max="15363" width="9.140625" style="200"/>
    <col min="15364" max="15375" width="11.7109375" style="200" bestFit="1" customWidth="1"/>
    <col min="15376" max="15376" width="12.7109375" style="200" bestFit="1" customWidth="1"/>
    <col min="15377" max="15377" width="11.7109375" style="200" bestFit="1" customWidth="1"/>
    <col min="15378" max="15617" width="9.140625" style="200"/>
    <col min="15618" max="15618" width="32.28515625" style="200" bestFit="1" customWidth="1"/>
    <col min="15619" max="15619" width="9.140625" style="200"/>
    <col min="15620" max="15631" width="11.7109375" style="200" bestFit="1" customWidth="1"/>
    <col min="15632" max="15632" width="12.7109375" style="200" bestFit="1" customWidth="1"/>
    <col min="15633" max="15633" width="11.7109375" style="200" bestFit="1" customWidth="1"/>
    <col min="15634" max="15873" width="9.140625" style="200"/>
    <col min="15874" max="15874" width="32.28515625" style="200" bestFit="1" customWidth="1"/>
    <col min="15875" max="15875" width="9.140625" style="200"/>
    <col min="15876" max="15887" width="11.7109375" style="200" bestFit="1" customWidth="1"/>
    <col min="15888" max="15888" width="12.7109375" style="200" bestFit="1" customWidth="1"/>
    <col min="15889" max="15889" width="11.7109375" style="200" bestFit="1" customWidth="1"/>
    <col min="15890" max="16129" width="9.140625" style="200"/>
    <col min="16130" max="16130" width="32.28515625" style="200" bestFit="1" customWidth="1"/>
    <col min="16131" max="16131" width="9.140625" style="200"/>
    <col min="16132" max="16143" width="11.7109375" style="200" bestFit="1" customWidth="1"/>
    <col min="16144" max="16144" width="12.7109375" style="200" bestFit="1" customWidth="1"/>
    <col min="16145" max="16145" width="11.7109375" style="200" bestFit="1" customWidth="1"/>
    <col min="16146" max="16384" width="9.140625" style="200"/>
  </cols>
  <sheetData>
    <row r="3" spans="2:17" x14ac:dyDescent="0.2">
      <c r="B3" s="198" t="s">
        <v>1121</v>
      </c>
    </row>
    <row r="5" spans="2:17" x14ac:dyDescent="0.2">
      <c r="B5" s="201" t="s">
        <v>725</v>
      </c>
      <c r="C5" s="202" t="s">
        <v>838</v>
      </c>
      <c r="D5" s="203" t="s">
        <v>975</v>
      </c>
      <c r="E5" s="203" t="s">
        <v>976</v>
      </c>
      <c r="F5" s="203" t="s">
        <v>977</v>
      </c>
      <c r="G5" s="203" t="s">
        <v>978</v>
      </c>
      <c r="H5" s="203" t="s">
        <v>979</v>
      </c>
      <c r="I5" s="203" t="s">
        <v>980</v>
      </c>
      <c r="J5" s="203" t="s">
        <v>981</v>
      </c>
      <c r="K5" s="203" t="s">
        <v>982</v>
      </c>
      <c r="L5" s="203" t="s">
        <v>983</v>
      </c>
      <c r="M5" s="203" t="s">
        <v>984</v>
      </c>
      <c r="N5" s="203" t="s">
        <v>985</v>
      </c>
      <c r="O5" s="203" t="s">
        <v>986</v>
      </c>
      <c r="P5" s="203" t="s">
        <v>831</v>
      </c>
      <c r="Q5" s="203" t="s">
        <v>1122</v>
      </c>
    </row>
    <row r="6" spans="2:17" ht="15" x14ac:dyDescent="0.25">
      <c r="B6" s="200" t="s">
        <v>1103</v>
      </c>
      <c r="C6" s="199">
        <v>1</v>
      </c>
      <c r="D6" s="155">
        <v>22853</v>
      </c>
      <c r="E6" s="155">
        <v>22890</v>
      </c>
      <c r="F6" s="155">
        <v>22902</v>
      </c>
      <c r="G6" s="155">
        <v>22913</v>
      </c>
      <c r="H6" s="155">
        <v>22919</v>
      </c>
      <c r="I6" s="155">
        <v>22963</v>
      </c>
      <c r="J6" s="155">
        <v>22993</v>
      </c>
      <c r="K6" s="155">
        <v>23012</v>
      </c>
      <c r="L6" s="155">
        <v>23024</v>
      </c>
      <c r="M6" s="155">
        <v>23010</v>
      </c>
      <c r="N6" s="155">
        <v>22948</v>
      </c>
      <c r="O6" s="155">
        <v>22967</v>
      </c>
      <c r="P6" s="204">
        <f>SUM(D6:O6)</f>
        <v>275394</v>
      </c>
      <c r="Q6" s="204">
        <f>IF(P6=0,0,AVERAGE(D6:O6))</f>
        <v>22949.5</v>
      </c>
    </row>
    <row r="7" spans="2:17" ht="15" x14ac:dyDescent="0.25">
      <c r="B7" s="200" t="s">
        <v>1104</v>
      </c>
      <c r="C7" s="199">
        <v>2</v>
      </c>
      <c r="D7" s="155">
        <v>1593</v>
      </c>
      <c r="E7" s="155">
        <v>1609</v>
      </c>
      <c r="F7" s="155">
        <v>1599</v>
      </c>
      <c r="G7" s="155">
        <v>1600</v>
      </c>
      <c r="H7" s="155">
        <v>1625</v>
      </c>
      <c r="I7" s="155">
        <v>1634</v>
      </c>
      <c r="J7" s="155">
        <v>1625</v>
      </c>
      <c r="K7" s="155">
        <v>1643</v>
      </c>
      <c r="L7" s="155">
        <v>1628</v>
      </c>
      <c r="M7" s="155">
        <v>1635</v>
      </c>
      <c r="N7" s="155">
        <v>1640</v>
      </c>
      <c r="O7" s="155">
        <v>1658</v>
      </c>
      <c r="P7" s="204">
        <f>SUM(D7:O7)</f>
        <v>19489</v>
      </c>
      <c r="Q7" s="204">
        <f t="shared" ref="Q7:Q23" si="0">IF(P7=0,0,AVERAGE(D7:O7))</f>
        <v>1624.0833333333333</v>
      </c>
    </row>
    <row r="8" spans="2:17" ht="15" x14ac:dyDescent="0.25">
      <c r="B8" s="200" t="s">
        <v>1105</v>
      </c>
      <c r="C8" s="199">
        <v>3</v>
      </c>
      <c r="D8" s="155">
        <v>1</v>
      </c>
      <c r="E8" s="155">
        <v>1</v>
      </c>
      <c r="F8" s="155">
        <v>1</v>
      </c>
      <c r="G8" s="155">
        <v>1</v>
      </c>
      <c r="H8" s="155">
        <v>1</v>
      </c>
      <c r="I8" s="155">
        <v>1</v>
      </c>
      <c r="J8" s="155">
        <v>1</v>
      </c>
      <c r="K8" s="155">
        <v>1</v>
      </c>
      <c r="L8" s="155">
        <v>1</v>
      </c>
      <c r="M8" s="155">
        <v>1</v>
      </c>
      <c r="N8" s="155">
        <v>1</v>
      </c>
      <c r="O8" s="155">
        <v>1</v>
      </c>
      <c r="P8" s="204">
        <f t="shared" ref="P8:P22" si="1">SUM(D8:O8)</f>
        <v>12</v>
      </c>
      <c r="Q8" s="204">
        <f t="shared" si="0"/>
        <v>1</v>
      </c>
    </row>
    <row r="9" spans="2:17" ht="15" x14ac:dyDescent="0.25">
      <c r="B9" s="200" t="s">
        <v>1106</v>
      </c>
      <c r="C9" s="199">
        <v>4</v>
      </c>
      <c r="D9" s="155">
        <v>1715</v>
      </c>
      <c r="E9" s="155">
        <v>1726</v>
      </c>
      <c r="F9" s="155">
        <v>1725</v>
      </c>
      <c r="G9" s="155">
        <v>1736</v>
      </c>
      <c r="H9" s="155">
        <v>1733</v>
      </c>
      <c r="I9" s="155">
        <v>1737</v>
      </c>
      <c r="J9" s="155">
        <v>1738</v>
      </c>
      <c r="K9" s="155">
        <v>1749</v>
      </c>
      <c r="L9" s="155">
        <v>1752</v>
      </c>
      <c r="M9" s="155">
        <v>1860</v>
      </c>
      <c r="N9" s="155">
        <v>1879</v>
      </c>
      <c r="O9" s="155">
        <v>1869</v>
      </c>
      <c r="P9" s="204">
        <f t="shared" si="1"/>
        <v>21219</v>
      </c>
      <c r="Q9" s="204">
        <f t="shared" si="0"/>
        <v>1768.25</v>
      </c>
    </row>
    <row r="10" spans="2:17" ht="15" x14ac:dyDescent="0.25">
      <c r="B10" s="200" t="s">
        <v>1107</v>
      </c>
      <c r="C10" s="199">
        <v>5</v>
      </c>
      <c r="D10" s="155">
        <v>99</v>
      </c>
      <c r="E10" s="155">
        <v>99</v>
      </c>
      <c r="F10" s="155">
        <v>100</v>
      </c>
      <c r="G10" s="155">
        <v>100</v>
      </c>
      <c r="H10" s="155">
        <v>101</v>
      </c>
      <c r="I10" s="155">
        <v>101</v>
      </c>
      <c r="J10" s="155">
        <v>99</v>
      </c>
      <c r="K10" s="155">
        <v>99</v>
      </c>
      <c r="L10" s="155">
        <v>97</v>
      </c>
      <c r="M10" s="155">
        <v>97</v>
      </c>
      <c r="N10" s="155">
        <v>99</v>
      </c>
      <c r="O10" s="155">
        <v>99</v>
      </c>
      <c r="P10" s="204">
        <f t="shared" si="1"/>
        <v>1190</v>
      </c>
      <c r="Q10" s="204">
        <f t="shared" si="0"/>
        <v>99.166666666666671</v>
      </c>
    </row>
    <row r="11" spans="2:17" ht="15" x14ac:dyDescent="0.25">
      <c r="B11" s="200" t="s">
        <v>1108</v>
      </c>
      <c r="C11" s="199">
        <v>7</v>
      </c>
      <c r="D11" s="155">
        <v>95</v>
      </c>
      <c r="E11" s="155">
        <v>89</v>
      </c>
      <c r="F11" s="155">
        <v>86</v>
      </c>
      <c r="G11" s="155">
        <v>86</v>
      </c>
      <c r="H11" s="155">
        <v>82</v>
      </c>
      <c r="I11" s="155">
        <v>79</v>
      </c>
      <c r="J11" s="155">
        <v>77</v>
      </c>
      <c r="K11" s="155">
        <v>78</v>
      </c>
      <c r="L11" s="155">
        <v>78</v>
      </c>
      <c r="M11" s="155">
        <v>79</v>
      </c>
      <c r="N11" s="155">
        <v>77</v>
      </c>
      <c r="O11" s="155">
        <v>78</v>
      </c>
      <c r="P11" s="204">
        <f t="shared" si="1"/>
        <v>984</v>
      </c>
      <c r="Q11" s="204">
        <f t="shared" si="0"/>
        <v>82</v>
      </c>
    </row>
    <row r="12" spans="2:17" ht="15" x14ac:dyDescent="0.25">
      <c r="B12" s="200" t="s">
        <v>1109</v>
      </c>
      <c r="C12" s="199">
        <v>8</v>
      </c>
      <c r="D12" s="155">
        <v>1</v>
      </c>
      <c r="E12" s="155">
        <v>1</v>
      </c>
      <c r="F12" s="155">
        <v>1</v>
      </c>
      <c r="G12" s="155">
        <v>1</v>
      </c>
      <c r="H12" s="155">
        <v>1</v>
      </c>
      <c r="I12" s="155">
        <v>1</v>
      </c>
      <c r="J12" s="155">
        <v>1</v>
      </c>
      <c r="K12" s="155">
        <v>1</v>
      </c>
      <c r="L12" s="155">
        <v>1</v>
      </c>
      <c r="M12" s="155">
        <v>1</v>
      </c>
      <c r="N12" s="155">
        <v>1</v>
      </c>
      <c r="O12" s="155">
        <v>1</v>
      </c>
      <c r="P12" s="204">
        <f t="shared" si="1"/>
        <v>12</v>
      </c>
      <c r="Q12" s="204">
        <f t="shared" si="0"/>
        <v>1</v>
      </c>
    </row>
    <row r="13" spans="2:17" ht="15" x14ac:dyDescent="0.25">
      <c r="B13" s="200" t="s">
        <v>1110</v>
      </c>
      <c r="C13" s="199">
        <v>9</v>
      </c>
      <c r="D13" s="155">
        <v>4</v>
      </c>
      <c r="E13" s="155">
        <v>4</v>
      </c>
      <c r="F13" s="155">
        <v>4</v>
      </c>
      <c r="G13" s="155">
        <v>4</v>
      </c>
      <c r="H13" s="155">
        <v>4</v>
      </c>
      <c r="I13" s="155">
        <v>4</v>
      </c>
      <c r="J13" s="155">
        <v>4</v>
      </c>
      <c r="K13" s="155">
        <v>4</v>
      </c>
      <c r="L13" s="155">
        <v>4</v>
      </c>
      <c r="M13" s="155">
        <v>4</v>
      </c>
      <c r="N13" s="155">
        <v>4</v>
      </c>
      <c r="O13" s="155">
        <v>4</v>
      </c>
      <c r="P13" s="204">
        <f t="shared" si="1"/>
        <v>48</v>
      </c>
      <c r="Q13" s="204">
        <f t="shared" si="0"/>
        <v>4</v>
      </c>
    </row>
    <row r="14" spans="2:17" ht="15" x14ac:dyDescent="0.25">
      <c r="B14" s="200" t="s">
        <v>1111</v>
      </c>
      <c r="C14" s="199">
        <v>10</v>
      </c>
      <c r="D14" s="155">
        <v>1</v>
      </c>
      <c r="E14" s="155">
        <v>1</v>
      </c>
      <c r="F14" s="155">
        <v>1</v>
      </c>
      <c r="G14" s="155">
        <v>1</v>
      </c>
      <c r="H14" s="155">
        <v>1</v>
      </c>
      <c r="I14" s="155">
        <v>1</v>
      </c>
      <c r="J14" s="155">
        <v>1</v>
      </c>
      <c r="K14" s="155">
        <v>1</v>
      </c>
      <c r="L14" s="155">
        <v>1</v>
      </c>
      <c r="M14" s="155">
        <v>1</v>
      </c>
      <c r="N14" s="155">
        <v>1</v>
      </c>
      <c r="O14" s="155">
        <v>1</v>
      </c>
      <c r="P14" s="204">
        <f t="shared" si="1"/>
        <v>12</v>
      </c>
      <c r="Q14" s="204">
        <f t="shared" si="0"/>
        <v>1</v>
      </c>
    </row>
    <row r="15" spans="2:17" ht="15" x14ac:dyDescent="0.25">
      <c r="B15" s="200" t="s">
        <v>1112</v>
      </c>
      <c r="C15" s="199">
        <v>14</v>
      </c>
      <c r="D15" s="155">
        <v>1</v>
      </c>
      <c r="E15" s="155">
        <v>1</v>
      </c>
      <c r="F15" s="155">
        <v>1</v>
      </c>
      <c r="G15" s="155">
        <v>1</v>
      </c>
      <c r="H15" s="155">
        <v>1</v>
      </c>
      <c r="I15" s="155">
        <v>1</v>
      </c>
      <c r="J15" s="155">
        <v>1</v>
      </c>
      <c r="K15" s="155">
        <v>1</v>
      </c>
      <c r="L15" s="155">
        <v>1</v>
      </c>
      <c r="M15" s="155">
        <v>1</v>
      </c>
      <c r="N15" s="155">
        <v>1</v>
      </c>
      <c r="O15" s="155">
        <v>1</v>
      </c>
      <c r="P15" s="204">
        <f t="shared" si="1"/>
        <v>12</v>
      </c>
      <c r="Q15" s="204">
        <f t="shared" si="0"/>
        <v>1</v>
      </c>
    </row>
    <row r="16" spans="2:17" ht="15" x14ac:dyDescent="0.25">
      <c r="B16" s="200" t="s">
        <v>1113</v>
      </c>
      <c r="C16" s="199">
        <v>15</v>
      </c>
      <c r="D16" s="155">
        <v>4</v>
      </c>
      <c r="E16" s="155">
        <v>4</v>
      </c>
      <c r="F16" s="155">
        <v>4</v>
      </c>
      <c r="G16" s="155">
        <v>4</v>
      </c>
      <c r="H16" s="155">
        <v>4</v>
      </c>
      <c r="I16" s="155">
        <v>4</v>
      </c>
      <c r="J16" s="155">
        <v>4</v>
      </c>
      <c r="K16" s="155">
        <v>4</v>
      </c>
      <c r="L16" s="155">
        <v>4</v>
      </c>
      <c r="M16" s="155">
        <v>4</v>
      </c>
      <c r="N16" s="155">
        <v>4</v>
      </c>
      <c r="O16" s="155">
        <v>4</v>
      </c>
      <c r="P16" s="204">
        <f t="shared" si="1"/>
        <v>48</v>
      </c>
      <c r="Q16" s="204">
        <f t="shared" si="0"/>
        <v>4</v>
      </c>
    </row>
    <row r="17" spans="2:17" ht="15" x14ac:dyDescent="0.25">
      <c r="B17" s="200" t="s">
        <v>1114</v>
      </c>
      <c r="C17" s="199">
        <v>20</v>
      </c>
      <c r="D17" s="155">
        <v>78</v>
      </c>
      <c r="E17" s="155">
        <v>78</v>
      </c>
      <c r="F17" s="155">
        <v>78</v>
      </c>
      <c r="G17" s="155">
        <v>78</v>
      </c>
      <c r="H17" s="155">
        <v>78</v>
      </c>
      <c r="I17" s="155">
        <v>80</v>
      </c>
      <c r="J17" s="155">
        <v>79</v>
      </c>
      <c r="K17" s="155">
        <v>80</v>
      </c>
      <c r="L17" s="155">
        <v>81</v>
      </c>
      <c r="M17" s="155">
        <v>83</v>
      </c>
      <c r="N17" s="155">
        <v>85</v>
      </c>
      <c r="O17" s="155">
        <v>84</v>
      </c>
      <c r="P17" s="204">
        <f t="shared" si="1"/>
        <v>962</v>
      </c>
      <c r="Q17" s="204">
        <f t="shared" si="0"/>
        <v>80.166666666666671</v>
      </c>
    </row>
    <row r="18" spans="2:17" ht="15" x14ac:dyDescent="0.25">
      <c r="B18" s="200" t="s">
        <v>1115</v>
      </c>
      <c r="C18" s="205">
        <v>24</v>
      </c>
      <c r="D18" s="212">
        <v>0</v>
      </c>
      <c r="E18" s="212">
        <v>0</v>
      </c>
      <c r="F18" s="212">
        <v>0</v>
      </c>
      <c r="G18" s="212">
        <v>0</v>
      </c>
      <c r="H18" s="212">
        <v>0</v>
      </c>
      <c r="I18" s="212">
        <v>1</v>
      </c>
      <c r="J18" s="212">
        <v>1</v>
      </c>
      <c r="K18" s="212">
        <v>1</v>
      </c>
      <c r="L18" s="212">
        <v>1</v>
      </c>
      <c r="M18" s="212">
        <v>1</v>
      </c>
      <c r="N18" s="212">
        <v>1</v>
      </c>
      <c r="O18" s="212">
        <v>1</v>
      </c>
      <c r="P18" s="204">
        <f t="shared" si="1"/>
        <v>7</v>
      </c>
      <c r="Q18" s="204">
        <f t="shared" si="0"/>
        <v>0.58333333333333337</v>
      </c>
    </row>
    <row r="19" spans="2:17" ht="15" x14ac:dyDescent="0.25">
      <c r="B19" s="200" t="s">
        <v>1116</v>
      </c>
      <c r="C19" s="205">
        <v>36</v>
      </c>
      <c r="D19" s="212">
        <v>1</v>
      </c>
      <c r="E19" s="212">
        <v>1</v>
      </c>
      <c r="F19" s="212">
        <v>1</v>
      </c>
      <c r="G19" s="212">
        <v>1</v>
      </c>
      <c r="H19" s="212">
        <v>1</v>
      </c>
      <c r="I19" s="212">
        <v>0</v>
      </c>
      <c r="J19" s="212">
        <v>0</v>
      </c>
      <c r="K19" s="212">
        <v>0</v>
      </c>
      <c r="L19" s="212">
        <v>0</v>
      </c>
      <c r="M19" s="212">
        <v>0</v>
      </c>
      <c r="N19" s="212">
        <v>0</v>
      </c>
      <c r="O19" s="212">
        <v>0</v>
      </c>
      <c r="P19" s="204">
        <f t="shared" si="1"/>
        <v>5</v>
      </c>
      <c r="Q19" s="204">
        <f t="shared" si="0"/>
        <v>0.41666666666666669</v>
      </c>
    </row>
    <row r="20" spans="2:17" ht="15" x14ac:dyDescent="0.25">
      <c r="B20" s="200" t="s">
        <v>1117</v>
      </c>
      <c r="C20" s="199">
        <v>50</v>
      </c>
      <c r="D20" s="155">
        <v>6</v>
      </c>
      <c r="E20" s="155">
        <v>6</v>
      </c>
      <c r="F20" s="155">
        <v>6</v>
      </c>
      <c r="G20" s="155">
        <v>6</v>
      </c>
      <c r="H20" s="155">
        <v>6</v>
      </c>
      <c r="I20" s="155">
        <v>7</v>
      </c>
      <c r="J20" s="155">
        <v>7</v>
      </c>
      <c r="K20" s="155">
        <v>7</v>
      </c>
      <c r="L20" s="155">
        <v>7</v>
      </c>
      <c r="M20" s="155">
        <v>7</v>
      </c>
      <c r="N20" s="155">
        <v>7</v>
      </c>
      <c r="O20" s="155">
        <v>7</v>
      </c>
      <c r="P20" s="204">
        <f t="shared" si="1"/>
        <v>79</v>
      </c>
      <c r="Q20" s="204">
        <f t="shared" si="0"/>
        <v>6.583333333333333</v>
      </c>
    </row>
    <row r="21" spans="2:17" ht="15" x14ac:dyDescent="0.25">
      <c r="B21" s="200" t="s">
        <v>726</v>
      </c>
      <c r="C21" s="199" t="s">
        <v>1169</v>
      </c>
      <c r="D21" s="155">
        <v>128</v>
      </c>
      <c r="E21" s="155">
        <v>129</v>
      </c>
      <c r="F21" s="155">
        <v>128</v>
      </c>
      <c r="G21" s="155">
        <v>130</v>
      </c>
      <c r="H21" s="155">
        <v>132</v>
      </c>
      <c r="I21" s="155">
        <v>135</v>
      </c>
      <c r="J21" s="155">
        <v>130</v>
      </c>
      <c r="K21" s="155">
        <v>129</v>
      </c>
      <c r="L21" s="155">
        <v>128</v>
      </c>
      <c r="M21" s="155">
        <v>128</v>
      </c>
      <c r="N21" s="155">
        <v>127</v>
      </c>
      <c r="O21" s="155">
        <v>126</v>
      </c>
      <c r="P21" s="204">
        <f t="shared" si="1"/>
        <v>1550</v>
      </c>
      <c r="Q21" s="204">
        <f t="shared" si="0"/>
        <v>129.16666666666666</v>
      </c>
    </row>
    <row r="22" spans="2:17" ht="15" x14ac:dyDescent="0.25"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204">
        <f t="shared" si="1"/>
        <v>0</v>
      </c>
      <c r="Q22" s="204">
        <f t="shared" si="0"/>
        <v>0</v>
      </c>
    </row>
    <row r="23" spans="2:17" ht="15" x14ac:dyDescent="0.25">
      <c r="B23" s="206" t="s">
        <v>831</v>
      </c>
      <c r="C23" s="207"/>
      <c r="D23" s="208">
        <f t="shared" ref="D23:P23" si="2">SUM(D6:D22)</f>
        <v>26580</v>
      </c>
      <c r="E23" s="208">
        <f t="shared" si="2"/>
        <v>26639</v>
      </c>
      <c r="F23" s="208">
        <f t="shared" si="2"/>
        <v>26637</v>
      </c>
      <c r="G23" s="208">
        <f t="shared" si="2"/>
        <v>26662</v>
      </c>
      <c r="H23" s="208">
        <f t="shared" si="2"/>
        <v>26689</v>
      </c>
      <c r="I23" s="208">
        <f t="shared" si="2"/>
        <v>26749</v>
      </c>
      <c r="J23" s="208">
        <f t="shared" si="2"/>
        <v>26761</v>
      </c>
      <c r="K23" s="208">
        <f t="shared" si="2"/>
        <v>26810</v>
      </c>
      <c r="L23" s="208">
        <f t="shared" si="2"/>
        <v>26808</v>
      </c>
      <c r="M23" s="208">
        <f t="shared" si="2"/>
        <v>26912</v>
      </c>
      <c r="N23" s="208">
        <f t="shared" si="2"/>
        <v>26875</v>
      </c>
      <c r="O23" s="208">
        <f t="shared" si="2"/>
        <v>26901</v>
      </c>
      <c r="P23" s="208">
        <f t="shared" si="2"/>
        <v>321023</v>
      </c>
      <c r="Q23" s="208">
        <f t="shared" si="0"/>
        <v>26751.916666666668</v>
      </c>
    </row>
    <row r="24" spans="2:17" x14ac:dyDescent="0.2">
      <c r="C24" s="199" t="s">
        <v>1158</v>
      </c>
      <c r="D24" s="209">
        <f>D23-D21</f>
        <v>26452</v>
      </c>
      <c r="E24" s="209">
        <f t="shared" ref="E24:Q24" si="3">E23-E21</f>
        <v>26510</v>
      </c>
      <c r="F24" s="209">
        <f t="shared" si="3"/>
        <v>26509</v>
      </c>
      <c r="G24" s="209">
        <f t="shared" si="3"/>
        <v>26532</v>
      </c>
      <c r="H24" s="209">
        <f t="shared" si="3"/>
        <v>26557</v>
      </c>
      <c r="I24" s="209">
        <f t="shared" si="3"/>
        <v>26614</v>
      </c>
      <c r="J24" s="209">
        <f t="shared" si="3"/>
        <v>26631</v>
      </c>
      <c r="K24" s="209">
        <f t="shared" si="3"/>
        <v>26681</v>
      </c>
      <c r="L24" s="209">
        <f t="shared" si="3"/>
        <v>26680</v>
      </c>
      <c r="M24" s="209">
        <f t="shared" si="3"/>
        <v>26784</v>
      </c>
      <c r="N24" s="209">
        <f t="shared" si="3"/>
        <v>26748</v>
      </c>
      <c r="O24" s="209">
        <f t="shared" si="3"/>
        <v>26775</v>
      </c>
      <c r="P24" s="209">
        <f t="shared" si="3"/>
        <v>319473</v>
      </c>
      <c r="Q24" s="209">
        <f t="shared" si="3"/>
        <v>26622.75</v>
      </c>
    </row>
    <row r="25" spans="2:17" x14ac:dyDescent="0.2">
      <c r="B25" s="198" t="s">
        <v>1123</v>
      </c>
    </row>
    <row r="26" spans="2:17" x14ac:dyDescent="0.2">
      <c r="B26" s="198"/>
    </row>
    <row r="27" spans="2:17" x14ac:dyDescent="0.2">
      <c r="B27" s="201" t="s">
        <v>725</v>
      </c>
      <c r="C27" s="202" t="s">
        <v>838</v>
      </c>
      <c r="D27" s="203" t="s">
        <v>975</v>
      </c>
      <c r="E27" s="203" t="s">
        <v>976</v>
      </c>
      <c r="F27" s="203" t="s">
        <v>977</v>
      </c>
      <c r="G27" s="203" t="s">
        <v>978</v>
      </c>
      <c r="H27" s="203" t="s">
        <v>979</v>
      </c>
      <c r="I27" s="203" t="s">
        <v>980</v>
      </c>
      <c r="J27" s="203" t="s">
        <v>981</v>
      </c>
      <c r="K27" s="203" t="s">
        <v>982</v>
      </c>
      <c r="L27" s="203" t="s">
        <v>983</v>
      </c>
      <c r="M27" s="203" t="s">
        <v>984</v>
      </c>
      <c r="N27" s="203" t="s">
        <v>985</v>
      </c>
      <c r="O27" s="203" t="s">
        <v>986</v>
      </c>
      <c r="P27" s="203" t="s">
        <v>831</v>
      </c>
      <c r="Q27" s="203" t="s">
        <v>1122</v>
      </c>
    </row>
    <row r="28" spans="2:17" ht="15" x14ac:dyDescent="0.25">
      <c r="B28" s="200" t="s">
        <v>1103</v>
      </c>
      <c r="C28" s="199">
        <v>1</v>
      </c>
      <c r="D28" s="155">
        <v>31998262</v>
      </c>
      <c r="E28" s="155">
        <v>32731918</v>
      </c>
      <c r="F28" s="155">
        <v>22953452</v>
      </c>
      <c r="G28" s="155">
        <v>18891398</v>
      </c>
      <c r="H28" s="155">
        <v>17324508</v>
      </c>
      <c r="I28" s="155">
        <v>20529847</v>
      </c>
      <c r="J28" s="155">
        <v>27057499</v>
      </c>
      <c r="K28" s="155">
        <v>26259434</v>
      </c>
      <c r="L28" s="155">
        <v>25224746</v>
      </c>
      <c r="M28" s="155">
        <v>18617139</v>
      </c>
      <c r="N28" s="155">
        <v>17864505</v>
      </c>
      <c r="O28" s="155">
        <v>26740506</v>
      </c>
      <c r="P28" s="204">
        <f>SUM(D28:O28)</f>
        <v>286193214</v>
      </c>
      <c r="Q28" s="204">
        <f>IF(P28=0,0,AVERAGE(D28:O28))</f>
        <v>23849434.5</v>
      </c>
    </row>
    <row r="29" spans="2:17" ht="15" x14ac:dyDescent="0.25">
      <c r="B29" s="200" t="s">
        <v>1104</v>
      </c>
      <c r="C29" s="199">
        <v>2</v>
      </c>
      <c r="D29" s="155">
        <v>3328879</v>
      </c>
      <c r="E29" s="155">
        <v>2119867</v>
      </c>
      <c r="F29" s="155">
        <v>1847275</v>
      </c>
      <c r="G29" s="155">
        <v>1484081</v>
      </c>
      <c r="H29" s="155">
        <v>1540824</v>
      </c>
      <c r="I29" s="155">
        <v>1978650</v>
      </c>
      <c r="J29" s="155">
        <v>2300743</v>
      </c>
      <c r="K29" s="155">
        <v>2053696</v>
      </c>
      <c r="L29" s="155">
        <v>1672255</v>
      </c>
      <c r="M29" s="155">
        <v>1469582</v>
      </c>
      <c r="N29" s="155">
        <v>1702182</v>
      </c>
      <c r="O29" s="155">
        <v>2730705</v>
      </c>
      <c r="P29" s="204">
        <f t="shared" ref="P29:P44" si="4">SUM(D29:O29)</f>
        <v>24228739</v>
      </c>
      <c r="Q29" s="204">
        <f t="shared" ref="Q29:Q45" si="5">IF(P29=0,0,AVERAGE(D29:O29))</f>
        <v>2019061.5833333333</v>
      </c>
    </row>
    <row r="30" spans="2:17" ht="15" x14ac:dyDescent="0.25">
      <c r="B30" s="200" t="s">
        <v>1105</v>
      </c>
      <c r="C30" s="199">
        <v>3</v>
      </c>
      <c r="D30" s="155">
        <v>1193</v>
      </c>
      <c r="E30" s="155">
        <v>1607</v>
      </c>
      <c r="F30" s="155">
        <v>908</v>
      </c>
      <c r="G30" s="155">
        <v>726</v>
      </c>
      <c r="H30" s="155">
        <v>1010</v>
      </c>
      <c r="I30" s="155">
        <v>984</v>
      </c>
      <c r="J30" s="155">
        <v>449</v>
      </c>
      <c r="K30" s="155">
        <v>431</v>
      </c>
      <c r="L30" s="155">
        <v>1737</v>
      </c>
      <c r="M30" s="155">
        <v>554</v>
      </c>
      <c r="N30" s="155">
        <v>352</v>
      </c>
      <c r="O30" s="155">
        <v>1176</v>
      </c>
      <c r="P30" s="204">
        <f t="shared" si="4"/>
        <v>11127</v>
      </c>
      <c r="Q30" s="204">
        <f t="shared" si="5"/>
        <v>927.25</v>
      </c>
    </row>
    <row r="31" spans="2:17" ht="15" x14ac:dyDescent="0.25">
      <c r="B31" s="200" t="s">
        <v>1106</v>
      </c>
      <c r="C31" s="199">
        <v>4</v>
      </c>
      <c r="D31" s="155">
        <v>2714673</v>
      </c>
      <c r="E31" s="155">
        <v>3122731</v>
      </c>
      <c r="F31" s="155">
        <v>2518988</v>
      </c>
      <c r="G31" s="155">
        <v>2380220</v>
      </c>
      <c r="H31" s="155">
        <v>2382379</v>
      </c>
      <c r="I31" s="155">
        <v>2702571</v>
      </c>
      <c r="J31" s="155">
        <v>3314551</v>
      </c>
      <c r="K31" s="155">
        <v>3567047</v>
      </c>
      <c r="L31" s="155">
        <v>3323219</v>
      </c>
      <c r="M31" s="155">
        <v>2956216</v>
      </c>
      <c r="N31" s="155">
        <v>2828318</v>
      </c>
      <c r="O31" s="155">
        <v>2602194</v>
      </c>
      <c r="P31" s="204">
        <f t="shared" si="4"/>
        <v>34413107</v>
      </c>
      <c r="Q31" s="204">
        <f t="shared" si="5"/>
        <v>2867758.9166666665</v>
      </c>
    </row>
    <row r="32" spans="2:17" ht="15" x14ac:dyDescent="0.25">
      <c r="B32" s="200" t="s">
        <v>1107</v>
      </c>
      <c r="C32" s="199">
        <v>5</v>
      </c>
      <c r="D32" s="155">
        <v>3857578</v>
      </c>
      <c r="E32" s="155">
        <v>4377079</v>
      </c>
      <c r="F32" s="155">
        <v>4094084</v>
      </c>
      <c r="G32" s="155">
        <v>4046599</v>
      </c>
      <c r="H32" s="155">
        <v>4256849</v>
      </c>
      <c r="I32" s="155">
        <v>4474683</v>
      </c>
      <c r="J32" s="155">
        <v>4842484</v>
      </c>
      <c r="K32" s="155">
        <v>5032838</v>
      </c>
      <c r="L32" s="155">
        <v>5158269</v>
      </c>
      <c r="M32" s="155">
        <v>4539593</v>
      </c>
      <c r="N32" s="155">
        <v>4328995</v>
      </c>
      <c r="O32" s="155">
        <v>4010385</v>
      </c>
      <c r="P32" s="204">
        <f t="shared" si="4"/>
        <v>53019436</v>
      </c>
      <c r="Q32" s="204">
        <f t="shared" si="5"/>
        <v>4418286.333333333</v>
      </c>
    </row>
    <row r="33" spans="2:19" ht="15" x14ac:dyDescent="0.25">
      <c r="B33" s="200" t="s">
        <v>1108</v>
      </c>
      <c r="C33" s="199">
        <v>7</v>
      </c>
      <c r="D33" s="155">
        <v>65939</v>
      </c>
      <c r="E33" s="155">
        <v>63752</v>
      </c>
      <c r="F33" s="155">
        <v>43302</v>
      </c>
      <c r="G33" s="155">
        <v>27584</v>
      </c>
      <c r="H33" s="155">
        <v>8302</v>
      </c>
      <c r="I33" s="155">
        <v>1568</v>
      </c>
      <c r="J33" s="155">
        <v>467</v>
      </c>
      <c r="K33" s="155">
        <v>174</v>
      </c>
      <c r="L33" s="155">
        <v>236</v>
      </c>
      <c r="M33" s="155">
        <v>2377</v>
      </c>
      <c r="N33" s="155">
        <v>11981</v>
      </c>
      <c r="O33" s="155">
        <v>37962</v>
      </c>
      <c r="P33" s="204">
        <f t="shared" si="4"/>
        <v>263644</v>
      </c>
      <c r="Q33" s="204">
        <f t="shared" si="5"/>
        <v>21970.333333333332</v>
      </c>
    </row>
    <row r="34" spans="2:19" ht="15" x14ac:dyDescent="0.25">
      <c r="B34" s="200" t="s">
        <v>1109</v>
      </c>
      <c r="C34" s="199">
        <v>8</v>
      </c>
      <c r="D34" s="155">
        <v>0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  <c r="P34" s="204">
        <f t="shared" si="4"/>
        <v>0</v>
      </c>
      <c r="Q34" s="204">
        <f t="shared" si="5"/>
        <v>0</v>
      </c>
    </row>
    <row r="35" spans="2:19" ht="15" x14ac:dyDescent="0.25">
      <c r="B35" s="200" t="s">
        <v>1110</v>
      </c>
      <c r="C35" s="199">
        <v>9</v>
      </c>
      <c r="D35" s="155">
        <v>1672257</v>
      </c>
      <c r="E35" s="155">
        <v>2180457</v>
      </c>
      <c r="F35" s="155">
        <v>1977657</v>
      </c>
      <c r="G35" s="155">
        <v>2082657</v>
      </c>
      <c r="H35" s="155">
        <v>2110257</v>
      </c>
      <c r="I35" s="155">
        <v>2102457</v>
      </c>
      <c r="J35" s="155">
        <v>2158857</v>
      </c>
      <c r="K35" s="155">
        <v>2251857</v>
      </c>
      <c r="L35" s="155">
        <v>2125857</v>
      </c>
      <c r="M35" s="155">
        <v>2001657</v>
      </c>
      <c r="N35" s="155">
        <v>1909857</v>
      </c>
      <c r="O35" s="155">
        <v>1731057</v>
      </c>
      <c r="P35" s="204">
        <f t="shared" si="4"/>
        <v>24304884</v>
      </c>
      <c r="Q35" s="204">
        <f t="shared" si="5"/>
        <v>2025407</v>
      </c>
    </row>
    <row r="36" spans="2:19" ht="15" x14ac:dyDescent="0.25">
      <c r="B36" s="200" t="s">
        <v>1111</v>
      </c>
      <c r="C36" s="199">
        <v>10</v>
      </c>
      <c r="D36" s="155">
        <v>2289756</v>
      </c>
      <c r="E36" s="155">
        <v>2721756</v>
      </c>
      <c r="F36" s="155">
        <v>2642556</v>
      </c>
      <c r="G36" s="155">
        <v>2692956</v>
      </c>
      <c r="H36" s="155">
        <v>2894556</v>
      </c>
      <c r="I36" s="155">
        <v>2959356</v>
      </c>
      <c r="J36" s="155">
        <v>2923356</v>
      </c>
      <c r="K36" s="155">
        <v>2865756</v>
      </c>
      <c r="L36" s="155">
        <v>3168156</v>
      </c>
      <c r="M36" s="155">
        <v>2750556</v>
      </c>
      <c r="N36" s="155">
        <v>3160956</v>
      </c>
      <c r="O36" s="155">
        <v>2786556</v>
      </c>
      <c r="P36" s="204">
        <f t="shared" si="4"/>
        <v>33856272</v>
      </c>
      <c r="Q36" s="204">
        <f t="shared" si="5"/>
        <v>2821356</v>
      </c>
    </row>
    <row r="37" spans="2:19" ht="15" x14ac:dyDescent="0.25">
      <c r="B37" s="200" t="s">
        <v>1112</v>
      </c>
      <c r="C37" s="199">
        <v>14</v>
      </c>
      <c r="D37" s="155">
        <v>724800</v>
      </c>
      <c r="E37" s="155">
        <v>830400</v>
      </c>
      <c r="F37" s="155">
        <v>703800</v>
      </c>
      <c r="G37" s="155">
        <v>679800</v>
      </c>
      <c r="H37" s="155">
        <v>662400</v>
      </c>
      <c r="I37" s="155">
        <v>676200</v>
      </c>
      <c r="J37" s="155">
        <v>686400</v>
      </c>
      <c r="K37" s="155">
        <v>694800</v>
      </c>
      <c r="L37" s="155">
        <v>760800</v>
      </c>
      <c r="M37" s="155">
        <v>622800</v>
      </c>
      <c r="N37" s="155">
        <v>645000</v>
      </c>
      <c r="O37" s="155">
        <v>653400</v>
      </c>
      <c r="P37" s="204">
        <f t="shared" si="4"/>
        <v>8340600</v>
      </c>
      <c r="Q37" s="204">
        <f t="shared" si="5"/>
        <v>695050</v>
      </c>
    </row>
    <row r="38" spans="2:19" ht="15" x14ac:dyDescent="0.25">
      <c r="B38" s="200" t="s">
        <v>1113</v>
      </c>
      <c r="C38" s="199">
        <v>15</v>
      </c>
      <c r="D38" s="155">
        <v>112067</v>
      </c>
      <c r="E38" s="155">
        <v>161267</v>
      </c>
      <c r="F38" s="155">
        <v>103867</v>
      </c>
      <c r="G38" s="155">
        <v>78067</v>
      </c>
      <c r="H38" s="155">
        <v>48267</v>
      </c>
      <c r="I38" s="155">
        <v>40467</v>
      </c>
      <c r="J38" s="155">
        <v>31067</v>
      </c>
      <c r="K38" s="155">
        <v>36067</v>
      </c>
      <c r="L38" s="155">
        <v>27467</v>
      </c>
      <c r="M38" s="155">
        <v>24067</v>
      </c>
      <c r="N38" s="155">
        <v>43067</v>
      </c>
      <c r="O38" s="155">
        <v>59667</v>
      </c>
      <c r="P38" s="204">
        <f t="shared" si="4"/>
        <v>765404</v>
      </c>
      <c r="Q38" s="204">
        <f t="shared" si="5"/>
        <v>63783.666666666664</v>
      </c>
    </row>
    <row r="39" spans="2:19" ht="15" x14ac:dyDescent="0.25">
      <c r="B39" s="200" t="s">
        <v>1114</v>
      </c>
      <c r="C39" s="199">
        <v>20</v>
      </c>
      <c r="D39" s="155">
        <v>156488</v>
      </c>
      <c r="E39" s="155">
        <v>157582</v>
      </c>
      <c r="F39" s="155">
        <v>128621</v>
      </c>
      <c r="G39" s="155">
        <v>123586</v>
      </c>
      <c r="H39" s="155">
        <v>120387</v>
      </c>
      <c r="I39" s="155">
        <v>128496</v>
      </c>
      <c r="J39" s="155">
        <v>144713</v>
      </c>
      <c r="K39" s="155">
        <v>142110</v>
      </c>
      <c r="L39" s="155">
        <v>149026</v>
      </c>
      <c r="M39" s="155">
        <v>123418</v>
      </c>
      <c r="N39" s="155">
        <v>118303</v>
      </c>
      <c r="O39" s="155">
        <v>147448</v>
      </c>
      <c r="P39" s="204">
        <f t="shared" si="4"/>
        <v>1640178</v>
      </c>
      <c r="Q39" s="204">
        <f t="shared" si="5"/>
        <v>136681.5</v>
      </c>
    </row>
    <row r="40" spans="2:19" ht="15" x14ac:dyDescent="0.25">
      <c r="B40" s="200" t="s">
        <v>1115</v>
      </c>
      <c r="C40" s="199">
        <v>24</v>
      </c>
      <c r="D40" s="212">
        <v>0</v>
      </c>
      <c r="E40" s="212">
        <v>0</v>
      </c>
      <c r="F40" s="212">
        <v>0</v>
      </c>
      <c r="G40" s="212">
        <v>0</v>
      </c>
      <c r="H40" s="212">
        <v>0</v>
      </c>
      <c r="I40" s="212">
        <v>1430508</v>
      </c>
      <c r="J40" s="212">
        <v>1290799</v>
      </c>
      <c r="K40" s="212">
        <v>1369419</v>
      </c>
      <c r="L40" s="212">
        <v>1613585</v>
      </c>
      <c r="M40" s="212">
        <v>1397061</v>
      </c>
      <c r="N40" s="212">
        <v>1380688</v>
      </c>
      <c r="O40" s="212">
        <v>1106244</v>
      </c>
      <c r="P40" s="204">
        <f t="shared" si="4"/>
        <v>9588304</v>
      </c>
      <c r="Q40" s="204">
        <f t="shared" si="5"/>
        <v>799025.33333333337</v>
      </c>
    </row>
    <row r="41" spans="2:19" ht="15" x14ac:dyDescent="0.25">
      <c r="B41" s="200" t="s">
        <v>1116</v>
      </c>
      <c r="C41" s="199">
        <v>36</v>
      </c>
      <c r="D41" s="212">
        <v>1275743</v>
      </c>
      <c r="E41" s="212">
        <v>1581316</v>
      </c>
      <c r="F41" s="212">
        <v>1485905</v>
      </c>
      <c r="G41" s="212">
        <v>1415939</v>
      </c>
      <c r="H41" s="212">
        <v>1276452</v>
      </c>
      <c r="I41" s="212">
        <v>0</v>
      </c>
      <c r="J41" s="212">
        <v>0</v>
      </c>
      <c r="K41" s="212">
        <v>0</v>
      </c>
      <c r="L41" s="212">
        <v>0</v>
      </c>
      <c r="M41" s="212">
        <v>0</v>
      </c>
      <c r="N41" s="212">
        <v>0</v>
      </c>
      <c r="O41" s="212">
        <v>0</v>
      </c>
      <c r="P41" s="204">
        <f t="shared" si="4"/>
        <v>7035355</v>
      </c>
      <c r="Q41" s="204">
        <f t="shared" si="5"/>
        <v>586279.58333333337</v>
      </c>
    </row>
    <row r="42" spans="2:19" ht="15" x14ac:dyDescent="0.25">
      <c r="B42" s="200" t="s">
        <v>1117</v>
      </c>
      <c r="C42" s="199">
        <v>50</v>
      </c>
      <c r="D42" s="155">
        <v>13725</v>
      </c>
      <c r="E42" s="155">
        <v>16092</v>
      </c>
      <c r="F42" s="155">
        <v>17100</v>
      </c>
      <c r="G42" s="155">
        <v>18305</v>
      </c>
      <c r="H42" s="155">
        <v>24393</v>
      </c>
      <c r="I42" s="155">
        <v>78111</v>
      </c>
      <c r="J42" s="155">
        <v>65962</v>
      </c>
      <c r="K42" s="155">
        <v>61057</v>
      </c>
      <c r="L42" s="155">
        <v>55008</v>
      </c>
      <c r="M42" s="155">
        <v>65157</v>
      </c>
      <c r="N42" s="155">
        <v>75880</v>
      </c>
      <c r="O42" s="155">
        <v>69690</v>
      </c>
      <c r="P42" s="204">
        <f t="shared" si="4"/>
        <v>560480</v>
      </c>
      <c r="Q42" s="204">
        <f t="shared" si="5"/>
        <v>46706.666666666664</v>
      </c>
    </row>
    <row r="43" spans="2:19" ht="15" x14ac:dyDescent="0.25">
      <c r="B43" s="200" t="s">
        <v>726</v>
      </c>
      <c r="C43" s="199" t="s">
        <v>1169</v>
      </c>
      <c r="D43" s="155">
        <v>34586</v>
      </c>
      <c r="E43" s="155">
        <v>34481</v>
      </c>
      <c r="F43" s="155">
        <v>34435</v>
      </c>
      <c r="G43" s="155">
        <v>34507</v>
      </c>
      <c r="H43" s="155">
        <v>34552</v>
      </c>
      <c r="I43" s="155">
        <v>34536</v>
      </c>
      <c r="J43" s="155">
        <v>36438</v>
      </c>
      <c r="K43" s="155">
        <v>36525</v>
      </c>
      <c r="L43" s="155">
        <v>36346</v>
      </c>
      <c r="M43" s="155">
        <v>36298</v>
      </c>
      <c r="N43" s="155">
        <v>36338</v>
      </c>
      <c r="O43" s="155">
        <v>35094</v>
      </c>
      <c r="P43" s="204">
        <f t="shared" si="4"/>
        <v>424136</v>
      </c>
      <c r="Q43" s="204">
        <f t="shared" si="5"/>
        <v>35344.666666666664</v>
      </c>
    </row>
    <row r="44" spans="2:19" ht="15" x14ac:dyDescent="0.25"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204">
        <f t="shared" si="4"/>
        <v>0</v>
      </c>
      <c r="Q44" s="204">
        <f t="shared" si="5"/>
        <v>0</v>
      </c>
    </row>
    <row r="45" spans="2:19" ht="15" x14ac:dyDescent="0.25">
      <c r="B45" s="206" t="s">
        <v>831</v>
      </c>
      <c r="C45" s="207"/>
      <c r="D45" s="208">
        <f t="shared" ref="D45:P45" si="6">SUM(D28:D44)</f>
        <v>48245946</v>
      </c>
      <c r="E45" s="208">
        <f t="shared" si="6"/>
        <v>50100305</v>
      </c>
      <c r="F45" s="208">
        <f t="shared" si="6"/>
        <v>38551950</v>
      </c>
      <c r="G45" s="208">
        <f t="shared" si="6"/>
        <v>33956425</v>
      </c>
      <c r="H45" s="208">
        <f t="shared" si="6"/>
        <v>32685136</v>
      </c>
      <c r="I45" s="208">
        <f t="shared" si="6"/>
        <v>37138434</v>
      </c>
      <c r="J45" s="208">
        <f t="shared" si="6"/>
        <v>44853785</v>
      </c>
      <c r="K45" s="208">
        <f t="shared" si="6"/>
        <v>44371211</v>
      </c>
      <c r="L45" s="208">
        <f t="shared" si="6"/>
        <v>43316707</v>
      </c>
      <c r="M45" s="208">
        <f t="shared" si="6"/>
        <v>34606475</v>
      </c>
      <c r="N45" s="208">
        <f t="shared" si="6"/>
        <v>34106422</v>
      </c>
      <c r="O45" s="208">
        <f t="shared" si="6"/>
        <v>42712084</v>
      </c>
      <c r="P45" s="208">
        <f t="shared" si="6"/>
        <v>484644880</v>
      </c>
      <c r="Q45" s="208">
        <f t="shared" si="5"/>
        <v>40387073.333333336</v>
      </c>
    </row>
    <row r="46" spans="2:19" x14ac:dyDescent="0.2">
      <c r="D46" s="209">
        <v>48245946</v>
      </c>
      <c r="E46" s="209">
        <v>50100305</v>
      </c>
      <c r="F46" s="209">
        <v>38551950</v>
      </c>
      <c r="G46" s="209">
        <v>33956425</v>
      </c>
      <c r="H46" s="209">
        <v>32685136</v>
      </c>
      <c r="I46" s="209">
        <v>37138434</v>
      </c>
      <c r="J46" s="209">
        <v>44853785</v>
      </c>
      <c r="K46" s="209">
        <v>44371211</v>
      </c>
      <c r="L46" s="209">
        <v>43316707</v>
      </c>
      <c r="M46" s="209">
        <v>34606475</v>
      </c>
      <c r="N46" s="209">
        <v>34106422</v>
      </c>
      <c r="O46" s="209">
        <v>42712084</v>
      </c>
      <c r="P46" s="209">
        <v>484644880</v>
      </c>
      <c r="Q46" s="209"/>
    </row>
    <row r="47" spans="2:19" x14ac:dyDescent="0.2">
      <c r="B47" s="198" t="s">
        <v>1126</v>
      </c>
      <c r="D47" s="209">
        <f>D45-D46</f>
        <v>0</v>
      </c>
      <c r="E47" s="209">
        <f t="shared" ref="E47:P47" si="7">E45-E46</f>
        <v>0</v>
      </c>
      <c r="F47" s="209">
        <f t="shared" si="7"/>
        <v>0</v>
      </c>
      <c r="G47" s="209">
        <f t="shared" si="7"/>
        <v>0</v>
      </c>
      <c r="H47" s="209">
        <f t="shared" si="7"/>
        <v>0</v>
      </c>
      <c r="I47" s="209">
        <f t="shared" si="7"/>
        <v>0</v>
      </c>
      <c r="J47" s="209">
        <f t="shared" si="7"/>
        <v>0</v>
      </c>
      <c r="K47" s="209">
        <f t="shared" si="7"/>
        <v>0</v>
      </c>
      <c r="L47" s="209">
        <f t="shared" si="7"/>
        <v>0</v>
      </c>
      <c r="M47" s="209">
        <f t="shared" si="7"/>
        <v>0</v>
      </c>
      <c r="N47" s="209">
        <f t="shared" si="7"/>
        <v>0</v>
      </c>
      <c r="O47" s="209">
        <f t="shared" si="7"/>
        <v>0</v>
      </c>
      <c r="P47" s="209">
        <f t="shared" si="7"/>
        <v>0</v>
      </c>
      <c r="S47" s="210">
        <f>P47/P45</f>
        <v>0</v>
      </c>
    </row>
    <row r="49" spans="2:17" x14ac:dyDescent="0.2">
      <c r="B49" s="201" t="s">
        <v>725</v>
      </c>
      <c r="C49" s="202" t="s">
        <v>838</v>
      </c>
      <c r="D49" s="203" t="s">
        <v>975</v>
      </c>
      <c r="E49" s="203" t="s">
        <v>976</v>
      </c>
      <c r="F49" s="203" t="s">
        <v>977</v>
      </c>
      <c r="G49" s="203" t="s">
        <v>978</v>
      </c>
      <c r="H49" s="203" t="s">
        <v>979</v>
      </c>
      <c r="I49" s="203" t="s">
        <v>980</v>
      </c>
      <c r="J49" s="203" t="s">
        <v>981</v>
      </c>
      <c r="K49" s="203" t="s">
        <v>982</v>
      </c>
      <c r="L49" s="203" t="s">
        <v>983</v>
      </c>
      <c r="M49" s="203" t="s">
        <v>984</v>
      </c>
      <c r="N49" s="203" t="s">
        <v>985</v>
      </c>
      <c r="O49" s="203" t="s">
        <v>986</v>
      </c>
      <c r="P49" s="203" t="s">
        <v>831</v>
      </c>
      <c r="Q49" s="203" t="s">
        <v>1122</v>
      </c>
    </row>
    <row r="50" spans="2:17" ht="15" x14ac:dyDescent="0.25">
      <c r="B50" s="200" t="s">
        <v>1103</v>
      </c>
      <c r="C50" s="199">
        <v>1</v>
      </c>
      <c r="D50" s="155">
        <v>3229974.94</v>
      </c>
      <c r="E50" s="155">
        <v>3295638.07</v>
      </c>
      <c r="F50" s="155">
        <v>2427418.04</v>
      </c>
      <c r="G50" s="155">
        <v>2066491.44</v>
      </c>
      <c r="H50" s="155">
        <v>1927902.3</v>
      </c>
      <c r="I50" s="155">
        <v>2212964.58</v>
      </c>
      <c r="J50" s="155">
        <v>2793262.71</v>
      </c>
      <c r="K50" s="155">
        <v>2723081.59</v>
      </c>
      <c r="L50" s="155">
        <v>2755107.02</v>
      </c>
      <c r="M50" s="155">
        <v>2261512.9300000002</v>
      </c>
      <c r="N50" s="155">
        <v>2185510.77</v>
      </c>
      <c r="O50" s="155">
        <v>3079472.83</v>
      </c>
      <c r="P50" s="204">
        <f>SUM(D50:O50)</f>
        <v>30958337.219999999</v>
      </c>
      <c r="Q50" s="204">
        <f>IF(P50=0,0,AVERAGE(D50:O50))</f>
        <v>2579861.4350000001</v>
      </c>
    </row>
    <row r="51" spans="2:17" ht="15" x14ac:dyDescent="0.25">
      <c r="B51" s="200" t="s">
        <v>1104</v>
      </c>
      <c r="C51" s="199">
        <v>2</v>
      </c>
      <c r="D51" s="155">
        <v>328719.39</v>
      </c>
      <c r="E51" s="155">
        <v>219326.42</v>
      </c>
      <c r="F51" s="155">
        <v>197043.11</v>
      </c>
      <c r="G51" s="155">
        <v>163826.85</v>
      </c>
      <c r="H51" s="155">
        <v>170470.14</v>
      </c>
      <c r="I51" s="155">
        <v>208293.22</v>
      </c>
      <c r="J51" s="155">
        <v>239138.37</v>
      </c>
      <c r="K51" s="155">
        <v>215238.3</v>
      </c>
      <c r="L51" s="155">
        <v>200791.03</v>
      </c>
      <c r="M51" s="155">
        <v>181612.52</v>
      </c>
      <c r="N51" s="155">
        <v>204137.8</v>
      </c>
      <c r="O51" s="155">
        <v>309061.90000000002</v>
      </c>
      <c r="P51" s="204">
        <f t="shared" ref="P51:P66" si="8">SUM(D51:O51)</f>
        <v>2637659.0499999998</v>
      </c>
      <c r="Q51" s="204">
        <f t="shared" ref="Q51:Q67" si="9">IF(P51=0,0,AVERAGE(D51:O51))</f>
        <v>219804.92083333331</v>
      </c>
    </row>
    <row r="52" spans="2:17" ht="15" x14ac:dyDescent="0.25">
      <c r="B52" s="200" t="s">
        <v>1105</v>
      </c>
      <c r="C52" s="199">
        <v>3</v>
      </c>
      <c r="D52" s="155">
        <v>117.96</v>
      </c>
      <c r="E52" s="155">
        <v>150.19999999999999</v>
      </c>
      <c r="F52" s="155">
        <v>97.06</v>
      </c>
      <c r="G52" s="155">
        <v>81.06</v>
      </c>
      <c r="H52" s="155">
        <v>99.5</v>
      </c>
      <c r="I52" s="155">
        <v>100.45</v>
      </c>
      <c r="J52" s="155">
        <v>60.45</v>
      </c>
      <c r="K52" s="155">
        <v>56.86</v>
      </c>
      <c r="L52" s="155">
        <v>163.44999999999999</v>
      </c>
      <c r="M52" s="155">
        <v>68.569999999999993</v>
      </c>
      <c r="N52" s="155">
        <v>53.74</v>
      </c>
      <c r="O52" s="155">
        <v>121.43</v>
      </c>
      <c r="P52" s="204">
        <f t="shared" si="8"/>
        <v>1170.73</v>
      </c>
      <c r="Q52" s="204">
        <f t="shared" si="9"/>
        <v>97.560833333333335</v>
      </c>
    </row>
    <row r="53" spans="2:17" ht="15" x14ac:dyDescent="0.25">
      <c r="B53" s="200" t="s">
        <v>1106</v>
      </c>
      <c r="C53" s="199">
        <v>4</v>
      </c>
      <c r="D53" s="155">
        <v>275283.61</v>
      </c>
      <c r="E53" s="155">
        <v>311233.36</v>
      </c>
      <c r="F53" s="155">
        <v>258237.1</v>
      </c>
      <c r="G53" s="155">
        <v>246283.76</v>
      </c>
      <c r="H53" s="155">
        <v>234200.63</v>
      </c>
      <c r="I53" s="155">
        <v>274519.42</v>
      </c>
      <c r="J53" s="155">
        <v>328407.89</v>
      </c>
      <c r="K53" s="155">
        <v>350699.79</v>
      </c>
      <c r="L53" s="155">
        <v>336371.72</v>
      </c>
      <c r="M53" s="155">
        <v>334220.76</v>
      </c>
      <c r="N53" s="155">
        <v>321804.21000000002</v>
      </c>
      <c r="O53" s="155">
        <v>299359.37</v>
      </c>
      <c r="P53" s="204">
        <f t="shared" si="8"/>
        <v>3570621.62</v>
      </c>
      <c r="Q53" s="204">
        <f t="shared" si="9"/>
        <v>297551.8016666667</v>
      </c>
    </row>
    <row r="54" spans="2:17" ht="15" x14ac:dyDescent="0.25">
      <c r="B54" s="200" t="s">
        <v>1107</v>
      </c>
      <c r="C54" s="199">
        <v>5</v>
      </c>
      <c r="D54" s="155">
        <v>407812.67</v>
      </c>
      <c r="E54" s="155">
        <v>434059.03</v>
      </c>
      <c r="F54" s="155">
        <v>425137.51</v>
      </c>
      <c r="G54" s="155">
        <v>423744.15</v>
      </c>
      <c r="H54" s="155">
        <v>441965.72</v>
      </c>
      <c r="I54" s="155">
        <v>455608.24</v>
      </c>
      <c r="J54" s="155">
        <v>468828.87</v>
      </c>
      <c r="K54" s="155">
        <v>474754.4</v>
      </c>
      <c r="L54" s="155">
        <v>486561.27</v>
      </c>
      <c r="M54" s="155">
        <v>492702.88</v>
      </c>
      <c r="N54" s="155">
        <v>489875.19</v>
      </c>
      <c r="O54" s="155">
        <v>467024.05</v>
      </c>
      <c r="P54" s="204">
        <f t="shared" si="8"/>
        <v>5468073.9800000004</v>
      </c>
      <c r="Q54" s="204">
        <f t="shared" si="9"/>
        <v>455672.83166666672</v>
      </c>
    </row>
    <row r="55" spans="2:17" ht="15" x14ac:dyDescent="0.25">
      <c r="B55" s="200" t="s">
        <v>1108</v>
      </c>
      <c r="C55" s="199">
        <v>7</v>
      </c>
      <c r="D55" s="155">
        <v>3557.93</v>
      </c>
      <c r="E55" s="155">
        <v>3439.9</v>
      </c>
      <c r="F55" s="155">
        <v>2336.46</v>
      </c>
      <c r="G55" s="155">
        <v>1488.37</v>
      </c>
      <c r="H55" s="155">
        <v>447.94</v>
      </c>
      <c r="I55" s="155">
        <v>84.57</v>
      </c>
      <c r="J55" s="155">
        <v>25.17</v>
      </c>
      <c r="K55" s="155">
        <v>9.34</v>
      </c>
      <c r="L55" s="155">
        <v>13.85</v>
      </c>
      <c r="M55" s="155">
        <v>156.47999999999999</v>
      </c>
      <c r="N55" s="155">
        <v>788.46</v>
      </c>
      <c r="O55" s="155">
        <v>2498.21</v>
      </c>
      <c r="P55" s="204">
        <f t="shared" si="8"/>
        <v>14846.68</v>
      </c>
      <c r="Q55" s="204">
        <f t="shared" si="9"/>
        <v>1237.2233333333334</v>
      </c>
    </row>
    <row r="56" spans="2:17" ht="15" x14ac:dyDescent="0.25">
      <c r="B56" s="200" t="s">
        <v>1109</v>
      </c>
      <c r="C56" s="199">
        <v>8</v>
      </c>
      <c r="D56" s="155">
        <v>0</v>
      </c>
      <c r="E56" s="155">
        <v>0</v>
      </c>
      <c r="F56" s="155">
        <v>0</v>
      </c>
      <c r="G56" s="155">
        <v>0</v>
      </c>
      <c r="H56" s="155">
        <v>0</v>
      </c>
      <c r="I56" s="155">
        <v>0</v>
      </c>
      <c r="J56" s="155">
        <v>0</v>
      </c>
      <c r="K56" s="155">
        <v>0</v>
      </c>
      <c r="L56" s="155">
        <v>0</v>
      </c>
      <c r="M56" s="155">
        <v>0</v>
      </c>
      <c r="N56" s="155">
        <v>0</v>
      </c>
      <c r="O56" s="155">
        <v>0</v>
      </c>
      <c r="P56" s="204">
        <f t="shared" si="8"/>
        <v>0</v>
      </c>
      <c r="Q56" s="204">
        <f t="shared" si="9"/>
        <v>0</v>
      </c>
    </row>
    <row r="57" spans="2:17" ht="15" x14ac:dyDescent="0.25">
      <c r="B57" s="200" t="s">
        <v>1110</v>
      </c>
      <c r="C57" s="199">
        <v>9</v>
      </c>
      <c r="D57" s="155">
        <v>138758.10999999999</v>
      </c>
      <c r="E57" s="155">
        <v>172389.29</v>
      </c>
      <c r="F57" s="155">
        <v>158285.67000000001</v>
      </c>
      <c r="G57" s="155">
        <v>166079.66</v>
      </c>
      <c r="H57" s="155">
        <v>166927.24</v>
      </c>
      <c r="I57" s="155">
        <v>165243.20000000001</v>
      </c>
      <c r="J57" s="155">
        <v>171223.79</v>
      </c>
      <c r="K57" s="155">
        <v>178189.95</v>
      </c>
      <c r="L57" s="155">
        <v>169911.82</v>
      </c>
      <c r="M57" s="155">
        <v>181746.67</v>
      </c>
      <c r="N57" s="155">
        <v>174023.13</v>
      </c>
      <c r="O57" s="155">
        <v>162282.32999999999</v>
      </c>
      <c r="P57" s="204">
        <f t="shared" si="8"/>
        <v>2005060.8600000003</v>
      </c>
      <c r="Q57" s="204">
        <f t="shared" si="9"/>
        <v>167088.40500000003</v>
      </c>
    </row>
    <row r="58" spans="2:17" ht="15" x14ac:dyDescent="0.25">
      <c r="B58" s="200" t="s">
        <v>1111</v>
      </c>
      <c r="C58" s="199">
        <v>10</v>
      </c>
      <c r="D58" s="155">
        <v>167087.39000000001</v>
      </c>
      <c r="E58" s="155">
        <v>189565.21</v>
      </c>
      <c r="F58" s="155">
        <v>185444.28</v>
      </c>
      <c r="G58" s="155">
        <v>188066.69</v>
      </c>
      <c r="H58" s="155">
        <v>198556.34</v>
      </c>
      <c r="I58" s="155">
        <v>201055.08</v>
      </c>
      <c r="J58" s="155">
        <v>199181.93</v>
      </c>
      <c r="K58" s="155">
        <v>196184.89</v>
      </c>
      <c r="L58" s="155">
        <v>214351.1</v>
      </c>
      <c r="M58" s="155">
        <v>225214.77</v>
      </c>
      <c r="N58" s="155">
        <v>251431.95</v>
      </c>
      <c r="O58" s="155">
        <v>227514.52</v>
      </c>
      <c r="P58" s="204">
        <f t="shared" si="8"/>
        <v>2443654.1500000004</v>
      </c>
      <c r="Q58" s="204">
        <f t="shared" si="9"/>
        <v>203637.84583333335</v>
      </c>
    </row>
    <row r="59" spans="2:17" ht="15" x14ac:dyDescent="0.25">
      <c r="B59" s="200" t="s">
        <v>1112</v>
      </c>
      <c r="C59" s="199">
        <v>14</v>
      </c>
      <c r="D59" s="155">
        <v>53643.03</v>
      </c>
      <c r="E59" s="155">
        <v>60241.24</v>
      </c>
      <c r="F59" s="155">
        <v>53065.93</v>
      </c>
      <c r="G59" s="155">
        <v>51705.68</v>
      </c>
      <c r="H59" s="155">
        <v>50719.5</v>
      </c>
      <c r="I59" s="155">
        <v>51501.65</v>
      </c>
      <c r="J59" s="155">
        <v>52079.75</v>
      </c>
      <c r="K59" s="155">
        <v>52555.839999999997</v>
      </c>
      <c r="L59" s="155">
        <v>56296.52</v>
      </c>
      <c r="M59" s="155">
        <v>55855.28</v>
      </c>
      <c r="N59" s="155">
        <v>57376.58</v>
      </c>
      <c r="O59" s="155">
        <v>57952.2</v>
      </c>
      <c r="P59" s="204">
        <f t="shared" si="8"/>
        <v>652993.19999999995</v>
      </c>
      <c r="Q59" s="204">
        <f t="shared" si="9"/>
        <v>54416.1</v>
      </c>
    </row>
    <row r="60" spans="2:17" ht="15" x14ac:dyDescent="0.25">
      <c r="B60" s="200" t="s">
        <v>1113</v>
      </c>
      <c r="C60" s="199">
        <v>15</v>
      </c>
      <c r="D60" s="155">
        <v>13440.79</v>
      </c>
      <c r="E60" s="155">
        <v>16869.5</v>
      </c>
      <c r="F60" s="155">
        <v>12968.35</v>
      </c>
      <c r="G60" s="155">
        <v>11180.02</v>
      </c>
      <c r="H60" s="155">
        <v>8245.0400000000009</v>
      </c>
      <c r="I60" s="155">
        <v>7061.44</v>
      </c>
      <c r="J60" s="155">
        <v>2754.66</v>
      </c>
      <c r="K60" s="155">
        <v>3290.14</v>
      </c>
      <c r="L60" s="155">
        <v>2731.27</v>
      </c>
      <c r="M60" s="155">
        <v>3031.62</v>
      </c>
      <c r="N60" s="155">
        <v>8675.59</v>
      </c>
      <c r="O60" s="155">
        <v>9769.9</v>
      </c>
      <c r="P60" s="204">
        <f t="shared" si="8"/>
        <v>100018.31999999999</v>
      </c>
      <c r="Q60" s="204">
        <f t="shared" si="9"/>
        <v>8334.8599999999988</v>
      </c>
    </row>
    <row r="61" spans="2:17" ht="15" x14ac:dyDescent="0.25">
      <c r="B61" s="200" t="s">
        <v>1114</v>
      </c>
      <c r="C61" s="199">
        <v>20</v>
      </c>
      <c r="D61" s="155">
        <v>12321.62</v>
      </c>
      <c r="E61" s="155">
        <v>11461.29</v>
      </c>
      <c r="F61" s="155">
        <v>7277.91</v>
      </c>
      <c r="G61" s="155">
        <v>5835.68</v>
      </c>
      <c r="H61" s="155">
        <v>5843.14</v>
      </c>
      <c r="I61" s="155">
        <v>6682.87</v>
      </c>
      <c r="J61" s="155">
        <v>8854.06</v>
      </c>
      <c r="K61" s="155">
        <v>9300.02</v>
      </c>
      <c r="L61" s="155">
        <v>9091.34</v>
      </c>
      <c r="M61" s="155">
        <v>8000.42</v>
      </c>
      <c r="N61" s="155">
        <v>7456.31</v>
      </c>
      <c r="O61" s="155">
        <v>12589.3</v>
      </c>
      <c r="P61" s="204">
        <f t="shared" si="8"/>
        <v>104713.95999999999</v>
      </c>
      <c r="Q61" s="204">
        <f t="shared" si="9"/>
        <v>8726.163333333332</v>
      </c>
    </row>
    <row r="62" spans="2:17" ht="15" x14ac:dyDescent="0.25">
      <c r="B62" s="200" t="s">
        <v>1115</v>
      </c>
      <c r="C62" s="199">
        <v>24</v>
      </c>
      <c r="D62" s="212">
        <v>0</v>
      </c>
      <c r="E62" s="212">
        <v>0</v>
      </c>
      <c r="F62" s="212">
        <v>0</v>
      </c>
      <c r="G62" s="212">
        <v>0</v>
      </c>
      <c r="H62" s="212">
        <v>0</v>
      </c>
      <c r="I62" s="212">
        <v>101224.71</v>
      </c>
      <c r="J62" s="212">
        <v>93419.65</v>
      </c>
      <c r="K62" s="212">
        <v>97618.1</v>
      </c>
      <c r="L62" s="212">
        <v>112674.42</v>
      </c>
      <c r="M62" s="212">
        <v>116295.79</v>
      </c>
      <c r="N62" s="212">
        <v>113292.19</v>
      </c>
      <c r="O62" s="212">
        <v>93247.94</v>
      </c>
      <c r="P62" s="204">
        <f t="shared" si="8"/>
        <v>727772.79999999981</v>
      </c>
      <c r="Q62" s="204">
        <f t="shared" si="9"/>
        <v>60647.733333333315</v>
      </c>
    </row>
    <row r="63" spans="2:17" ht="15" x14ac:dyDescent="0.25">
      <c r="B63" s="200" t="s">
        <v>1116</v>
      </c>
      <c r="C63" s="199">
        <v>36</v>
      </c>
      <c r="D63" s="212">
        <v>103260.67</v>
      </c>
      <c r="E63" s="212">
        <v>119630.22</v>
      </c>
      <c r="F63" s="212">
        <v>112972.04</v>
      </c>
      <c r="G63" s="212">
        <v>109427.6</v>
      </c>
      <c r="H63" s="212">
        <v>100370.8</v>
      </c>
      <c r="I63" s="212">
        <v>0</v>
      </c>
      <c r="J63" s="212">
        <v>0</v>
      </c>
      <c r="K63" s="212">
        <v>0</v>
      </c>
      <c r="L63" s="212">
        <v>0</v>
      </c>
      <c r="M63" s="212">
        <v>0</v>
      </c>
      <c r="N63" s="212">
        <v>0</v>
      </c>
      <c r="O63" s="212">
        <v>0</v>
      </c>
      <c r="P63" s="204">
        <f t="shared" si="8"/>
        <v>545661.33000000007</v>
      </c>
      <c r="Q63" s="204">
        <f t="shared" si="9"/>
        <v>45471.777500000004</v>
      </c>
    </row>
    <row r="64" spans="2:17" ht="15" x14ac:dyDescent="0.25">
      <c r="B64" s="200" t="s">
        <v>1117</v>
      </c>
      <c r="C64" s="199">
        <v>50</v>
      </c>
      <c r="D64" s="155">
        <v>1917.08</v>
      </c>
      <c r="E64" s="155">
        <v>2123.39</v>
      </c>
      <c r="F64" s="155">
        <v>2275.1999999999998</v>
      </c>
      <c r="G64" s="155">
        <v>2397.35</v>
      </c>
      <c r="H64" s="155">
        <v>3168.18</v>
      </c>
      <c r="I64" s="155">
        <v>7380.13</v>
      </c>
      <c r="J64" s="155">
        <v>6297.72</v>
      </c>
      <c r="K64" s="155">
        <v>5546.1</v>
      </c>
      <c r="L64" s="155">
        <v>5149.6000000000004</v>
      </c>
      <c r="M64" s="155">
        <v>6949.4</v>
      </c>
      <c r="N64" s="155">
        <v>8346.35</v>
      </c>
      <c r="O64" s="155">
        <v>7589.18</v>
      </c>
      <c r="P64" s="204">
        <f t="shared" si="8"/>
        <v>59139.68</v>
      </c>
      <c r="Q64" s="204">
        <f t="shared" si="9"/>
        <v>4928.3066666666664</v>
      </c>
    </row>
    <row r="65" spans="2:17" ht="15" x14ac:dyDescent="0.25">
      <c r="B65" s="200" t="s">
        <v>726</v>
      </c>
      <c r="C65" s="199" t="s">
        <v>1169</v>
      </c>
      <c r="D65" s="155">
        <v>95115.15</v>
      </c>
      <c r="E65" s="155">
        <v>95399.78</v>
      </c>
      <c r="F65" s="155">
        <v>95301.400000000009</v>
      </c>
      <c r="G65" s="155">
        <v>95564.94</v>
      </c>
      <c r="H65" s="155">
        <v>95661.61</v>
      </c>
      <c r="I65" s="155">
        <v>95575.75</v>
      </c>
      <c r="J65" s="155">
        <v>96004.24</v>
      </c>
      <c r="K65" s="155">
        <v>96252.45</v>
      </c>
      <c r="L65" s="155">
        <v>96270.12</v>
      </c>
      <c r="M65" s="155">
        <v>100219.12</v>
      </c>
      <c r="N65" s="155">
        <v>100080.54</v>
      </c>
      <c r="O65" s="155">
        <v>100040.45000000001</v>
      </c>
      <c r="P65" s="204">
        <f t="shared" si="8"/>
        <v>1161485.5499999998</v>
      </c>
      <c r="Q65" s="204">
        <f t="shared" si="9"/>
        <v>96790.46249999998</v>
      </c>
    </row>
    <row r="66" spans="2:17" ht="15" x14ac:dyDescent="0.25"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204">
        <f t="shared" si="8"/>
        <v>0</v>
      </c>
      <c r="Q66" s="204">
        <f t="shared" si="9"/>
        <v>0</v>
      </c>
    </row>
    <row r="67" spans="2:17" ht="15" x14ac:dyDescent="0.25">
      <c r="B67" s="206" t="s">
        <v>831</v>
      </c>
      <c r="C67" s="207"/>
      <c r="D67" s="208">
        <f t="shared" ref="D67:P67" si="10">SUM(D50:D66)</f>
        <v>4831010.3400000008</v>
      </c>
      <c r="E67" s="208">
        <f t="shared" si="10"/>
        <v>4931526.9000000004</v>
      </c>
      <c r="F67" s="208">
        <f t="shared" si="10"/>
        <v>3937860.0600000005</v>
      </c>
      <c r="G67" s="208">
        <f t="shared" si="10"/>
        <v>3532173.2500000009</v>
      </c>
      <c r="H67" s="208">
        <f t="shared" si="10"/>
        <v>3404578.0799999996</v>
      </c>
      <c r="I67" s="208">
        <f t="shared" si="10"/>
        <v>3787295.31</v>
      </c>
      <c r="J67" s="208">
        <f t="shared" si="10"/>
        <v>4459539.2600000007</v>
      </c>
      <c r="K67" s="208">
        <f t="shared" si="10"/>
        <v>4402777.7699999986</v>
      </c>
      <c r="L67" s="208">
        <f t="shared" si="10"/>
        <v>4445484.5299999984</v>
      </c>
      <c r="M67" s="208">
        <f t="shared" si="10"/>
        <v>3967587.21</v>
      </c>
      <c r="N67" s="208">
        <f t="shared" si="10"/>
        <v>3922852.81</v>
      </c>
      <c r="O67" s="208">
        <f t="shared" si="10"/>
        <v>4828523.6100000003</v>
      </c>
      <c r="P67" s="208">
        <f t="shared" si="10"/>
        <v>50451209.129999988</v>
      </c>
      <c r="Q67" s="208">
        <f t="shared" si="9"/>
        <v>4204267.4275000002</v>
      </c>
    </row>
    <row r="68" spans="2:17" x14ac:dyDescent="0.2">
      <c r="D68" s="209">
        <v>4735895.1900000004</v>
      </c>
      <c r="E68" s="209">
        <v>4836127.12</v>
      </c>
      <c r="F68" s="209">
        <v>3842558.6600000006</v>
      </c>
      <c r="G68" s="209">
        <v>3436608.310000001</v>
      </c>
      <c r="H68" s="209">
        <v>3308916.4699999997</v>
      </c>
      <c r="I68" s="209">
        <v>3691719.56</v>
      </c>
      <c r="J68" s="209">
        <v>4363535.0200000005</v>
      </c>
      <c r="K68" s="209">
        <v>4306525.3199999984</v>
      </c>
      <c r="L68" s="209">
        <v>4349214.4099999983</v>
      </c>
      <c r="M68" s="209">
        <v>3867368.09</v>
      </c>
      <c r="N68" s="209">
        <v>3822772.27</v>
      </c>
      <c r="O68" s="209">
        <v>4728483.16</v>
      </c>
      <c r="P68" s="209">
        <v>49289723.579999998</v>
      </c>
      <c r="Q68" s="209"/>
    </row>
    <row r="69" spans="2:17" x14ac:dyDescent="0.2">
      <c r="B69" s="198" t="s">
        <v>1020</v>
      </c>
      <c r="D69" s="209">
        <f>D68-D67+D65</f>
        <v>-3.7834979593753815E-10</v>
      </c>
      <c r="E69" s="209">
        <f t="shared" ref="E69:P69" si="11">E68-E67+E65</f>
        <v>-2.6193447411060333E-10</v>
      </c>
      <c r="F69" s="209">
        <f t="shared" si="11"/>
        <v>0</v>
      </c>
      <c r="G69" s="209">
        <f t="shared" si="11"/>
        <v>0</v>
      </c>
      <c r="H69" s="209">
        <f t="shared" si="11"/>
        <v>1.3096723705530167E-10</v>
      </c>
      <c r="I69" s="209">
        <f t="shared" si="11"/>
        <v>0</v>
      </c>
      <c r="J69" s="209">
        <f t="shared" si="11"/>
        <v>-2.1827872842550278E-10</v>
      </c>
      <c r="K69" s="209">
        <f t="shared" si="11"/>
        <v>-1.8917489796876907E-10</v>
      </c>
      <c r="L69" s="209">
        <f t="shared" si="11"/>
        <v>-1.1641532182693481E-10</v>
      </c>
      <c r="M69" s="209">
        <f t="shared" si="11"/>
        <v>-1.1641532182693481E-10</v>
      </c>
      <c r="N69" s="209">
        <f t="shared" si="11"/>
        <v>0</v>
      </c>
      <c r="O69" s="209">
        <f t="shared" si="11"/>
        <v>-1.7462298274040222E-10</v>
      </c>
      <c r="P69" s="209">
        <f t="shared" si="11"/>
        <v>1.0244548320770264E-8</v>
      </c>
    </row>
    <row r="71" spans="2:17" x14ac:dyDescent="0.2">
      <c r="B71" s="201" t="s">
        <v>725</v>
      </c>
      <c r="C71" s="202" t="s">
        <v>838</v>
      </c>
      <c r="D71" s="203" t="s">
        <v>975</v>
      </c>
      <c r="E71" s="203" t="s">
        <v>976</v>
      </c>
      <c r="F71" s="203" t="s">
        <v>977</v>
      </c>
      <c r="G71" s="203" t="s">
        <v>978</v>
      </c>
      <c r="H71" s="203" t="s">
        <v>979</v>
      </c>
      <c r="I71" s="203" t="s">
        <v>980</v>
      </c>
      <c r="J71" s="203" t="s">
        <v>981</v>
      </c>
      <c r="K71" s="203" t="s">
        <v>982</v>
      </c>
      <c r="L71" s="203" t="s">
        <v>983</v>
      </c>
      <c r="M71" s="203" t="s">
        <v>984</v>
      </c>
      <c r="N71" s="203" t="s">
        <v>985</v>
      </c>
      <c r="O71" s="203" t="s">
        <v>986</v>
      </c>
      <c r="P71" s="203" t="s">
        <v>831</v>
      </c>
      <c r="Q71" s="203" t="s">
        <v>1122</v>
      </c>
    </row>
    <row r="72" spans="2:17" ht="15" x14ac:dyDescent="0.25">
      <c r="B72" s="200" t="s">
        <v>1103</v>
      </c>
      <c r="C72" s="199">
        <v>1</v>
      </c>
      <c r="D72" s="155">
        <v>279998.56</v>
      </c>
      <c r="E72" s="155">
        <v>129306.44</v>
      </c>
      <c r="F72" s="155">
        <v>167115.26</v>
      </c>
      <c r="G72" s="155">
        <v>277322.3</v>
      </c>
      <c r="H72" s="155">
        <v>261770.75</v>
      </c>
      <c r="I72" s="155">
        <v>105930.8</v>
      </c>
      <c r="J72" s="155">
        <v>288440.48</v>
      </c>
      <c r="K72" s="155">
        <v>201677.32</v>
      </c>
      <c r="L72" s="155">
        <v>96843.839999999997</v>
      </c>
      <c r="M72" s="155">
        <v>141498.29</v>
      </c>
      <c r="N72" s="155">
        <v>129705.75</v>
      </c>
      <c r="O72" s="155">
        <v>-66084.39</v>
      </c>
      <c r="P72" s="204">
        <f>SUM(D72:O72)</f>
        <v>2013525.4000000004</v>
      </c>
      <c r="Q72" s="204">
        <f>IF(P72=0,0,AVERAGE(D72:O72))</f>
        <v>167793.78333333335</v>
      </c>
    </row>
    <row r="73" spans="2:17" ht="15" x14ac:dyDescent="0.25">
      <c r="B73" s="200" t="s">
        <v>1104</v>
      </c>
      <c r="C73" s="199">
        <v>2</v>
      </c>
      <c r="D73" s="155">
        <v>29129.61</v>
      </c>
      <c r="E73" s="155">
        <v>8374.4</v>
      </c>
      <c r="F73" s="155">
        <v>13449.25</v>
      </c>
      <c r="G73" s="155">
        <v>21787.54</v>
      </c>
      <c r="H73" s="155">
        <v>23282.48</v>
      </c>
      <c r="I73" s="155">
        <v>10210.26</v>
      </c>
      <c r="J73" s="155">
        <v>24526.71</v>
      </c>
      <c r="K73" s="155">
        <v>15773.23</v>
      </c>
      <c r="L73" s="155">
        <v>6417.45</v>
      </c>
      <c r="M73" s="155">
        <v>11170.24</v>
      </c>
      <c r="N73" s="155">
        <v>12359.02</v>
      </c>
      <c r="O73" s="155">
        <v>-6745.55</v>
      </c>
      <c r="P73" s="204">
        <f t="shared" ref="P73:P88" si="12">SUM(D73:O73)</f>
        <v>169734.64</v>
      </c>
      <c r="Q73" s="204">
        <f t="shared" ref="Q73:Q89" si="13">IF(P73=0,0,AVERAGE(D73:O73))</f>
        <v>14144.553333333335</v>
      </c>
    </row>
    <row r="74" spans="2:17" ht="15" x14ac:dyDescent="0.25">
      <c r="B74" s="200" t="s">
        <v>1105</v>
      </c>
      <c r="C74" s="199">
        <v>3</v>
      </c>
      <c r="D74" s="155">
        <v>10.44</v>
      </c>
      <c r="E74" s="155">
        <v>6.35</v>
      </c>
      <c r="F74" s="155">
        <v>6.61</v>
      </c>
      <c r="G74" s="155">
        <v>10.65</v>
      </c>
      <c r="H74" s="155">
        <v>15.26</v>
      </c>
      <c r="I74" s="155">
        <v>5.07</v>
      </c>
      <c r="J74" s="155">
        <v>4.79</v>
      </c>
      <c r="K74" s="155">
        <v>3.31</v>
      </c>
      <c r="L74" s="155">
        <v>6.67</v>
      </c>
      <c r="M74" s="155">
        <v>4.21</v>
      </c>
      <c r="N74" s="155">
        <v>2.56</v>
      </c>
      <c r="O74" s="155">
        <v>-2.91</v>
      </c>
      <c r="P74" s="204">
        <f t="shared" si="12"/>
        <v>73.009999999999991</v>
      </c>
      <c r="Q74" s="204">
        <f t="shared" si="13"/>
        <v>6.0841666666666656</v>
      </c>
    </row>
    <row r="75" spans="2:17" ht="15" x14ac:dyDescent="0.25">
      <c r="B75" s="200" t="s">
        <v>1106</v>
      </c>
      <c r="C75" s="199">
        <v>4</v>
      </c>
      <c r="D75" s="155">
        <v>23754.95</v>
      </c>
      <c r="E75" s="155">
        <v>12335.43</v>
      </c>
      <c r="F75" s="155">
        <v>18331.23</v>
      </c>
      <c r="G75" s="155">
        <v>35071.61</v>
      </c>
      <c r="H75" s="155">
        <v>34454.559999999998</v>
      </c>
      <c r="I75" s="155">
        <v>13942.79</v>
      </c>
      <c r="J75" s="155">
        <v>35347.17</v>
      </c>
      <c r="K75" s="155">
        <v>27395.040000000001</v>
      </c>
      <c r="L75" s="155">
        <v>12760.84</v>
      </c>
      <c r="M75" s="155">
        <v>22467.89</v>
      </c>
      <c r="N75" s="155">
        <v>20534.18</v>
      </c>
      <c r="O75" s="155">
        <v>-6429.25</v>
      </c>
      <c r="P75" s="204">
        <f t="shared" si="12"/>
        <v>249966.44</v>
      </c>
      <c r="Q75" s="204">
        <f t="shared" si="13"/>
        <v>20830.536666666667</v>
      </c>
    </row>
    <row r="76" spans="2:17" ht="15" x14ac:dyDescent="0.25">
      <c r="B76" s="200" t="s">
        <v>1107</v>
      </c>
      <c r="C76" s="199">
        <v>5</v>
      </c>
      <c r="D76" s="155">
        <v>33753.86</v>
      </c>
      <c r="E76" s="155">
        <v>17289.560000000001</v>
      </c>
      <c r="F76" s="155">
        <v>29804.92</v>
      </c>
      <c r="G76" s="155">
        <v>59404.06</v>
      </c>
      <c r="H76" s="155">
        <v>64320.95</v>
      </c>
      <c r="I76" s="155">
        <v>23089.37</v>
      </c>
      <c r="J76" s="155">
        <v>51620.91</v>
      </c>
      <c r="K76" s="155">
        <v>38652.239999999998</v>
      </c>
      <c r="L76" s="155">
        <v>19807.73</v>
      </c>
      <c r="M76" s="155">
        <v>34500.94</v>
      </c>
      <c r="N76" s="155">
        <v>31428.48</v>
      </c>
      <c r="O76" s="155">
        <v>-9905.67</v>
      </c>
      <c r="P76" s="204">
        <f t="shared" si="12"/>
        <v>393767.35</v>
      </c>
      <c r="Q76" s="204">
        <f t="shared" si="13"/>
        <v>32813.945833333331</v>
      </c>
    </row>
    <row r="77" spans="2:17" ht="15" x14ac:dyDescent="0.25">
      <c r="B77" s="200" t="s">
        <v>1108</v>
      </c>
      <c r="C77" s="199">
        <v>7</v>
      </c>
      <c r="D77" s="155">
        <v>577.01</v>
      </c>
      <c r="E77" s="155">
        <v>251.82</v>
      </c>
      <c r="F77" s="155">
        <v>315.20999999999998</v>
      </c>
      <c r="G77" s="155">
        <v>404.92</v>
      </c>
      <c r="H77" s="155">
        <v>125.49</v>
      </c>
      <c r="I77" s="155">
        <v>8.17</v>
      </c>
      <c r="J77" s="155">
        <v>4.95</v>
      </c>
      <c r="K77" s="155">
        <v>1.41</v>
      </c>
      <c r="L77" s="155">
        <v>0.86</v>
      </c>
      <c r="M77" s="155">
        <v>18.12</v>
      </c>
      <c r="N77" s="155">
        <v>86.99</v>
      </c>
      <c r="O77" s="155">
        <v>-93.7</v>
      </c>
      <c r="P77" s="204">
        <f t="shared" si="12"/>
        <v>1701.25</v>
      </c>
      <c r="Q77" s="204">
        <f t="shared" si="13"/>
        <v>141.77083333333334</v>
      </c>
    </row>
    <row r="78" spans="2:17" ht="15" x14ac:dyDescent="0.25">
      <c r="B78" s="200" t="s">
        <v>1109</v>
      </c>
      <c r="C78" s="199">
        <v>8</v>
      </c>
      <c r="D78" s="155">
        <v>0</v>
      </c>
      <c r="E78" s="155">
        <v>0</v>
      </c>
      <c r="F78" s="155">
        <v>0</v>
      </c>
      <c r="G78" s="155">
        <v>0</v>
      </c>
      <c r="H78" s="155">
        <v>0</v>
      </c>
      <c r="I78" s="155">
        <v>0</v>
      </c>
      <c r="J78" s="155">
        <v>0</v>
      </c>
      <c r="K78" s="155">
        <v>0</v>
      </c>
      <c r="L78" s="155">
        <v>0</v>
      </c>
      <c r="M78" s="155">
        <v>0</v>
      </c>
      <c r="N78" s="155">
        <v>0</v>
      </c>
      <c r="O78" s="155">
        <v>0</v>
      </c>
      <c r="P78" s="204">
        <f t="shared" si="12"/>
        <v>0</v>
      </c>
      <c r="Q78" s="204">
        <f t="shared" si="13"/>
        <v>0</v>
      </c>
    </row>
    <row r="79" spans="2:17" ht="15" x14ac:dyDescent="0.25">
      <c r="B79" s="200" t="s">
        <v>1110</v>
      </c>
      <c r="C79" s="199">
        <v>9</v>
      </c>
      <c r="D79" s="155">
        <v>14632.25</v>
      </c>
      <c r="E79" s="155">
        <v>8612.81</v>
      </c>
      <c r="F79" s="155">
        <v>14397.35</v>
      </c>
      <c r="G79" s="155">
        <v>30573.41</v>
      </c>
      <c r="H79" s="155">
        <v>31885.99</v>
      </c>
      <c r="I79" s="155">
        <v>10848.67</v>
      </c>
      <c r="J79" s="155">
        <v>23013.41</v>
      </c>
      <c r="K79" s="155">
        <v>17294.27</v>
      </c>
      <c r="L79" s="155">
        <v>8163.29</v>
      </c>
      <c r="M79" s="155">
        <v>15212.59</v>
      </c>
      <c r="N79" s="155">
        <v>13865.55</v>
      </c>
      <c r="O79" s="155">
        <v>-4275.71</v>
      </c>
      <c r="P79" s="204">
        <f t="shared" si="12"/>
        <v>184223.87999999998</v>
      </c>
      <c r="Q79" s="204">
        <f t="shared" si="13"/>
        <v>15351.989999999998</v>
      </c>
    </row>
    <row r="80" spans="2:17" ht="15" x14ac:dyDescent="0.25">
      <c r="B80" s="200" t="s">
        <v>1111</v>
      </c>
      <c r="C80" s="199">
        <v>10</v>
      </c>
      <c r="D80" s="155">
        <v>20035.37</v>
      </c>
      <c r="E80" s="155">
        <v>10750.94</v>
      </c>
      <c r="F80" s="155">
        <v>19237.810000000001</v>
      </c>
      <c r="G80" s="155">
        <v>39532.589999999997</v>
      </c>
      <c r="H80" s="155">
        <v>43736.74</v>
      </c>
      <c r="I80" s="155">
        <v>15270.28</v>
      </c>
      <c r="J80" s="155">
        <v>31162.97</v>
      </c>
      <c r="K80" s="155">
        <v>22009.01</v>
      </c>
      <c r="L80" s="155">
        <v>12165.72</v>
      </c>
      <c r="M80" s="155">
        <v>20904.23</v>
      </c>
      <c r="N80" s="155">
        <v>22948.54</v>
      </c>
      <c r="O80" s="155">
        <v>-6882.8</v>
      </c>
      <c r="P80" s="204">
        <f t="shared" si="12"/>
        <v>250871.40000000002</v>
      </c>
      <c r="Q80" s="204">
        <f t="shared" si="13"/>
        <v>20905.95</v>
      </c>
    </row>
    <row r="81" spans="2:17" ht="15" x14ac:dyDescent="0.25">
      <c r="B81" s="200" t="s">
        <v>1112</v>
      </c>
      <c r="C81" s="199">
        <v>14</v>
      </c>
      <c r="D81" s="155">
        <v>6342</v>
      </c>
      <c r="E81" s="155">
        <v>3280.08</v>
      </c>
      <c r="F81" s="155">
        <v>5123.66</v>
      </c>
      <c r="G81" s="155">
        <v>9979.4599999999991</v>
      </c>
      <c r="H81" s="155">
        <v>10008.86</v>
      </c>
      <c r="I81" s="155">
        <v>3489.19</v>
      </c>
      <c r="J81" s="155">
        <v>7317.02</v>
      </c>
      <c r="K81" s="155">
        <v>5336.06</v>
      </c>
      <c r="L81" s="155">
        <v>2921.47</v>
      </c>
      <c r="M81" s="155">
        <v>4733.28</v>
      </c>
      <c r="N81" s="155">
        <v>4682.7</v>
      </c>
      <c r="O81" s="155">
        <v>-1613.9</v>
      </c>
      <c r="P81" s="204">
        <f t="shared" si="12"/>
        <v>61599.88</v>
      </c>
      <c r="Q81" s="204">
        <f t="shared" si="13"/>
        <v>5133.3233333333328</v>
      </c>
    </row>
    <row r="82" spans="2:17" ht="15" x14ac:dyDescent="0.25">
      <c r="B82" s="200" t="s">
        <v>1113</v>
      </c>
      <c r="C82" s="199">
        <v>15</v>
      </c>
      <c r="D82" s="155">
        <v>980.59</v>
      </c>
      <c r="E82" s="155">
        <v>637</v>
      </c>
      <c r="F82" s="155">
        <v>756.14</v>
      </c>
      <c r="G82" s="155">
        <v>1146.03</v>
      </c>
      <c r="H82" s="155">
        <v>729.3</v>
      </c>
      <c r="I82" s="155">
        <v>208.81</v>
      </c>
      <c r="J82" s="155">
        <v>331.18</v>
      </c>
      <c r="K82" s="155">
        <v>276.99</v>
      </c>
      <c r="L82" s="155">
        <v>105.47</v>
      </c>
      <c r="M82" s="155">
        <v>182.91</v>
      </c>
      <c r="N82" s="155">
        <v>312.67</v>
      </c>
      <c r="O82" s="155">
        <v>-147.38</v>
      </c>
      <c r="P82" s="204">
        <f t="shared" si="12"/>
        <v>5519.7100000000009</v>
      </c>
      <c r="Q82" s="204">
        <f t="shared" si="13"/>
        <v>459.97583333333341</v>
      </c>
    </row>
    <row r="83" spans="2:17" ht="15" x14ac:dyDescent="0.25">
      <c r="B83" s="200" t="s">
        <v>1114</v>
      </c>
      <c r="C83" s="199">
        <v>20</v>
      </c>
      <c r="D83" s="155">
        <v>1081.4000000000001</v>
      </c>
      <c r="E83" s="155">
        <v>449.97</v>
      </c>
      <c r="F83" s="155">
        <v>486.35</v>
      </c>
      <c r="G83" s="155">
        <v>742.23</v>
      </c>
      <c r="H83" s="155">
        <v>765.22</v>
      </c>
      <c r="I83" s="155">
        <v>309.38</v>
      </c>
      <c r="J83" s="155">
        <v>899.1</v>
      </c>
      <c r="K83" s="155">
        <v>684.95</v>
      </c>
      <c r="L83" s="155">
        <v>314.22000000000003</v>
      </c>
      <c r="M83" s="155">
        <v>497.89</v>
      </c>
      <c r="N83" s="155">
        <v>433.41</v>
      </c>
      <c r="O83" s="155">
        <v>-273.66000000000003</v>
      </c>
      <c r="P83" s="204">
        <f t="shared" si="12"/>
        <v>6390.4600000000009</v>
      </c>
      <c r="Q83" s="204">
        <f t="shared" si="13"/>
        <v>532.53833333333341</v>
      </c>
    </row>
    <row r="84" spans="2:17" ht="15" x14ac:dyDescent="0.25">
      <c r="B84" s="200" t="s">
        <v>1115</v>
      </c>
      <c r="C84" s="199">
        <v>24</v>
      </c>
      <c r="D84" s="212">
        <v>0</v>
      </c>
      <c r="E84" s="212">
        <v>0</v>
      </c>
      <c r="F84" s="212">
        <v>0</v>
      </c>
      <c r="G84" s="212">
        <v>0</v>
      </c>
      <c r="H84" s="212">
        <v>0</v>
      </c>
      <c r="I84" s="212">
        <v>7381.42</v>
      </c>
      <c r="J84" s="212">
        <v>13759.92</v>
      </c>
      <c r="K84" s="212">
        <v>10517.14</v>
      </c>
      <c r="L84" s="212">
        <v>6196.17</v>
      </c>
      <c r="M84" s="212">
        <v>10617.66</v>
      </c>
      <c r="N84" s="212">
        <v>10023.790000000001</v>
      </c>
      <c r="O84" s="212">
        <v>-2732.42</v>
      </c>
      <c r="P84" s="204">
        <f t="shared" si="12"/>
        <v>55763.68</v>
      </c>
      <c r="Q84" s="204">
        <f t="shared" si="13"/>
        <v>4646.9733333333334</v>
      </c>
    </row>
    <row r="85" spans="2:17" ht="15" x14ac:dyDescent="0.25">
      <c r="B85" s="200" t="s">
        <v>1116</v>
      </c>
      <c r="C85" s="199">
        <v>36</v>
      </c>
      <c r="D85" s="212">
        <v>11162.75</v>
      </c>
      <c r="E85" s="212">
        <v>6246.2</v>
      </c>
      <c r="F85" s="212">
        <v>10817.38</v>
      </c>
      <c r="G85" s="212">
        <v>20785.98</v>
      </c>
      <c r="H85" s="212">
        <v>19287.189999999999</v>
      </c>
      <c r="I85" s="212">
        <v>0</v>
      </c>
      <c r="J85" s="212">
        <v>0</v>
      </c>
      <c r="K85" s="212">
        <v>0</v>
      </c>
      <c r="L85" s="212">
        <v>0</v>
      </c>
      <c r="M85" s="212">
        <v>0</v>
      </c>
      <c r="N85" s="212">
        <v>0</v>
      </c>
      <c r="O85" s="212">
        <v>0</v>
      </c>
      <c r="P85" s="204">
        <f t="shared" si="12"/>
        <v>68299.5</v>
      </c>
      <c r="Q85" s="204">
        <f t="shared" si="13"/>
        <v>5691.625</v>
      </c>
    </row>
    <row r="86" spans="2:17" ht="15" x14ac:dyDescent="0.25">
      <c r="B86" s="200" t="s">
        <v>1117</v>
      </c>
      <c r="C86" s="199">
        <v>50</v>
      </c>
      <c r="D86" s="155">
        <v>120.09</v>
      </c>
      <c r="E86" s="155">
        <v>63.56</v>
      </c>
      <c r="F86" s="155">
        <v>124.47</v>
      </c>
      <c r="G86" s="155">
        <v>268.70999999999998</v>
      </c>
      <c r="H86" s="155">
        <v>368.57</v>
      </c>
      <c r="I86" s="155">
        <v>403.04</v>
      </c>
      <c r="J86" s="155">
        <v>703.15</v>
      </c>
      <c r="K86" s="155">
        <v>468.92</v>
      </c>
      <c r="L86" s="155">
        <v>211.24</v>
      </c>
      <c r="M86" s="155">
        <v>495.2</v>
      </c>
      <c r="N86" s="155">
        <v>550.87</v>
      </c>
      <c r="O86" s="155">
        <v>-172.12</v>
      </c>
      <c r="P86" s="204">
        <f t="shared" si="12"/>
        <v>3605.7</v>
      </c>
      <c r="Q86" s="204">
        <f t="shared" si="13"/>
        <v>300.47499999999997</v>
      </c>
    </row>
    <row r="87" spans="2:17" ht="15" x14ac:dyDescent="0.25">
      <c r="B87" s="200" t="s">
        <v>726</v>
      </c>
      <c r="C87" s="199" t="s">
        <v>1169</v>
      </c>
      <c r="D87" s="155">
        <v>302.81</v>
      </c>
      <c r="E87" s="155">
        <v>136.5</v>
      </c>
      <c r="F87" s="155">
        <v>250.95999999999998</v>
      </c>
      <c r="G87" s="155">
        <v>506.91</v>
      </c>
      <c r="H87" s="155">
        <v>522.25</v>
      </c>
      <c r="I87" s="155">
        <v>178.23000000000002</v>
      </c>
      <c r="J87" s="155">
        <v>388.61</v>
      </c>
      <c r="K87" s="155">
        <v>280.7</v>
      </c>
      <c r="L87" s="155">
        <v>139.34</v>
      </c>
      <c r="M87" s="155">
        <v>276.13</v>
      </c>
      <c r="N87" s="155">
        <v>264.06</v>
      </c>
      <c r="O87" s="155">
        <v>-86.789999999999992</v>
      </c>
      <c r="P87" s="204">
        <f t="shared" si="12"/>
        <v>3159.71</v>
      </c>
      <c r="Q87" s="204">
        <f t="shared" si="13"/>
        <v>263.30916666666667</v>
      </c>
    </row>
    <row r="88" spans="2:17" ht="15" x14ac:dyDescent="0.25"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204">
        <f t="shared" si="12"/>
        <v>0</v>
      </c>
      <c r="Q88" s="204">
        <f t="shared" si="13"/>
        <v>0</v>
      </c>
    </row>
    <row r="89" spans="2:17" ht="15" x14ac:dyDescent="0.25">
      <c r="B89" s="206" t="s">
        <v>831</v>
      </c>
      <c r="C89" s="207"/>
      <c r="D89" s="208">
        <f t="shared" ref="D89:P89" si="14">SUM(D72:D88)</f>
        <v>421881.69000000006</v>
      </c>
      <c r="E89" s="208">
        <f t="shared" si="14"/>
        <v>197741.06</v>
      </c>
      <c r="F89" s="208">
        <f t="shared" si="14"/>
        <v>280216.59999999998</v>
      </c>
      <c r="G89" s="208">
        <f t="shared" si="14"/>
        <v>497536.39999999997</v>
      </c>
      <c r="H89" s="208">
        <f t="shared" si="14"/>
        <v>491273.60999999993</v>
      </c>
      <c r="I89" s="208">
        <f t="shared" si="14"/>
        <v>191275.48000000007</v>
      </c>
      <c r="J89" s="208">
        <f t="shared" si="14"/>
        <v>477520.36999999988</v>
      </c>
      <c r="K89" s="208">
        <f t="shared" si="14"/>
        <v>340370.59</v>
      </c>
      <c r="L89" s="208">
        <f t="shared" si="14"/>
        <v>166054.31</v>
      </c>
      <c r="M89" s="208">
        <f t="shared" si="14"/>
        <v>262579.58</v>
      </c>
      <c r="N89" s="208">
        <f t="shared" si="14"/>
        <v>247198.57</v>
      </c>
      <c r="O89" s="208">
        <f t="shared" si="14"/>
        <v>-105446.25</v>
      </c>
      <c r="P89" s="208">
        <f t="shared" si="14"/>
        <v>3468202.0100000002</v>
      </c>
      <c r="Q89" s="208">
        <f t="shared" si="13"/>
        <v>289016.83416666667</v>
      </c>
    </row>
    <row r="90" spans="2:17" x14ac:dyDescent="0.2">
      <c r="D90" s="209">
        <v>421881.69000000006</v>
      </c>
      <c r="E90" s="209">
        <v>197741.06</v>
      </c>
      <c r="F90" s="209">
        <v>280216.59999999998</v>
      </c>
      <c r="G90" s="209">
        <v>497536.39999999997</v>
      </c>
      <c r="H90" s="209">
        <v>491273.60999999993</v>
      </c>
      <c r="I90" s="209">
        <v>191275.48000000007</v>
      </c>
      <c r="J90" s="209">
        <v>477520.36999999988</v>
      </c>
      <c r="K90" s="209">
        <v>340370.59</v>
      </c>
      <c r="L90" s="209">
        <v>166054.31</v>
      </c>
      <c r="M90" s="209">
        <v>262579.58</v>
      </c>
      <c r="N90" s="209">
        <v>247198.57</v>
      </c>
      <c r="O90" s="209">
        <v>-105446.25000000001</v>
      </c>
      <c r="P90" s="209">
        <v>3468202.01</v>
      </c>
      <c r="Q90" s="209"/>
    </row>
    <row r="91" spans="2:17" x14ac:dyDescent="0.2">
      <c r="B91" s="198" t="s">
        <v>1021</v>
      </c>
      <c r="D91" s="209">
        <f>D90-D89</f>
        <v>0</v>
      </c>
      <c r="E91" s="209">
        <f t="shared" ref="E91:P91" si="15">E90-E89</f>
        <v>0</v>
      </c>
      <c r="F91" s="209">
        <f t="shared" si="15"/>
        <v>0</v>
      </c>
      <c r="G91" s="209">
        <f t="shared" si="15"/>
        <v>0</v>
      </c>
      <c r="H91" s="209">
        <f t="shared" si="15"/>
        <v>0</v>
      </c>
      <c r="I91" s="209">
        <f t="shared" si="15"/>
        <v>0</v>
      </c>
      <c r="J91" s="209">
        <f t="shared" si="15"/>
        <v>0</v>
      </c>
      <c r="K91" s="209">
        <f t="shared" si="15"/>
        <v>0</v>
      </c>
      <c r="L91" s="209">
        <f t="shared" si="15"/>
        <v>0</v>
      </c>
      <c r="M91" s="209">
        <f t="shared" si="15"/>
        <v>0</v>
      </c>
      <c r="N91" s="209">
        <f t="shared" si="15"/>
        <v>0</v>
      </c>
      <c r="O91" s="209">
        <f t="shared" si="15"/>
        <v>0</v>
      </c>
      <c r="P91" s="209">
        <f t="shared" si="15"/>
        <v>0</v>
      </c>
    </row>
    <row r="93" spans="2:17" x14ac:dyDescent="0.2">
      <c r="B93" s="201" t="s">
        <v>725</v>
      </c>
      <c r="C93" s="202" t="s">
        <v>838</v>
      </c>
      <c r="D93" s="203" t="s">
        <v>975</v>
      </c>
      <c r="E93" s="203" t="s">
        <v>976</v>
      </c>
      <c r="F93" s="203" t="s">
        <v>977</v>
      </c>
      <c r="G93" s="203" t="s">
        <v>978</v>
      </c>
      <c r="H93" s="203" t="s">
        <v>979</v>
      </c>
      <c r="I93" s="203" t="s">
        <v>980</v>
      </c>
      <c r="J93" s="203" t="s">
        <v>981</v>
      </c>
      <c r="K93" s="203" t="s">
        <v>982</v>
      </c>
      <c r="L93" s="203" t="s">
        <v>983</v>
      </c>
      <c r="M93" s="203" t="s">
        <v>984</v>
      </c>
      <c r="N93" s="203" t="s">
        <v>985</v>
      </c>
      <c r="O93" s="203" t="s">
        <v>986</v>
      </c>
      <c r="P93" s="203" t="s">
        <v>831</v>
      </c>
      <c r="Q93" s="203" t="s">
        <v>1122</v>
      </c>
    </row>
    <row r="94" spans="2:17" ht="15" x14ac:dyDescent="0.25">
      <c r="B94" s="200" t="s">
        <v>1103</v>
      </c>
      <c r="C94" s="199">
        <v>1</v>
      </c>
      <c r="D94" s="155">
        <v>450096.99</v>
      </c>
      <c r="E94" s="155">
        <v>398520.74</v>
      </c>
      <c r="F94" s="155">
        <v>283841.77</v>
      </c>
      <c r="G94" s="155">
        <v>181085.08</v>
      </c>
      <c r="H94" s="155">
        <v>260613.06</v>
      </c>
      <c r="I94" s="155">
        <v>324258.40000000002</v>
      </c>
      <c r="J94" s="155">
        <v>504688.5</v>
      </c>
      <c r="K94" s="155">
        <v>446917.02</v>
      </c>
      <c r="L94" s="155">
        <v>387548.24</v>
      </c>
      <c r="M94" s="155">
        <v>327202.40000000002</v>
      </c>
      <c r="N94" s="155">
        <v>290728.11</v>
      </c>
      <c r="O94" s="155">
        <v>394537.07</v>
      </c>
      <c r="P94" s="204">
        <f>SUM(D94:O94)</f>
        <v>4250037.38</v>
      </c>
      <c r="Q94" s="204">
        <f>IF(P94=0,0,AVERAGE(D94:O94))</f>
        <v>354169.78166666668</v>
      </c>
    </row>
    <row r="95" spans="2:17" ht="15" x14ac:dyDescent="0.25">
      <c r="B95" s="200" t="s">
        <v>1104</v>
      </c>
      <c r="C95" s="199">
        <v>2</v>
      </c>
      <c r="D95" s="155">
        <v>45493.04</v>
      </c>
      <c r="E95" s="155">
        <v>26430.09</v>
      </c>
      <c r="F95" s="155">
        <v>22861.360000000001</v>
      </c>
      <c r="G95" s="155">
        <v>14236.05</v>
      </c>
      <c r="H95" s="155">
        <v>22837.34</v>
      </c>
      <c r="I95" s="155">
        <v>30240.55</v>
      </c>
      <c r="J95" s="155">
        <v>42919.12</v>
      </c>
      <c r="K95" s="155">
        <v>35136.46</v>
      </c>
      <c r="L95" s="155">
        <v>28087.83</v>
      </c>
      <c r="M95" s="155">
        <v>26077.8</v>
      </c>
      <c r="N95" s="155">
        <v>26917.83</v>
      </c>
      <c r="O95" s="155">
        <v>39238.559999999998</v>
      </c>
      <c r="P95" s="204">
        <f t="shared" ref="P95:P110" si="16">SUM(D95:O95)</f>
        <v>360476.02999999997</v>
      </c>
      <c r="Q95" s="204">
        <f t="shared" ref="Q95:Q111" si="17">IF(P95=0,0,AVERAGE(D95:O95))</f>
        <v>30039.669166666663</v>
      </c>
    </row>
    <row r="96" spans="2:17" ht="15" x14ac:dyDescent="0.25">
      <c r="B96" s="200" t="s">
        <v>1105</v>
      </c>
      <c r="C96" s="199">
        <v>3</v>
      </c>
      <c r="D96" s="155">
        <v>16.14</v>
      </c>
      <c r="E96" s="155">
        <v>17.850000000000001</v>
      </c>
      <c r="F96" s="155">
        <v>11.04</v>
      </c>
      <c r="G96" s="155">
        <v>6.88</v>
      </c>
      <c r="H96" s="155">
        <v>13.23</v>
      </c>
      <c r="I96" s="155">
        <v>14.32</v>
      </c>
      <c r="J96" s="155">
        <v>10.44</v>
      </c>
      <c r="K96" s="155">
        <v>8.98</v>
      </c>
      <c r="L96" s="155">
        <v>22.56</v>
      </c>
      <c r="M96" s="155">
        <v>9.61</v>
      </c>
      <c r="N96" s="155">
        <v>6.85</v>
      </c>
      <c r="O96" s="155">
        <v>15.15</v>
      </c>
      <c r="P96" s="204">
        <f t="shared" si="16"/>
        <v>153.05000000000001</v>
      </c>
      <c r="Q96" s="204">
        <f t="shared" si="17"/>
        <v>12.754166666666668</v>
      </c>
    </row>
    <row r="97" spans="2:17" ht="15" x14ac:dyDescent="0.25">
      <c r="B97" s="200" t="s">
        <v>1106</v>
      </c>
      <c r="C97" s="199">
        <v>4</v>
      </c>
      <c r="D97" s="155">
        <v>38634.81</v>
      </c>
      <c r="E97" s="155">
        <v>37840.32</v>
      </c>
      <c r="F97" s="155">
        <v>30346.99</v>
      </c>
      <c r="G97" s="155">
        <v>21688.35</v>
      </c>
      <c r="H97" s="155">
        <v>32313.58</v>
      </c>
      <c r="I97" s="155">
        <v>40296.9</v>
      </c>
      <c r="J97" s="155">
        <v>59581.440000000002</v>
      </c>
      <c r="K97" s="155">
        <v>57667.94</v>
      </c>
      <c r="L97" s="155">
        <v>47398.44</v>
      </c>
      <c r="M97" s="155">
        <v>48289.23</v>
      </c>
      <c r="N97" s="155">
        <v>42748</v>
      </c>
      <c r="O97" s="155">
        <v>38571.5</v>
      </c>
      <c r="P97" s="204">
        <f t="shared" si="16"/>
        <v>495377.49999999994</v>
      </c>
      <c r="Q97" s="204">
        <f t="shared" si="17"/>
        <v>41281.458333333328</v>
      </c>
    </row>
    <row r="98" spans="2:17" ht="15" x14ac:dyDescent="0.25">
      <c r="B98" s="200" t="s">
        <v>1107</v>
      </c>
      <c r="C98" s="199">
        <v>5</v>
      </c>
      <c r="D98" s="155">
        <v>55756.99</v>
      </c>
      <c r="E98" s="155">
        <v>51681.47</v>
      </c>
      <c r="F98" s="155">
        <v>48663.73</v>
      </c>
      <c r="G98" s="155">
        <v>36385.75</v>
      </c>
      <c r="H98" s="155">
        <v>58609.48</v>
      </c>
      <c r="I98" s="155">
        <v>65224.73</v>
      </c>
      <c r="J98" s="155">
        <v>83643.3</v>
      </c>
      <c r="K98" s="155">
        <v>76897.850000000006</v>
      </c>
      <c r="L98" s="155">
        <v>67401.009999999995</v>
      </c>
      <c r="M98" s="155">
        <v>69913.2</v>
      </c>
      <c r="N98" s="155">
        <v>63691.09</v>
      </c>
      <c r="O98" s="155">
        <v>58680.57</v>
      </c>
      <c r="P98" s="204">
        <f t="shared" si="16"/>
        <v>736549.16999999993</v>
      </c>
      <c r="Q98" s="204">
        <f t="shared" si="17"/>
        <v>61379.097499999996</v>
      </c>
    </row>
    <row r="99" spans="2:17" ht="15" x14ac:dyDescent="0.25">
      <c r="B99" s="200" t="s">
        <v>1108</v>
      </c>
      <c r="C99" s="199">
        <v>7</v>
      </c>
      <c r="D99" s="155">
        <v>519.73</v>
      </c>
      <c r="E99" s="155">
        <v>420.87</v>
      </c>
      <c r="F99" s="155">
        <v>282.38</v>
      </c>
      <c r="G99" s="155">
        <v>141.96</v>
      </c>
      <c r="H99" s="155">
        <v>66.150000000000006</v>
      </c>
      <c r="I99" s="155">
        <v>12.63</v>
      </c>
      <c r="J99" s="155">
        <v>4.82</v>
      </c>
      <c r="K99" s="155">
        <v>1.63</v>
      </c>
      <c r="L99" s="155">
        <v>2.0099999999999998</v>
      </c>
      <c r="M99" s="155">
        <v>23.06</v>
      </c>
      <c r="N99" s="155">
        <v>106.57</v>
      </c>
      <c r="O99" s="155">
        <v>307.33</v>
      </c>
      <c r="P99" s="204">
        <f t="shared" si="16"/>
        <v>1889.14</v>
      </c>
      <c r="Q99" s="204">
        <f t="shared" si="17"/>
        <v>157.42833333333334</v>
      </c>
    </row>
    <row r="100" spans="2:17" ht="15" x14ac:dyDescent="0.25">
      <c r="B100" s="200" t="s">
        <v>1109</v>
      </c>
      <c r="C100" s="199">
        <v>8</v>
      </c>
      <c r="D100" s="155">
        <v>0</v>
      </c>
      <c r="E100" s="155">
        <v>0</v>
      </c>
      <c r="F100" s="155">
        <v>0</v>
      </c>
      <c r="G100" s="155">
        <v>0</v>
      </c>
      <c r="H100" s="155">
        <v>0</v>
      </c>
      <c r="I100" s="155">
        <v>0</v>
      </c>
      <c r="J100" s="155">
        <v>0</v>
      </c>
      <c r="K100" s="155">
        <v>0</v>
      </c>
      <c r="L100" s="155">
        <v>0</v>
      </c>
      <c r="M100" s="155">
        <v>0</v>
      </c>
      <c r="N100" s="155">
        <v>0</v>
      </c>
      <c r="O100" s="155">
        <v>0</v>
      </c>
      <c r="P100" s="204">
        <f t="shared" si="16"/>
        <v>0</v>
      </c>
      <c r="Q100" s="204">
        <f t="shared" si="17"/>
        <v>0</v>
      </c>
    </row>
    <row r="101" spans="2:17" ht="15" x14ac:dyDescent="0.25">
      <c r="B101" s="200" t="s">
        <v>1110</v>
      </c>
      <c r="C101" s="199">
        <v>9</v>
      </c>
      <c r="D101" s="155">
        <v>19283.45</v>
      </c>
      <c r="E101" s="155">
        <v>20636.310000000001</v>
      </c>
      <c r="F101" s="155">
        <v>18392.669999999998</v>
      </c>
      <c r="G101" s="155">
        <v>14750.34</v>
      </c>
      <c r="H101" s="155">
        <v>22925.26</v>
      </c>
      <c r="I101" s="155">
        <v>23898.12</v>
      </c>
      <c r="J101" s="155">
        <v>31100.28</v>
      </c>
      <c r="K101" s="155">
        <v>29168.94</v>
      </c>
      <c r="L101" s="155">
        <v>23615.16</v>
      </c>
      <c r="M101" s="155">
        <v>26020.81</v>
      </c>
      <c r="N101" s="155">
        <v>22868.33</v>
      </c>
      <c r="O101" s="155">
        <v>20195.64</v>
      </c>
      <c r="P101" s="204">
        <f t="shared" si="16"/>
        <v>272855.31</v>
      </c>
      <c r="Q101" s="204">
        <f t="shared" si="17"/>
        <v>22737.942500000001</v>
      </c>
    </row>
    <row r="102" spans="2:17" ht="15" x14ac:dyDescent="0.25">
      <c r="B102" s="200" t="s">
        <v>1111</v>
      </c>
      <c r="C102" s="199">
        <v>10</v>
      </c>
      <c r="D102" s="155">
        <v>23527.17</v>
      </c>
      <c r="E102" s="155">
        <v>22841.34</v>
      </c>
      <c r="F102" s="155">
        <v>21803.59</v>
      </c>
      <c r="G102" s="155">
        <v>17073.43</v>
      </c>
      <c r="H102" s="155">
        <v>27941.75</v>
      </c>
      <c r="I102" s="155">
        <v>29361.66</v>
      </c>
      <c r="J102" s="155">
        <v>36885.660000000003</v>
      </c>
      <c r="K102" s="155">
        <v>32561.46</v>
      </c>
      <c r="L102" s="155">
        <v>30042.29</v>
      </c>
      <c r="M102" s="155">
        <v>32518.7</v>
      </c>
      <c r="N102" s="155">
        <v>33397.99</v>
      </c>
      <c r="O102" s="155">
        <v>28202.91</v>
      </c>
      <c r="P102" s="204">
        <f t="shared" si="16"/>
        <v>336157.94999999995</v>
      </c>
      <c r="Q102" s="204">
        <f t="shared" si="17"/>
        <v>28013.162499999995</v>
      </c>
    </row>
    <row r="103" spans="2:17" ht="15" x14ac:dyDescent="0.25">
      <c r="B103" s="200" t="s">
        <v>1112</v>
      </c>
      <c r="C103" s="199">
        <v>14</v>
      </c>
      <c r="D103" s="155">
        <v>7540.12</v>
      </c>
      <c r="E103" s="155">
        <v>7241.43</v>
      </c>
      <c r="F103" s="155">
        <v>6197.19</v>
      </c>
      <c r="G103" s="155">
        <v>4626.3900000000003</v>
      </c>
      <c r="H103" s="155">
        <v>7001.98</v>
      </c>
      <c r="I103" s="155">
        <v>7462.26</v>
      </c>
      <c r="J103" s="155">
        <v>9509.42</v>
      </c>
      <c r="K103" s="155">
        <v>8637.4699999999993</v>
      </c>
      <c r="L103" s="155">
        <v>7852.31</v>
      </c>
      <c r="M103" s="155">
        <v>8003.75</v>
      </c>
      <c r="N103" s="155">
        <v>7552.61</v>
      </c>
      <c r="O103" s="155">
        <v>7200.03</v>
      </c>
      <c r="P103" s="204">
        <f t="shared" si="16"/>
        <v>88824.959999999992</v>
      </c>
      <c r="Q103" s="204">
        <f t="shared" si="17"/>
        <v>7402.079999999999</v>
      </c>
    </row>
    <row r="104" spans="2:17" ht="15" x14ac:dyDescent="0.25">
      <c r="B104" s="200" t="s">
        <v>1113</v>
      </c>
      <c r="C104" s="199">
        <v>15</v>
      </c>
      <c r="D104" s="155">
        <v>1821.45</v>
      </c>
      <c r="E104" s="155">
        <v>2003.62</v>
      </c>
      <c r="F104" s="155">
        <v>1469.01</v>
      </c>
      <c r="G104" s="155">
        <v>929.64</v>
      </c>
      <c r="H104" s="155">
        <v>1042.71</v>
      </c>
      <c r="I104" s="155">
        <v>995.95</v>
      </c>
      <c r="J104" s="155">
        <v>505.1</v>
      </c>
      <c r="K104" s="155">
        <v>542.52</v>
      </c>
      <c r="L104" s="155">
        <v>385.3</v>
      </c>
      <c r="M104" s="155">
        <v>434.19</v>
      </c>
      <c r="N104" s="155">
        <v>1102.67</v>
      </c>
      <c r="O104" s="155">
        <v>1238.99</v>
      </c>
      <c r="P104" s="204">
        <f t="shared" si="16"/>
        <v>12471.150000000001</v>
      </c>
      <c r="Q104" s="204">
        <f t="shared" si="17"/>
        <v>1039.2625</v>
      </c>
    </row>
    <row r="105" spans="2:17" ht="15" x14ac:dyDescent="0.25">
      <c r="B105" s="200" t="s">
        <v>1114</v>
      </c>
      <c r="C105" s="199">
        <v>20</v>
      </c>
      <c r="D105" s="155">
        <v>1712.91</v>
      </c>
      <c r="E105" s="155">
        <v>1383.46</v>
      </c>
      <c r="F105" s="155">
        <v>850.71</v>
      </c>
      <c r="G105" s="155">
        <v>510.11</v>
      </c>
      <c r="H105" s="155">
        <v>787.72</v>
      </c>
      <c r="I105" s="155">
        <v>979.2</v>
      </c>
      <c r="J105" s="155">
        <v>1597.24</v>
      </c>
      <c r="K105" s="155">
        <v>1524.67</v>
      </c>
      <c r="L105" s="155">
        <v>1278.2</v>
      </c>
      <c r="M105" s="155">
        <v>1154.82</v>
      </c>
      <c r="N105" s="155">
        <v>992.07</v>
      </c>
      <c r="O105" s="155">
        <v>1606.56</v>
      </c>
      <c r="P105" s="204">
        <f t="shared" si="16"/>
        <v>14377.67</v>
      </c>
      <c r="Q105" s="204">
        <f t="shared" si="17"/>
        <v>1198.1391666666666</v>
      </c>
    </row>
    <row r="106" spans="2:17" ht="15" x14ac:dyDescent="0.25">
      <c r="B106" s="200" t="s">
        <v>1115</v>
      </c>
      <c r="C106" s="199">
        <v>24</v>
      </c>
      <c r="D106" s="212">
        <v>0</v>
      </c>
      <c r="E106" s="212">
        <v>0</v>
      </c>
      <c r="F106" s="212">
        <v>0</v>
      </c>
      <c r="G106" s="212">
        <v>0</v>
      </c>
      <c r="H106" s="212">
        <v>0</v>
      </c>
      <c r="I106" s="212">
        <v>14737.85</v>
      </c>
      <c r="J106" s="212">
        <v>17159.45</v>
      </c>
      <c r="K106" s="212">
        <v>16133.78</v>
      </c>
      <c r="L106" s="212">
        <v>15762.24</v>
      </c>
      <c r="M106" s="212">
        <v>16765.27</v>
      </c>
      <c r="N106" s="212">
        <v>15007.55</v>
      </c>
      <c r="O106" s="212">
        <v>11567.88</v>
      </c>
      <c r="P106" s="204">
        <f t="shared" si="16"/>
        <v>107134.02</v>
      </c>
      <c r="Q106" s="204">
        <f t="shared" si="17"/>
        <v>8927.8350000000009</v>
      </c>
    </row>
    <row r="107" spans="2:17" ht="15" x14ac:dyDescent="0.25">
      <c r="B107" s="200" t="s">
        <v>1116</v>
      </c>
      <c r="C107" s="199">
        <v>36</v>
      </c>
      <c r="D107" s="212">
        <v>14383.02</v>
      </c>
      <c r="E107" s="212">
        <v>14349.91</v>
      </c>
      <c r="F107" s="212">
        <v>13183.57</v>
      </c>
      <c r="G107" s="212">
        <v>9766.02</v>
      </c>
      <c r="H107" s="212">
        <v>13796.57</v>
      </c>
      <c r="I107" s="212">
        <v>0</v>
      </c>
      <c r="J107" s="212">
        <v>0</v>
      </c>
      <c r="K107" s="212">
        <v>0</v>
      </c>
      <c r="L107" s="212">
        <v>0</v>
      </c>
      <c r="M107" s="212">
        <v>0</v>
      </c>
      <c r="N107" s="212">
        <v>0</v>
      </c>
      <c r="O107" s="212">
        <v>0</v>
      </c>
      <c r="P107" s="204">
        <f t="shared" si="16"/>
        <v>65479.090000000004</v>
      </c>
      <c r="Q107" s="204">
        <f t="shared" si="17"/>
        <v>5456.5908333333336</v>
      </c>
    </row>
    <row r="108" spans="2:17" ht="15" x14ac:dyDescent="0.25">
      <c r="B108" s="200" t="s">
        <v>1117</v>
      </c>
      <c r="C108" s="199">
        <v>50</v>
      </c>
      <c r="D108" s="155">
        <v>256.08</v>
      </c>
      <c r="E108" s="155">
        <v>249.3</v>
      </c>
      <c r="F108" s="155">
        <v>255.57</v>
      </c>
      <c r="G108" s="155">
        <v>199.95</v>
      </c>
      <c r="H108" s="155">
        <v>407.78</v>
      </c>
      <c r="I108" s="155">
        <v>1056.19</v>
      </c>
      <c r="J108" s="155">
        <v>1120.8399999999999</v>
      </c>
      <c r="K108" s="155">
        <v>897.44</v>
      </c>
      <c r="L108" s="155">
        <v>710.84</v>
      </c>
      <c r="M108" s="155">
        <v>983.42</v>
      </c>
      <c r="N108" s="155">
        <v>1082.79</v>
      </c>
      <c r="O108" s="155">
        <v>947.91</v>
      </c>
      <c r="P108" s="204">
        <f t="shared" si="16"/>
        <v>8168.11</v>
      </c>
      <c r="Q108" s="204">
        <f t="shared" si="17"/>
        <v>680.67583333333334</v>
      </c>
    </row>
    <row r="109" spans="2:17" ht="15" x14ac:dyDescent="0.25">
      <c r="B109" s="200" t="s">
        <v>726</v>
      </c>
      <c r="C109" s="199" t="s">
        <v>1169</v>
      </c>
      <c r="D109" s="155">
        <v>1257.3499999999999</v>
      </c>
      <c r="E109" s="155">
        <v>1125.1200000000001</v>
      </c>
      <c r="F109" s="155">
        <v>1062.6500000000001</v>
      </c>
      <c r="G109" s="155">
        <v>769.47</v>
      </c>
      <c r="H109" s="155">
        <v>1188.1799999999998</v>
      </c>
      <c r="I109" s="155">
        <v>1356.04</v>
      </c>
      <c r="J109" s="155">
        <v>1704.96</v>
      </c>
      <c r="K109" s="155">
        <v>1578.4</v>
      </c>
      <c r="L109" s="155">
        <v>1379.28</v>
      </c>
      <c r="M109" s="155">
        <v>1405.82</v>
      </c>
      <c r="N109" s="155">
        <v>1294.26</v>
      </c>
      <c r="O109" s="155">
        <v>1304.71</v>
      </c>
      <c r="P109" s="204">
        <f t="shared" si="16"/>
        <v>15426.240000000002</v>
      </c>
      <c r="Q109" s="204">
        <f t="shared" si="17"/>
        <v>1285.5200000000002</v>
      </c>
    </row>
    <row r="110" spans="2:17" ht="15" x14ac:dyDescent="0.25"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204">
        <f t="shared" si="16"/>
        <v>0</v>
      </c>
      <c r="Q110" s="204">
        <f t="shared" si="17"/>
        <v>0</v>
      </c>
    </row>
    <row r="111" spans="2:17" ht="15" x14ac:dyDescent="0.25">
      <c r="B111" s="206" t="s">
        <v>831</v>
      </c>
      <c r="C111" s="207"/>
      <c r="D111" s="208">
        <f t="shared" ref="D111:P111" si="18">SUM(D94:D110)</f>
        <v>660299.24999999988</v>
      </c>
      <c r="E111" s="208">
        <f t="shared" si="18"/>
        <v>584741.83000000007</v>
      </c>
      <c r="F111" s="208">
        <f t="shared" si="18"/>
        <v>449222.23000000004</v>
      </c>
      <c r="G111" s="208">
        <f t="shared" si="18"/>
        <v>302169.42</v>
      </c>
      <c r="H111" s="208">
        <f t="shared" si="18"/>
        <v>449544.79000000004</v>
      </c>
      <c r="I111" s="208">
        <f t="shared" si="18"/>
        <v>539894.80000000005</v>
      </c>
      <c r="J111" s="208">
        <f t="shared" si="18"/>
        <v>790430.57</v>
      </c>
      <c r="K111" s="208">
        <f t="shared" si="18"/>
        <v>707674.55999999994</v>
      </c>
      <c r="L111" s="208">
        <f t="shared" si="18"/>
        <v>611485.71000000008</v>
      </c>
      <c r="M111" s="208">
        <f t="shared" si="18"/>
        <v>558802.07999999984</v>
      </c>
      <c r="N111" s="208">
        <f t="shared" si="18"/>
        <v>507496.72</v>
      </c>
      <c r="O111" s="208">
        <f t="shared" si="18"/>
        <v>603614.81000000006</v>
      </c>
      <c r="P111" s="208">
        <f t="shared" si="18"/>
        <v>6765376.7699999996</v>
      </c>
      <c r="Q111" s="208">
        <f t="shared" si="17"/>
        <v>563781.39749999996</v>
      </c>
    </row>
    <row r="112" spans="2:17" x14ac:dyDescent="0.2">
      <c r="D112" s="209">
        <v>660299.24999999988</v>
      </c>
      <c r="E112" s="209">
        <v>584741.83000000007</v>
      </c>
      <c r="F112" s="209">
        <v>449222.23</v>
      </c>
      <c r="G112" s="209">
        <v>302169.42000000004</v>
      </c>
      <c r="H112" s="209">
        <v>449544.79000000004</v>
      </c>
      <c r="I112" s="209">
        <v>539894.80000000005</v>
      </c>
      <c r="J112" s="209">
        <v>790430.57000000007</v>
      </c>
      <c r="K112" s="209">
        <v>707674.55999999994</v>
      </c>
      <c r="L112" s="209">
        <v>611485.71000000008</v>
      </c>
      <c r="M112" s="209">
        <v>558802.07999999996</v>
      </c>
      <c r="N112" s="209">
        <v>507496.72</v>
      </c>
      <c r="O112" s="209">
        <v>603614.81000000006</v>
      </c>
      <c r="P112" s="209">
        <v>6765376.7699999996</v>
      </c>
      <c r="Q112" s="209"/>
    </row>
    <row r="113" spans="2:17" x14ac:dyDescent="0.2">
      <c r="B113" s="198" t="s">
        <v>1124</v>
      </c>
      <c r="D113" s="209">
        <f>D111-D112</f>
        <v>0</v>
      </c>
      <c r="E113" s="209">
        <f t="shared" ref="E113:P113" si="19">E111-E112</f>
        <v>0</v>
      </c>
      <c r="F113" s="209">
        <f t="shared" si="19"/>
        <v>0</v>
      </c>
      <c r="G113" s="209">
        <f t="shared" si="19"/>
        <v>0</v>
      </c>
      <c r="H113" s="209">
        <f t="shared" si="19"/>
        <v>0</v>
      </c>
      <c r="I113" s="209">
        <f t="shared" si="19"/>
        <v>0</v>
      </c>
      <c r="J113" s="209">
        <f t="shared" si="19"/>
        <v>0</v>
      </c>
      <c r="K113" s="209">
        <f t="shared" si="19"/>
        <v>0</v>
      </c>
      <c r="L113" s="209">
        <f t="shared" si="19"/>
        <v>0</v>
      </c>
      <c r="M113" s="209">
        <f t="shared" si="19"/>
        <v>0</v>
      </c>
      <c r="N113" s="209">
        <f t="shared" si="19"/>
        <v>0</v>
      </c>
      <c r="O113" s="209">
        <f t="shared" si="19"/>
        <v>0</v>
      </c>
      <c r="P113" s="209">
        <f t="shared" si="19"/>
        <v>0</v>
      </c>
    </row>
    <row r="115" spans="2:17" x14ac:dyDescent="0.2">
      <c r="B115" s="201" t="s">
        <v>725</v>
      </c>
      <c r="C115" s="202" t="s">
        <v>838</v>
      </c>
      <c r="D115" s="203" t="s">
        <v>975</v>
      </c>
      <c r="E115" s="203" t="s">
        <v>976</v>
      </c>
      <c r="F115" s="203" t="s">
        <v>977</v>
      </c>
      <c r="G115" s="203" t="s">
        <v>978</v>
      </c>
      <c r="H115" s="203" t="s">
        <v>979</v>
      </c>
      <c r="I115" s="203" t="s">
        <v>980</v>
      </c>
      <c r="J115" s="203" t="s">
        <v>981</v>
      </c>
      <c r="K115" s="203" t="s">
        <v>982</v>
      </c>
      <c r="L115" s="203" t="s">
        <v>983</v>
      </c>
      <c r="M115" s="203" t="s">
        <v>984</v>
      </c>
      <c r="N115" s="203" t="s">
        <v>985</v>
      </c>
      <c r="O115" s="203" t="s">
        <v>986</v>
      </c>
      <c r="P115" s="203" t="s">
        <v>831</v>
      </c>
      <c r="Q115" s="203" t="s">
        <v>1122</v>
      </c>
    </row>
    <row r="116" spans="2:17" ht="15" x14ac:dyDescent="0.25">
      <c r="B116" s="200" t="s">
        <v>1103</v>
      </c>
      <c r="C116" s="199">
        <v>1</v>
      </c>
      <c r="D116" s="155">
        <v>3960070.49</v>
      </c>
      <c r="E116" s="155">
        <v>3823465.25</v>
      </c>
      <c r="F116" s="155">
        <v>2878375.07</v>
      </c>
      <c r="G116" s="155">
        <v>2524898.8199999998</v>
      </c>
      <c r="H116" s="155">
        <v>2450286.11</v>
      </c>
      <c r="I116" s="155">
        <v>2643153.7799999998</v>
      </c>
      <c r="J116" s="155">
        <v>3586391.69</v>
      </c>
      <c r="K116" s="155">
        <v>3371675.9299999997</v>
      </c>
      <c r="L116" s="155">
        <v>3239499.0999999996</v>
      </c>
      <c r="M116" s="155">
        <v>2730213.62</v>
      </c>
      <c r="N116" s="155">
        <v>2605944.63</v>
      </c>
      <c r="O116" s="155">
        <v>3407925.51</v>
      </c>
      <c r="P116" s="204">
        <f>SUM(D116:O116)</f>
        <v>37221900</v>
      </c>
      <c r="Q116" s="204">
        <f>IF(P116=0,0,AVERAGE(D116:O116))</f>
        <v>3101825</v>
      </c>
    </row>
    <row r="117" spans="2:17" ht="15" x14ac:dyDescent="0.25">
      <c r="B117" s="200" t="s">
        <v>1104</v>
      </c>
      <c r="C117" s="199">
        <v>2</v>
      </c>
      <c r="D117" s="155">
        <v>403342.04</v>
      </c>
      <c r="E117" s="155">
        <v>254130.91</v>
      </c>
      <c r="F117" s="155">
        <v>233353.71999999997</v>
      </c>
      <c r="G117" s="155">
        <v>199850.44</v>
      </c>
      <c r="H117" s="155">
        <v>216589.96000000002</v>
      </c>
      <c r="I117" s="155">
        <v>248744.03</v>
      </c>
      <c r="J117" s="155">
        <v>306584.2</v>
      </c>
      <c r="K117" s="155">
        <v>266147.99</v>
      </c>
      <c r="L117" s="155">
        <v>235296.31</v>
      </c>
      <c r="M117" s="155">
        <v>218860.55999999997</v>
      </c>
      <c r="N117" s="155">
        <v>243414.64999999997</v>
      </c>
      <c r="O117" s="155">
        <v>341554.91000000003</v>
      </c>
      <c r="P117" s="204">
        <f t="shared" ref="P117:P132" si="20">SUM(D117:O117)</f>
        <v>3167869.72</v>
      </c>
      <c r="Q117" s="204">
        <f t="shared" ref="Q117:Q133" si="21">IF(P117=0,0,AVERAGE(D117:O117))</f>
        <v>263989.14333333337</v>
      </c>
    </row>
    <row r="118" spans="2:17" ht="15" x14ac:dyDescent="0.25">
      <c r="B118" s="200" t="s">
        <v>1105</v>
      </c>
      <c r="C118" s="199">
        <v>3</v>
      </c>
      <c r="D118" s="155">
        <v>144.54000000000002</v>
      </c>
      <c r="E118" s="155">
        <v>174.39999999999998</v>
      </c>
      <c r="F118" s="155">
        <v>114.71000000000001</v>
      </c>
      <c r="G118" s="155">
        <v>98.59</v>
      </c>
      <c r="H118" s="155">
        <v>127.99000000000001</v>
      </c>
      <c r="I118" s="155">
        <v>119.84</v>
      </c>
      <c r="J118" s="155">
        <v>75.680000000000007</v>
      </c>
      <c r="K118" s="155">
        <v>69.150000000000006</v>
      </c>
      <c r="L118" s="155">
        <v>192.67999999999998</v>
      </c>
      <c r="M118" s="155">
        <v>82.389999999999986</v>
      </c>
      <c r="N118" s="155">
        <v>63.150000000000006</v>
      </c>
      <c r="O118" s="155">
        <v>133.67000000000002</v>
      </c>
      <c r="P118" s="204">
        <f t="shared" si="20"/>
        <v>1396.79</v>
      </c>
      <c r="Q118" s="204">
        <f t="shared" si="21"/>
        <v>116.39916666666666</v>
      </c>
    </row>
    <row r="119" spans="2:17" ht="15" x14ac:dyDescent="0.25">
      <c r="B119" s="200" t="s">
        <v>1106</v>
      </c>
      <c r="C119" s="199">
        <v>4</v>
      </c>
      <c r="D119" s="155">
        <v>337673.37</v>
      </c>
      <c r="E119" s="155">
        <v>361409.11</v>
      </c>
      <c r="F119" s="155">
        <v>306915.32</v>
      </c>
      <c r="G119" s="155">
        <v>303043.71999999997</v>
      </c>
      <c r="H119" s="155">
        <v>300968.77</v>
      </c>
      <c r="I119" s="155">
        <v>328759.11</v>
      </c>
      <c r="J119" s="155">
        <v>423336.5</v>
      </c>
      <c r="K119" s="155">
        <v>435762.76999999996</v>
      </c>
      <c r="L119" s="155">
        <v>396531</v>
      </c>
      <c r="M119" s="155">
        <v>404977.88</v>
      </c>
      <c r="N119" s="155">
        <v>385086.39</v>
      </c>
      <c r="O119" s="155">
        <v>331501.62</v>
      </c>
      <c r="P119" s="204">
        <f t="shared" si="20"/>
        <v>4315965.5599999996</v>
      </c>
      <c r="Q119" s="204">
        <f t="shared" si="21"/>
        <v>359663.79666666663</v>
      </c>
    </row>
    <row r="120" spans="2:17" ht="15" x14ac:dyDescent="0.25">
      <c r="B120" s="200" t="s">
        <v>1107</v>
      </c>
      <c r="C120" s="199">
        <v>5</v>
      </c>
      <c r="D120" s="155">
        <v>497323.51999999996</v>
      </c>
      <c r="E120" s="155">
        <v>503030.06000000006</v>
      </c>
      <c r="F120" s="155">
        <v>503606.16</v>
      </c>
      <c r="G120" s="155">
        <v>519533.96</v>
      </c>
      <c r="H120" s="155">
        <v>564896.15</v>
      </c>
      <c r="I120" s="155">
        <v>543922.34</v>
      </c>
      <c r="J120" s="155">
        <v>604093.08000000007</v>
      </c>
      <c r="K120" s="155">
        <v>590304.49</v>
      </c>
      <c r="L120" s="155">
        <v>573770.01</v>
      </c>
      <c r="M120" s="155">
        <v>597117.02</v>
      </c>
      <c r="N120" s="155">
        <v>584994.76</v>
      </c>
      <c r="O120" s="155">
        <v>515798.95</v>
      </c>
      <c r="P120" s="204">
        <f t="shared" si="20"/>
        <v>6598390.4999999991</v>
      </c>
      <c r="Q120" s="204">
        <f t="shared" si="21"/>
        <v>549865.87499999988</v>
      </c>
    </row>
    <row r="121" spans="2:17" ht="15" x14ac:dyDescent="0.25">
      <c r="B121" s="200" t="s">
        <v>1108</v>
      </c>
      <c r="C121" s="199">
        <v>7</v>
      </c>
      <c r="D121" s="155">
        <v>4654.67</v>
      </c>
      <c r="E121" s="155">
        <v>4112.59</v>
      </c>
      <c r="F121" s="155">
        <v>2934.05</v>
      </c>
      <c r="G121" s="155">
        <v>2035.25</v>
      </c>
      <c r="H121" s="155">
        <v>639.57999999999993</v>
      </c>
      <c r="I121" s="155">
        <v>105.36999999999999</v>
      </c>
      <c r="J121" s="155">
        <v>34.94</v>
      </c>
      <c r="K121" s="155">
        <v>12.379999999999999</v>
      </c>
      <c r="L121" s="155">
        <v>16.72</v>
      </c>
      <c r="M121" s="155">
        <v>197.66</v>
      </c>
      <c r="N121" s="155">
        <v>982.02</v>
      </c>
      <c r="O121" s="155">
        <v>2711.84</v>
      </c>
      <c r="P121" s="204">
        <f t="shared" si="20"/>
        <v>18437.07</v>
      </c>
      <c r="Q121" s="204">
        <f t="shared" si="21"/>
        <v>1536.4224999999999</v>
      </c>
    </row>
    <row r="122" spans="2:17" ht="15" x14ac:dyDescent="0.25">
      <c r="B122" s="200" t="s">
        <v>1109</v>
      </c>
      <c r="C122" s="199">
        <v>8</v>
      </c>
      <c r="D122" s="155">
        <v>0</v>
      </c>
      <c r="E122" s="155">
        <v>0</v>
      </c>
      <c r="F122" s="155">
        <v>0</v>
      </c>
      <c r="G122" s="155">
        <v>0</v>
      </c>
      <c r="H122" s="155">
        <v>0</v>
      </c>
      <c r="I122" s="155">
        <v>0</v>
      </c>
      <c r="J122" s="155">
        <v>0</v>
      </c>
      <c r="K122" s="155">
        <v>0</v>
      </c>
      <c r="L122" s="155">
        <v>0</v>
      </c>
      <c r="M122" s="155">
        <v>0</v>
      </c>
      <c r="N122" s="155">
        <v>0</v>
      </c>
      <c r="O122" s="155">
        <v>0</v>
      </c>
      <c r="P122" s="204">
        <f t="shared" si="20"/>
        <v>0</v>
      </c>
      <c r="Q122" s="204">
        <f t="shared" si="21"/>
        <v>0</v>
      </c>
    </row>
    <row r="123" spans="2:17" ht="15" x14ac:dyDescent="0.25">
      <c r="B123" s="200" t="s">
        <v>1110</v>
      </c>
      <c r="C123" s="199">
        <v>9</v>
      </c>
      <c r="D123" s="155">
        <v>172673.81</v>
      </c>
      <c r="E123" s="155">
        <v>201638.41</v>
      </c>
      <c r="F123" s="155">
        <v>191075.69</v>
      </c>
      <c r="G123" s="155">
        <v>211403.41</v>
      </c>
      <c r="H123" s="155">
        <v>221738.49</v>
      </c>
      <c r="I123" s="155">
        <v>199989.99000000002</v>
      </c>
      <c r="J123" s="155">
        <v>225337.48</v>
      </c>
      <c r="K123" s="155">
        <v>224653.16</v>
      </c>
      <c r="L123" s="155">
        <v>201690.27000000002</v>
      </c>
      <c r="M123" s="155">
        <v>222980.07</v>
      </c>
      <c r="N123" s="155">
        <v>210757.01</v>
      </c>
      <c r="O123" s="155">
        <v>178202.26</v>
      </c>
      <c r="P123" s="204">
        <f t="shared" si="20"/>
        <v>2462140.0499999998</v>
      </c>
      <c r="Q123" s="204">
        <f t="shared" si="21"/>
        <v>205178.33749999999</v>
      </c>
    </row>
    <row r="124" spans="2:17" ht="15" x14ac:dyDescent="0.25">
      <c r="B124" s="200" t="s">
        <v>1111</v>
      </c>
      <c r="C124" s="199">
        <v>10</v>
      </c>
      <c r="D124" s="155">
        <v>210649.93</v>
      </c>
      <c r="E124" s="155">
        <v>223157.49</v>
      </c>
      <c r="F124" s="155">
        <v>226485.68</v>
      </c>
      <c r="G124" s="155">
        <v>244672.71</v>
      </c>
      <c r="H124" s="155">
        <v>270234.82999999996</v>
      </c>
      <c r="I124" s="155">
        <v>245687.02</v>
      </c>
      <c r="J124" s="155">
        <v>267230.56</v>
      </c>
      <c r="K124" s="155">
        <v>250755.36000000002</v>
      </c>
      <c r="L124" s="155">
        <v>256559.11000000002</v>
      </c>
      <c r="M124" s="155">
        <v>278637.7</v>
      </c>
      <c r="N124" s="155">
        <v>307778.48</v>
      </c>
      <c r="O124" s="155">
        <v>248834.63</v>
      </c>
      <c r="P124" s="204">
        <f t="shared" si="20"/>
        <v>3030683.5</v>
      </c>
      <c r="Q124" s="204">
        <f t="shared" si="21"/>
        <v>252556.95833333334</v>
      </c>
    </row>
    <row r="125" spans="2:17" ht="15" x14ac:dyDescent="0.25">
      <c r="B125" s="200" t="s">
        <v>1112</v>
      </c>
      <c r="C125" s="199">
        <v>14</v>
      </c>
      <c r="D125" s="155">
        <v>67525.149999999994</v>
      </c>
      <c r="E125" s="155">
        <v>70762.75</v>
      </c>
      <c r="F125" s="155">
        <v>64386.78</v>
      </c>
      <c r="G125" s="155">
        <v>66311.53</v>
      </c>
      <c r="H125" s="155">
        <v>67730.34</v>
      </c>
      <c r="I125" s="155">
        <v>62453.100000000006</v>
      </c>
      <c r="J125" s="155">
        <v>68906.19</v>
      </c>
      <c r="K125" s="155">
        <v>66529.37</v>
      </c>
      <c r="L125" s="155">
        <v>67070.3</v>
      </c>
      <c r="M125" s="155">
        <v>68592.31</v>
      </c>
      <c r="N125" s="155">
        <v>69611.89</v>
      </c>
      <c r="O125" s="155">
        <v>63538.329999999994</v>
      </c>
      <c r="P125" s="204">
        <f t="shared" si="20"/>
        <v>803418.04</v>
      </c>
      <c r="Q125" s="204">
        <f t="shared" si="21"/>
        <v>66951.503333333341</v>
      </c>
    </row>
    <row r="126" spans="2:17" ht="15" x14ac:dyDescent="0.25">
      <c r="B126" s="200" t="s">
        <v>1113</v>
      </c>
      <c r="C126" s="199">
        <v>15</v>
      </c>
      <c r="D126" s="155">
        <v>16242.830000000002</v>
      </c>
      <c r="E126" s="155">
        <v>19510.12</v>
      </c>
      <c r="F126" s="155">
        <v>15193.5</v>
      </c>
      <c r="G126" s="155">
        <v>13255.69</v>
      </c>
      <c r="H126" s="155">
        <v>10017.049999999999</v>
      </c>
      <c r="I126" s="155">
        <v>8266.2000000000007</v>
      </c>
      <c r="J126" s="155">
        <v>3590.9399999999996</v>
      </c>
      <c r="K126" s="155">
        <v>4109.6499999999996</v>
      </c>
      <c r="L126" s="155">
        <v>3222.04</v>
      </c>
      <c r="M126" s="155">
        <v>3648.72</v>
      </c>
      <c r="N126" s="155">
        <v>10090.93</v>
      </c>
      <c r="O126" s="155">
        <v>10861.51</v>
      </c>
      <c r="P126" s="204">
        <f t="shared" si="20"/>
        <v>118009.17999999998</v>
      </c>
      <c r="Q126" s="204">
        <f t="shared" si="21"/>
        <v>9834.0983333333315</v>
      </c>
    </row>
    <row r="127" spans="2:17" ht="15" x14ac:dyDescent="0.25">
      <c r="B127" s="200" t="s">
        <v>1114</v>
      </c>
      <c r="C127" s="199">
        <v>20</v>
      </c>
      <c r="D127" s="155">
        <v>15115.93</v>
      </c>
      <c r="E127" s="155">
        <v>13294.720000000001</v>
      </c>
      <c r="F127" s="155">
        <v>8614.9700000000012</v>
      </c>
      <c r="G127" s="155">
        <v>7088.0199999999995</v>
      </c>
      <c r="H127" s="155">
        <v>7396.0800000000008</v>
      </c>
      <c r="I127" s="155">
        <v>7971.45</v>
      </c>
      <c r="J127" s="155">
        <v>11350.4</v>
      </c>
      <c r="K127" s="155">
        <v>11509.640000000001</v>
      </c>
      <c r="L127" s="155">
        <v>10683.76</v>
      </c>
      <c r="M127" s="155">
        <v>9653.1299999999992</v>
      </c>
      <c r="N127" s="155">
        <v>8881.7900000000009</v>
      </c>
      <c r="O127" s="155">
        <v>13922.199999999999</v>
      </c>
      <c r="P127" s="204">
        <f t="shared" si="20"/>
        <v>125482.08999999998</v>
      </c>
      <c r="Q127" s="204">
        <f t="shared" si="21"/>
        <v>10456.840833333332</v>
      </c>
    </row>
    <row r="128" spans="2:17" ht="15" x14ac:dyDescent="0.25">
      <c r="B128" s="200" t="s">
        <v>1115</v>
      </c>
      <c r="C128" s="199">
        <v>24</v>
      </c>
      <c r="D128" s="212">
        <v>0</v>
      </c>
      <c r="E128" s="212">
        <v>0</v>
      </c>
      <c r="F128" s="212">
        <v>0</v>
      </c>
      <c r="G128" s="212">
        <v>0</v>
      </c>
      <c r="H128" s="212">
        <v>0</v>
      </c>
      <c r="I128" s="212">
        <v>123343.98000000001</v>
      </c>
      <c r="J128" s="212">
        <v>124339.01999999999</v>
      </c>
      <c r="K128" s="212">
        <v>124269.02</v>
      </c>
      <c r="L128" s="212">
        <v>134632.82999999999</v>
      </c>
      <c r="M128" s="212">
        <v>143678.72</v>
      </c>
      <c r="N128" s="212">
        <v>138323.53</v>
      </c>
      <c r="O128" s="212">
        <v>102083.40000000001</v>
      </c>
      <c r="P128" s="204">
        <f t="shared" si="20"/>
        <v>890670.5</v>
      </c>
      <c r="Q128" s="204">
        <f t="shared" si="21"/>
        <v>74222.541666666672</v>
      </c>
    </row>
    <row r="129" spans="2:17" ht="15" x14ac:dyDescent="0.25">
      <c r="B129" s="200" t="s">
        <v>1116</v>
      </c>
      <c r="C129" s="199">
        <v>36</v>
      </c>
      <c r="D129" s="212">
        <v>128806.44</v>
      </c>
      <c r="E129" s="212">
        <v>140226.32999999999</v>
      </c>
      <c r="F129" s="212">
        <v>136972.99</v>
      </c>
      <c r="G129" s="212">
        <v>139979.6</v>
      </c>
      <c r="H129" s="212">
        <v>133454.56</v>
      </c>
      <c r="I129" s="212">
        <v>0</v>
      </c>
      <c r="J129" s="212">
        <v>0</v>
      </c>
      <c r="K129" s="212">
        <v>0</v>
      </c>
      <c r="L129" s="212">
        <v>0</v>
      </c>
      <c r="M129" s="212">
        <v>0</v>
      </c>
      <c r="N129" s="212">
        <v>0</v>
      </c>
      <c r="O129" s="212">
        <v>0</v>
      </c>
      <c r="P129" s="204">
        <f t="shared" si="20"/>
        <v>679439.91999999993</v>
      </c>
      <c r="Q129" s="204">
        <f t="shared" si="21"/>
        <v>56619.993333333325</v>
      </c>
    </row>
    <row r="130" spans="2:17" ht="15" x14ac:dyDescent="0.25">
      <c r="B130" s="200" t="s">
        <v>1117</v>
      </c>
      <c r="C130" s="199">
        <v>50</v>
      </c>
      <c r="D130" s="155">
        <v>2293.25</v>
      </c>
      <c r="E130" s="155">
        <v>2436.25</v>
      </c>
      <c r="F130" s="155">
        <v>2655.24</v>
      </c>
      <c r="G130" s="155">
        <v>2866.0099999999998</v>
      </c>
      <c r="H130" s="155">
        <v>3944.5299999999997</v>
      </c>
      <c r="I130" s="155">
        <v>8839.36</v>
      </c>
      <c r="J130" s="155">
        <v>8121.71</v>
      </c>
      <c r="K130" s="155">
        <v>6912.4600000000009</v>
      </c>
      <c r="L130" s="155">
        <v>6071.68</v>
      </c>
      <c r="M130" s="155">
        <v>8428.0199999999986</v>
      </c>
      <c r="N130" s="155">
        <v>9980.010000000002</v>
      </c>
      <c r="O130" s="155">
        <v>8364.9700000000012</v>
      </c>
      <c r="P130" s="204">
        <f t="shared" si="20"/>
        <v>70913.489999999991</v>
      </c>
      <c r="Q130" s="204">
        <f t="shared" si="21"/>
        <v>5909.4574999999995</v>
      </c>
    </row>
    <row r="131" spans="2:17" ht="15" x14ac:dyDescent="0.25">
      <c r="B131" s="200" t="s">
        <v>726</v>
      </c>
      <c r="C131" s="199" t="s">
        <v>1169</v>
      </c>
      <c r="D131" s="155">
        <v>96675.31</v>
      </c>
      <c r="E131" s="155">
        <v>96661.4</v>
      </c>
      <c r="F131" s="155">
        <v>96615.010000000009</v>
      </c>
      <c r="G131" s="155">
        <v>96841.32</v>
      </c>
      <c r="H131" s="155">
        <v>97372.04</v>
      </c>
      <c r="I131" s="155">
        <v>97110.01999999999</v>
      </c>
      <c r="J131" s="155">
        <v>98097.810000000012</v>
      </c>
      <c r="K131" s="155">
        <v>98111.549999999988</v>
      </c>
      <c r="L131" s="155">
        <v>97788.739999999991</v>
      </c>
      <c r="M131" s="155">
        <v>101901.07</v>
      </c>
      <c r="N131" s="155">
        <v>101638.85999999999</v>
      </c>
      <c r="O131" s="155">
        <v>101258.37000000002</v>
      </c>
      <c r="P131" s="204">
        <f t="shared" si="20"/>
        <v>1180071.5</v>
      </c>
      <c r="Q131" s="204">
        <f t="shared" si="21"/>
        <v>98339.291666666672</v>
      </c>
    </row>
    <row r="132" spans="2:17" ht="15" x14ac:dyDescent="0.25">
      <c r="D132" s="155">
        <f t="shared" ref="D132:O132" si="22">D66+D88+D110</f>
        <v>0</v>
      </c>
      <c r="E132" s="155">
        <f t="shared" si="22"/>
        <v>0</v>
      </c>
      <c r="F132" s="155">
        <f t="shared" si="22"/>
        <v>0</v>
      </c>
      <c r="G132" s="155">
        <f t="shared" si="22"/>
        <v>0</v>
      </c>
      <c r="H132" s="155">
        <f t="shared" si="22"/>
        <v>0</v>
      </c>
      <c r="I132" s="155">
        <f t="shared" si="22"/>
        <v>0</v>
      </c>
      <c r="J132" s="155">
        <f t="shared" si="22"/>
        <v>0</v>
      </c>
      <c r="K132" s="155">
        <f t="shared" si="22"/>
        <v>0</v>
      </c>
      <c r="L132" s="155">
        <f t="shared" si="22"/>
        <v>0</v>
      </c>
      <c r="M132" s="155">
        <f t="shared" si="22"/>
        <v>0</v>
      </c>
      <c r="N132" s="155">
        <f t="shared" si="22"/>
        <v>0</v>
      </c>
      <c r="O132" s="155">
        <f t="shared" si="22"/>
        <v>0</v>
      </c>
      <c r="P132" s="204">
        <f t="shared" si="20"/>
        <v>0</v>
      </c>
      <c r="Q132" s="204">
        <f t="shared" si="21"/>
        <v>0</v>
      </c>
    </row>
    <row r="133" spans="2:17" ht="15" x14ac:dyDescent="0.25">
      <c r="B133" s="206" t="s">
        <v>831</v>
      </c>
      <c r="C133" s="207"/>
      <c r="D133" s="208">
        <f t="shared" ref="D133:P133" si="23">SUM(D116:D132)</f>
        <v>5913191.2799999993</v>
      </c>
      <c r="E133" s="208">
        <f t="shared" si="23"/>
        <v>5714009.790000001</v>
      </c>
      <c r="F133" s="208">
        <f t="shared" si="23"/>
        <v>4667298.8899999997</v>
      </c>
      <c r="G133" s="208">
        <f t="shared" si="23"/>
        <v>4331879.0699999994</v>
      </c>
      <c r="H133" s="208">
        <f t="shared" si="23"/>
        <v>4345396.4799999995</v>
      </c>
      <c r="I133" s="208">
        <f t="shared" si="23"/>
        <v>4518465.59</v>
      </c>
      <c r="J133" s="208">
        <f t="shared" si="23"/>
        <v>5727490.2000000011</v>
      </c>
      <c r="K133" s="208">
        <f t="shared" si="23"/>
        <v>5450822.9199999999</v>
      </c>
      <c r="L133" s="208">
        <f t="shared" si="23"/>
        <v>5223024.55</v>
      </c>
      <c r="M133" s="208">
        <f t="shared" si="23"/>
        <v>4788968.8699999992</v>
      </c>
      <c r="N133" s="208">
        <f t="shared" si="23"/>
        <v>4677548.0999999996</v>
      </c>
      <c r="O133" s="208">
        <f t="shared" si="23"/>
        <v>5326692.17</v>
      </c>
      <c r="P133" s="208">
        <f t="shared" si="23"/>
        <v>60684787.910000004</v>
      </c>
      <c r="Q133" s="208">
        <f t="shared" si="21"/>
        <v>5057065.6591666667</v>
      </c>
    </row>
    <row r="134" spans="2:17" ht="15" x14ac:dyDescent="0.25">
      <c r="D134" s="211"/>
      <c r="E134" s="211"/>
      <c r="F134" s="211"/>
      <c r="G134" s="211"/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</row>
    <row r="135" spans="2:17" x14ac:dyDescent="0.2">
      <c r="B135" s="198" t="s">
        <v>1125</v>
      </c>
    </row>
    <row r="137" spans="2:17" x14ac:dyDescent="0.2">
      <c r="B137" s="201" t="s">
        <v>725</v>
      </c>
      <c r="C137" s="202" t="s">
        <v>838</v>
      </c>
      <c r="D137" s="203" t="s">
        <v>975</v>
      </c>
      <c r="E137" s="203" t="s">
        <v>976</v>
      </c>
      <c r="F137" s="203" t="s">
        <v>977</v>
      </c>
      <c r="G137" s="203" t="s">
        <v>978</v>
      </c>
      <c r="H137" s="203" t="s">
        <v>979</v>
      </c>
      <c r="I137" s="203" t="s">
        <v>980</v>
      </c>
      <c r="J137" s="203" t="s">
        <v>981</v>
      </c>
      <c r="K137" s="203" t="s">
        <v>982</v>
      </c>
      <c r="L137" s="203" t="s">
        <v>983</v>
      </c>
      <c r="M137" s="203" t="s">
        <v>984</v>
      </c>
      <c r="N137" s="203" t="s">
        <v>985</v>
      </c>
      <c r="O137" s="203" t="s">
        <v>986</v>
      </c>
      <c r="P137" s="203" t="s">
        <v>831</v>
      </c>
      <c r="Q137" s="203" t="s">
        <v>1122</v>
      </c>
    </row>
    <row r="138" spans="2:17" ht="15" x14ac:dyDescent="0.25">
      <c r="B138" s="200" t="s">
        <v>1103</v>
      </c>
      <c r="C138" s="199">
        <v>1</v>
      </c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204">
        <f>SUM(D138:O138)</f>
        <v>0</v>
      </c>
      <c r="Q138" s="204">
        <f>IF(P138=0,0,AVERAGE(D138:O138))</f>
        <v>0</v>
      </c>
    </row>
    <row r="139" spans="2:17" ht="15" x14ac:dyDescent="0.25">
      <c r="B139" s="200" t="s">
        <v>1104</v>
      </c>
      <c r="C139" s="199">
        <v>2</v>
      </c>
      <c r="D139" s="155"/>
      <c r="E139" s="155"/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204">
        <f t="shared" ref="P139:P154" si="24">SUM(D139:O139)</f>
        <v>0</v>
      </c>
      <c r="Q139" s="204">
        <f t="shared" ref="Q139:Q155" si="25">IF(P139=0,0,AVERAGE(D139:O139))</f>
        <v>0</v>
      </c>
    </row>
    <row r="140" spans="2:17" ht="15" x14ac:dyDescent="0.25">
      <c r="B140" s="200" t="s">
        <v>1105</v>
      </c>
      <c r="C140" s="199">
        <v>3</v>
      </c>
      <c r="D140" s="155"/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204">
        <f t="shared" si="24"/>
        <v>0</v>
      </c>
      <c r="Q140" s="204">
        <f t="shared" si="25"/>
        <v>0</v>
      </c>
    </row>
    <row r="141" spans="2:17" ht="15" x14ac:dyDescent="0.25">
      <c r="B141" s="200" t="s">
        <v>1106</v>
      </c>
      <c r="C141" s="199">
        <v>4</v>
      </c>
      <c r="D141" s="155">
        <v>0</v>
      </c>
      <c r="E141" s="155">
        <v>0</v>
      </c>
      <c r="F141" s="155">
        <v>0</v>
      </c>
      <c r="G141" s="155">
        <v>0</v>
      </c>
      <c r="H141" s="155">
        <v>0</v>
      </c>
      <c r="I141" s="155">
        <v>0</v>
      </c>
      <c r="J141" s="155">
        <v>0</v>
      </c>
      <c r="K141" s="155">
        <v>0</v>
      </c>
      <c r="L141" s="155">
        <v>0</v>
      </c>
      <c r="M141" s="155">
        <v>0</v>
      </c>
      <c r="N141" s="155">
        <v>0</v>
      </c>
      <c r="O141" s="155">
        <v>0</v>
      </c>
      <c r="P141" s="204">
        <f t="shared" si="24"/>
        <v>0</v>
      </c>
      <c r="Q141" s="204">
        <f t="shared" si="25"/>
        <v>0</v>
      </c>
    </row>
    <row r="142" spans="2:17" ht="15" x14ac:dyDescent="0.25">
      <c r="B142" s="200" t="s">
        <v>1107</v>
      </c>
      <c r="C142" s="199">
        <v>5</v>
      </c>
      <c r="D142" s="155">
        <v>14947.81</v>
      </c>
      <c r="E142" s="155">
        <v>14302.87</v>
      </c>
      <c r="F142" s="155">
        <v>15706.29</v>
      </c>
      <c r="G142" s="155">
        <v>15325.43</v>
      </c>
      <c r="H142" s="155">
        <v>15621.16</v>
      </c>
      <c r="I142" s="155">
        <v>15471.14</v>
      </c>
      <c r="J142" s="155">
        <v>14273.4</v>
      </c>
      <c r="K142" s="155">
        <v>13518.83</v>
      </c>
      <c r="L142" s="155">
        <v>14014.08</v>
      </c>
      <c r="M142" s="155">
        <v>13360.22</v>
      </c>
      <c r="N142" s="155">
        <v>15015.78</v>
      </c>
      <c r="O142" s="155">
        <v>15195.71</v>
      </c>
      <c r="P142" s="204">
        <f t="shared" si="24"/>
        <v>176752.71999999997</v>
      </c>
      <c r="Q142" s="204">
        <f t="shared" si="25"/>
        <v>14729.393333333332</v>
      </c>
    </row>
    <row r="143" spans="2:17" ht="15" x14ac:dyDescent="0.25">
      <c r="B143" s="200" t="s">
        <v>1108</v>
      </c>
      <c r="C143" s="199">
        <v>7</v>
      </c>
      <c r="D143" s="155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204">
        <f t="shared" si="24"/>
        <v>0</v>
      </c>
      <c r="Q143" s="204">
        <f t="shared" si="25"/>
        <v>0</v>
      </c>
    </row>
    <row r="144" spans="2:17" ht="15" x14ac:dyDescent="0.25">
      <c r="B144" s="200" t="s">
        <v>1109</v>
      </c>
      <c r="C144" s="199">
        <v>8</v>
      </c>
      <c r="D144" s="155"/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204">
        <f t="shared" si="24"/>
        <v>0</v>
      </c>
      <c r="Q144" s="204">
        <f t="shared" si="25"/>
        <v>0</v>
      </c>
    </row>
    <row r="145" spans="2:17" ht="15" x14ac:dyDescent="0.25">
      <c r="B145" s="200" t="s">
        <v>1110</v>
      </c>
      <c r="C145" s="199">
        <v>9</v>
      </c>
      <c r="D145" s="155">
        <v>4741.8</v>
      </c>
      <c r="E145" s="155">
        <v>5128.2</v>
      </c>
      <c r="F145" s="155">
        <v>4933.2</v>
      </c>
      <c r="G145" s="155">
        <v>5106</v>
      </c>
      <c r="H145" s="155">
        <v>4950</v>
      </c>
      <c r="I145" s="155">
        <v>4809</v>
      </c>
      <c r="J145" s="155">
        <v>5113.2</v>
      </c>
      <c r="K145" s="155">
        <v>5283</v>
      </c>
      <c r="L145" s="155">
        <v>5171.3999999999996</v>
      </c>
      <c r="M145" s="155">
        <v>4926.6000000000004</v>
      </c>
      <c r="N145" s="155">
        <v>4817.3999999999996</v>
      </c>
      <c r="O145" s="155">
        <v>4927.8</v>
      </c>
      <c r="P145" s="204">
        <f t="shared" si="24"/>
        <v>59907.600000000006</v>
      </c>
      <c r="Q145" s="204">
        <f t="shared" si="25"/>
        <v>4992.3</v>
      </c>
    </row>
    <row r="146" spans="2:17" ht="15" x14ac:dyDescent="0.25">
      <c r="B146" s="200" t="s">
        <v>1111</v>
      </c>
      <c r="C146" s="199">
        <v>10</v>
      </c>
      <c r="D146" s="155">
        <v>5392.8</v>
      </c>
      <c r="E146" s="155">
        <v>5392.8</v>
      </c>
      <c r="F146" s="155">
        <v>5392.8</v>
      </c>
      <c r="G146" s="155">
        <v>5392.8</v>
      </c>
      <c r="H146" s="155">
        <v>5392.8</v>
      </c>
      <c r="I146" s="155">
        <v>5292</v>
      </c>
      <c r="J146" s="155">
        <v>5292</v>
      </c>
      <c r="K146" s="155">
        <v>5292</v>
      </c>
      <c r="L146" s="155">
        <v>5572.8</v>
      </c>
      <c r="M146" s="155">
        <v>5572.8</v>
      </c>
      <c r="N146" s="155">
        <v>5572.8</v>
      </c>
      <c r="O146" s="155">
        <v>5572.8</v>
      </c>
      <c r="P146" s="204">
        <f t="shared" si="24"/>
        <v>65131.200000000012</v>
      </c>
      <c r="Q146" s="204">
        <f t="shared" si="25"/>
        <v>5427.6000000000013</v>
      </c>
    </row>
    <row r="147" spans="2:17" ht="15" x14ac:dyDescent="0.25">
      <c r="B147" s="200" t="s">
        <v>1112</v>
      </c>
      <c r="C147" s="199">
        <v>14</v>
      </c>
      <c r="D147" s="155">
        <v>1287.5999999999999</v>
      </c>
      <c r="E147" s="155">
        <v>1358.4</v>
      </c>
      <c r="F147" s="155">
        <v>1358.4</v>
      </c>
      <c r="G147" s="155">
        <v>1358.4</v>
      </c>
      <c r="H147" s="155">
        <v>1358.4</v>
      </c>
      <c r="I147" s="155">
        <v>1358.4</v>
      </c>
      <c r="J147" s="155">
        <v>1358.4</v>
      </c>
      <c r="K147" s="155">
        <v>1358.4</v>
      </c>
      <c r="L147" s="155">
        <v>1358.4</v>
      </c>
      <c r="M147" s="155">
        <v>1358.4</v>
      </c>
      <c r="N147" s="155">
        <v>1358.4</v>
      </c>
      <c r="O147" s="155">
        <v>1358.4</v>
      </c>
      <c r="P147" s="204">
        <f t="shared" si="24"/>
        <v>16229.999999999998</v>
      </c>
      <c r="Q147" s="204">
        <f t="shared" si="25"/>
        <v>1352.4999999999998</v>
      </c>
    </row>
    <row r="148" spans="2:17" ht="15" x14ac:dyDescent="0.25">
      <c r="B148" s="200" t="s">
        <v>1113</v>
      </c>
      <c r="C148" s="199">
        <v>15</v>
      </c>
      <c r="D148" s="155">
        <v>637.79999999999995</v>
      </c>
      <c r="E148" s="155">
        <v>654.79999999999995</v>
      </c>
      <c r="F148" s="155">
        <v>646.4</v>
      </c>
      <c r="G148" s="155">
        <v>638.6</v>
      </c>
      <c r="H148" s="155">
        <v>529.20000000000005</v>
      </c>
      <c r="I148" s="155">
        <v>430.6</v>
      </c>
      <c r="J148" s="155">
        <v>21.4</v>
      </c>
      <c r="K148" s="155">
        <v>47</v>
      </c>
      <c r="L148" s="155">
        <v>23.6</v>
      </c>
      <c r="M148" s="155">
        <v>42</v>
      </c>
      <c r="N148" s="155">
        <v>560.4</v>
      </c>
      <c r="O148" s="155">
        <v>534.4</v>
      </c>
      <c r="P148" s="204">
        <f t="shared" si="24"/>
        <v>4766.2</v>
      </c>
      <c r="Q148" s="204">
        <f t="shared" si="25"/>
        <v>397.18333333333334</v>
      </c>
    </row>
    <row r="149" spans="2:17" ht="15" x14ac:dyDescent="0.25">
      <c r="B149" s="200" t="s">
        <v>1114</v>
      </c>
      <c r="C149" s="199">
        <v>20</v>
      </c>
      <c r="D149" s="155"/>
      <c r="E149" s="155"/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204">
        <f t="shared" si="24"/>
        <v>0</v>
      </c>
      <c r="Q149" s="204">
        <f t="shared" si="25"/>
        <v>0</v>
      </c>
    </row>
    <row r="150" spans="2:17" ht="15" x14ac:dyDescent="0.25">
      <c r="B150" s="200" t="s">
        <v>1115</v>
      </c>
      <c r="C150" s="199">
        <v>24</v>
      </c>
      <c r="D150" s="212">
        <v>0</v>
      </c>
      <c r="E150" s="212">
        <v>0</v>
      </c>
      <c r="F150" s="212">
        <v>0</v>
      </c>
      <c r="G150" s="212">
        <v>0</v>
      </c>
      <c r="H150" s="212">
        <v>0</v>
      </c>
      <c r="I150" s="212">
        <v>3155.04</v>
      </c>
      <c r="J150" s="212">
        <v>3216.96</v>
      </c>
      <c r="K150" s="212">
        <v>3268.8</v>
      </c>
      <c r="L150" s="212">
        <v>3359.52</v>
      </c>
      <c r="M150" s="212">
        <v>3296.16</v>
      </c>
      <c r="N150" s="212">
        <v>2760.48</v>
      </c>
      <c r="O150" s="212">
        <v>2571.84</v>
      </c>
      <c r="P150" s="204">
        <f t="shared" si="24"/>
        <v>21628.799999999999</v>
      </c>
      <c r="Q150" s="204">
        <f t="shared" si="25"/>
        <v>1802.3999999999999</v>
      </c>
    </row>
    <row r="151" spans="2:17" ht="15" x14ac:dyDescent="0.25">
      <c r="B151" s="200" t="s">
        <v>1116</v>
      </c>
      <c r="C151" s="199">
        <v>36</v>
      </c>
      <c r="D151" s="212">
        <v>3522.4</v>
      </c>
      <c r="E151" s="212">
        <v>3328.8</v>
      </c>
      <c r="F151" s="212">
        <v>3176.2</v>
      </c>
      <c r="G151" s="212">
        <v>3243.6</v>
      </c>
      <c r="H151" s="212">
        <v>3117.4</v>
      </c>
      <c r="I151" s="212">
        <v>0</v>
      </c>
      <c r="J151" s="212">
        <v>0</v>
      </c>
      <c r="K151" s="212">
        <v>0</v>
      </c>
      <c r="L151" s="212">
        <v>0</v>
      </c>
      <c r="M151" s="212">
        <v>0</v>
      </c>
      <c r="N151" s="212">
        <v>0</v>
      </c>
      <c r="O151" s="212">
        <v>0</v>
      </c>
      <c r="P151" s="204">
        <f t="shared" si="24"/>
        <v>16388.400000000001</v>
      </c>
      <c r="Q151" s="204">
        <f t="shared" si="25"/>
        <v>1365.7</v>
      </c>
    </row>
    <row r="152" spans="2:17" ht="15" x14ac:dyDescent="0.25">
      <c r="B152" s="200" t="s">
        <v>1117</v>
      </c>
      <c r="C152" s="199">
        <v>50</v>
      </c>
      <c r="D152" s="155"/>
      <c r="E152" s="155"/>
      <c r="F152" s="155"/>
      <c r="G152" s="155"/>
      <c r="H152" s="155"/>
      <c r="I152" s="155"/>
      <c r="J152" s="155"/>
      <c r="K152" s="155"/>
      <c r="L152" s="155"/>
      <c r="M152" s="155"/>
      <c r="N152" s="155"/>
      <c r="O152" s="155"/>
      <c r="P152" s="204">
        <f t="shared" si="24"/>
        <v>0</v>
      </c>
      <c r="Q152" s="204">
        <f t="shared" si="25"/>
        <v>0</v>
      </c>
    </row>
    <row r="153" spans="2:17" ht="15" x14ac:dyDescent="0.25">
      <c r="B153" s="200" t="s">
        <v>726</v>
      </c>
      <c r="C153" s="199" t="s">
        <v>1169</v>
      </c>
      <c r="D153" s="155"/>
      <c r="E153" s="155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204">
        <f t="shared" si="24"/>
        <v>0</v>
      </c>
      <c r="Q153" s="204">
        <f t="shared" si="25"/>
        <v>0</v>
      </c>
    </row>
    <row r="154" spans="2:17" ht="15" x14ac:dyDescent="0.25">
      <c r="D154" s="155"/>
      <c r="E154" s="155"/>
      <c r="F154" s="155"/>
      <c r="G154" s="155"/>
      <c r="H154" s="155"/>
      <c r="I154" s="155"/>
      <c r="J154" s="155"/>
      <c r="K154" s="155"/>
      <c r="L154" s="155"/>
      <c r="M154" s="155"/>
      <c r="N154" s="155"/>
      <c r="O154" s="155"/>
      <c r="P154" s="204">
        <f t="shared" si="24"/>
        <v>0</v>
      </c>
      <c r="Q154" s="204">
        <f t="shared" si="25"/>
        <v>0</v>
      </c>
    </row>
    <row r="155" spans="2:17" ht="15" x14ac:dyDescent="0.25">
      <c r="B155" s="206" t="s">
        <v>831</v>
      </c>
      <c r="C155" s="207"/>
      <c r="D155" s="208">
        <f t="shared" ref="D155:P155" si="26">SUM(D138:D154)</f>
        <v>30530.21</v>
      </c>
      <c r="E155" s="208">
        <f t="shared" si="26"/>
        <v>30165.87</v>
      </c>
      <c r="F155" s="208">
        <f t="shared" si="26"/>
        <v>31213.290000000005</v>
      </c>
      <c r="G155" s="208">
        <f t="shared" si="26"/>
        <v>31064.829999999998</v>
      </c>
      <c r="H155" s="208">
        <f t="shared" si="26"/>
        <v>30968.960000000003</v>
      </c>
      <c r="I155" s="208">
        <f t="shared" si="26"/>
        <v>30516.18</v>
      </c>
      <c r="J155" s="208">
        <f t="shared" si="26"/>
        <v>29275.360000000001</v>
      </c>
      <c r="K155" s="208">
        <f t="shared" si="26"/>
        <v>28768.030000000002</v>
      </c>
      <c r="L155" s="208">
        <f t="shared" si="26"/>
        <v>29499.8</v>
      </c>
      <c r="M155" s="208">
        <f t="shared" si="26"/>
        <v>28556.18</v>
      </c>
      <c r="N155" s="208">
        <f t="shared" si="26"/>
        <v>30085.260000000002</v>
      </c>
      <c r="O155" s="208">
        <f t="shared" si="26"/>
        <v>30160.95</v>
      </c>
      <c r="P155" s="208">
        <f t="shared" si="26"/>
        <v>360804.92000000004</v>
      </c>
      <c r="Q155" s="208">
        <f t="shared" si="25"/>
        <v>30067.076666666671</v>
      </c>
    </row>
    <row r="156" spans="2:17" x14ac:dyDescent="0.2">
      <c r="D156" s="209">
        <v>0</v>
      </c>
      <c r="E156" s="209">
        <v>0</v>
      </c>
      <c r="F156" s="209">
        <v>0</v>
      </c>
      <c r="G156" s="209">
        <v>0</v>
      </c>
      <c r="H156" s="209">
        <v>0</v>
      </c>
      <c r="I156" s="209">
        <v>0</v>
      </c>
      <c r="J156" s="209">
        <v>0</v>
      </c>
      <c r="K156" s="209">
        <v>0</v>
      </c>
      <c r="L156" s="209">
        <v>0</v>
      </c>
      <c r="M156" s="209">
        <v>0</v>
      </c>
      <c r="N156" s="209">
        <v>0</v>
      </c>
      <c r="O156" s="209">
        <v>0</v>
      </c>
      <c r="P156" s="209">
        <v>360804.92000000004</v>
      </c>
      <c r="Q156" s="209"/>
    </row>
    <row r="157" spans="2:17" x14ac:dyDescent="0.2">
      <c r="B157" s="198"/>
      <c r="D157" s="209">
        <f>D155-D156</f>
        <v>30530.21</v>
      </c>
      <c r="E157" s="209">
        <f t="shared" ref="E157:P157" si="27">E155-E156</f>
        <v>30165.87</v>
      </c>
      <c r="F157" s="209">
        <f t="shared" si="27"/>
        <v>31213.290000000005</v>
      </c>
      <c r="G157" s="209">
        <f t="shared" si="27"/>
        <v>31064.829999999998</v>
      </c>
      <c r="H157" s="209">
        <f t="shared" si="27"/>
        <v>30968.960000000003</v>
      </c>
      <c r="I157" s="209">
        <f t="shared" si="27"/>
        <v>30516.18</v>
      </c>
      <c r="J157" s="209">
        <f t="shared" si="27"/>
        <v>29275.360000000001</v>
      </c>
      <c r="K157" s="209">
        <f t="shared" si="27"/>
        <v>28768.030000000002</v>
      </c>
      <c r="L157" s="209">
        <f t="shared" si="27"/>
        <v>29499.8</v>
      </c>
      <c r="M157" s="209">
        <f t="shared" si="27"/>
        <v>28556.18</v>
      </c>
      <c r="N157" s="209">
        <f t="shared" si="27"/>
        <v>30085.260000000002</v>
      </c>
      <c r="O157" s="209">
        <f t="shared" si="27"/>
        <v>30160.95</v>
      </c>
      <c r="P157" s="209">
        <f t="shared" si="27"/>
        <v>0</v>
      </c>
    </row>
    <row r="159" spans="2:17" x14ac:dyDescent="0.2">
      <c r="B159" s="198"/>
    </row>
  </sheetData>
  <conditionalFormatting sqref="S6:S22">
    <cfRule type="cellIs" dxfId="0" priority="1" operator="greaterThan">
      <formula>0</formula>
    </cfRule>
  </conditionalFormatting>
  <pageMargins left="0.7" right="0.7" top="0.75" bottom="0.75" header="0.3" footer="0.3"/>
  <ignoredErrors>
    <ignoredError sqref="Q28:Q44 P28:P44 P12:P27 P45:P199 Q50:Q15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Summary of Returns</vt:lpstr>
      <vt:lpstr>Summary of Rates</vt:lpstr>
      <vt:lpstr>Func &amp; Classif</vt:lpstr>
      <vt:lpstr>Alloc &amp; Returns</vt:lpstr>
      <vt:lpstr>Billing Det</vt:lpstr>
      <vt:lpstr>Purchased Power</vt:lpstr>
      <vt:lpstr>Meters</vt:lpstr>
      <vt:lpstr>Services</vt:lpstr>
      <vt:lpstr>ZeroInt</vt:lpstr>
      <vt:lpstr>BillingDat</vt:lpstr>
      <vt:lpstr>'Alloc &amp; Returns'!Print_Area</vt:lpstr>
      <vt:lpstr>'Billing Det'!Print_Area</vt:lpstr>
      <vt:lpstr>'Func &amp; Classif'!Print_Area</vt:lpstr>
      <vt:lpstr>Meters!Print_Area</vt:lpstr>
      <vt:lpstr>'Purchased Power'!Print_Area</vt:lpstr>
      <vt:lpstr>Services!Print_Area</vt:lpstr>
      <vt:lpstr>'Summary of Rates'!Print_Area</vt:lpstr>
      <vt:lpstr>'Summary of Returns'!Print_Area</vt:lpstr>
      <vt:lpstr>ZeroInt!Print_Area</vt:lpstr>
      <vt:lpstr>'Alloc &amp; Returns'!Print_Titles</vt:lpstr>
      <vt:lpstr>'Billing Det'!Print_Titles</vt:lpstr>
      <vt:lpstr>'Func &amp; Classif'!Print_Titles</vt:lpstr>
      <vt:lpstr>ZeroInt!Print_Titles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 Wolfram</cp:lastModifiedBy>
  <cp:lastPrinted>2025-04-29T14:34:06Z</cp:lastPrinted>
  <dcterms:created xsi:type="dcterms:W3CDTF">1999-02-10T22:20:33Z</dcterms:created>
  <dcterms:modified xsi:type="dcterms:W3CDTF">2025-04-29T14:34:06Z</dcterms:modified>
</cp:coreProperties>
</file>