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se No 2025-00107 FULL RATE CASE\AG First Data Request\"/>
    </mc:Choice>
  </mc:AlternateContent>
  <xr:revisionPtr revIDLastSave="0" documentId="13_ncr:1_{8E0FD02D-ADC6-43FF-BD98-111A759AA398}" xr6:coauthVersionLast="36" xr6:coauthVersionMax="36" xr10:uidLastSave="{00000000-0000-0000-0000-000000000000}"/>
  <bookViews>
    <workbookView xWindow="0" yWindow="0" windowWidth="15360" windowHeight="7695" xr2:uid="{F993A0A2-84AE-4D3F-9468-A5A80EB8F607}"/>
  </bookViews>
  <sheets>
    <sheet name="2022" sheetId="9" r:id="rId1"/>
    <sheet name="2023" sheetId="1" r:id="rId2"/>
    <sheet name="2024" sheetId="16" r:id="rId3"/>
    <sheet name="2025" sheetId="1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7" l="1"/>
  <c r="G12" i="17"/>
  <c r="G11" i="17"/>
  <c r="G10" i="17"/>
  <c r="G9" i="17"/>
  <c r="G8" i="17"/>
  <c r="F12" i="17" l="1"/>
  <c r="F11" i="17"/>
  <c r="F10" i="17"/>
  <c r="F9" i="17"/>
  <c r="F8" i="17"/>
  <c r="C33" i="1" l="1"/>
  <c r="C16" i="16"/>
  <c r="E12" i="17" l="1"/>
  <c r="E11" i="17"/>
  <c r="E10" i="17"/>
  <c r="E9" i="17"/>
  <c r="E8" i="17"/>
  <c r="D12" i="17" l="1"/>
  <c r="D11" i="17"/>
  <c r="D10" i="17"/>
  <c r="D9" i="17"/>
  <c r="D8" i="17"/>
  <c r="C12" i="17" l="1"/>
  <c r="C10" i="17"/>
  <c r="C11" i="17"/>
  <c r="C9" i="17"/>
  <c r="C8" i="17"/>
  <c r="O31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O28" i="17"/>
  <c r="O27" i="17"/>
  <c r="O26" i="17"/>
  <c r="O24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O21" i="17"/>
  <c r="O20" i="17"/>
  <c r="O17" i="17"/>
  <c r="M16" i="17"/>
  <c r="I16" i="17"/>
  <c r="H16" i="17"/>
  <c r="F16" i="17"/>
  <c r="E16" i="17"/>
  <c r="D16" i="17"/>
  <c r="O14" i="17"/>
  <c r="O13" i="17"/>
  <c r="O12" i="17"/>
  <c r="O11" i="17"/>
  <c r="O10" i="17"/>
  <c r="J16" i="17"/>
  <c r="J33" i="17" s="1"/>
  <c r="C16" i="17"/>
  <c r="N16" i="17"/>
  <c r="N33" i="17" s="1"/>
  <c r="L16" i="17"/>
  <c r="K16" i="17"/>
  <c r="K33" i="17" s="1"/>
  <c r="G16" i="17"/>
  <c r="G33" i="17" s="1"/>
  <c r="O8" i="17"/>
  <c r="F33" i="17" l="1"/>
  <c r="O30" i="17"/>
  <c r="L33" i="17"/>
  <c r="H33" i="17"/>
  <c r="D33" i="17"/>
  <c r="I33" i="17"/>
  <c r="E33" i="17"/>
  <c r="M33" i="17"/>
  <c r="O23" i="17"/>
  <c r="O16" i="17"/>
  <c r="C33" i="17"/>
  <c r="O9" i="17"/>
  <c r="N17" i="16"/>
  <c r="N12" i="16"/>
  <c r="N11" i="16"/>
  <c r="N10" i="16"/>
  <c r="N9" i="16"/>
  <c r="N8" i="16"/>
  <c r="O33" i="17" l="1"/>
  <c r="M12" i="16"/>
  <c r="M11" i="16"/>
  <c r="M10" i="16"/>
  <c r="M9" i="16"/>
  <c r="M8" i="16"/>
  <c r="L12" i="16" l="1"/>
  <c r="L11" i="16"/>
  <c r="L10" i="16"/>
  <c r="L9" i="16"/>
  <c r="L8" i="16"/>
  <c r="K12" i="16" l="1"/>
  <c r="K11" i="16"/>
  <c r="K10" i="16"/>
  <c r="K9" i="16"/>
  <c r="K8" i="16"/>
  <c r="J12" i="16" l="1"/>
  <c r="J11" i="16"/>
  <c r="J9" i="16"/>
  <c r="I12" i="16" l="1"/>
  <c r="I10" i="16"/>
  <c r="I8" i="16"/>
  <c r="H17" i="16" l="1"/>
  <c r="H12" i="16"/>
  <c r="H11" i="16"/>
  <c r="H10" i="16"/>
  <c r="H9" i="16"/>
  <c r="H8" i="16"/>
  <c r="G12" i="16" l="1"/>
  <c r="G11" i="16"/>
  <c r="G10" i="16"/>
  <c r="G9" i="16"/>
  <c r="G8" i="16"/>
  <c r="F12" i="16" l="1"/>
  <c r="F11" i="16"/>
  <c r="F10" i="16"/>
  <c r="F9" i="16"/>
  <c r="F8" i="16"/>
  <c r="E12" i="16" l="1"/>
  <c r="E11" i="16"/>
  <c r="E10" i="16"/>
  <c r="E9" i="16"/>
  <c r="E8" i="16"/>
  <c r="D12" i="16" l="1"/>
  <c r="D11" i="16"/>
  <c r="D10" i="16"/>
  <c r="D9" i="16"/>
  <c r="D8" i="16"/>
  <c r="N33" i="1"/>
  <c r="C12" i="16" l="1"/>
  <c r="C11" i="16"/>
  <c r="C10" i="16"/>
  <c r="C9" i="16"/>
  <c r="O31" i="16"/>
  <c r="N30" i="16"/>
  <c r="M30" i="16"/>
  <c r="L30" i="16"/>
  <c r="K30" i="16"/>
  <c r="J30" i="16"/>
  <c r="I30" i="16"/>
  <c r="H30" i="16"/>
  <c r="G30" i="16"/>
  <c r="F30" i="16"/>
  <c r="E30" i="16"/>
  <c r="D30" i="16"/>
  <c r="C30" i="16"/>
  <c r="O28" i="16"/>
  <c r="O27" i="16"/>
  <c r="O26" i="16"/>
  <c r="O24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O21" i="16"/>
  <c r="O20" i="16"/>
  <c r="O17" i="16"/>
  <c r="K16" i="16"/>
  <c r="K33" i="16" s="1"/>
  <c r="J16" i="16"/>
  <c r="H16" i="16"/>
  <c r="G16" i="16"/>
  <c r="G33" i="16" s="1"/>
  <c r="F16" i="16"/>
  <c r="E16" i="16"/>
  <c r="D16" i="16"/>
  <c r="O14" i="16"/>
  <c r="O13" i="16"/>
  <c r="O12" i="16"/>
  <c r="O11" i="16"/>
  <c r="O10" i="16"/>
  <c r="O9" i="16"/>
  <c r="N16" i="16"/>
  <c r="M16" i="16"/>
  <c r="L16" i="16"/>
  <c r="I16" i="16"/>
  <c r="N14" i="1"/>
  <c r="N12" i="1"/>
  <c r="N11" i="1"/>
  <c r="N10" i="1"/>
  <c r="N9" i="1"/>
  <c r="N8" i="1"/>
  <c r="N17" i="1"/>
  <c r="M12" i="1"/>
  <c r="M11" i="1"/>
  <c r="M10" i="1"/>
  <c r="M9" i="1"/>
  <c r="M8" i="1"/>
  <c r="L12" i="1"/>
  <c r="L11" i="1"/>
  <c r="L10" i="1"/>
  <c r="L9" i="1"/>
  <c r="L8" i="1"/>
  <c r="L17" i="1"/>
  <c r="K17" i="1"/>
  <c r="K13" i="1"/>
  <c r="K12" i="1"/>
  <c r="K11" i="1"/>
  <c r="K10" i="1"/>
  <c r="K9" i="1"/>
  <c r="K8" i="1"/>
  <c r="I17" i="1"/>
  <c r="I14" i="1"/>
  <c r="I13" i="1"/>
  <c r="I12" i="1"/>
  <c r="I11" i="1"/>
  <c r="I10" i="1"/>
  <c r="I9" i="1"/>
  <c r="I8" i="1"/>
  <c r="C33" i="16" l="1"/>
  <c r="D33" i="16"/>
  <c r="J33" i="16"/>
  <c r="F33" i="16"/>
  <c r="H33" i="16"/>
  <c r="L33" i="16"/>
  <c r="N33" i="16"/>
  <c r="O30" i="16"/>
  <c r="E33" i="16"/>
  <c r="O23" i="16"/>
  <c r="I33" i="16"/>
  <c r="M33" i="16"/>
  <c r="O16" i="16"/>
  <c r="O8" i="16"/>
  <c r="O31" i="1"/>
  <c r="O24" i="1"/>
  <c r="O17" i="1"/>
  <c r="O33" i="16" l="1"/>
  <c r="N30" i="9" l="1"/>
  <c r="M30" i="9"/>
  <c r="L30" i="9"/>
  <c r="K30" i="9"/>
  <c r="J30" i="9"/>
  <c r="I30" i="9"/>
  <c r="H30" i="9"/>
  <c r="G30" i="9"/>
  <c r="F30" i="9"/>
  <c r="E30" i="9"/>
  <c r="D30" i="9"/>
  <c r="C30" i="9"/>
  <c r="O28" i="9"/>
  <c r="O27" i="9"/>
  <c r="O26" i="9"/>
  <c r="N23" i="9"/>
  <c r="M23" i="9"/>
  <c r="L23" i="9"/>
  <c r="K23" i="9"/>
  <c r="J23" i="9"/>
  <c r="I23" i="9"/>
  <c r="H23" i="9"/>
  <c r="G23" i="9"/>
  <c r="F23" i="9"/>
  <c r="E23" i="9"/>
  <c r="D23" i="9"/>
  <c r="C23" i="9"/>
  <c r="O21" i="9"/>
  <c r="O20" i="9"/>
  <c r="N16" i="9"/>
  <c r="M16" i="9"/>
  <c r="L16" i="9"/>
  <c r="K16" i="9"/>
  <c r="J16" i="9"/>
  <c r="H16" i="9"/>
  <c r="H33" i="9" s="1"/>
  <c r="D16" i="9"/>
  <c r="O14" i="9"/>
  <c r="O13" i="9"/>
  <c r="O12" i="9"/>
  <c r="O11" i="9"/>
  <c r="O10" i="9"/>
  <c r="O9" i="9"/>
  <c r="O8" i="9"/>
  <c r="I16" i="9"/>
  <c r="G16" i="9"/>
  <c r="F16" i="9"/>
  <c r="E16" i="9"/>
  <c r="C16" i="9"/>
  <c r="I16" i="1"/>
  <c r="F16" i="1"/>
  <c r="E30" i="1"/>
  <c r="O11" i="1"/>
  <c r="O20" i="1"/>
  <c r="O21" i="1"/>
  <c r="F23" i="1"/>
  <c r="G23" i="1"/>
  <c r="H23" i="1"/>
  <c r="I23" i="1"/>
  <c r="J23" i="1"/>
  <c r="K23" i="1"/>
  <c r="L23" i="1"/>
  <c r="M23" i="1"/>
  <c r="N23" i="1"/>
  <c r="C23" i="1"/>
  <c r="D23" i="1"/>
  <c r="E23" i="1"/>
  <c r="N30" i="1"/>
  <c r="M30" i="1"/>
  <c r="L30" i="1"/>
  <c r="K30" i="1"/>
  <c r="J30" i="1"/>
  <c r="I30" i="1"/>
  <c r="H30" i="1"/>
  <c r="G30" i="1"/>
  <c r="F30" i="1"/>
  <c r="D30" i="1"/>
  <c r="C30" i="1"/>
  <c r="O28" i="1"/>
  <c r="O27" i="1"/>
  <c r="O26" i="1"/>
  <c r="N16" i="1"/>
  <c r="M16" i="1"/>
  <c r="L16" i="1"/>
  <c r="K16" i="1"/>
  <c r="J16" i="1"/>
  <c r="H16" i="1"/>
  <c r="G16" i="1"/>
  <c r="D16" i="1"/>
  <c r="C16" i="1"/>
  <c r="O14" i="1"/>
  <c r="O13" i="1"/>
  <c r="O12" i="1"/>
  <c r="O10" i="1"/>
  <c r="O9" i="1"/>
  <c r="O8" i="1"/>
  <c r="M33" i="1" l="1"/>
  <c r="L33" i="1"/>
  <c r="K33" i="1"/>
  <c r="D33" i="9"/>
  <c r="L33" i="9"/>
  <c r="K33" i="9"/>
  <c r="M33" i="9"/>
  <c r="N33" i="9"/>
  <c r="I33" i="9"/>
  <c r="O30" i="9"/>
  <c r="E33" i="9"/>
  <c r="O23" i="9"/>
  <c r="F33" i="9"/>
  <c r="J33" i="9"/>
  <c r="G33" i="9"/>
  <c r="C33" i="9"/>
  <c r="O16" i="9"/>
  <c r="J33" i="1"/>
  <c r="I33" i="1"/>
  <c r="H33" i="1"/>
  <c r="O23" i="1"/>
  <c r="F33" i="1"/>
  <c r="G33" i="1"/>
  <c r="E16" i="1"/>
  <c r="O16" i="1" s="1"/>
  <c r="D33" i="1"/>
  <c r="O30" i="1"/>
  <c r="E33" i="1" l="1"/>
  <c r="O33" i="9"/>
  <c r="O33" i="1"/>
</calcChain>
</file>

<file path=xl/sharedStrings.xml><?xml version="1.0" encoding="utf-8"?>
<sst xmlns="http://schemas.openxmlformats.org/spreadsheetml/2006/main" count="148" uniqueCount="37">
  <si>
    <t>PAGE 1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</si>
  <si>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</si>
  <si>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</si>
  <si>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</si>
  <si>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</si>
  <si>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</si>
  <si>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</si>
  <si>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</si>
  <si>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</si>
  <si>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</si>
  <si>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</si>
  <si>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</si>
  <si>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</si>
  <si>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</si>
  <si>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CREDIT CARDS:</t>
  </si>
  <si>
    <t>VISA INTERCHANGE</t>
  </si>
  <si>
    <t>MASTERCARD INTERCHANGE</t>
  </si>
  <si>
    <t>VISA ASSESSMENTS</t>
  </si>
  <si>
    <t>MASTERCARD ASSESSMENTS</t>
  </si>
  <si>
    <t>NOVA FEES</t>
  </si>
  <si>
    <t>AMERICAN EXPRESS FEE</t>
  </si>
  <si>
    <t>DISCOVER FEE</t>
  </si>
  <si>
    <t>LOCKBOX:</t>
  </si>
  <si>
    <t>ONLINE BILL PYMT &amp; PROCESSING</t>
  </si>
  <si>
    <t>OBPPS RETURNS</t>
  </si>
  <si>
    <t>MONTHLY BASE FEE</t>
  </si>
  <si>
    <t>FARMERS RURAL ELECTRIC COOPERATIVE CORPORATION</t>
  </si>
  <si>
    <t>E-CHECKS:</t>
  </si>
  <si>
    <t>E-CHECK PAYMENTS</t>
  </si>
  <si>
    <t>E-CHECK RETURNED ITEMS</t>
  </si>
  <si>
    <t>YEAR - 2022</t>
  </si>
  <si>
    <t>TOTAL CREDIT CARD/E-CHECKS/LOCKBOX</t>
  </si>
  <si>
    <t>OAG REQUEST 26 - PAYMENT PROCESSING FEES</t>
  </si>
  <si>
    <t>CASE NO. 2025-00107</t>
  </si>
  <si>
    <t>YEAR - 2023</t>
  </si>
  <si>
    <t>YEAR - 2024</t>
  </si>
  <si>
    <t>YEAR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</si>
</sst>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6279-6D0D-4C46-82F1-2D8BAF6CAC66}">
  <sheetPr>
    <pageSetUpPr fitToPage="1"/>
  </sheetPr>
  <dimension ref="A1:P36"/>
  <sheetViews>
    <sheetView tabSelected="1" workbookViewId="0">
      <selection activeCell="A4" sqref="A4"/>
    </sheetView>
  </sheetViews>
  <sheetFormatPr defaultRowHeight="15" x14ac:dyDescent="0.25"/>
  <cols>
    <col min="1" max="1" width="15.7109375" customWidth="1"/>
    <col min="2" max="2" width="33.28515625" customWidth="1"/>
    <col min="3" max="14" width="10.5703125" bestFit="1" customWidth="1"/>
    <col min="15" max="15" width="11.5703125" bestFit="1" customWidth="1"/>
  </cols>
  <sheetData>
    <row r="1" spans="1:16" x14ac:dyDescent="0.25">
      <c r="A1" s="1" t="s">
        <v>26</v>
      </c>
      <c r="D1" s="2"/>
      <c r="E1" s="2"/>
      <c r="F1" s="2"/>
      <c r="O1" s="3" t="s">
        <v>0</v>
      </c>
    </row>
    <row r="2" spans="1:16" x14ac:dyDescent="0.25">
      <c r="A2" s="1" t="s">
        <v>33</v>
      </c>
      <c r="D2" s="2"/>
      <c r="E2" s="2"/>
      <c r="F2" s="2"/>
      <c r="G2" s="2"/>
    </row>
    <row r="3" spans="1:16" x14ac:dyDescent="0.25">
      <c r="A3" s="1" t="s">
        <v>32</v>
      </c>
      <c r="D3" s="2"/>
      <c r="E3" s="2"/>
      <c r="F3" s="2"/>
      <c r="G3" s="2"/>
    </row>
    <row r="4" spans="1:16" x14ac:dyDescent="0.25">
      <c r="A4" s="1" t="s">
        <v>30</v>
      </c>
      <c r="D4" s="2"/>
      <c r="E4" s="2"/>
      <c r="F4" s="2"/>
      <c r="G4" s="2"/>
    </row>
    <row r="6" spans="1:16" x14ac:dyDescent="0.25">
      <c r="A6" s="4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</row>
    <row r="7" spans="1:16" x14ac:dyDescent="0.25">
      <c r="A7" s="1" t="s">
        <v>14</v>
      </c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25">
      <c r="A8" s="1"/>
      <c r="B8" s="1" t="s">
        <v>15</v>
      </c>
      <c r="C8" s="7">
        <v>6033.7</v>
      </c>
      <c r="D8" s="7">
        <v>5630.14</v>
      </c>
      <c r="E8" s="7">
        <v>5606.06</v>
      </c>
      <c r="F8" s="7">
        <v>5044.5200000000004</v>
      </c>
      <c r="G8" s="7">
        <v>4964.92</v>
      </c>
      <c r="H8" s="7">
        <v>5368.86</v>
      </c>
      <c r="I8" s="7">
        <v>6054.44</v>
      </c>
      <c r="J8" s="7">
        <v>5945.01</v>
      </c>
      <c r="K8" s="7">
        <v>5634.79</v>
      </c>
      <c r="L8" s="7">
        <v>5655.7</v>
      </c>
      <c r="M8" s="7">
        <v>5840.45</v>
      </c>
      <c r="N8" s="7">
        <v>7373.37</v>
      </c>
      <c r="O8" s="7">
        <f>SUM(C8:N8)</f>
        <v>69151.960000000006</v>
      </c>
      <c r="P8" s="7"/>
    </row>
    <row r="9" spans="1:16" x14ac:dyDescent="0.25">
      <c r="A9" s="1"/>
      <c r="B9" s="1" t="s">
        <v>16</v>
      </c>
      <c r="C9" s="7">
        <v>2979.37</v>
      </c>
      <c r="D9" s="7">
        <v>2352.66</v>
      </c>
      <c r="E9" s="7">
        <v>2471.6</v>
      </c>
      <c r="F9" s="7">
        <v>2190.4899999999998</v>
      </c>
      <c r="G9" s="7">
        <v>2253.7800000000002</v>
      </c>
      <c r="H9" s="7">
        <v>2426.29</v>
      </c>
      <c r="I9" s="7">
        <v>3201.37</v>
      </c>
      <c r="J9" s="7">
        <v>3080.85</v>
      </c>
      <c r="K9" s="7">
        <v>2909.49</v>
      </c>
      <c r="L9" s="7">
        <v>2892.06</v>
      </c>
      <c r="M9" s="7">
        <v>3011.97</v>
      </c>
      <c r="N9" s="7">
        <v>3574.97</v>
      </c>
      <c r="O9" s="7">
        <f t="shared" ref="O9:O16" si="0">SUM(C9:N9)</f>
        <v>33344.899999999994</v>
      </c>
      <c r="P9" s="7"/>
    </row>
    <row r="10" spans="1:16" x14ac:dyDescent="0.25">
      <c r="A10" s="1"/>
      <c r="B10" s="1" t="s">
        <v>17</v>
      </c>
      <c r="C10" s="7">
        <v>2012.97</v>
      </c>
      <c r="D10" s="7">
        <v>2145.67</v>
      </c>
      <c r="E10" s="7">
        <v>2345.6999999999998</v>
      </c>
      <c r="F10" s="7">
        <v>1840.55</v>
      </c>
      <c r="G10" s="7">
        <v>1447.05</v>
      </c>
      <c r="H10" s="7">
        <v>1436.37</v>
      </c>
      <c r="I10" s="7">
        <v>2045.45</v>
      </c>
      <c r="J10" s="7">
        <v>2166.6999999999998</v>
      </c>
      <c r="K10" s="7">
        <v>1948.64</v>
      </c>
      <c r="L10" s="7">
        <v>1947.19</v>
      </c>
      <c r="M10" s="7">
        <v>1481.49</v>
      </c>
      <c r="N10" s="7">
        <v>2294.4899999999998</v>
      </c>
      <c r="O10" s="7">
        <f t="shared" si="0"/>
        <v>23112.269999999997</v>
      </c>
      <c r="P10" s="7"/>
    </row>
    <row r="11" spans="1:16" x14ac:dyDescent="0.25">
      <c r="A11" s="1"/>
      <c r="B11" s="1" t="s">
        <v>18</v>
      </c>
      <c r="C11" s="7">
        <v>760.67</v>
      </c>
      <c r="D11" s="7">
        <v>834.3</v>
      </c>
      <c r="E11" s="7">
        <v>909.81</v>
      </c>
      <c r="F11" s="7">
        <v>645.6</v>
      </c>
      <c r="G11" s="7">
        <v>613.83000000000004</v>
      </c>
      <c r="H11" s="7">
        <v>637.91999999999996</v>
      </c>
      <c r="I11" s="7">
        <v>780.19</v>
      </c>
      <c r="J11" s="7">
        <v>861.53</v>
      </c>
      <c r="K11" s="7">
        <v>783.57</v>
      </c>
      <c r="L11" s="7">
        <v>753.55</v>
      </c>
      <c r="M11" s="7">
        <v>676.85</v>
      </c>
      <c r="N11" s="7">
        <v>939.65</v>
      </c>
      <c r="O11" s="7">
        <f t="shared" si="0"/>
        <v>9197.4699999999993</v>
      </c>
      <c r="P11" s="7"/>
    </row>
    <row r="12" spans="1:16" x14ac:dyDescent="0.25">
      <c r="A12" s="1"/>
      <c r="B12" s="1" t="s">
        <v>19</v>
      </c>
      <c r="C12" s="7">
        <v>6837.67</v>
      </c>
      <c r="D12" s="7">
        <v>6412.02</v>
      </c>
      <c r="E12" s="7">
        <v>6484.49</v>
      </c>
      <c r="F12" s="7">
        <v>5713.98</v>
      </c>
      <c r="G12" s="7">
        <v>5617.95</v>
      </c>
      <c r="H12" s="7">
        <v>5928.3</v>
      </c>
      <c r="I12" s="7">
        <v>6811.3</v>
      </c>
      <c r="J12" s="7">
        <v>6637.24</v>
      </c>
      <c r="K12" s="7">
        <v>6128.03</v>
      </c>
      <c r="L12" s="7">
        <v>6274.92</v>
      </c>
      <c r="M12" s="7">
        <v>6298.33</v>
      </c>
      <c r="N12" s="7">
        <v>7719.44</v>
      </c>
      <c r="O12" s="7">
        <f t="shared" si="0"/>
        <v>76863.67</v>
      </c>
      <c r="P12" s="7"/>
    </row>
    <row r="13" spans="1:16" x14ac:dyDescent="0.25">
      <c r="A13" s="1"/>
      <c r="B13" s="1" t="s">
        <v>20</v>
      </c>
      <c r="C13" s="7">
        <v>174.06</v>
      </c>
      <c r="D13" s="7">
        <v>203.18</v>
      </c>
      <c r="E13" s="7">
        <v>268.05</v>
      </c>
      <c r="F13" s="7">
        <v>128.4</v>
      </c>
      <c r="G13" s="7">
        <v>155.07</v>
      </c>
      <c r="H13" s="7">
        <v>131.78</v>
      </c>
      <c r="I13" s="7">
        <v>167.02</v>
      </c>
      <c r="J13" s="7">
        <v>170.39</v>
      </c>
      <c r="K13" s="7">
        <v>128.79</v>
      </c>
      <c r="L13" s="7">
        <v>146.63999999999999</v>
      </c>
      <c r="M13" s="7">
        <v>127.22</v>
      </c>
      <c r="N13" s="7">
        <v>255.02</v>
      </c>
      <c r="O13" s="7">
        <f t="shared" si="0"/>
        <v>2055.62</v>
      </c>
      <c r="P13" s="7"/>
    </row>
    <row r="14" spans="1:16" x14ac:dyDescent="0.25">
      <c r="A14" s="1"/>
      <c r="B14" s="1" t="s">
        <v>21</v>
      </c>
      <c r="C14" s="7">
        <v>293.76</v>
      </c>
      <c r="D14" s="7">
        <v>338.21</v>
      </c>
      <c r="E14" s="7">
        <v>344.75</v>
      </c>
      <c r="F14" s="7">
        <v>271.20999999999998</v>
      </c>
      <c r="G14" s="7">
        <v>274.10000000000002</v>
      </c>
      <c r="H14" s="7">
        <v>306.08</v>
      </c>
      <c r="I14" s="7">
        <v>353.99</v>
      </c>
      <c r="J14" s="7">
        <v>384.48</v>
      </c>
      <c r="K14" s="7">
        <v>318.57</v>
      </c>
      <c r="L14" s="7">
        <v>337.75</v>
      </c>
      <c r="M14" s="7">
        <v>332.16</v>
      </c>
      <c r="N14" s="7">
        <v>386.96</v>
      </c>
      <c r="O14" s="7">
        <f t="shared" si="0"/>
        <v>3942.0200000000004</v>
      </c>
      <c r="P14" s="7"/>
    </row>
    <row r="15" spans="1:16" x14ac:dyDescent="0.25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1"/>
      <c r="B16" s="1" t="s">
        <v>13</v>
      </c>
      <c r="C16" s="7">
        <f t="shared" ref="C16:E16" si="1">SUM(C8:C15)</f>
        <v>19092.199999999997</v>
      </c>
      <c r="D16" s="7">
        <f t="shared" si="1"/>
        <v>17916.18</v>
      </c>
      <c r="E16" s="7">
        <f t="shared" si="1"/>
        <v>18430.46</v>
      </c>
      <c r="F16" s="7">
        <f>SUM(F8:F15)</f>
        <v>15834.749999999998</v>
      </c>
      <c r="G16" s="7">
        <f t="shared" ref="G16:N16" si="2">SUM(G8:G15)</f>
        <v>15326.699999999999</v>
      </c>
      <c r="H16" s="7">
        <f t="shared" si="2"/>
        <v>16235.600000000002</v>
      </c>
      <c r="I16" s="7">
        <f t="shared" si="2"/>
        <v>19413.760000000002</v>
      </c>
      <c r="J16" s="7">
        <f t="shared" si="2"/>
        <v>19246.2</v>
      </c>
      <c r="K16" s="7">
        <f t="shared" si="2"/>
        <v>17851.879999999997</v>
      </c>
      <c r="L16" s="7">
        <f t="shared" si="2"/>
        <v>18007.809999999998</v>
      </c>
      <c r="M16" s="7">
        <f t="shared" si="2"/>
        <v>17768.47</v>
      </c>
      <c r="N16" s="7">
        <f t="shared" si="2"/>
        <v>22543.899999999998</v>
      </c>
      <c r="O16" s="7">
        <f t="shared" si="0"/>
        <v>217667.91</v>
      </c>
      <c r="P16" s="7"/>
    </row>
    <row r="17" spans="1:16" x14ac:dyDescent="0.25">
      <c r="A17" s="1"/>
      <c r="B17" s="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1" t="s">
        <v>27</v>
      </c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1"/>
      <c r="B20" s="1" t="s">
        <v>28</v>
      </c>
      <c r="C20" s="7">
        <v>857.9</v>
      </c>
      <c r="D20" s="7">
        <v>787.9</v>
      </c>
      <c r="E20" s="7">
        <v>820.4</v>
      </c>
      <c r="F20" s="7">
        <v>737.4</v>
      </c>
      <c r="G20" s="7">
        <v>797.9</v>
      </c>
      <c r="H20" s="7">
        <v>781.9</v>
      </c>
      <c r="I20" s="7">
        <v>816.9</v>
      </c>
      <c r="J20" s="7">
        <v>834.9</v>
      </c>
      <c r="K20" s="7">
        <v>802.4</v>
      </c>
      <c r="L20" s="7">
        <v>806.9</v>
      </c>
      <c r="M20" s="7">
        <v>778.9</v>
      </c>
      <c r="N20" s="7">
        <v>819.9</v>
      </c>
      <c r="O20" s="7">
        <f>SUM(C20:N20)</f>
        <v>9643.2999999999975</v>
      </c>
      <c r="P20" s="7"/>
    </row>
    <row r="21" spans="1:16" x14ac:dyDescent="0.25">
      <c r="A21" s="1"/>
      <c r="B21" s="1" t="s">
        <v>29</v>
      </c>
      <c r="C21" s="7">
        <v>140</v>
      </c>
      <c r="D21" s="7">
        <v>239</v>
      </c>
      <c r="E21" s="7">
        <v>184.5</v>
      </c>
      <c r="F21" s="7">
        <v>140</v>
      </c>
      <c r="G21" s="7">
        <v>80</v>
      </c>
      <c r="H21" s="7">
        <v>270</v>
      </c>
      <c r="I21" s="7">
        <v>264.5</v>
      </c>
      <c r="J21" s="7">
        <v>170</v>
      </c>
      <c r="K21" s="7">
        <v>306</v>
      </c>
      <c r="L21" s="7">
        <v>280</v>
      </c>
      <c r="M21" s="7">
        <v>140</v>
      </c>
      <c r="N21" s="7">
        <v>173.5</v>
      </c>
      <c r="O21" s="7">
        <f>SUM(C21:N21)</f>
        <v>2387.5</v>
      </c>
      <c r="P21" s="7"/>
    </row>
    <row r="22" spans="1:16" x14ac:dyDescent="0.25">
      <c r="A22" s="1"/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1"/>
      <c r="B23" s="1" t="s">
        <v>13</v>
      </c>
      <c r="C23" s="7">
        <f t="shared" ref="C23:D23" si="3">SUM(C20:C22)</f>
        <v>997.9</v>
      </c>
      <c r="D23" s="7">
        <f t="shared" si="3"/>
        <v>1026.9000000000001</v>
      </c>
      <c r="E23" s="7">
        <f>SUM(E20:E22)</f>
        <v>1004.9</v>
      </c>
      <c r="F23" s="7">
        <f t="shared" ref="F23:N23" si="4">SUM(F20:F22)</f>
        <v>877.4</v>
      </c>
      <c r="G23" s="7">
        <f t="shared" si="4"/>
        <v>877.9</v>
      </c>
      <c r="H23" s="7">
        <f t="shared" si="4"/>
        <v>1051.9000000000001</v>
      </c>
      <c r="I23" s="7">
        <f t="shared" si="4"/>
        <v>1081.4000000000001</v>
      </c>
      <c r="J23" s="7">
        <f t="shared" si="4"/>
        <v>1004.9</v>
      </c>
      <c r="K23" s="7">
        <f t="shared" si="4"/>
        <v>1108.4000000000001</v>
      </c>
      <c r="L23" s="7">
        <f t="shared" si="4"/>
        <v>1086.9000000000001</v>
      </c>
      <c r="M23" s="7">
        <f t="shared" si="4"/>
        <v>918.9</v>
      </c>
      <c r="N23" s="7">
        <f t="shared" si="4"/>
        <v>993.4</v>
      </c>
      <c r="O23" s="7">
        <f>SUM(C23:N23)</f>
        <v>12030.799999999997</v>
      </c>
      <c r="P23" s="7"/>
    </row>
    <row r="24" spans="1:16" x14ac:dyDescent="0.25">
      <c r="A24" s="1"/>
      <c r="B24" s="1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1" t="s">
        <v>22</v>
      </c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1"/>
      <c r="B26" s="1" t="s">
        <v>23</v>
      </c>
      <c r="C26" s="7">
        <v>94</v>
      </c>
      <c r="D26" s="7">
        <v>93.4</v>
      </c>
      <c r="E26" s="7">
        <v>103.3</v>
      </c>
      <c r="F26" s="7">
        <v>92.5</v>
      </c>
      <c r="G26" s="7">
        <v>91.8</v>
      </c>
      <c r="H26" s="7">
        <v>96.8</v>
      </c>
      <c r="I26" s="7">
        <v>93.8</v>
      </c>
      <c r="J26" s="7">
        <v>92.9</v>
      </c>
      <c r="K26" s="7">
        <v>92.8</v>
      </c>
      <c r="L26" s="7">
        <v>92.7</v>
      </c>
      <c r="M26" s="7">
        <v>97</v>
      </c>
      <c r="N26" s="7">
        <v>90.2</v>
      </c>
      <c r="O26" s="7">
        <f t="shared" ref="O26:O28" si="5">SUM(C26:N26)</f>
        <v>1131.2</v>
      </c>
      <c r="P26" s="7"/>
    </row>
    <row r="27" spans="1:16" x14ac:dyDescent="0.25">
      <c r="A27" s="1"/>
      <c r="B27" s="1" t="s">
        <v>24</v>
      </c>
      <c r="C27" s="7">
        <v>0.2</v>
      </c>
      <c r="D27" s="7">
        <v>0.2</v>
      </c>
      <c r="E27" s="7">
        <v>0.4</v>
      </c>
      <c r="F27" s="7">
        <v>0.2</v>
      </c>
      <c r="G27" s="7">
        <v>0</v>
      </c>
      <c r="H27" s="7">
        <v>0</v>
      </c>
      <c r="I27" s="7">
        <v>0.2</v>
      </c>
      <c r="J27" s="7">
        <v>0.2</v>
      </c>
      <c r="K27" s="7">
        <v>0</v>
      </c>
      <c r="L27" s="7">
        <v>0</v>
      </c>
      <c r="M27" s="7">
        <v>0</v>
      </c>
      <c r="N27" s="7">
        <v>0.2</v>
      </c>
      <c r="O27" s="7">
        <f t="shared" si="5"/>
        <v>1.5999999999999999</v>
      </c>
      <c r="P27" s="7"/>
    </row>
    <row r="28" spans="1:16" x14ac:dyDescent="0.25">
      <c r="A28" s="1"/>
      <c r="B28" s="1" t="s">
        <v>25</v>
      </c>
      <c r="C28" s="7">
        <v>25</v>
      </c>
      <c r="D28" s="7">
        <v>25</v>
      </c>
      <c r="E28" s="7">
        <v>25</v>
      </c>
      <c r="F28" s="7">
        <v>25</v>
      </c>
      <c r="G28" s="7">
        <v>25</v>
      </c>
      <c r="H28" s="7">
        <v>25</v>
      </c>
      <c r="I28" s="7">
        <v>25</v>
      </c>
      <c r="J28" s="7">
        <v>25</v>
      </c>
      <c r="K28" s="7">
        <v>25</v>
      </c>
      <c r="L28" s="7">
        <v>25</v>
      </c>
      <c r="M28" s="7">
        <v>25</v>
      </c>
      <c r="N28" s="7">
        <v>25</v>
      </c>
      <c r="O28" s="7">
        <f t="shared" si="5"/>
        <v>300</v>
      </c>
      <c r="P28" s="7"/>
    </row>
    <row r="29" spans="1:16" x14ac:dyDescent="0.25">
      <c r="A29" s="1"/>
      <c r="B29" s="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1"/>
      <c r="B30" s="1" t="s">
        <v>13</v>
      </c>
      <c r="C30" s="7">
        <f t="shared" ref="C30:D30" si="6">SUM(C26:C29)</f>
        <v>119.2</v>
      </c>
      <c r="D30" s="7">
        <f t="shared" si="6"/>
        <v>118.60000000000001</v>
      </c>
      <c r="E30" s="7">
        <f>SUM(E26:E29)</f>
        <v>128.69999999999999</v>
      </c>
      <c r="F30" s="7">
        <f>SUM(F26:F29)</f>
        <v>117.7</v>
      </c>
      <c r="G30" s="7">
        <f t="shared" ref="G30:N30" si="7">SUM(G26:G29)</f>
        <v>116.8</v>
      </c>
      <c r="H30" s="7">
        <f t="shared" si="7"/>
        <v>121.8</v>
      </c>
      <c r="I30" s="7">
        <f t="shared" si="7"/>
        <v>119</v>
      </c>
      <c r="J30" s="7">
        <f t="shared" si="7"/>
        <v>118.10000000000001</v>
      </c>
      <c r="K30" s="7">
        <f t="shared" si="7"/>
        <v>117.8</v>
      </c>
      <c r="L30" s="7">
        <f t="shared" si="7"/>
        <v>117.7</v>
      </c>
      <c r="M30" s="7">
        <f t="shared" si="7"/>
        <v>122</v>
      </c>
      <c r="N30" s="7">
        <f t="shared" si="7"/>
        <v>115.4</v>
      </c>
      <c r="O30" s="7">
        <f t="shared" ref="O30" si="8">SUM(C30:N30)</f>
        <v>1432.8000000000002</v>
      </c>
      <c r="P30" s="7"/>
    </row>
    <row r="31" spans="1:16" x14ac:dyDescent="0.25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1"/>
      <c r="B33" s="1" t="s">
        <v>31</v>
      </c>
      <c r="C33" s="7">
        <f t="shared" ref="C33:N33" si="9">C16+C30+C23</f>
        <v>20209.3</v>
      </c>
      <c r="D33" s="7">
        <f t="shared" si="9"/>
        <v>19061.68</v>
      </c>
      <c r="E33" s="7">
        <f>E16+E30+E23</f>
        <v>19564.060000000001</v>
      </c>
      <c r="F33" s="7">
        <f t="shared" si="9"/>
        <v>16829.849999999999</v>
      </c>
      <c r="G33" s="7">
        <f t="shared" si="9"/>
        <v>16321.399999999998</v>
      </c>
      <c r="H33" s="7">
        <f t="shared" si="9"/>
        <v>17409.300000000003</v>
      </c>
      <c r="I33" s="7">
        <f t="shared" si="9"/>
        <v>20614.160000000003</v>
      </c>
      <c r="J33" s="7">
        <f t="shared" si="9"/>
        <v>20369.2</v>
      </c>
      <c r="K33" s="7">
        <f t="shared" si="9"/>
        <v>19078.079999999998</v>
      </c>
      <c r="L33" s="7">
        <f t="shared" si="9"/>
        <v>19212.41</v>
      </c>
      <c r="M33" s="7">
        <f t="shared" si="9"/>
        <v>18809.370000000003</v>
      </c>
      <c r="N33" s="7">
        <f t="shared" si="9"/>
        <v>23652.7</v>
      </c>
      <c r="O33" s="7">
        <f t="shared" ref="O33" si="10">SUM(C33:N33)</f>
        <v>231131.50999999998</v>
      </c>
      <c r="P33" s="7"/>
    </row>
    <row r="34" spans="1:16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32B8-79DB-4C4C-8671-6E17A7E9A4C5}">
  <sheetPr>
    <pageSetUpPr fitToPage="1"/>
  </sheetPr>
  <dimension ref="A1:O34"/>
  <sheetViews>
    <sheetView workbookViewId="0">
      <selection activeCell="B3" sqref="B3"/>
    </sheetView>
  </sheetViews>
  <sheetFormatPr defaultRowHeight="15" x14ac:dyDescent="0.25"/>
  <cols>
    <col min="1" max="1" width="15.7109375" customWidth="1"/>
    <col min="2" max="2" width="37.7109375" bestFit="1" customWidth="1"/>
    <col min="3" max="8" width="10.5703125" bestFit="1" customWidth="1"/>
    <col min="9" max="9" width="10.85546875" customWidth="1"/>
    <col min="10" max="10" width="10.7109375" customWidth="1"/>
    <col min="11" max="11" width="10.5703125" customWidth="1"/>
    <col min="12" max="12" width="10.28515625" customWidth="1"/>
    <col min="13" max="13" width="11" customWidth="1"/>
    <col min="14" max="14" width="10.5703125" customWidth="1"/>
    <col min="15" max="15" width="11.5703125" bestFit="1" customWidth="1"/>
  </cols>
  <sheetData>
    <row r="1" spans="1:15" x14ac:dyDescent="0.25">
      <c r="A1" s="1" t="s">
        <v>26</v>
      </c>
      <c r="D1" s="2"/>
      <c r="E1" s="2"/>
      <c r="F1" s="2"/>
      <c r="O1" s="3" t="s">
        <v>0</v>
      </c>
    </row>
    <row r="2" spans="1:15" x14ac:dyDescent="0.25">
      <c r="A2" s="1" t="s">
        <v>33</v>
      </c>
      <c r="D2" s="2"/>
      <c r="E2" s="2"/>
      <c r="F2" s="2"/>
      <c r="G2" s="2"/>
    </row>
    <row r="3" spans="1:15" x14ac:dyDescent="0.25">
      <c r="A3" s="1" t="s">
        <v>32</v>
      </c>
      <c r="D3" s="2"/>
      <c r="E3" s="2"/>
      <c r="F3" s="2"/>
      <c r="G3" s="2"/>
    </row>
    <row r="4" spans="1:15" x14ac:dyDescent="0.25">
      <c r="A4" s="1" t="s">
        <v>34</v>
      </c>
      <c r="D4" s="2"/>
      <c r="E4" s="2"/>
      <c r="F4" s="2"/>
      <c r="G4" s="2"/>
    </row>
    <row r="6" spans="1:15" x14ac:dyDescent="0.25">
      <c r="A6" s="4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</row>
    <row r="7" spans="1:15" x14ac:dyDescent="0.25">
      <c r="A7" s="1" t="s">
        <v>14</v>
      </c>
      <c r="B7" s="1"/>
    </row>
    <row r="8" spans="1:15" x14ac:dyDescent="0.25">
      <c r="A8" s="1"/>
      <c r="B8" s="1" t="s">
        <v>15</v>
      </c>
      <c r="C8" s="7">
        <v>6568.12</v>
      </c>
      <c r="D8" s="7">
        <v>5769.8</v>
      </c>
      <c r="E8" s="7">
        <v>6255.66</v>
      </c>
      <c r="F8" s="7">
        <v>5593.24</v>
      </c>
      <c r="G8" s="7">
        <v>5638.54</v>
      </c>
      <c r="H8" s="7">
        <v>5642.06</v>
      </c>
      <c r="I8" s="7">
        <f>5638.54+3.32</f>
        <v>5641.86</v>
      </c>
      <c r="J8" s="7">
        <v>5642.06</v>
      </c>
      <c r="K8" s="7">
        <f>6650.44+1.5</f>
        <v>6651.94</v>
      </c>
      <c r="L8" s="7">
        <f>6215.78+0.42</f>
        <v>6216.2</v>
      </c>
      <c r="M8" s="7">
        <f>5918.29+0.65</f>
        <v>5918.94</v>
      </c>
      <c r="N8" s="7">
        <f>5918.94+2.26</f>
        <v>5921.2</v>
      </c>
      <c r="O8" s="7">
        <f>SUM(C8:N8)</f>
        <v>71459.62</v>
      </c>
    </row>
    <row r="9" spans="1:15" x14ac:dyDescent="0.25">
      <c r="A9" s="1"/>
      <c r="B9" s="1" t="s">
        <v>16</v>
      </c>
      <c r="C9" s="7">
        <v>3222.49</v>
      </c>
      <c r="D9" s="7">
        <v>2948.12</v>
      </c>
      <c r="E9" s="7">
        <v>3274.13</v>
      </c>
      <c r="F9" s="7">
        <v>3104.91</v>
      </c>
      <c r="G9" s="7">
        <v>3217.85</v>
      </c>
      <c r="H9" s="7">
        <v>3160.74</v>
      </c>
      <c r="I9" s="7">
        <f>3217.85+2.14</f>
        <v>3219.99</v>
      </c>
      <c r="J9" s="7">
        <v>3160.74</v>
      </c>
      <c r="K9" s="7">
        <f>3643.56+0.65</f>
        <v>3644.21</v>
      </c>
      <c r="L9" s="7">
        <f>3171.68+1.95</f>
        <v>3173.6299999999997</v>
      </c>
      <c r="M9" s="7">
        <f>3455.8+0.65</f>
        <v>3456.4500000000003</v>
      </c>
      <c r="N9" s="7">
        <f>4530.79+0.64</f>
        <v>4531.43</v>
      </c>
      <c r="O9" s="7">
        <f t="shared" ref="O9:O16" si="0">SUM(C9:N9)</f>
        <v>40114.689999999995</v>
      </c>
    </row>
    <row r="10" spans="1:15" x14ac:dyDescent="0.25">
      <c r="A10" s="1"/>
      <c r="B10" s="1" t="s">
        <v>17</v>
      </c>
      <c r="C10" s="7">
        <v>2406.1999999999998</v>
      </c>
      <c r="D10" s="7">
        <v>2142.4</v>
      </c>
      <c r="E10" s="7">
        <v>2218.94</v>
      </c>
      <c r="F10" s="7">
        <v>1951.34</v>
      </c>
      <c r="G10" s="7">
        <v>1837.08</v>
      </c>
      <c r="H10" s="7">
        <v>1416.14</v>
      </c>
      <c r="I10" s="7">
        <f>1837.08+7.16</f>
        <v>1844.24</v>
      </c>
      <c r="J10" s="7">
        <v>1416.14</v>
      </c>
      <c r="K10" s="7">
        <f>2018.54+2.55</f>
        <v>2021.09</v>
      </c>
      <c r="L10" s="7">
        <f>2094.13+0.76</f>
        <v>2094.8900000000003</v>
      </c>
      <c r="M10" s="7">
        <f>2032.36+0.37</f>
        <v>2032.7299999999998</v>
      </c>
      <c r="N10" s="7">
        <f>2008.8+1.46</f>
        <v>2010.26</v>
      </c>
      <c r="O10" s="7">
        <f t="shared" si="0"/>
        <v>23391.449999999997</v>
      </c>
    </row>
    <row r="11" spans="1:15" x14ac:dyDescent="0.25">
      <c r="A11" s="1"/>
      <c r="B11" s="1" t="s">
        <v>18</v>
      </c>
      <c r="C11" s="7">
        <v>1004.73</v>
      </c>
      <c r="D11" s="7">
        <v>892.87</v>
      </c>
      <c r="E11" s="7">
        <v>904.05</v>
      </c>
      <c r="F11" s="7">
        <v>805.25</v>
      </c>
      <c r="G11" s="7">
        <v>757.37</v>
      </c>
      <c r="H11" s="7">
        <v>683.32</v>
      </c>
      <c r="I11" s="7">
        <f>757.37+0.67</f>
        <v>758.04</v>
      </c>
      <c r="J11" s="7">
        <v>683.32</v>
      </c>
      <c r="K11" s="7">
        <f>859.64+0.18</f>
        <v>859.81999999999994</v>
      </c>
      <c r="L11" s="7">
        <f>860.28+1.11</f>
        <v>861.39</v>
      </c>
      <c r="M11" s="7">
        <f>902.35+0.34</f>
        <v>902.69</v>
      </c>
      <c r="N11" s="7">
        <f>910.25+0.7</f>
        <v>910.95</v>
      </c>
      <c r="O11" s="7">
        <f t="shared" si="0"/>
        <v>10023.799999999999</v>
      </c>
    </row>
    <row r="12" spans="1:15" x14ac:dyDescent="0.25">
      <c r="A12" s="1"/>
      <c r="B12" s="1" t="s">
        <v>19</v>
      </c>
      <c r="C12" s="7">
        <v>7164.81</v>
      </c>
      <c r="D12" s="7">
        <v>6400.74</v>
      </c>
      <c r="E12" s="7">
        <v>6928.59</v>
      </c>
      <c r="F12" s="7">
        <v>6263.94</v>
      </c>
      <c r="G12" s="7">
        <v>6239.56</v>
      </c>
      <c r="H12" s="7">
        <v>6041</v>
      </c>
      <c r="I12" s="7">
        <f>6239.56+19.25</f>
        <v>6258.81</v>
      </c>
      <c r="J12" s="7">
        <v>6041</v>
      </c>
      <c r="K12" s="7">
        <f>7203.11+6.94</f>
        <v>7210.0499999999993</v>
      </c>
      <c r="L12" s="7">
        <f>6816.82+5.81</f>
        <v>6822.63</v>
      </c>
      <c r="M12" s="7">
        <f>6560.81+2.34</f>
        <v>6563.1500000000005</v>
      </c>
      <c r="N12" s="7">
        <f>6628.52+6.47</f>
        <v>6634.9900000000007</v>
      </c>
      <c r="O12" s="7">
        <f t="shared" si="0"/>
        <v>78569.27</v>
      </c>
    </row>
    <row r="13" spans="1:15" x14ac:dyDescent="0.25">
      <c r="A13" s="1"/>
      <c r="B13" s="1" t="s">
        <v>20</v>
      </c>
      <c r="C13" s="7">
        <v>204.2</v>
      </c>
      <c r="D13" s="7">
        <v>273.33</v>
      </c>
      <c r="E13" s="7">
        <v>238.72</v>
      </c>
      <c r="F13" s="7">
        <v>166.33</v>
      </c>
      <c r="G13" s="7">
        <v>161.29</v>
      </c>
      <c r="H13" s="7">
        <v>128.27000000000001</v>
      </c>
      <c r="I13" s="7">
        <f>161.29+0</f>
        <v>161.29</v>
      </c>
      <c r="J13" s="7">
        <v>128.27000000000001</v>
      </c>
      <c r="K13" s="7">
        <f>133.4</f>
        <v>133.4</v>
      </c>
      <c r="L13" s="7">
        <v>141.63</v>
      </c>
      <c r="M13" s="7">
        <v>114.82</v>
      </c>
      <c r="N13" s="7">
        <v>146.38999999999999</v>
      </c>
      <c r="O13" s="7">
        <f t="shared" si="0"/>
        <v>1997.94</v>
      </c>
    </row>
    <row r="14" spans="1:15" x14ac:dyDescent="0.25">
      <c r="A14" s="1"/>
      <c r="B14" s="1" t="s">
        <v>21</v>
      </c>
      <c r="C14" s="7">
        <v>428.26</v>
      </c>
      <c r="D14" s="7">
        <v>348</v>
      </c>
      <c r="E14" s="7">
        <v>388.48</v>
      </c>
      <c r="F14" s="7">
        <v>315.67</v>
      </c>
      <c r="G14" s="7">
        <v>309.07</v>
      </c>
      <c r="H14" s="7">
        <v>273.37</v>
      </c>
      <c r="I14" s="7">
        <f>309.07+6.48</f>
        <v>315.55</v>
      </c>
      <c r="J14" s="7">
        <v>273.37</v>
      </c>
      <c r="K14" s="7">
        <v>362.95</v>
      </c>
      <c r="L14" s="7">
        <v>342.92</v>
      </c>
      <c r="M14" s="7">
        <v>317.58999999999997</v>
      </c>
      <c r="N14" s="7">
        <f>341.38+5.61</f>
        <v>346.99</v>
      </c>
      <c r="O14" s="7">
        <f t="shared" si="0"/>
        <v>4022.2200000000003</v>
      </c>
    </row>
    <row r="15" spans="1:15" x14ac:dyDescent="0.25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"/>
      <c r="B16" s="1" t="s">
        <v>13</v>
      </c>
      <c r="C16" s="7">
        <f t="shared" ref="C16:E16" si="1">SUM(C8:C15)</f>
        <v>20998.81</v>
      </c>
      <c r="D16" s="7">
        <f t="shared" si="1"/>
        <v>18775.260000000002</v>
      </c>
      <c r="E16" s="7">
        <f t="shared" si="1"/>
        <v>20208.570000000003</v>
      </c>
      <c r="F16" s="7">
        <f>SUM(F8:F15)</f>
        <v>18200.68</v>
      </c>
      <c r="G16" s="7">
        <f t="shared" ref="G16:N16" si="2">SUM(G8:G15)</f>
        <v>18160.760000000002</v>
      </c>
      <c r="H16" s="7">
        <f t="shared" si="2"/>
        <v>17344.899999999998</v>
      </c>
      <c r="I16" s="7">
        <f t="shared" si="2"/>
        <v>18199.78</v>
      </c>
      <c r="J16" s="7">
        <f t="shared" si="2"/>
        <v>17344.899999999998</v>
      </c>
      <c r="K16" s="7">
        <f t="shared" si="2"/>
        <v>20883.460000000003</v>
      </c>
      <c r="L16" s="7">
        <f t="shared" si="2"/>
        <v>19653.29</v>
      </c>
      <c r="M16" s="7">
        <f t="shared" si="2"/>
        <v>19306.37</v>
      </c>
      <c r="N16" s="7">
        <f t="shared" si="2"/>
        <v>20502.210000000003</v>
      </c>
      <c r="O16" s="7">
        <f t="shared" si="0"/>
        <v>229578.99</v>
      </c>
    </row>
    <row r="17" spans="1:15" x14ac:dyDescent="0.25">
      <c r="A17" s="1"/>
      <c r="B17" s="1"/>
      <c r="C17" s="7">
        <v>13765</v>
      </c>
      <c r="D17" s="7">
        <v>12084</v>
      </c>
      <c r="E17" s="7">
        <v>13286</v>
      </c>
      <c r="F17" s="7">
        <v>12076</v>
      </c>
      <c r="G17" s="7">
        <v>12406</v>
      </c>
      <c r="H17" s="7">
        <v>12276</v>
      </c>
      <c r="I17" s="7">
        <f>12398+8</f>
        <v>12406</v>
      </c>
      <c r="J17" s="7">
        <v>12276</v>
      </c>
      <c r="K17" s="7">
        <f>14524+3</f>
        <v>14527</v>
      </c>
      <c r="L17" s="7">
        <f>13322+4</f>
        <v>13326</v>
      </c>
      <c r="M17" s="7">
        <v>12627</v>
      </c>
      <c r="N17" s="7">
        <f>12963+6</f>
        <v>12969</v>
      </c>
      <c r="O17" s="7">
        <f>SUM(C17:N17)</f>
        <v>154024</v>
      </c>
    </row>
    <row r="18" spans="1:15" x14ac:dyDescent="0.25">
      <c r="A18" s="1" t="s">
        <v>27</v>
      </c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1"/>
      <c r="B20" s="1" t="s">
        <v>28</v>
      </c>
      <c r="C20" s="7">
        <v>886.9</v>
      </c>
      <c r="D20" s="7">
        <v>806.9</v>
      </c>
      <c r="E20" s="7">
        <v>871.9</v>
      </c>
      <c r="F20" s="7">
        <v>788.4</v>
      </c>
      <c r="G20" s="7">
        <v>896.4</v>
      </c>
      <c r="H20" s="7">
        <v>848.9</v>
      </c>
      <c r="I20" s="7">
        <v>896.4</v>
      </c>
      <c r="J20" s="7">
        <v>848.9</v>
      </c>
      <c r="K20" s="7">
        <v>913.4</v>
      </c>
      <c r="L20" s="7">
        <v>892.9</v>
      </c>
      <c r="M20" s="7">
        <v>859.4</v>
      </c>
      <c r="N20" s="7">
        <v>910.4</v>
      </c>
      <c r="O20" s="7">
        <f>SUM(C20:N20)</f>
        <v>10420.799999999997</v>
      </c>
    </row>
    <row r="21" spans="1:15" x14ac:dyDescent="0.25">
      <c r="A21" s="1"/>
      <c r="B21" s="1" t="s">
        <v>29</v>
      </c>
      <c r="C21" s="7">
        <v>200</v>
      </c>
      <c r="D21" s="7">
        <v>170</v>
      </c>
      <c r="E21" s="7">
        <v>120</v>
      </c>
      <c r="F21" s="7">
        <v>70</v>
      </c>
      <c r="G21" s="7">
        <v>90</v>
      </c>
      <c r="H21" s="7">
        <v>170</v>
      </c>
      <c r="I21" s="7">
        <v>90</v>
      </c>
      <c r="J21" s="7">
        <v>170</v>
      </c>
      <c r="K21" s="7">
        <v>220</v>
      </c>
      <c r="L21" s="7">
        <v>270</v>
      </c>
      <c r="M21" s="7">
        <v>220</v>
      </c>
      <c r="N21" s="7">
        <v>250</v>
      </c>
      <c r="O21" s="7">
        <f>SUM(C21:N21)</f>
        <v>2040</v>
      </c>
    </row>
    <row r="22" spans="1:15" x14ac:dyDescent="0.25">
      <c r="A22" s="1"/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1"/>
      <c r="B23" s="1" t="s">
        <v>13</v>
      </c>
      <c r="C23" s="7">
        <f t="shared" ref="C23:D23" si="3">SUM(C20:C22)</f>
        <v>1086.9000000000001</v>
      </c>
      <c r="D23" s="7">
        <f t="shared" si="3"/>
        <v>976.9</v>
      </c>
      <c r="E23" s="7">
        <f>SUM(E20:E22)</f>
        <v>991.9</v>
      </c>
      <c r="F23" s="7">
        <f t="shared" ref="F23" si="4">SUM(F20:F22)</f>
        <v>858.4</v>
      </c>
      <c r="G23" s="7">
        <f t="shared" ref="G23:H23" si="5">SUM(G20:G22)</f>
        <v>986.4</v>
      </c>
      <c r="H23" s="7">
        <f t="shared" si="5"/>
        <v>1018.9</v>
      </c>
      <c r="I23" s="7">
        <f t="shared" ref="I23" si="6">SUM(I20:I22)</f>
        <v>986.4</v>
      </c>
      <c r="J23" s="7">
        <f t="shared" ref="J23:K23" si="7">SUM(J20:J22)</f>
        <v>1018.9</v>
      </c>
      <c r="K23" s="7">
        <f t="shared" si="7"/>
        <v>1133.4000000000001</v>
      </c>
      <c r="L23" s="7">
        <f t="shared" ref="L23" si="8">SUM(L20:L22)</f>
        <v>1162.9000000000001</v>
      </c>
      <c r="M23" s="7">
        <f t="shared" ref="M23:N23" si="9">SUM(M20:M22)</f>
        <v>1079.4000000000001</v>
      </c>
      <c r="N23" s="7">
        <f t="shared" si="9"/>
        <v>1160.4000000000001</v>
      </c>
      <c r="O23" s="7">
        <f>SUM(C23:N23)</f>
        <v>12460.799999999997</v>
      </c>
    </row>
    <row r="24" spans="1:15" x14ac:dyDescent="0.25">
      <c r="A24" s="1"/>
      <c r="B24" s="1"/>
      <c r="C24" s="7">
        <v>1594</v>
      </c>
      <c r="D24" s="7">
        <v>1431</v>
      </c>
      <c r="E24" s="7">
        <v>1556</v>
      </c>
      <c r="F24" s="7">
        <v>1384</v>
      </c>
      <c r="G24" s="7">
        <v>1602</v>
      </c>
      <c r="H24" s="7">
        <v>1515</v>
      </c>
      <c r="I24" s="7">
        <v>1602</v>
      </c>
      <c r="J24" s="7">
        <v>1515</v>
      </c>
      <c r="K24" s="7">
        <v>1649</v>
      </c>
      <c r="L24" s="7">
        <v>1613</v>
      </c>
      <c r="M24" s="7">
        <v>1541</v>
      </c>
      <c r="N24" s="7">
        <v>1646</v>
      </c>
      <c r="O24" s="7">
        <f>SUM(C24:N24)</f>
        <v>18648</v>
      </c>
    </row>
    <row r="25" spans="1:15" x14ac:dyDescent="0.25">
      <c r="A25" s="1" t="s">
        <v>22</v>
      </c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1"/>
      <c r="B26" s="1" t="s">
        <v>23</v>
      </c>
      <c r="C26" s="7">
        <v>100.5</v>
      </c>
      <c r="D26" s="7">
        <v>89.6</v>
      </c>
      <c r="E26" s="7">
        <v>91.5</v>
      </c>
      <c r="F26" s="7">
        <v>83.9</v>
      </c>
      <c r="G26" s="7">
        <v>83.9</v>
      </c>
      <c r="H26" s="7">
        <v>78.900000000000006</v>
      </c>
      <c r="I26" s="7">
        <v>83.9</v>
      </c>
      <c r="J26" s="7">
        <v>78.900000000000006</v>
      </c>
      <c r="K26" s="7">
        <v>84.2</v>
      </c>
      <c r="L26" s="7">
        <v>92.2</v>
      </c>
      <c r="M26" s="7">
        <v>83.3</v>
      </c>
      <c r="N26" s="7">
        <v>70</v>
      </c>
      <c r="O26" s="7">
        <f t="shared" ref="O26:O28" si="10">SUM(C26:N26)</f>
        <v>1020.8</v>
      </c>
    </row>
    <row r="27" spans="1:15" x14ac:dyDescent="0.25">
      <c r="A27" s="1"/>
      <c r="B27" s="1" t="s">
        <v>24</v>
      </c>
      <c r="C27" s="7">
        <v>0</v>
      </c>
      <c r="D27" s="7">
        <v>0.2</v>
      </c>
      <c r="E27" s="7">
        <v>0.4</v>
      </c>
      <c r="F27" s="7">
        <v>0</v>
      </c>
      <c r="G27" s="7">
        <v>0</v>
      </c>
      <c r="H27" s="7">
        <v>0</v>
      </c>
      <c r="I27" s="7"/>
      <c r="J27" s="7"/>
      <c r="K27" s="7">
        <v>0.2</v>
      </c>
      <c r="L27" s="7">
        <v>0.4</v>
      </c>
      <c r="M27" s="7">
        <v>0.6</v>
      </c>
      <c r="N27" s="7">
        <v>0.6</v>
      </c>
      <c r="O27" s="7">
        <f t="shared" si="10"/>
        <v>2.4000000000000004</v>
      </c>
    </row>
    <row r="28" spans="1:15" x14ac:dyDescent="0.25">
      <c r="A28" s="1"/>
      <c r="B28" s="1" t="s">
        <v>25</v>
      </c>
      <c r="C28" s="7">
        <v>25</v>
      </c>
      <c r="D28" s="7">
        <v>25</v>
      </c>
      <c r="E28" s="7">
        <v>25</v>
      </c>
      <c r="F28" s="7">
        <v>25</v>
      </c>
      <c r="G28" s="7">
        <v>25</v>
      </c>
      <c r="H28" s="7">
        <v>25</v>
      </c>
      <c r="I28" s="7">
        <v>25</v>
      </c>
      <c r="J28" s="7">
        <v>25</v>
      </c>
      <c r="K28" s="7">
        <v>25</v>
      </c>
      <c r="L28" s="7">
        <v>25</v>
      </c>
      <c r="M28" s="7">
        <v>25</v>
      </c>
      <c r="N28" s="7">
        <v>25</v>
      </c>
      <c r="O28" s="7">
        <f t="shared" si="10"/>
        <v>300</v>
      </c>
    </row>
    <row r="29" spans="1:15" x14ac:dyDescent="0.25">
      <c r="A29" s="1"/>
      <c r="B29" s="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1"/>
      <c r="B30" s="1" t="s">
        <v>13</v>
      </c>
      <c r="C30" s="7">
        <f t="shared" ref="C30:D30" si="11">SUM(C26:C29)</f>
        <v>125.5</v>
      </c>
      <c r="D30" s="7">
        <f t="shared" si="11"/>
        <v>114.8</v>
      </c>
      <c r="E30" s="7">
        <f>SUM(E26:E29)</f>
        <v>116.9</v>
      </c>
      <c r="F30" s="7">
        <f>SUM(F26:F29)</f>
        <v>108.9</v>
      </c>
      <c r="G30" s="7">
        <f t="shared" ref="G30:N30" si="12">SUM(G26:G29)</f>
        <v>108.9</v>
      </c>
      <c r="H30" s="7">
        <f t="shared" si="12"/>
        <v>103.9</v>
      </c>
      <c r="I30" s="7">
        <f t="shared" si="12"/>
        <v>108.9</v>
      </c>
      <c r="J30" s="7">
        <f t="shared" si="12"/>
        <v>103.9</v>
      </c>
      <c r="K30" s="7">
        <f t="shared" si="12"/>
        <v>109.4</v>
      </c>
      <c r="L30" s="7">
        <f t="shared" si="12"/>
        <v>117.60000000000001</v>
      </c>
      <c r="M30" s="7">
        <f t="shared" si="12"/>
        <v>108.89999999999999</v>
      </c>
      <c r="N30" s="7">
        <f t="shared" si="12"/>
        <v>95.6</v>
      </c>
      <c r="O30" s="7">
        <f t="shared" ref="O30" si="13">SUM(C30:N30)</f>
        <v>1323.1999999999998</v>
      </c>
    </row>
    <row r="31" spans="1:15" x14ac:dyDescent="0.25">
      <c r="A31" s="1"/>
      <c r="B31" s="1"/>
      <c r="C31" s="7">
        <v>1005</v>
      </c>
      <c r="D31" s="7">
        <v>897</v>
      </c>
      <c r="E31" s="7">
        <v>917</v>
      </c>
      <c r="F31" s="7">
        <v>839</v>
      </c>
      <c r="G31" s="7">
        <v>839</v>
      </c>
      <c r="H31" s="7">
        <v>789</v>
      </c>
      <c r="I31" s="7">
        <v>839</v>
      </c>
      <c r="J31" s="7">
        <v>789</v>
      </c>
      <c r="K31" s="7">
        <v>843</v>
      </c>
      <c r="L31" s="7">
        <v>924</v>
      </c>
      <c r="M31" s="7">
        <v>836</v>
      </c>
      <c r="N31" s="7">
        <v>703</v>
      </c>
      <c r="O31" s="7">
        <f>SUM(C31:N31)</f>
        <v>10220</v>
      </c>
    </row>
    <row r="32" spans="1:15" x14ac:dyDescent="0.25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1"/>
      <c r="B33" s="1" t="s">
        <v>31</v>
      </c>
      <c r="C33" s="7">
        <f>C16+C30+C23</f>
        <v>22211.210000000003</v>
      </c>
      <c r="D33" s="7">
        <f t="shared" ref="D33:M33" si="14">D16+D30+D23</f>
        <v>19866.960000000003</v>
      </c>
      <c r="E33" s="7">
        <f>E16+E30+E23</f>
        <v>21317.370000000006</v>
      </c>
      <c r="F33" s="7">
        <f t="shared" si="14"/>
        <v>19167.980000000003</v>
      </c>
      <c r="G33" s="7">
        <f t="shared" si="14"/>
        <v>19256.060000000005</v>
      </c>
      <c r="H33" s="7">
        <f t="shared" si="14"/>
        <v>18467.7</v>
      </c>
      <c r="I33" s="7">
        <f t="shared" si="14"/>
        <v>19295.080000000002</v>
      </c>
      <c r="J33" s="7">
        <f t="shared" si="14"/>
        <v>18467.7</v>
      </c>
      <c r="K33" s="7">
        <f t="shared" si="14"/>
        <v>22126.260000000006</v>
      </c>
      <c r="L33" s="7">
        <f t="shared" si="14"/>
        <v>20933.79</v>
      </c>
      <c r="M33" s="7">
        <f t="shared" si="14"/>
        <v>20494.670000000002</v>
      </c>
      <c r="N33" s="7">
        <f>N16+N30+N23</f>
        <v>21758.210000000003</v>
      </c>
      <c r="O33" s="7">
        <f t="shared" ref="O33" si="15">SUM(C33:N33)</f>
        <v>243362.99000000005</v>
      </c>
    </row>
    <row r="34" spans="1:15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pageMargins left="0.7" right="0.7" top="0.75" bottom="0.7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947B-52A3-4BA7-8C4E-0789673EB127}">
  <sheetPr>
    <pageSetUpPr fitToPage="1"/>
  </sheetPr>
  <dimension ref="A1:O34"/>
  <sheetViews>
    <sheetView workbookViewId="0">
      <selection sqref="A1:A4"/>
    </sheetView>
  </sheetViews>
  <sheetFormatPr defaultRowHeight="15" x14ac:dyDescent="0.25"/>
  <cols>
    <col min="1" max="1" width="15.7109375" customWidth="1"/>
    <col min="2" max="2" width="37.7109375" bestFit="1" customWidth="1"/>
    <col min="3" max="7" width="10.5703125" bestFit="1" customWidth="1"/>
    <col min="8" max="8" width="11.5703125" bestFit="1" customWidth="1"/>
    <col min="9" max="9" width="10.85546875" customWidth="1"/>
    <col min="10" max="10" width="10.7109375" customWidth="1"/>
    <col min="11" max="11" width="10.5703125" customWidth="1"/>
    <col min="12" max="12" width="10.28515625" customWidth="1"/>
    <col min="13" max="13" width="11" customWidth="1"/>
    <col min="14" max="14" width="10.5703125" customWidth="1"/>
    <col min="15" max="15" width="11.5703125" bestFit="1" customWidth="1"/>
  </cols>
  <sheetData>
    <row r="1" spans="1:15" x14ac:dyDescent="0.25">
      <c r="A1" s="1" t="s">
        <v>26</v>
      </c>
      <c r="D1" s="2"/>
      <c r="E1" s="2"/>
      <c r="F1" s="2"/>
      <c r="O1" s="3" t="s">
        <v>0</v>
      </c>
    </row>
    <row r="2" spans="1:15" x14ac:dyDescent="0.25">
      <c r="A2" s="1" t="s">
        <v>33</v>
      </c>
      <c r="D2" s="2"/>
      <c r="E2" s="2"/>
      <c r="F2" s="2"/>
      <c r="G2" s="2"/>
    </row>
    <row r="3" spans="1:15" x14ac:dyDescent="0.25">
      <c r="A3" s="1" t="s">
        <v>32</v>
      </c>
      <c r="D3" s="2"/>
      <c r="E3" s="2"/>
      <c r="F3" s="2"/>
      <c r="G3" s="2"/>
    </row>
    <row r="4" spans="1:15" x14ac:dyDescent="0.25">
      <c r="A4" s="1" t="s">
        <v>35</v>
      </c>
      <c r="D4" s="2"/>
      <c r="E4" s="2"/>
      <c r="F4" s="2"/>
      <c r="G4" s="2"/>
    </row>
    <row r="6" spans="1:15" x14ac:dyDescent="0.25">
      <c r="A6" s="4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</row>
    <row r="7" spans="1:15" x14ac:dyDescent="0.25">
      <c r="A7" s="1" t="s">
        <v>14</v>
      </c>
      <c r="B7" s="1"/>
    </row>
    <row r="8" spans="1:15" x14ac:dyDescent="0.25">
      <c r="A8" s="1"/>
      <c r="B8" s="1" t="s">
        <v>15</v>
      </c>
      <c r="C8" s="7">
        <v>5879.67</v>
      </c>
      <c r="D8" s="7">
        <f>7058.01+2.89</f>
        <v>7060.9000000000005</v>
      </c>
      <c r="E8" s="7">
        <f>7513.97+1.49</f>
        <v>7515.46</v>
      </c>
      <c r="F8" s="7">
        <f>6394.04+2.14</f>
        <v>6396.18</v>
      </c>
      <c r="G8" s="7">
        <f>2.04+6232.18</f>
        <v>6234.22</v>
      </c>
      <c r="H8" s="7">
        <f>3.97+5478.51</f>
        <v>5482.4800000000005</v>
      </c>
      <c r="I8" s="7">
        <f>0.74+5817.76</f>
        <v>5818.5</v>
      </c>
      <c r="J8" s="7">
        <v>6034.18</v>
      </c>
      <c r="K8" s="7">
        <f>44.8+6878.29</f>
        <v>6923.09</v>
      </c>
      <c r="L8" s="7">
        <f>2.5+6486.72</f>
        <v>6489.22</v>
      </c>
      <c r="M8" s="7">
        <f>1.76+5964.78</f>
        <v>5966.54</v>
      </c>
      <c r="N8" s="7">
        <f>2.17+6166.06</f>
        <v>6168.2300000000005</v>
      </c>
      <c r="O8" s="7">
        <f>SUM(C8:N8)</f>
        <v>75968.67</v>
      </c>
    </row>
    <row r="9" spans="1:15" x14ac:dyDescent="0.25">
      <c r="A9" s="1"/>
      <c r="B9" s="1" t="s">
        <v>16</v>
      </c>
      <c r="C9" s="7">
        <f>3866.73+0.74</f>
        <v>3867.47</v>
      </c>
      <c r="D9" s="7">
        <f>4901.82+1.95</f>
        <v>4903.7699999999995</v>
      </c>
      <c r="E9" s="7">
        <f>6287.53+0.65</f>
        <v>6288.1799999999994</v>
      </c>
      <c r="F9" s="7">
        <f>5567.74+1.81</f>
        <v>5569.55</v>
      </c>
      <c r="G9" s="7">
        <f>0.75+5592.09</f>
        <v>5592.84</v>
      </c>
      <c r="H9" s="7">
        <f>1.39+5923.38</f>
        <v>5924.77</v>
      </c>
      <c r="I9" s="7">
        <v>5934.39</v>
      </c>
      <c r="J9" s="7">
        <f>3.74+6138.34</f>
        <v>6142.08</v>
      </c>
      <c r="K9" s="7">
        <f>1.3+6024.24</f>
        <v>6025.54</v>
      </c>
      <c r="L9" s="7">
        <f>33.24+8288.28</f>
        <v>8321.52</v>
      </c>
      <c r="M9" s="7">
        <f>1.5+6474.31</f>
        <v>6475.81</v>
      </c>
      <c r="N9" s="7">
        <f>1.3+6703.3</f>
        <v>6704.6</v>
      </c>
      <c r="O9" s="7">
        <f t="shared" ref="O9:O16" si="0">SUM(C9:N9)</f>
        <v>71750.52</v>
      </c>
    </row>
    <row r="10" spans="1:15" x14ac:dyDescent="0.25">
      <c r="A10" s="1"/>
      <c r="B10" s="1" t="s">
        <v>17</v>
      </c>
      <c r="C10" s="7">
        <f>1556.64+0.06</f>
        <v>1556.7</v>
      </c>
      <c r="D10" s="7">
        <f>2227.88+1.5</f>
        <v>2229.38</v>
      </c>
      <c r="E10" s="7">
        <f>2573.66+0.57</f>
        <v>2574.23</v>
      </c>
      <c r="F10" s="7">
        <f>2544.38+2.24</f>
        <v>2546.62</v>
      </c>
      <c r="G10" s="7">
        <f>9.66+2381.33</f>
        <v>2390.9899999999998</v>
      </c>
      <c r="H10" s="7">
        <f>3.78+1931.76</f>
        <v>1935.54</v>
      </c>
      <c r="I10" s="7">
        <f>0.49+1948.32</f>
        <v>1948.81</v>
      </c>
      <c r="J10" s="7">
        <v>1930.18</v>
      </c>
      <c r="K10" s="7">
        <f>12.63+2245.22</f>
        <v>2257.85</v>
      </c>
      <c r="L10" s="7">
        <f>6.98+2367.93</f>
        <v>2374.91</v>
      </c>
      <c r="M10" s="7">
        <f>0.33+2152.83</f>
        <v>2153.16</v>
      </c>
      <c r="N10" s="7">
        <f>2.2+2194.13</f>
        <v>2196.33</v>
      </c>
      <c r="O10" s="7">
        <f t="shared" si="0"/>
        <v>26094.699999999997</v>
      </c>
    </row>
    <row r="11" spans="1:15" x14ac:dyDescent="0.25">
      <c r="A11" s="1"/>
      <c r="B11" s="1" t="s">
        <v>18</v>
      </c>
      <c r="C11" s="7">
        <f>801.38+1.19</f>
        <v>802.57</v>
      </c>
      <c r="D11" s="7">
        <f>1018.08+1.43</f>
        <v>1019.51</v>
      </c>
      <c r="E11" s="7">
        <f>1248.09+0.15</f>
        <v>1248.24</v>
      </c>
      <c r="F11" s="7">
        <f>0.69+1250.83</f>
        <v>1251.52</v>
      </c>
      <c r="G11" s="7">
        <f>1.21+1252.25</f>
        <v>1253.46</v>
      </c>
      <c r="H11" s="7">
        <f>2.69+1182</f>
        <v>1184.69</v>
      </c>
      <c r="I11" s="7">
        <v>1171.02</v>
      </c>
      <c r="J11" s="7">
        <f>4.51+1214.58</f>
        <v>1219.0899999999999</v>
      </c>
      <c r="K11" s="7">
        <f>0.61+1379.66</f>
        <v>1380.27</v>
      </c>
      <c r="L11" s="7">
        <f>4.71+1638.9</f>
        <v>1643.6100000000001</v>
      </c>
      <c r="M11" s="7">
        <f>3.78+1417.78</f>
        <v>1421.56</v>
      </c>
      <c r="N11" s="7">
        <f>4.22+1446.83</f>
        <v>1451.05</v>
      </c>
      <c r="O11" s="7">
        <f t="shared" si="0"/>
        <v>15046.59</v>
      </c>
    </row>
    <row r="12" spans="1:15" x14ac:dyDescent="0.25">
      <c r="A12" s="1"/>
      <c r="B12" s="1" t="s">
        <v>19</v>
      </c>
      <c r="C12" s="7">
        <f>6477.9+3.36</f>
        <v>6481.2599999999993</v>
      </c>
      <c r="D12" s="7">
        <f>7705.05+8.56</f>
        <v>7713.6100000000006</v>
      </c>
      <c r="E12" s="7">
        <f>8260.61+2.34</f>
        <v>8262.9500000000007</v>
      </c>
      <c r="F12" s="7">
        <f>7.96+7212.1</f>
        <v>7220.06</v>
      </c>
      <c r="G12" s="7">
        <f>26.29+7288.49</f>
        <v>7314.78</v>
      </c>
      <c r="H12" s="7">
        <f>16.02+6622.83</f>
        <v>6638.85</v>
      </c>
      <c r="I12" s="7">
        <f>1.27+6866.8</f>
        <v>6868.0700000000006</v>
      </c>
      <c r="J12" s="7">
        <f>10.4+7060.53</f>
        <v>7070.9299999999994</v>
      </c>
      <c r="K12" s="7">
        <f>30.36+7573.65</f>
        <v>7604.0099999999993</v>
      </c>
      <c r="L12" s="7">
        <f>27.48+6711.21</f>
        <v>6738.69</v>
      </c>
      <c r="M12" s="7">
        <f>11.86+6208.67</f>
        <v>6220.53</v>
      </c>
      <c r="N12" s="7">
        <f>8.09+6419.4</f>
        <v>6427.49</v>
      </c>
      <c r="O12" s="7">
        <f t="shared" si="0"/>
        <v>84561.23000000001</v>
      </c>
    </row>
    <row r="13" spans="1:15" x14ac:dyDescent="0.25">
      <c r="A13" s="1"/>
      <c r="B13" s="1" t="s">
        <v>20</v>
      </c>
      <c r="C13" s="7">
        <v>109.92</v>
      </c>
      <c r="D13" s="7">
        <v>149.68</v>
      </c>
      <c r="E13" s="7">
        <v>279.17</v>
      </c>
      <c r="F13" s="7">
        <v>189.63</v>
      </c>
      <c r="G13" s="7">
        <v>246.9</v>
      </c>
      <c r="H13" s="7">
        <v>143.88999999999999</v>
      </c>
      <c r="I13" s="7">
        <v>208.59</v>
      </c>
      <c r="J13" s="7">
        <v>100.79</v>
      </c>
      <c r="K13" s="7">
        <v>242.37</v>
      </c>
      <c r="L13" s="7">
        <v>168.47</v>
      </c>
      <c r="M13" s="7">
        <v>119.83</v>
      </c>
      <c r="N13" s="7">
        <v>193.71</v>
      </c>
      <c r="O13" s="7">
        <f t="shared" si="0"/>
        <v>2152.9499999999998</v>
      </c>
    </row>
    <row r="14" spans="1:15" x14ac:dyDescent="0.25">
      <c r="A14" s="1"/>
      <c r="B14" s="1" t="s">
        <v>21</v>
      </c>
      <c r="C14" s="7">
        <v>297.45</v>
      </c>
      <c r="D14" s="7">
        <v>299.8</v>
      </c>
      <c r="E14" s="7">
        <v>365.25</v>
      </c>
      <c r="F14" s="7">
        <v>327.45999999999998</v>
      </c>
      <c r="G14" s="7">
        <v>296.57</v>
      </c>
      <c r="H14" s="7">
        <v>295.10000000000002</v>
      </c>
      <c r="I14" s="7">
        <v>283.98</v>
      </c>
      <c r="J14" s="7">
        <v>278.2</v>
      </c>
      <c r="K14" s="7">
        <v>375.22</v>
      </c>
      <c r="L14" s="7">
        <v>326.14999999999998</v>
      </c>
      <c r="M14" s="7">
        <v>311.70999999999998</v>
      </c>
      <c r="N14" s="7">
        <v>329.17</v>
      </c>
      <c r="O14" s="7">
        <f t="shared" si="0"/>
        <v>3786.06</v>
      </c>
    </row>
    <row r="15" spans="1:15" x14ac:dyDescent="0.25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"/>
      <c r="B16" s="1" t="s">
        <v>13</v>
      </c>
      <c r="C16" s="7">
        <f>SUM(C8:C15)</f>
        <v>18995.039999999997</v>
      </c>
      <c r="D16" s="7">
        <f t="shared" ref="D16:E16" si="1">SUM(D8:D15)</f>
        <v>23376.649999999998</v>
      </c>
      <c r="E16" s="7">
        <f t="shared" si="1"/>
        <v>26533.48</v>
      </c>
      <c r="F16" s="7">
        <f>SUM(F8:F15)</f>
        <v>23501.02</v>
      </c>
      <c r="G16" s="7">
        <f t="shared" ref="G16:N16" si="2">SUM(G8:G15)</f>
        <v>23329.760000000002</v>
      </c>
      <c r="H16" s="7">
        <f t="shared" si="2"/>
        <v>21605.32</v>
      </c>
      <c r="I16" s="7">
        <f t="shared" si="2"/>
        <v>22233.360000000001</v>
      </c>
      <c r="J16" s="7">
        <f t="shared" si="2"/>
        <v>22775.45</v>
      </c>
      <c r="K16" s="7">
        <f t="shared" si="2"/>
        <v>24808.35</v>
      </c>
      <c r="L16" s="7">
        <f t="shared" si="2"/>
        <v>26062.570000000003</v>
      </c>
      <c r="M16" s="7">
        <f t="shared" si="2"/>
        <v>22669.14</v>
      </c>
      <c r="N16" s="7">
        <f t="shared" si="2"/>
        <v>23470.58</v>
      </c>
      <c r="O16" s="7">
        <f t="shared" si="0"/>
        <v>279360.72000000003</v>
      </c>
    </row>
    <row r="17" spans="1:15" x14ac:dyDescent="0.25">
      <c r="A17" s="1"/>
      <c r="B17" s="1"/>
      <c r="C17" s="7">
        <v>13186</v>
      </c>
      <c r="D17" s="7">
        <v>15624</v>
      </c>
      <c r="E17" s="7">
        <v>16558</v>
      </c>
      <c r="F17" s="7">
        <v>13611</v>
      </c>
      <c r="G17" s="7">
        <v>13842</v>
      </c>
      <c r="H17" s="7">
        <f>8+12897</f>
        <v>12905</v>
      </c>
      <c r="I17" s="7">
        <v>13618</v>
      </c>
      <c r="J17" s="7">
        <v>14150</v>
      </c>
      <c r="K17" s="7">
        <v>15771</v>
      </c>
      <c r="L17" s="7">
        <v>15160</v>
      </c>
      <c r="M17" s="7">
        <v>14000</v>
      </c>
      <c r="N17" s="7">
        <f>7+14656</f>
        <v>14663</v>
      </c>
      <c r="O17" s="7">
        <f>SUM(C17:N17)</f>
        <v>173088</v>
      </c>
    </row>
    <row r="18" spans="1:15" x14ac:dyDescent="0.25">
      <c r="A18" s="1" t="s">
        <v>27</v>
      </c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1"/>
      <c r="B20" s="1" t="s">
        <v>28</v>
      </c>
      <c r="C20" s="7">
        <v>883.9</v>
      </c>
      <c r="D20" s="7">
        <v>907.4</v>
      </c>
      <c r="E20" s="7">
        <v>1049.4000000000001</v>
      </c>
      <c r="F20" s="7">
        <v>895.4</v>
      </c>
      <c r="G20" s="7">
        <v>895.9</v>
      </c>
      <c r="H20" s="7">
        <v>930.9</v>
      </c>
      <c r="I20" s="7">
        <v>930.9</v>
      </c>
      <c r="J20" s="7">
        <v>905.9</v>
      </c>
      <c r="K20" s="7">
        <v>1011.9</v>
      </c>
      <c r="L20" s="7">
        <v>915.9</v>
      </c>
      <c r="M20" s="7">
        <v>965.4</v>
      </c>
      <c r="N20" s="7">
        <v>929.9</v>
      </c>
      <c r="O20" s="7">
        <f>SUM(C20:N20)</f>
        <v>11222.799999999997</v>
      </c>
    </row>
    <row r="21" spans="1:15" x14ac:dyDescent="0.25">
      <c r="A21" s="1"/>
      <c r="B21" s="1" t="s">
        <v>29</v>
      </c>
      <c r="C21" s="7">
        <v>170</v>
      </c>
      <c r="D21" s="7">
        <v>150</v>
      </c>
      <c r="E21" s="7">
        <v>370</v>
      </c>
      <c r="F21" s="7">
        <v>230</v>
      </c>
      <c r="G21" s="7">
        <v>210</v>
      </c>
      <c r="H21" s="7">
        <v>100</v>
      </c>
      <c r="I21" s="7">
        <v>150</v>
      </c>
      <c r="J21" s="7">
        <v>220</v>
      </c>
      <c r="K21" s="7">
        <v>200</v>
      </c>
      <c r="L21" s="7">
        <v>190</v>
      </c>
      <c r="M21" s="7">
        <v>298</v>
      </c>
      <c r="N21" s="7">
        <v>140</v>
      </c>
      <c r="O21" s="7">
        <f>SUM(C21:N21)</f>
        <v>2428</v>
      </c>
    </row>
    <row r="22" spans="1:15" x14ac:dyDescent="0.25">
      <c r="A22" s="1"/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1"/>
      <c r="B23" s="1" t="s">
        <v>13</v>
      </c>
      <c r="C23" s="7">
        <f t="shared" ref="C23:D23" si="3">SUM(C20:C22)</f>
        <v>1053.9000000000001</v>
      </c>
      <c r="D23" s="7">
        <f t="shared" si="3"/>
        <v>1057.4000000000001</v>
      </c>
      <c r="E23" s="7">
        <f>SUM(E20:E22)</f>
        <v>1419.4</v>
      </c>
      <c r="F23" s="7">
        <f t="shared" ref="F23:N23" si="4">SUM(F20:F22)</f>
        <v>1125.4000000000001</v>
      </c>
      <c r="G23" s="7">
        <f t="shared" si="4"/>
        <v>1105.9000000000001</v>
      </c>
      <c r="H23" s="7">
        <f t="shared" si="4"/>
        <v>1030.9000000000001</v>
      </c>
      <c r="I23" s="7">
        <f t="shared" si="4"/>
        <v>1080.9000000000001</v>
      </c>
      <c r="J23" s="7">
        <f t="shared" si="4"/>
        <v>1125.9000000000001</v>
      </c>
      <c r="K23" s="7">
        <f t="shared" si="4"/>
        <v>1211.9000000000001</v>
      </c>
      <c r="L23" s="7">
        <f t="shared" si="4"/>
        <v>1105.9000000000001</v>
      </c>
      <c r="M23" s="7">
        <f t="shared" si="4"/>
        <v>1263.4000000000001</v>
      </c>
      <c r="N23" s="7">
        <f t="shared" si="4"/>
        <v>1069.9000000000001</v>
      </c>
      <c r="O23" s="7">
        <f>SUM(C23:N23)</f>
        <v>13650.799999999997</v>
      </c>
    </row>
    <row r="24" spans="1:15" x14ac:dyDescent="0.25">
      <c r="A24" s="1"/>
      <c r="B24" s="1"/>
      <c r="C24" s="7">
        <v>1585</v>
      </c>
      <c r="D24" s="7">
        <v>1630</v>
      </c>
      <c r="E24" s="7">
        <v>1938</v>
      </c>
      <c r="F24" s="7">
        <v>1614</v>
      </c>
      <c r="G24" s="7">
        <v>1613</v>
      </c>
      <c r="H24" s="7">
        <v>1672</v>
      </c>
      <c r="I24" s="7">
        <v>1677</v>
      </c>
      <c r="J24" s="7">
        <v>1634</v>
      </c>
      <c r="K24" s="7">
        <v>1844</v>
      </c>
      <c r="L24" s="7">
        <v>1651</v>
      </c>
      <c r="M24" s="7">
        <v>1761</v>
      </c>
      <c r="N24" s="7">
        <v>1674</v>
      </c>
      <c r="O24" s="7">
        <f>SUM(C24:N24)</f>
        <v>20293</v>
      </c>
    </row>
    <row r="25" spans="1:15" x14ac:dyDescent="0.25">
      <c r="A25" s="1" t="s">
        <v>22</v>
      </c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1"/>
      <c r="B26" s="1" t="s">
        <v>23</v>
      </c>
      <c r="C26" s="7">
        <v>70.2</v>
      </c>
      <c r="D26" s="7">
        <v>67.7</v>
      </c>
      <c r="E26" s="7">
        <v>73.900000000000006</v>
      </c>
      <c r="F26" s="7">
        <v>69.900000000000006</v>
      </c>
      <c r="G26" s="7">
        <v>74.099999999999994</v>
      </c>
      <c r="H26" s="7">
        <v>72.8</v>
      </c>
      <c r="I26" s="7">
        <v>73.3</v>
      </c>
      <c r="J26" s="7">
        <v>70.5</v>
      </c>
      <c r="K26" s="7">
        <v>78.5</v>
      </c>
      <c r="L26" s="7">
        <v>71.5</v>
      </c>
      <c r="M26" s="7">
        <v>72.8</v>
      </c>
      <c r="N26" s="7">
        <v>73.8</v>
      </c>
      <c r="O26" s="7">
        <f t="shared" ref="O26:O28" si="5">SUM(C26:N26)</f>
        <v>869</v>
      </c>
    </row>
    <row r="27" spans="1:15" x14ac:dyDescent="0.25">
      <c r="A27" s="1"/>
      <c r="B27" s="1" t="s">
        <v>24</v>
      </c>
      <c r="C27" s="7">
        <v>0.4</v>
      </c>
      <c r="D27" s="7"/>
      <c r="E27" s="7">
        <v>0.4</v>
      </c>
      <c r="F27" s="7">
        <v>0</v>
      </c>
      <c r="G27" s="7">
        <v>0</v>
      </c>
      <c r="H27" s="7">
        <v>0</v>
      </c>
      <c r="I27" s="7">
        <v>0.6</v>
      </c>
      <c r="J27" s="7">
        <v>0</v>
      </c>
      <c r="K27" s="7">
        <v>0</v>
      </c>
      <c r="L27" s="7">
        <v>0</v>
      </c>
      <c r="M27" s="7">
        <v>0</v>
      </c>
      <c r="N27" s="7"/>
      <c r="O27" s="7">
        <f t="shared" si="5"/>
        <v>1.4</v>
      </c>
    </row>
    <row r="28" spans="1:15" x14ac:dyDescent="0.25">
      <c r="A28" s="1"/>
      <c r="B28" s="1" t="s">
        <v>25</v>
      </c>
      <c r="C28" s="7">
        <v>25</v>
      </c>
      <c r="D28" s="7">
        <v>25</v>
      </c>
      <c r="E28" s="7">
        <v>25</v>
      </c>
      <c r="F28" s="7">
        <v>25</v>
      </c>
      <c r="G28" s="7">
        <v>25</v>
      </c>
      <c r="H28" s="7">
        <v>25</v>
      </c>
      <c r="I28" s="7">
        <v>25</v>
      </c>
      <c r="J28" s="7">
        <v>25</v>
      </c>
      <c r="K28" s="7">
        <v>25</v>
      </c>
      <c r="L28" s="7">
        <v>25</v>
      </c>
      <c r="M28" s="7">
        <v>25</v>
      </c>
      <c r="N28" s="7">
        <v>25</v>
      </c>
      <c r="O28" s="7">
        <f t="shared" si="5"/>
        <v>300</v>
      </c>
    </row>
    <row r="29" spans="1:15" x14ac:dyDescent="0.25">
      <c r="A29" s="1"/>
      <c r="B29" s="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1"/>
      <c r="B30" s="1" t="s">
        <v>13</v>
      </c>
      <c r="C30" s="7">
        <f t="shared" ref="C30:D30" si="6">SUM(C26:C29)</f>
        <v>95.600000000000009</v>
      </c>
      <c r="D30" s="7">
        <f t="shared" si="6"/>
        <v>92.7</v>
      </c>
      <c r="E30" s="7">
        <f>SUM(E26:E29)</f>
        <v>99.300000000000011</v>
      </c>
      <c r="F30" s="7">
        <f>SUM(F26:F29)</f>
        <v>94.9</v>
      </c>
      <c r="G30" s="7">
        <f t="shared" ref="G30:N30" si="7">SUM(G26:G29)</f>
        <v>99.1</v>
      </c>
      <c r="H30" s="7">
        <f t="shared" si="7"/>
        <v>97.8</v>
      </c>
      <c r="I30" s="7">
        <f t="shared" si="7"/>
        <v>98.899999999999991</v>
      </c>
      <c r="J30" s="7">
        <f t="shared" si="7"/>
        <v>95.5</v>
      </c>
      <c r="K30" s="7">
        <f t="shared" si="7"/>
        <v>103.5</v>
      </c>
      <c r="L30" s="7">
        <f t="shared" si="7"/>
        <v>96.5</v>
      </c>
      <c r="M30" s="7">
        <f t="shared" si="7"/>
        <v>97.8</v>
      </c>
      <c r="N30" s="7">
        <f t="shared" si="7"/>
        <v>98.8</v>
      </c>
      <c r="O30" s="7">
        <f t="shared" ref="O30" si="8">SUM(C30:N30)</f>
        <v>1170.3999999999999</v>
      </c>
    </row>
    <row r="31" spans="1:15" x14ac:dyDescent="0.25">
      <c r="A31" s="1"/>
      <c r="B31" s="1"/>
      <c r="C31" s="7">
        <v>704</v>
      </c>
      <c r="D31" s="7">
        <v>677</v>
      </c>
      <c r="E31" s="7">
        <v>741</v>
      </c>
      <c r="F31" s="7">
        <v>699</v>
      </c>
      <c r="G31" s="7">
        <v>741</v>
      </c>
      <c r="H31" s="7">
        <v>728</v>
      </c>
      <c r="I31" s="7">
        <v>736</v>
      </c>
      <c r="J31" s="7">
        <v>705</v>
      </c>
      <c r="K31" s="7">
        <v>785</v>
      </c>
      <c r="L31" s="7">
        <v>715</v>
      </c>
      <c r="M31" s="7">
        <v>728</v>
      </c>
      <c r="N31" s="7">
        <v>738</v>
      </c>
      <c r="O31" s="7">
        <f>SUM(C31:N31)</f>
        <v>8697</v>
      </c>
    </row>
    <row r="32" spans="1:15" x14ac:dyDescent="0.25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1"/>
      <c r="B33" s="1" t="s">
        <v>31</v>
      </c>
      <c r="C33" s="7">
        <f t="shared" ref="C33:N33" si="9">C16+C30+C23</f>
        <v>20144.539999999997</v>
      </c>
      <c r="D33" s="7">
        <f t="shared" si="9"/>
        <v>24526.75</v>
      </c>
      <c r="E33" s="7">
        <f>E16+E30+E23</f>
        <v>28052.18</v>
      </c>
      <c r="F33" s="7">
        <f t="shared" si="9"/>
        <v>24721.320000000003</v>
      </c>
      <c r="G33" s="7">
        <f t="shared" si="9"/>
        <v>24534.760000000002</v>
      </c>
      <c r="H33" s="7">
        <f t="shared" si="9"/>
        <v>22734.02</v>
      </c>
      <c r="I33" s="7">
        <f t="shared" si="9"/>
        <v>23413.160000000003</v>
      </c>
      <c r="J33" s="7">
        <f t="shared" si="9"/>
        <v>23996.850000000002</v>
      </c>
      <c r="K33" s="7">
        <f t="shared" si="9"/>
        <v>26123.75</v>
      </c>
      <c r="L33" s="7">
        <f t="shared" si="9"/>
        <v>27264.970000000005</v>
      </c>
      <c r="M33" s="7">
        <f t="shared" si="9"/>
        <v>24030.34</v>
      </c>
      <c r="N33" s="7">
        <f t="shared" si="9"/>
        <v>24639.280000000002</v>
      </c>
      <c r="O33" s="7">
        <f t="shared" ref="O33" si="10">SUM(C33:N33)</f>
        <v>294181.92000000004</v>
      </c>
    </row>
    <row r="34" spans="1:15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pageMargins left="0.7" right="0.7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669A-7F07-490D-9D12-A409B2BEFFB2}">
  <sheetPr>
    <pageSetUpPr fitToPage="1"/>
  </sheetPr>
  <dimension ref="A1:O34"/>
  <sheetViews>
    <sheetView workbookViewId="0">
      <selection activeCell="B28" sqref="B28"/>
    </sheetView>
  </sheetViews>
  <sheetFormatPr defaultRowHeight="15" x14ac:dyDescent="0.25"/>
  <cols>
    <col min="1" max="1" width="15.7109375" customWidth="1"/>
    <col min="2" max="2" width="37.7109375" bestFit="1" customWidth="1"/>
    <col min="3" max="7" width="10.5703125" bestFit="1" customWidth="1"/>
    <col min="8" max="8" width="11.5703125" bestFit="1" customWidth="1"/>
    <col min="9" max="9" width="10.85546875" customWidth="1"/>
    <col min="10" max="10" width="10.7109375" customWidth="1"/>
    <col min="11" max="11" width="10.5703125" customWidth="1"/>
    <col min="12" max="12" width="10.28515625" customWidth="1"/>
    <col min="13" max="13" width="11" customWidth="1"/>
    <col min="14" max="14" width="10.5703125" customWidth="1"/>
    <col min="15" max="15" width="11.5703125" bestFit="1" customWidth="1"/>
  </cols>
  <sheetData>
    <row r="1" spans="1:15" x14ac:dyDescent="0.25">
      <c r="A1" s="1" t="s">
        <v>26</v>
      </c>
      <c r="D1" s="2"/>
      <c r="E1" s="2"/>
      <c r="F1" s="2"/>
      <c r="O1" s="3" t="s">
        <v>0</v>
      </c>
    </row>
    <row r="2" spans="1:15" x14ac:dyDescent="0.25">
      <c r="A2" s="1" t="s">
        <v>33</v>
      </c>
      <c r="D2" s="2"/>
      <c r="E2" s="2"/>
      <c r="F2" s="2"/>
      <c r="G2" s="2"/>
    </row>
    <row r="3" spans="1:15" x14ac:dyDescent="0.25">
      <c r="A3" s="1" t="s">
        <v>32</v>
      </c>
      <c r="D3" s="2"/>
      <c r="E3" s="2"/>
      <c r="F3" s="2"/>
      <c r="G3" s="2"/>
    </row>
    <row r="4" spans="1:15" x14ac:dyDescent="0.25">
      <c r="A4" s="1" t="s">
        <v>36</v>
      </c>
      <c r="D4" s="2"/>
      <c r="E4" s="2"/>
      <c r="F4" s="2"/>
      <c r="G4" s="2"/>
    </row>
    <row r="6" spans="1:15" x14ac:dyDescent="0.25">
      <c r="A6" s="4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</row>
    <row r="7" spans="1:15" x14ac:dyDescent="0.25">
      <c r="A7" s="1" t="s">
        <v>14</v>
      </c>
      <c r="B7" s="1"/>
    </row>
    <row r="8" spans="1:15" x14ac:dyDescent="0.25">
      <c r="A8" s="1"/>
      <c r="B8" s="1" t="s">
        <v>15</v>
      </c>
      <c r="C8" s="7">
        <f>1.5+5950.85</f>
        <v>5952.35</v>
      </c>
      <c r="D8" s="7">
        <f>3.74+7337.07</f>
        <v>7340.8099999999995</v>
      </c>
      <c r="E8" s="7">
        <f>0.99+7970.12</f>
        <v>7971.11</v>
      </c>
      <c r="F8" s="7">
        <f>0.65+6932.35</f>
        <v>6933</v>
      </c>
      <c r="G8" s="7">
        <f>1.57+6925.13</f>
        <v>6926.7</v>
      </c>
      <c r="H8" s="7"/>
      <c r="I8" s="7"/>
      <c r="J8" s="7"/>
      <c r="K8" s="7"/>
      <c r="L8" s="7"/>
      <c r="M8" s="7"/>
      <c r="N8" s="7"/>
      <c r="O8" s="7">
        <f>SUM(C8:N8)</f>
        <v>35123.97</v>
      </c>
    </row>
    <row r="9" spans="1:15" x14ac:dyDescent="0.25">
      <c r="A9" s="1"/>
      <c r="B9" s="1" t="s">
        <v>16</v>
      </c>
      <c r="C9" s="7">
        <f>3.65+6300.88</f>
        <v>6304.53</v>
      </c>
      <c r="D9" s="7">
        <f>83.7+6264.16</f>
        <v>6347.86</v>
      </c>
      <c r="E9" s="7">
        <f>0.65+6609.38</f>
        <v>6610.03</v>
      </c>
      <c r="F9" s="7">
        <f>0.92+3195.77</f>
        <v>3196.69</v>
      </c>
      <c r="G9" s="7">
        <f>2.14+6004.67</f>
        <v>6006.81</v>
      </c>
      <c r="H9" s="7"/>
      <c r="I9" s="7"/>
      <c r="J9" s="7"/>
      <c r="K9" s="7"/>
      <c r="L9" s="7"/>
      <c r="M9" s="7"/>
      <c r="N9" s="7"/>
      <c r="O9" s="7">
        <f t="shared" ref="O9:O16" si="0">SUM(C9:N9)</f>
        <v>28465.919999999998</v>
      </c>
    </row>
    <row r="10" spans="1:15" x14ac:dyDescent="0.25">
      <c r="A10" s="1"/>
      <c r="B10" s="1" t="s">
        <v>17</v>
      </c>
      <c r="C10" s="7">
        <f>0.35+1957.71</f>
        <v>1958.06</v>
      </c>
      <c r="D10" s="7">
        <f>4.44+2249.85</f>
        <v>2254.29</v>
      </c>
      <c r="E10" s="7">
        <f>2.98+2647.65</f>
        <v>2650.63</v>
      </c>
      <c r="F10" s="7">
        <f>0.84+2721.68</f>
        <v>2722.52</v>
      </c>
      <c r="G10" s="7">
        <f>2.88+2697.09</f>
        <v>2699.9700000000003</v>
      </c>
      <c r="H10" s="7"/>
      <c r="I10" s="7"/>
      <c r="J10" s="7"/>
      <c r="K10" s="7"/>
      <c r="L10" s="7"/>
      <c r="M10" s="7"/>
      <c r="N10" s="7"/>
      <c r="O10" s="7">
        <f t="shared" si="0"/>
        <v>12285.470000000001</v>
      </c>
    </row>
    <row r="11" spans="1:15" x14ac:dyDescent="0.25">
      <c r="A11" s="1"/>
      <c r="B11" s="1" t="s">
        <v>18</v>
      </c>
      <c r="C11" s="7">
        <f>5.42+1249.3</f>
        <v>1254.72</v>
      </c>
      <c r="D11" s="7">
        <f>7.27+1388.38</f>
        <v>1395.65</v>
      </c>
      <c r="E11" s="7">
        <f>0.37+1647.76</f>
        <v>1648.1299999999999</v>
      </c>
      <c r="F11" s="7">
        <f>4.02+1692.75</f>
        <v>1696.77</v>
      </c>
      <c r="G11" s="7">
        <f>3.48+1829.38</f>
        <v>1832.8600000000001</v>
      </c>
      <c r="H11" s="7"/>
      <c r="I11" s="7"/>
      <c r="J11" s="7"/>
      <c r="K11" s="7"/>
      <c r="L11" s="7"/>
      <c r="M11" s="7"/>
      <c r="N11" s="7"/>
      <c r="O11" s="7">
        <f t="shared" si="0"/>
        <v>7828.130000000001</v>
      </c>
    </row>
    <row r="12" spans="1:15" x14ac:dyDescent="0.25">
      <c r="A12" s="1"/>
      <c r="B12" s="1" t="s">
        <v>19</v>
      </c>
      <c r="C12" s="7">
        <f>10.61+7057.41</f>
        <v>7068.0199999999995</v>
      </c>
      <c r="D12" s="7">
        <f>31.07+8054.57</f>
        <v>8085.6399999999994</v>
      </c>
      <c r="E12" s="7">
        <f>8.95+8837.05</f>
        <v>8846</v>
      </c>
      <c r="F12" s="7">
        <f>2.58+7863.92</f>
        <v>7866.5</v>
      </c>
      <c r="G12" s="7">
        <f>14.12+7880.8</f>
        <v>7894.92</v>
      </c>
      <c r="H12" s="7"/>
      <c r="I12" s="7"/>
      <c r="J12" s="7"/>
      <c r="K12" s="7"/>
      <c r="L12" s="7"/>
      <c r="M12" s="7"/>
      <c r="N12" s="7"/>
      <c r="O12" s="7">
        <f t="shared" si="0"/>
        <v>39761.08</v>
      </c>
    </row>
    <row r="13" spans="1:15" x14ac:dyDescent="0.25">
      <c r="A13" s="1"/>
      <c r="B13" s="1" t="s">
        <v>20</v>
      </c>
      <c r="C13" s="7">
        <v>131.58000000000001</v>
      </c>
      <c r="D13" s="7">
        <v>178.02</v>
      </c>
      <c r="E13" s="7">
        <v>204.17</v>
      </c>
      <c r="F13" s="7">
        <v>257.69</v>
      </c>
      <c r="G13" s="7">
        <v>221.69</v>
      </c>
      <c r="H13" s="7"/>
      <c r="I13" s="7"/>
      <c r="J13" s="7"/>
      <c r="K13" s="7"/>
      <c r="L13" s="7"/>
      <c r="M13" s="7"/>
      <c r="N13" s="7"/>
      <c r="O13" s="7">
        <f t="shared" si="0"/>
        <v>993.15000000000009</v>
      </c>
    </row>
    <row r="14" spans="1:15" x14ac:dyDescent="0.25">
      <c r="A14" s="1"/>
      <c r="B14" s="1" t="s">
        <v>21</v>
      </c>
      <c r="C14" s="7">
        <v>270.7</v>
      </c>
      <c r="D14" s="7">
        <v>314.35000000000002</v>
      </c>
      <c r="E14" s="7">
        <v>378.98</v>
      </c>
      <c r="F14" s="7">
        <v>330.43</v>
      </c>
      <c r="G14" s="7">
        <f>2.41+385.27</f>
        <v>387.68</v>
      </c>
      <c r="H14" s="7"/>
      <c r="I14" s="7"/>
      <c r="J14" s="7"/>
      <c r="K14" s="7"/>
      <c r="L14" s="7"/>
      <c r="M14" s="7"/>
      <c r="N14" s="7"/>
      <c r="O14" s="7">
        <f t="shared" si="0"/>
        <v>1682.14</v>
      </c>
    </row>
    <row r="15" spans="1:15" x14ac:dyDescent="0.25">
      <c r="A15" s="1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x14ac:dyDescent="0.25">
      <c r="A16" s="1"/>
      <c r="B16" s="1" t="s">
        <v>13</v>
      </c>
      <c r="C16" s="7">
        <f t="shared" ref="C16:E16" si="1">SUM(C8:C15)</f>
        <v>22939.960000000003</v>
      </c>
      <c r="D16" s="7">
        <f t="shared" si="1"/>
        <v>25916.62</v>
      </c>
      <c r="E16" s="7">
        <f t="shared" si="1"/>
        <v>28309.05</v>
      </c>
      <c r="F16" s="7">
        <f>SUM(F8:F15)</f>
        <v>23003.600000000002</v>
      </c>
      <c r="G16" s="7">
        <f t="shared" ref="G16:N16" si="2">SUM(G8:G15)</f>
        <v>25970.63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 t="shared" si="0"/>
        <v>126139.86000000002</v>
      </c>
    </row>
    <row r="17" spans="1:15" x14ac:dyDescent="0.25">
      <c r="A17" s="1"/>
      <c r="B17" s="1"/>
      <c r="C17" s="7">
        <v>14020</v>
      </c>
      <c r="D17" s="7">
        <v>16379</v>
      </c>
      <c r="E17" s="7">
        <v>17862</v>
      </c>
      <c r="F17" s="7">
        <v>14992</v>
      </c>
      <c r="G17" s="7">
        <v>14917</v>
      </c>
      <c r="H17" s="7"/>
      <c r="I17" s="7"/>
      <c r="J17" s="7"/>
      <c r="K17" s="7"/>
      <c r="L17" s="7"/>
      <c r="M17" s="7"/>
      <c r="N17" s="7"/>
      <c r="O17" s="7">
        <f>SUM(C17:N17)</f>
        <v>78170</v>
      </c>
    </row>
    <row r="18" spans="1:15" x14ac:dyDescent="0.25">
      <c r="A18" s="1" t="s">
        <v>27</v>
      </c>
      <c r="B18" s="1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x14ac:dyDescent="0.25">
      <c r="A19" s="1"/>
      <c r="B19" s="1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5">
      <c r="A20" s="1"/>
      <c r="B20" s="1" t="s">
        <v>28</v>
      </c>
      <c r="C20" s="7">
        <v>933.4</v>
      </c>
      <c r="D20" s="7">
        <v>1025.4000000000001</v>
      </c>
      <c r="E20" s="7">
        <v>1071.9000000000001</v>
      </c>
      <c r="F20" s="7">
        <v>976.9</v>
      </c>
      <c r="G20" s="7">
        <v>951.4</v>
      </c>
      <c r="H20" s="7"/>
      <c r="I20" s="7"/>
      <c r="J20" s="7"/>
      <c r="K20" s="7"/>
      <c r="L20" s="7"/>
      <c r="M20" s="7"/>
      <c r="N20" s="7"/>
      <c r="O20" s="7">
        <f>SUM(C20:N20)</f>
        <v>4959</v>
      </c>
    </row>
    <row r="21" spans="1:15" x14ac:dyDescent="0.25">
      <c r="A21" s="1"/>
      <c r="B21" s="1" t="s">
        <v>29</v>
      </c>
      <c r="C21" s="7">
        <v>160</v>
      </c>
      <c r="D21" s="7">
        <v>280</v>
      </c>
      <c r="E21" s="7">
        <v>298</v>
      </c>
      <c r="F21" s="7">
        <v>200</v>
      </c>
      <c r="G21" s="7">
        <v>190</v>
      </c>
      <c r="H21" s="7"/>
      <c r="I21" s="7"/>
      <c r="J21" s="7"/>
      <c r="K21" s="7"/>
      <c r="L21" s="7"/>
      <c r="M21" s="7"/>
      <c r="N21" s="7"/>
      <c r="O21" s="7">
        <f>SUM(C21:N21)</f>
        <v>1128</v>
      </c>
    </row>
    <row r="22" spans="1:15" x14ac:dyDescent="0.25">
      <c r="A22" s="1"/>
      <c r="B22" s="1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1"/>
      <c r="B23" s="1" t="s">
        <v>13</v>
      </c>
      <c r="C23" s="7">
        <f t="shared" ref="C23:D23" si="3">SUM(C20:C22)</f>
        <v>1093.4000000000001</v>
      </c>
      <c r="D23" s="7">
        <f t="shared" si="3"/>
        <v>1305.4000000000001</v>
      </c>
      <c r="E23" s="7">
        <f>SUM(E20:E22)</f>
        <v>1369.9</v>
      </c>
      <c r="F23" s="7">
        <f t="shared" ref="F23:N23" si="4">SUM(F20:F22)</f>
        <v>1176.9000000000001</v>
      </c>
      <c r="G23" s="7">
        <f t="shared" si="4"/>
        <v>1141.4000000000001</v>
      </c>
      <c r="H23" s="7">
        <f t="shared" si="4"/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s="7">
        <f t="shared" si="4"/>
        <v>0</v>
      </c>
      <c r="O23" s="7">
        <f>SUM(C23:N23)</f>
        <v>6087</v>
      </c>
    </row>
    <row r="24" spans="1:15" x14ac:dyDescent="0.25">
      <c r="A24" s="1"/>
      <c r="B24" s="1"/>
      <c r="C24" s="7">
        <v>1683</v>
      </c>
      <c r="D24" s="7">
        <v>1879</v>
      </c>
      <c r="E24" s="7">
        <v>1974</v>
      </c>
      <c r="F24" s="7">
        <v>1774</v>
      </c>
      <c r="G24" s="7">
        <v>1722</v>
      </c>
      <c r="H24" s="7"/>
      <c r="I24" s="7"/>
      <c r="J24" s="7"/>
      <c r="K24" s="7"/>
      <c r="L24" s="7"/>
      <c r="M24" s="7"/>
      <c r="N24" s="7"/>
      <c r="O24" s="7">
        <f>SUM(C24:N24)</f>
        <v>9032</v>
      </c>
    </row>
    <row r="25" spans="1:15" x14ac:dyDescent="0.25">
      <c r="A25" s="1" t="s">
        <v>22</v>
      </c>
      <c r="B25" s="1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5">
      <c r="A26" s="1"/>
      <c r="B26" s="1" t="s">
        <v>23</v>
      </c>
      <c r="C26" s="7">
        <v>70</v>
      </c>
      <c r="D26" s="7">
        <v>72.099999999999994</v>
      </c>
      <c r="E26" s="7">
        <v>72.900000000000006</v>
      </c>
      <c r="F26" s="7">
        <v>71.400000000000006</v>
      </c>
      <c r="G26" s="7">
        <v>70.3</v>
      </c>
      <c r="H26" s="7"/>
      <c r="I26" s="7"/>
      <c r="J26" s="7"/>
      <c r="K26" s="7"/>
      <c r="L26" s="7"/>
      <c r="M26" s="7"/>
      <c r="N26" s="7"/>
      <c r="O26" s="7">
        <f t="shared" ref="O26:O28" si="5">SUM(C26:N26)</f>
        <v>356.7</v>
      </c>
    </row>
    <row r="27" spans="1:15" x14ac:dyDescent="0.25">
      <c r="A27" s="1"/>
      <c r="B27" s="1" t="s">
        <v>24</v>
      </c>
      <c r="C27" s="7">
        <v>0</v>
      </c>
      <c r="D27" s="7">
        <v>0</v>
      </c>
      <c r="E27" s="7">
        <v>0</v>
      </c>
      <c r="F27" s="7">
        <v>0.2</v>
      </c>
      <c r="G27" s="7">
        <v>0</v>
      </c>
      <c r="H27" s="7"/>
      <c r="I27" s="7"/>
      <c r="J27" s="7"/>
      <c r="K27" s="7"/>
      <c r="L27" s="7"/>
      <c r="M27" s="7"/>
      <c r="N27" s="7"/>
      <c r="O27" s="7">
        <f t="shared" si="5"/>
        <v>0.2</v>
      </c>
    </row>
    <row r="28" spans="1:15" x14ac:dyDescent="0.25">
      <c r="A28" s="1"/>
      <c r="B28" s="1" t="s">
        <v>25</v>
      </c>
      <c r="C28" s="7">
        <v>25</v>
      </c>
      <c r="D28" s="7">
        <v>25</v>
      </c>
      <c r="E28" s="7">
        <v>25</v>
      </c>
      <c r="F28" s="7">
        <v>25</v>
      </c>
      <c r="G28" s="7">
        <v>25</v>
      </c>
      <c r="H28" s="7"/>
      <c r="I28" s="7"/>
      <c r="J28" s="7"/>
      <c r="K28" s="7"/>
      <c r="L28" s="7"/>
      <c r="M28" s="7"/>
      <c r="N28" s="7"/>
      <c r="O28" s="7">
        <f t="shared" si="5"/>
        <v>125</v>
      </c>
    </row>
    <row r="29" spans="1:15" x14ac:dyDescent="0.25">
      <c r="A29" s="1"/>
      <c r="B29" s="1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5">
      <c r="A30" s="1"/>
      <c r="B30" s="1" t="s">
        <v>13</v>
      </c>
      <c r="C30" s="7">
        <f t="shared" ref="C30:D30" si="6">SUM(C26:C29)</f>
        <v>95</v>
      </c>
      <c r="D30" s="7">
        <f t="shared" si="6"/>
        <v>97.1</v>
      </c>
      <c r="E30" s="7">
        <f>SUM(E26:E29)</f>
        <v>97.9</v>
      </c>
      <c r="F30" s="7">
        <f>SUM(F26:F29)</f>
        <v>96.600000000000009</v>
      </c>
      <c r="G30" s="7">
        <f t="shared" ref="G30:N30" si="7">SUM(G26:G29)</f>
        <v>95.3</v>
      </c>
      <c r="H30" s="7">
        <f t="shared" si="7"/>
        <v>0</v>
      </c>
      <c r="I30" s="7">
        <f t="shared" si="7"/>
        <v>0</v>
      </c>
      <c r="J30" s="7">
        <f t="shared" si="7"/>
        <v>0</v>
      </c>
      <c r="K30" s="7">
        <f t="shared" si="7"/>
        <v>0</v>
      </c>
      <c r="L30" s="7">
        <f t="shared" si="7"/>
        <v>0</v>
      </c>
      <c r="M30" s="7">
        <f t="shared" si="7"/>
        <v>0</v>
      </c>
      <c r="N30" s="7">
        <f t="shared" si="7"/>
        <v>0</v>
      </c>
      <c r="O30" s="7">
        <f t="shared" ref="O30" si="8">SUM(C30:N30)</f>
        <v>481.90000000000003</v>
      </c>
    </row>
    <row r="31" spans="1:15" x14ac:dyDescent="0.25">
      <c r="A31" s="1"/>
      <c r="B31" s="1"/>
      <c r="C31" s="7">
        <v>700</v>
      </c>
      <c r="D31" s="7">
        <v>721</v>
      </c>
      <c r="E31" s="7">
        <v>729</v>
      </c>
      <c r="F31" s="7">
        <v>715</v>
      </c>
      <c r="G31" s="7">
        <v>703</v>
      </c>
      <c r="H31" s="7"/>
      <c r="I31" s="7"/>
      <c r="J31" s="7"/>
      <c r="K31" s="7"/>
      <c r="L31" s="7"/>
      <c r="M31" s="7"/>
      <c r="N31" s="7"/>
      <c r="O31" s="7">
        <f>SUM(C31:N31)</f>
        <v>3568</v>
      </c>
    </row>
    <row r="32" spans="1:15" x14ac:dyDescent="0.25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1"/>
      <c r="B33" s="1" t="s">
        <v>31</v>
      </c>
      <c r="C33" s="7">
        <f t="shared" ref="C33:N33" si="9">C16+C30+C23</f>
        <v>24128.360000000004</v>
      </c>
      <c r="D33" s="7">
        <f t="shared" si="9"/>
        <v>27319.119999999999</v>
      </c>
      <c r="E33" s="7">
        <f>E16+E30+E23</f>
        <v>29776.850000000002</v>
      </c>
      <c r="F33" s="7">
        <f t="shared" si="9"/>
        <v>24277.100000000002</v>
      </c>
      <c r="G33" s="7">
        <f t="shared" si="9"/>
        <v>27207.33</v>
      </c>
      <c r="H33" s="7">
        <f t="shared" si="9"/>
        <v>0</v>
      </c>
      <c r="I33" s="7">
        <f t="shared" si="9"/>
        <v>0</v>
      </c>
      <c r="J33" s="7">
        <f t="shared" si="9"/>
        <v>0</v>
      </c>
      <c r="K33" s="7">
        <f t="shared" si="9"/>
        <v>0</v>
      </c>
      <c r="L33" s="7">
        <f t="shared" si="9"/>
        <v>0</v>
      </c>
      <c r="M33" s="7">
        <f t="shared" si="9"/>
        <v>0</v>
      </c>
      <c r="N33" s="7">
        <f t="shared" si="9"/>
        <v>0</v>
      </c>
      <c r="O33" s="7">
        <f t="shared" ref="O33" si="10">SUM(C33:N33)</f>
        <v>132708.76</v>
      </c>
    </row>
    <row r="34" spans="1:15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Jackson</dc:creator>
  <cp:lastModifiedBy>Jennie Phelps</cp:lastModifiedBy>
  <cp:lastPrinted>2023-08-28T19:18:07Z</cp:lastPrinted>
  <dcterms:created xsi:type="dcterms:W3CDTF">2023-08-25T14:40:55Z</dcterms:created>
  <dcterms:modified xsi:type="dcterms:W3CDTF">2025-06-03T17:50:09Z</dcterms:modified>
</cp:coreProperties>
</file>