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Farmers/2025 COS and Rates 2025-00xxx/COS and Rates/"/>
    </mc:Choice>
  </mc:AlternateContent>
  <xr:revisionPtr revIDLastSave="33" documentId="8_{2D1ADBC1-9BF2-4573-99A2-B85175D2BE7E}" xr6:coauthVersionLast="47" xr6:coauthVersionMax="47" xr10:uidLastSave="{0AE73677-35D8-4EA3-84E4-0523E80B459D}"/>
  <bookViews>
    <workbookView xWindow="-135" yWindow="-135" windowWidth="29070" windowHeight="15750" activeTab="1" xr2:uid="{5A56C961-47FC-4CB4-AEDD-3C6FC9A16749}"/>
  </bookViews>
  <sheets>
    <sheet name="Summary" sheetId="2" r:id="rId1"/>
    <sheet name="Billing Detail" sheetId="1" r:id="rId2"/>
    <sheet name="Incr-R" sheetId="4" r:id="rId3"/>
    <sheet name="Notice Table" sheetId="3" r:id="rId4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1">'Billing Detail'!$A$1:$N$283</definedName>
    <definedName name="_xlnm.Print_Area" localSheetId="2">'Incr-R'!$A$1:$M$39</definedName>
    <definedName name="_xlnm.Print_Area" localSheetId="3">'Notice Table'!$A$1:$G$144</definedName>
    <definedName name="_xlnm.Print_Area" localSheetId="0">Summary!$A$1:$H$25</definedName>
    <definedName name="_xlnm.Print_Titles" localSheetId="1">'Billing Detail'!$1:$5</definedName>
    <definedName name="_xlnm.Print_Titles" localSheetId="2">'Incr-R'!$1:$1</definedName>
    <definedName name="_xlnm.Print_Titles" localSheetId="3">'Notice Table'!$1:$4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2" i="1" l="1"/>
  <c r="E137" i="3"/>
  <c r="E146" i="1"/>
  <c r="E139" i="3"/>
  <c r="E136" i="3"/>
  <c r="E135" i="3"/>
  <c r="E134" i="3"/>
  <c r="E133" i="3"/>
  <c r="E132" i="3"/>
  <c r="E131" i="3"/>
  <c r="E130" i="3"/>
  <c r="E129" i="3"/>
  <c r="E128" i="3"/>
  <c r="F140" i="3" l="1"/>
  <c r="C19" i="2"/>
  <c r="C140" i="3" s="1"/>
  <c r="B19" i="2"/>
  <c r="D140" i="3" s="1"/>
  <c r="A20" i="2"/>
  <c r="A21" i="2" s="1"/>
  <c r="A22" i="2" s="1"/>
  <c r="A23" i="2" s="1"/>
  <c r="A24" i="2" s="1"/>
  <c r="A25" i="2" s="1"/>
  <c r="A19" i="2"/>
  <c r="F49" i="3"/>
  <c r="E49" i="3"/>
  <c r="D48" i="3"/>
  <c r="C48" i="3"/>
  <c r="O176" i="1"/>
  <c r="K176" i="1" s="1"/>
  <c r="G49" i="3" s="1"/>
  <c r="G211" i="1"/>
  <c r="G212" i="1"/>
  <c r="D120" i="3" l="1"/>
  <c r="C120" i="3"/>
  <c r="H49" i="3"/>
  <c r="I49" i="3" s="1"/>
  <c r="J181" i="1" l="1"/>
  <c r="L181" i="1" s="1"/>
  <c r="J180" i="1"/>
  <c r="L180" i="1" s="1"/>
  <c r="M180" i="1" s="1"/>
  <c r="J179" i="1"/>
  <c r="L179" i="1" s="1"/>
  <c r="M179" i="1" s="1"/>
  <c r="J178" i="1"/>
  <c r="S176" i="1"/>
  <c r="H176" i="1"/>
  <c r="J176" i="1" s="1"/>
  <c r="J177" i="1" s="1"/>
  <c r="G176" i="1"/>
  <c r="G177" i="1" s="1"/>
  <c r="F137" i="3"/>
  <c r="F141" i="3"/>
  <c r="L176" i="1" l="1"/>
  <c r="M176" i="1" s="1"/>
  <c r="N176" i="1" s="1"/>
  <c r="P176" i="1"/>
  <c r="G182" i="1"/>
  <c r="G183" i="1" s="1"/>
  <c r="J182" i="1"/>
  <c r="J183" i="1" s="1"/>
  <c r="D19" i="2" s="1"/>
  <c r="L178" i="1"/>
  <c r="F18" i="3"/>
  <c r="E18" i="3"/>
  <c r="D17" i="3"/>
  <c r="C17" i="3"/>
  <c r="K330" i="1"/>
  <c r="K332" i="1"/>
  <c r="K331" i="1"/>
  <c r="L177" i="1" l="1"/>
  <c r="L182" i="1"/>
  <c r="M178" i="1"/>
  <c r="M177" i="1"/>
  <c r="N177" i="1" s="1"/>
  <c r="I291" i="1"/>
  <c r="K291" i="1" s="1"/>
  <c r="C69" i="3"/>
  <c r="D69" i="3"/>
  <c r="C73" i="3"/>
  <c r="D73" i="3"/>
  <c r="C77" i="3"/>
  <c r="D77" i="3"/>
  <c r="C81" i="3"/>
  <c r="D81" i="3"/>
  <c r="C86" i="3"/>
  <c r="D86" i="3"/>
  <c r="C91" i="3"/>
  <c r="D91" i="3"/>
  <c r="C96" i="3"/>
  <c r="D96" i="3"/>
  <c r="E97" i="3"/>
  <c r="F97" i="3"/>
  <c r="E98" i="3"/>
  <c r="F98" i="3"/>
  <c r="E99" i="3"/>
  <c r="F99" i="3"/>
  <c r="E100" i="3"/>
  <c r="F100" i="3"/>
  <c r="E88" i="3"/>
  <c r="F88" i="3"/>
  <c r="E89" i="3"/>
  <c r="F89" i="3"/>
  <c r="E90" i="3"/>
  <c r="F90" i="3"/>
  <c r="E92" i="3"/>
  <c r="F92" i="3"/>
  <c r="E93" i="3"/>
  <c r="F93" i="3"/>
  <c r="E94" i="3"/>
  <c r="F94" i="3"/>
  <c r="E95" i="3"/>
  <c r="F95" i="3"/>
  <c r="E67" i="3"/>
  <c r="F67" i="3"/>
  <c r="G67" i="3"/>
  <c r="E68" i="3"/>
  <c r="F68" i="3"/>
  <c r="E70" i="3"/>
  <c r="F70" i="3"/>
  <c r="E71" i="3"/>
  <c r="F71" i="3"/>
  <c r="E72" i="3"/>
  <c r="F72" i="3"/>
  <c r="E74" i="3"/>
  <c r="F74" i="3"/>
  <c r="E75" i="3"/>
  <c r="F75" i="3"/>
  <c r="G75" i="3"/>
  <c r="E76" i="3"/>
  <c r="F76" i="3"/>
  <c r="E78" i="3"/>
  <c r="F78" i="3"/>
  <c r="E79" i="3"/>
  <c r="F79" i="3"/>
  <c r="E80" i="3"/>
  <c r="F80" i="3"/>
  <c r="E82" i="3"/>
  <c r="F82" i="3"/>
  <c r="E83" i="3"/>
  <c r="F83" i="3"/>
  <c r="G83" i="3"/>
  <c r="E84" i="3"/>
  <c r="F84" i="3"/>
  <c r="E85" i="3"/>
  <c r="F85" i="3"/>
  <c r="E87" i="3"/>
  <c r="F87" i="3"/>
  <c r="F66" i="3"/>
  <c r="E66" i="3"/>
  <c r="D65" i="3"/>
  <c r="C65" i="3"/>
  <c r="K326" i="1"/>
  <c r="G98" i="3" s="1"/>
  <c r="K321" i="1"/>
  <c r="G93" i="3" s="1"/>
  <c r="K316" i="1"/>
  <c r="K307" i="1"/>
  <c r="G79" i="3" s="1"/>
  <c r="K299" i="1"/>
  <c r="G71" i="3" s="1"/>
  <c r="K328" i="1"/>
  <c r="G100" i="3" s="1"/>
  <c r="K327" i="1"/>
  <c r="G99" i="3" s="1"/>
  <c r="K325" i="1"/>
  <c r="G97" i="3" s="1"/>
  <c r="K323" i="1"/>
  <c r="G95" i="3" s="1"/>
  <c r="K322" i="1"/>
  <c r="G94" i="3" s="1"/>
  <c r="K320" i="1"/>
  <c r="G92" i="3" s="1"/>
  <c r="K318" i="1"/>
  <c r="G90" i="3" s="1"/>
  <c r="K317" i="1"/>
  <c r="G89" i="3" s="1"/>
  <c r="K315" i="1"/>
  <c r="G87" i="3" s="1"/>
  <c r="K313" i="1"/>
  <c r="G85" i="3" s="1"/>
  <c r="K312" i="1"/>
  <c r="G84" i="3" s="1"/>
  <c r="K310" i="1"/>
  <c r="G82" i="3" s="1"/>
  <c r="K308" i="1"/>
  <c r="G80" i="3" s="1"/>
  <c r="H80" i="3" s="1"/>
  <c r="I80" i="3" s="1"/>
  <c r="K306" i="1"/>
  <c r="G78" i="3" s="1"/>
  <c r="K304" i="1"/>
  <c r="G76" i="3" s="1"/>
  <c r="K302" i="1"/>
  <c r="G74" i="3" s="1"/>
  <c r="K300" i="1"/>
  <c r="G72" i="3" s="1"/>
  <c r="K298" i="1"/>
  <c r="G70" i="3" s="1"/>
  <c r="K296" i="1"/>
  <c r="G68" i="3" s="1"/>
  <c r="K294" i="1"/>
  <c r="G66" i="3" s="1"/>
  <c r="H78" i="3" l="1"/>
  <c r="I78" i="3" s="1"/>
  <c r="H98" i="3"/>
  <c r="I98" i="3" s="1"/>
  <c r="M182" i="1"/>
  <c r="N182" i="1" s="1"/>
  <c r="L183" i="1"/>
  <c r="E19" i="2" s="1"/>
  <c r="H89" i="3"/>
  <c r="I89" i="3" s="1"/>
  <c r="H87" i="3"/>
  <c r="I87" i="3" s="1"/>
  <c r="H85" i="3"/>
  <c r="I85" i="3" s="1"/>
  <c r="H71" i="3"/>
  <c r="I71" i="3" s="1"/>
  <c r="H90" i="3"/>
  <c r="I90" i="3" s="1"/>
  <c r="H99" i="3"/>
  <c r="I99" i="3" s="1"/>
  <c r="G88" i="3"/>
  <c r="H88" i="3" s="1"/>
  <c r="I88" i="3" s="1"/>
  <c r="H100" i="3"/>
  <c r="I100" i="3" s="1"/>
  <c r="H95" i="3"/>
  <c r="I95" i="3" s="1"/>
  <c r="H82" i="3"/>
  <c r="I82" i="3" s="1"/>
  <c r="H79" i="3"/>
  <c r="I79" i="3" s="1"/>
  <c r="H70" i="3"/>
  <c r="I70" i="3" s="1"/>
  <c r="H76" i="3"/>
  <c r="I76" i="3" s="1"/>
  <c r="H97" i="3"/>
  <c r="I97" i="3" s="1"/>
  <c r="H74" i="3"/>
  <c r="I74" i="3" s="1"/>
  <c r="H68" i="3"/>
  <c r="I68" i="3" s="1"/>
  <c r="H66" i="3"/>
  <c r="I66" i="3" s="1"/>
  <c r="H72" i="3"/>
  <c r="I72" i="3" s="1"/>
  <c r="H67" i="3"/>
  <c r="I67" i="3" s="1"/>
  <c r="H92" i="3"/>
  <c r="I92" i="3" s="1"/>
  <c r="H83" i="3"/>
  <c r="I83" i="3" s="1"/>
  <c r="H93" i="3"/>
  <c r="I93" i="3" s="1"/>
  <c r="H84" i="3"/>
  <c r="I84" i="3" s="1"/>
  <c r="H75" i="3"/>
  <c r="I75" i="3" s="1"/>
  <c r="H94" i="3"/>
  <c r="I94" i="3" s="1"/>
  <c r="M183" i="1" l="1"/>
  <c r="F19" i="2" s="1"/>
  <c r="F120" i="3" s="1"/>
  <c r="K287" i="1"/>
  <c r="I287" i="1"/>
  <c r="K58" i="1"/>
  <c r="H7" i="4"/>
  <c r="H16" i="4" s="1"/>
  <c r="E7" i="4"/>
  <c r="E8" i="4" s="1"/>
  <c r="A1" i="4"/>
  <c r="C10" i="4"/>
  <c r="C11" i="4" s="1"/>
  <c r="C12" i="4" s="1"/>
  <c r="C9" i="4"/>
  <c r="N183" i="1" l="1"/>
  <c r="H39" i="4"/>
  <c r="H24" i="4"/>
  <c r="H32" i="4"/>
  <c r="H8" i="4"/>
  <c r="H37" i="4"/>
  <c r="E9" i="4"/>
  <c r="C13" i="4"/>
  <c r="E12" i="4"/>
  <c r="H27" i="4"/>
  <c r="H35" i="4"/>
  <c r="H14" i="4"/>
  <c r="H22" i="4"/>
  <c r="H30" i="4"/>
  <c r="H38" i="4"/>
  <c r="H11" i="4"/>
  <c r="H19" i="4"/>
  <c r="H9" i="4"/>
  <c r="H25" i="4"/>
  <c r="E10" i="4"/>
  <c r="H17" i="4"/>
  <c r="H33" i="4"/>
  <c r="H12" i="4"/>
  <c r="E13" i="4"/>
  <c r="H20" i="4"/>
  <c r="H28" i="4"/>
  <c r="H36" i="4"/>
  <c r="H15" i="4"/>
  <c r="H10" i="4"/>
  <c r="E11" i="4"/>
  <c r="H18" i="4"/>
  <c r="H26" i="4"/>
  <c r="H34" i="4"/>
  <c r="H23" i="4"/>
  <c r="H31" i="4"/>
  <c r="H13" i="4"/>
  <c r="H21" i="4"/>
  <c r="H29" i="4"/>
  <c r="C14" i="4" l="1"/>
  <c r="C15" i="4" l="1"/>
  <c r="E14" i="4"/>
  <c r="C16" i="4" l="1"/>
  <c r="E15" i="4"/>
  <c r="E16" i="4" l="1"/>
  <c r="C17" i="4"/>
  <c r="C18" i="4" l="1"/>
  <c r="E17" i="4"/>
  <c r="C19" i="4" l="1"/>
  <c r="E18" i="4"/>
  <c r="C20" i="4" l="1"/>
  <c r="E19" i="4"/>
  <c r="E20" i="4" l="1"/>
  <c r="C21" i="4"/>
  <c r="C22" i="4" l="1"/>
  <c r="E21" i="4"/>
  <c r="C23" i="4" l="1"/>
  <c r="E22" i="4"/>
  <c r="C24" i="4" l="1"/>
  <c r="E23" i="4"/>
  <c r="C25" i="4" l="1"/>
  <c r="E24" i="4"/>
  <c r="E25" i="4" l="1"/>
  <c r="C26" i="4"/>
  <c r="C27" i="4" l="1"/>
  <c r="E26" i="4"/>
  <c r="C28" i="4" l="1"/>
  <c r="E27" i="4"/>
  <c r="C29" i="4" l="1"/>
  <c r="E28" i="4"/>
  <c r="C30" i="4" l="1"/>
  <c r="E29" i="4"/>
  <c r="C31" i="4" l="1"/>
  <c r="E30" i="4"/>
  <c r="C32" i="4" l="1"/>
  <c r="E31" i="4"/>
  <c r="C33" i="4" l="1"/>
  <c r="E32" i="4"/>
  <c r="C34" i="4" l="1"/>
  <c r="E33" i="4"/>
  <c r="C35" i="4" l="1"/>
  <c r="E34" i="4"/>
  <c r="C36" i="4" l="1"/>
  <c r="E35" i="4"/>
  <c r="C37" i="4" l="1"/>
  <c r="E36" i="4"/>
  <c r="C38" i="4" l="1"/>
  <c r="E37" i="4"/>
  <c r="E38" i="4" l="1"/>
  <c r="K9" i="1" l="1"/>
  <c r="C50" i="3"/>
  <c r="C20" i="2"/>
  <c r="K20" i="1"/>
  <c r="C141" i="3" l="1"/>
  <c r="C121" i="3"/>
  <c r="K34" i="1"/>
  <c r="I7" i="4"/>
  <c r="K33" i="1"/>
  <c r="I8" i="4" l="1"/>
  <c r="I10" i="4"/>
  <c r="I11" i="4"/>
  <c r="I9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K186" i="1"/>
  <c r="O187" i="1"/>
  <c r="K187" i="1" s="1"/>
  <c r="O188" i="1" l="1"/>
  <c r="H159" i="1"/>
  <c r="H34" i="1"/>
  <c r="H33" i="1"/>
  <c r="H46" i="1"/>
  <c r="H45" i="1"/>
  <c r="H58" i="1"/>
  <c r="H57" i="1"/>
  <c r="H9" i="1"/>
  <c r="H8" i="1"/>
  <c r="K188" i="1" l="1"/>
  <c r="O189" i="1"/>
  <c r="L58" i="1"/>
  <c r="L34" i="1"/>
  <c r="L33" i="1"/>
  <c r="L9" i="1"/>
  <c r="L8" i="1"/>
  <c r="J139" i="1"/>
  <c r="J140" i="1"/>
  <c r="H135" i="1"/>
  <c r="H136" i="1"/>
  <c r="J136" i="1" s="1"/>
  <c r="H137" i="1"/>
  <c r="J137" i="1" s="1"/>
  <c r="H134" i="1"/>
  <c r="J167" i="1"/>
  <c r="J73" i="1"/>
  <c r="J24" i="1"/>
  <c r="J125" i="1"/>
  <c r="J112" i="1"/>
  <c r="J99" i="1"/>
  <c r="J86" i="1"/>
  <c r="J60" i="1"/>
  <c r="J48" i="1"/>
  <c r="J36" i="1"/>
  <c r="J11" i="1"/>
  <c r="J151" i="1"/>
  <c r="J150" i="1"/>
  <c r="J58" i="1"/>
  <c r="J46" i="1"/>
  <c r="J34" i="1"/>
  <c r="J9" i="1"/>
  <c r="H187" i="1"/>
  <c r="L187" i="1" s="1"/>
  <c r="H188" i="1"/>
  <c r="J188" i="1" s="1"/>
  <c r="H189" i="1"/>
  <c r="J189" i="1" s="1"/>
  <c r="H190" i="1"/>
  <c r="J190" i="1" s="1"/>
  <c r="H191" i="1"/>
  <c r="J191" i="1" s="1"/>
  <c r="H192" i="1"/>
  <c r="J192" i="1" s="1"/>
  <c r="H193" i="1"/>
  <c r="J193" i="1" s="1"/>
  <c r="H194" i="1"/>
  <c r="J194" i="1" s="1"/>
  <c r="H195" i="1"/>
  <c r="J195" i="1" s="1"/>
  <c r="N195" i="1" s="1"/>
  <c r="H196" i="1"/>
  <c r="J196" i="1" s="1"/>
  <c r="H197" i="1"/>
  <c r="J197" i="1" s="1"/>
  <c r="H198" i="1"/>
  <c r="J198" i="1" s="1"/>
  <c r="H199" i="1"/>
  <c r="J199" i="1" s="1"/>
  <c r="H186" i="1"/>
  <c r="L186" i="1" s="1"/>
  <c r="H165" i="1"/>
  <c r="J165" i="1" s="1"/>
  <c r="H164" i="1"/>
  <c r="J164" i="1" s="1"/>
  <c r="H163" i="1"/>
  <c r="H162" i="1"/>
  <c r="H123" i="1"/>
  <c r="J123" i="1" s="1"/>
  <c r="H122" i="1"/>
  <c r="H121" i="1"/>
  <c r="H110" i="1"/>
  <c r="J110" i="1" s="1"/>
  <c r="H109" i="1"/>
  <c r="H108" i="1"/>
  <c r="H97" i="1"/>
  <c r="J97" i="1" s="1"/>
  <c r="H96" i="1"/>
  <c r="H95" i="1"/>
  <c r="H84" i="1"/>
  <c r="J84" i="1" s="1"/>
  <c r="H83" i="1"/>
  <c r="H82" i="1"/>
  <c r="H92" i="1" s="1"/>
  <c r="H71" i="1"/>
  <c r="H70" i="1"/>
  <c r="J70" i="1" s="1"/>
  <c r="H69" i="1"/>
  <c r="H22" i="1"/>
  <c r="J22" i="1" s="1"/>
  <c r="H21" i="1"/>
  <c r="J21" i="1" s="1"/>
  <c r="H20" i="1"/>
  <c r="L20" i="1" s="1"/>
  <c r="H14" i="1"/>
  <c r="H17" i="1"/>
  <c r="H66" i="1"/>
  <c r="H54" i="1"/>
  <c r="H42" i="1"/>
  <c r="F60" i="3"/>
  <c r="E60" i="3"/>
  <c r="J204" i="1"/>
  <c r="J203" i="1"/>
  <c r="J202" i="1"/>
  <c r="J170" i="1"/>
  <c r="J169" i="1"/>
  <c r="J168" i="1"/>
  <c r="J128" i="1"/>
  <c r="J127" i="1"/>
  <c r="J126" i="1"/>
  <c r="J115" i="1"/>
  <c r="J114" i="1"/>
  <c r="J113" i="1"/>
  <c r="J102" i="1"/>
  <c r="J101" i="1"/>
  <c r="J100" i="1"/>
  <c r="J89" i="1"/>
  <c r="J88" i="1"/>
  <c r="J87" i="1"/>
  <c r="J76" i="1"/>
  <c r="J75" i="1"/>
  <c r="J74" i="1"/>
  <c r="J63" i="1"/>
  <c r="J62" i="1"/>
  <c r="J61" i="1"/>
  <c r="J51" i="1"/>
  <c r="J50" i="1"/>
  <c r="J49" i="1"/>
  <c r="J39" i="1"/>
  <c r="J38" i="1"/>
  <c r="J37" i="1"/>
  <c r="J27" i="1"/>
  <c r="J26" i="1"/>
  <c r="J25" i="1"/>
  <c r="J12" i="1"/>
  <c r="J13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186" i="1"/>
  <c r="S165" i="1"/>
  <c r="S164" i="1"/>
  <c r="S151" i="1"/>
  <c r="S150" i="1"/>
  <c r="S137" i="1"/>
  <c r="S136" i="1"/>
  <c r="S123" i="1"/>
  <c r="S110" i="1"/>
  <c r="S97" i="1"/>
  <c r="S84" i="1"/>
  <c r="S70" i="1"/>
  <c r="S58" i="1"/>
  <c r="S46" i="1"/>
  <c r="S22" i="1"/>
  <c r="S21" i="1"/>
  <c r="S9" i="1"/>
  <c r="I163" i="1"/>
  <c r="K163" i="1" s="1"/>
  <c r="I162" i="1"/>
  <c r="I149" i="1"/>
  <c r="J149" i="1" s="1"/>
  <c r="I148" i="1"/>
  <c r="K148" i="1" s="1"/>
  <c r="L148" i="1" s="1"/>
  <c r="I135" i="1"/>
  <c r="J135" i="1" s="1"/>
  <c r="I134" i="1"/>
  <c r="K134" i="1" s="1"/>
  <c r="I122" i="1"/>
  <c r="K122" i="1" s="1"/>
  <c r="I121" i="1"/>
  <c r="I109" i="1"/>
  <c r="K109" i="1" s="1"/>
  <c r="I108" i="1"/>
  <c r="I96" i="1"/>
  <c r="K96" i="1" s="1"/>
  <c r="I95" i="1"/>
  <c r="K95" i="1" s="1"/>
  <c r="I83" i="1"/>
  <c r="K83" i="1" s="1"/>
  <c r="L83" i="1" s="1"/>
  <c r="I71" i="1"/>
  <c r="K71" i="1" s="1"/>
  <c r="I69" i="1"/>
  <c r="K69" i="1" s="1"/>
  <c r="I57" i="1"/>
  <c r="I45" i="1"/>
  <c r="K45" i="1" s="1"/>
  <c r="L45" i="1" s="1"/>
  <c r="I20" i="1"/>
  <c r="J20" i="1" s="1"/>
  <c r="I8" i="1"/>
  <c r="D7" i="4" s="1"/>
  <c r="K165" i="1"/>
  <c r="K164" i="1"/>
  <c r="K151" i="1"/>
  <c r="L151" i="1" s="1"/>
  <c r="K150" i="1"/>
  <c r="L150" i="1" s="1"/>
  <c r="K137" i="1"/>
  <c r="K136" i="1"/>
  <c r="L136" i="1" s="1"/>
  <c r="K123" i="1"/>
  <c r="K110" i="1"/>
  <c r="K97" i="1"/>
  <c r="K84" i="1"/>
  <c r="L84" i="1" s="1"/>
  <c r="K70" i="1"/>
  <c r="K22" i="1"/>
  <c r="K21" i="1"/>
  <c r="G14" i="1"/>
  <c r="G195" i="1"/>
  <c r="F82" i="1"/>
  <c r="I82" i="1" s="1"/>
  <c r="K82" i="1" s="1"/>
  <c r="F33" i="1"/>
  <c r="I33" i="1" s="1"/>
  <c r="J33" i="1" s="1"/>
  <c r="I23" i="1"/>
  <c r="J212" i="1" l="1"/>
  <c r="J121" i="1"/>
  <c r="L69" i="1"/>
  <c r="K135" i="1"/>
  <c r="L135" i="1" s="1"/>
  <c r="L163" i="1"/>
  <c r="J14" i="1"/>
  <c r="L122" i="1"/>
  <c r="L82" i="1"/>
  <c r="L71" i="1"/>
  <c r="L134" i="1"/>
  <c r="L110" i="1"/>
  <c r="K121" i="1"/>
  <c r="L121" i="1" s="1"/>
  <c r="H118" i="1"/>
  <c r="L21" i="1"/>
  <c r="L164" i="1"/>
  <c r="L96" i="1"/>
  <c r="J148" i="1"/>
  <c r="L123" i="1"/>
  <c r="L95" i="1"/>
  <c r="L70" i="1"/>
  <c r="J108" i="1"/>
  <c r="L137" i="1"/>
  <c r="K149" i="1"/>
  <c r="L149" i="1" s="1"/>
  <c r="H131" i="1"/>
  <c r="J162" i="1"/>
  <c r="K108" i="1"/>
  <c r="L108" i="1" s="1"/>
  <c r="K57" i="1"/>
  <c r="L57" i="1" s="1"/>
  <c r="J109" i="1"/>
  <c r="J69" i="1"/>
  <c r="L109" i="1"/>
  <c r="H105" i="1"/>
  <c r="K46" i="1"/>
  <c r="L46" i="1" s="1"/>
  <c r="G18" i="3"/>
  <c r="H18" i="3" s="1"/>
  <c r="I18" i="3" s="1"/>
  <c r="L165" i="1"/>
  <c r="J45" i="1"/>
  <c r="S149" i="1"/>
  <c r="J186" i="1"/>
  <c r="J82" i="1"/>
  <c r="H30" i="1"/>
  <c r="J8" i="1"/>
  <c r="J83" i="1"/>
  <c r="J122" i="1"/>
  <c r="L22" i="1"/>
  <c r="H173" i="1"/>
  <c r="J57" i="1"/>
  <c r="J95" i="1"/>
  <c r="J28" i="1"/>
  <c r="L97" i="1"/>
  <c r="D12" i="4"/>
  <c r="D13" i="4"/>
  <c r="D15" i="4"/>
  <c r="D16" i="4"/>
  <c r="D25" i="4"/>
  <c r="D29" i="4"/>
  <c r="D10" i="4"/>
  <c r="D9" i="4"/>
  <c r="D26" i="4"/>
  <c r="D28" i="4"/>
  <c r="D33" i="4"/>
  <c r="D34" i="4"/>
  <c r="D38" i="4"/>
  <c r="D11" i="4"/>
  <c r="D24" i="4"/>
  <c r="D17" i="4"/>
  <c r="D35" i="4"/>
  <c r="D19" i="4"/>
  <c r="D23" i="4"/>
  <c r="D37" i="4"/>
  <c r="D14" i="4"/>
  <c r="D20" i="4"/>
  <c r="D36" i="4"/>
  <c r="D8" i="4"/>
  <c r="D32" i="4"/>
  <c r="D21" i="4"/>
  <c r="D31" i="4"/>
  <c r="D27" i="4"/>
  <c r="D18" i="4"/>
  <c r="D22" i="4"/>
  <c r="D39" i="4"/>
  <c r="D30" i="4"/>
  <c r="J163" i="1"/>
  <c r="J187" i="1"/>
  <c r="K162" i="1"/>
  <c r="L162" i="1" s="1"/>
  <c r="J96" i="1"/>
  <c r="H79" i="1"/>
  <c r="J134" i="1"/>
  <c r="J71" i="1"/>
  <c r="L188" i="1"/>
  <c r="O190" i="1"/>
  <c r="K189" i="1"/>
  <c r="L189" i="1" s="1"/>
  <c r="H145" i="1"/>
  <c r="S83" i="1"/>
  <c r="O191" i="1" l="1"/>
  <c r="K190" i="1"/>
  <c r="L190" i="1" s="1"/>
  <c r="G165" i="1"/>
  <c r="G164" i="1"/>
  <c r="G163" i="1"/>
  <c r="G162" i="1"/>
  <c r="G151" i="1"/>
  <c r="G150" i="1"/>
  <c r="G149" i="1"/>
  <c r="G148" i="1"/>
  <c r="G142" i="1"/>
  <c r="G214" i="1" s="1"/>
  <c r="G141" i="1"/>
  <c r="G213" i="1" s="1"/>
  <c r="G137" i="1"/>
  <c r="G136" i="1"/>
  <c r="G135" i="1"/>
  <c r="G134" i="1"/>
  <c r="G123" i="1"/>
  <c r="G122" i="1"/>
  <c r="G121" i="1"/>
  <c r="G110" i="1"/>
  <c r="G109" i="1"/>
  <c r="G108" i="1"/>
  <c r="G97" i="1"/>
  <c r="G96" i="1"/>
  <c r="G95" i="1"/>
  <c r="G84" i="1"/>
  <c r="G83" i="1"/>
  <c r="G82" i="1"/>
  <c r="G71" i="1"/>
  <c r="G70" i="1"/>
  <c r="G69" i="1"/>
  <c r="G58" i="1"/>
  <c r="G57" i="1"/>
  <c r="G46" i="1"/>
  <c r="G45" i="1"/>
  <c r="G22" i="1"/>
  <c r="G21" i="1"/>
  <c r="G20" i="1"/>
  <c r="G9" i="1"/>
  <c r="G8" i="1"/>
  <c r="G187" i="1"/>
  <c r="G188" i="1"/>
  <c r="G189" i="1"/>
  <c r="G190" i="1"/>
  <c r="G191" i="1"/>
  <c r="G192" i="1"/>
  <c r="G193" i="1"/>
  <c r="G194" i="1"/>
  <c r="G196" i="1"/>
  <c r="G197" i="1"/>
  <c r="G198" i="1"/>
  <c r="G199" i="1"/>
  <c r="G186" i="1"/>
  <c r="J141" i="1" l="1"/>
  <c r="J213" i="1" s="1"/>
  <c r="J142" i="1"/>
  <c r="J214" i="1" s="1"/>
  <c r="O192" i="1"/>
  <c r="K191" i="1"/>
  <c r="L191" i="1" s="1"/>
  <c r="G205" i="1"/>
  <c r="G171" i="1"/>
  <c r="G157" i="1"/>
  <c r="G152" i="1"/>
  <c r="G143" i="1"/>
  <c r="G129" i="1"/>
  <c r="G116" i="1"/>
  <c r="G111" i="1"/>
  <c r="G103" i="1"/>
  <c r="G98" i="1"/>
  <c r="G90" i="1"/>
  <c r="G85" i="1"/>
  <c r="G77" i="1"/>
  <c r="G64" i="1"/>
  <c r="G59" i="1"/>
  <c r="G52" i="1"/>
  <c r="G47" i="1"/>
  <c r="G40" i="1"/>
  <c r="F34" i="1"/>
  <c r="G33" i="1"/>
  <c r="G28" i="1"/>
  <c r="F23" i="1"/>
  <c r="G23" i="1"/>
  <c r="G15" i="1"/>
  <c r="O193" i="1" l="1"/>
  <c r="K192" i="1"/>
  <c r="L192" i="1" s="1"/>
  <c r="G34" i="1"/>
  <c r="S34" i="1"/>
  <c r="G104" i="1"/>
  <c r="G105" i="1" s="1"/>
  <c r="G117" i="1"/>
  <c r="G118" i="1" s="1"/>
  <c r="G65" i="1"/>
  <c r="G66" i="1" s="1"/>
  <c r="G29" i="1"/>
  <c r="G30" i="1" s="1"/>
  <c r="G10" i="1"/>
  <c r="G91" i="1"/>
  <c r="G92" i="1" s="1"/>
  <c r="G53" i="1"/>
  <c r="G54" i="1" s="1"/>
  <c r="G158" i="1"/>
  <c r="G159" i="1" s="1"/>
  <c r="G72" i="1"/>
  <c r="G78" i="1" s="1"/>
  <c r="G79" i="1" s="1"/>
  <c r="G35" i="1"/>
  <c r="G41" i="1" s="1"/>
  <c r="G42" i="1" s="1"/>
  <c r="G124" i="1"/>
  <c r="G130" i="1" s="1"/>
  <c r="G131" i="1" s="1"/>
  <c r="G166" i="1"/>
  <c r="G172" i="1" s="1"/>
  <c r="G173" i="1" s="1"/>
  <c r="G200" i="1"/>
  <c r="G215" i="1"/>
  <c r="G138" i="1"/>
  <c r="G144" i="1" s="1"/>
  <c r="G145" i="1" s="1"/>
  <c r="G210" i="1" l="1"/>
  <c r="G216" i="1" s="1"/>
  <c r="G16" i="1"/>
  <c r="G17" i="1" s="1"/>
  <c r="O194" i="1"/>
  <c r="K193" i="1"/>
  <c r="L193" i="1" s="1"/>
  <c r="G206" i="1"/>
  <c r="O195" i="1" l="1"/>
  <c r="K194" i="1"/>
  <c r="L194" i="1" s="1"/>
  <c r="M218" i="1"/>
  <c r="H96" i="2"/>
  <c r="H95" i="2"/>
  <c r="H94" i="2"/>
  <c r="L24" i="1"/>
  <c r="O196" i="1" l="1"/>
  <c r="K195" i="1"/>
  <c r="L14" i="1"/>
  <c r="P195" i="1" l="1"/>
  <c r="L195" i="1"/>
  <c r="M195" i="1" s="1"/>
  <c r="G60" i="3"/>
  <c r="H60" i="3" s="1"/>
  <c r="I60" i="3" s="1"/>
  <c r="O197" i="1"/>
  <c r="K196" i="1"/>
  <c r="L196" i="1" s="1"/>
  <c r="O198" i="1" l="1"/>
  <c r="K197" i="1"/>
  <c r="L197" i="1" s="1"/>
  <c r="C16" i="2"/>
  <c r="B16" i="2"/>
  <c r="D117" i="3" l="1"/>
  <c r="D137" i="3"/>
  <c r="C137" i="3"/>
  <c r="C117" i="3"/>
  <c r="O199" i="1"/>
  <c r="K199" i="1" s="1"/>
  <c r="L199" i="1" s="1"/>
  <c r="K198" i="1"/>
  <c r="L198" i="1" s="1"/>
  <c r="E145" i="1"/>
  <c r="L142" i="1"/>
  <c r="L141" i="1"/>
  <c r="L140" i="1"/>
  <c r="L139" i="1"/>
  <c r="M139" i="1" l="1"/>
  <c r="M140" i="1"/>
  <c r="M141" i="1"/>
  <c r="L143" i="1"/>
  <c r="J143" i="1"/>
  <c r="M143" i="1" l="1"/>
  <c r="N143" i="1" s="1"/>
  <c r="E45" i="3" l="1"/>
  <c r="F45" i="3"/>
  <c r="E46" i="3"/>
  <c r="F46" i="3"/>
  <c r="E47" i="3"/>
  <c r="F47" i="3"/>
  <c r="F44" i="3"/>
  <c r="E44" i="3"/>
  <c r="N162" i="1" l="1"/>
  <c r="E105" i="1" l="1"/>
  <c r="E173" i="1"/>
  <c r="E159" i="1"/>
  <c r="E131" i="1"/>
  <c r="E118" i="1"/>
  <c r="E92" i="1"/>
  <c r="E79" i="1"/>
  <c r="E66" i="1"/>
  <c r="E54" i="1"/>
  <c r="E42" i="1"/>
  <c r="E30" i="1"/>
  <c r="E17" i="1" l="1"/>
  <c r="E127" i="3" l="1"/>
  <c r="C39" i="4"/>
  <c r="E52" i="3"/>
  <c r="F52" i="3"/>
  <c r="E53" i="3"/>
  <c r="F53" i="3"/>
  <c r="E54" i="3"/>
  <c r="F54" i="3"/>
  <c r="E55" i="3"/>
  <c r="F55" i="3"/>
  <c r="E56" i="3"/>
  <c r="F56" i="3"/>
  <c r="E57" i="3"/>
  <c r="F57" i="3"/>
  <c r="E58" i="3"/>
  <c r="F58" i="3"/>
  <c r="E59" i="3"/>
  <c r="F59" i="3"/>
  <c r="E61" i="3"/>
  <c r="F61" i="3"/>
  <c r="E62" i="3"/>
  <c r="F62" i="3"/>
  <c r="E63" i="3"/>
  <c r="F63" i="3"/>
  <c r="E64" i="3"/>
  <c r="F64" i="3"/>
  <c r="F51" i="3"/>
  <c r="E51" i="3"/>
  <c r="D50" i="3"/>
  <c r="C43" i="3"/>
  <c r="D43" i="3"/>
  <c r="E40" i="3"/>
  <c r="F40" i="3"/>
  <c r="E41" i="3"/>
  <c r="F41" i="3"/>
  <c r="E42" i="3"/>
  <c r="F42" i="3"/>
  <c r="F39" i="3"/>
  <c r="E39" i="3"/>
  <c r="C38" i="3"/>
  <c r="D38" i="3"/>
  <c r="E36" i="3"/>
  <c r="F36" i="3"/>
  <c r="E37" i="3"/>
  <c r="F37" i="3"/>
  <c r="F35" i="3"/>
  <c r="E35" i="3"/>
  <c r="C34" i="3"/>
  <c r="D34" i="3"/>
  <c r="E32" i="3"/>
  <c r="F32" i="3"/>
  <c r="E33" i="3"/>
  <c r="F33" i="3"/>
  <c r="F31" i="3"/>
  <c r="E31" i="3"/>
  <c r="C30" i="3"/>
  <c r="D30" i="3"/>
  <c r="E28" i="3"/>
  <c r="F28" i="3"/>
  <c r="E29" i="3"/>
  <c r="F29" i="3"/>
  <c r="F27" i="3"/>
  <c r="E27" i="3"/>
  <c r="C26" i="3"/>
  <c r="D26" i="3"/>
  <c r="E24" i="3"/>
  <c r="F24" i="3"/>
  <c r="E25" i="3"/>
  <c r="F25" i="3"/>
  <c r="F23" i="3"/>
  <c r="E23" i="3"/>
  <c r="C22" i="3"/>
  <c r="D22" i="3"/>
  <c r="E21" i="3"/>
  <c r="F21" i="3"/>
  <c r="F20" i="3"/>
  <c r="E20" i="3"/>
  <c r="C19" i="3"/>
  <c r="D19" i="3"/>
  <c r="F16" i="3"/>
  <c r="E16" i="3"/>
  <c r="C15" i="3"/>
  <c r="D15" i="3"/>
  <c r="E14" i="3"/>
  <c r="E13" i="3"/>
  <c r="C12" i="3"/>
  <c r="D12" i="3"/>
  <c r="E10" i="3"/>
  <c r="F10" i="3"/>
  <c r="E11" i="3"/>
  <c r="F11" i="3"/>
  <c r="F9" i="3"/>
  <c r="E9" i="3"/>
  <c r="C8" i="3"/>
  <c r="D8" i="3"/>
  <c r="E7" i="3"/>
  <c r="F7" i="3"/>
  <c r="F6" i="3"/>
  <c r="E6" i="3"/>
  <c r="C5" i="3"/>
  <c r="D5" i="3"/>
  <c r="E39" i="4" l="1"/>
  <c r="I39" i="4"/>
  <c r="C13" i="2"/>
  <c r="C14" i="2"/>
  <c r="C15" i="2"/>
  <c r="C17" i="2"/>
  <c r="C18" i="2"/>
  <c r="B18" i="2"/>
  <c r="B17" i="2"/>
  <c r="B15" i="2"/>
  <c r="B14" i="2"/>
  <c r="B13" i="2"/>
  <c r="C138" i="3" l="1"/>
  <c r="C118" i="3"/>
  <c r="D139" i="3"/>
  <c r="D119" i="3"/>
  <c r="D114" i="3"/>
  <c r="D134" i="3"/>
  <c r="C115" i="3"/>
  <c r="C135" i="3"/>
  <c r="C134" i="3"/>
  <c r="C114" i="3"/>
  <c r="D136" i="3"/>
  <c r="D116" i="3"/>
  <c r="C139" i="3"/>
  <c r="C119" i="3"/>
  <c r="C136" i="3"/>
  <c r="C116" i="3"/>
  <c r="D115" i="3"/>
  <c r="D135" i="3"/>
  <c r="D118" i="3"/>
  <c r="D138" i="3"/>
  <c r="L167" i="1"/>
  <c r="L153" i="1"/>
  <c r="L125" i="1"/>
  <c r="L112" i="1"/>
  <c r="M112" i="1" s="1"/>
  <c r="F13" i="3"/>
  <c r="L170" i="1"/>
  <c r="L169" i="1"/>
  <c r="M169" i="1" s="1"/>
  <c r="L168" i="1"/>
  <c r="M168" i="1" s="1"/>
  <c r="L156" i="1"/>
  <c r="L155" i="1"/>
  <c r="L154" i="1"/>
  <c r="L128" i="1"/>
  <c r="L127" i="1"/>
  <c r="M127" i="1" s="1"/>
  <c r="L126" i="1"/>
  <c r="M126" i="1" s="1"/>
  <c r="L115" i="1"/>
  <c r="L114" i="1"/>
  <c r="M114" i="1" s="1"/>
  <c r="L113" i="1"/>
  <c r="M113" i="1" s="1"/>
  <c r="M155" i="1" l="1"/>
  <c r="M154" i="1"/>
  <c r="F14" i="3"/>
  <c r="J152" i="1"/>
  <c r="N152" i="1" s="1"/>
  <c r="J116" i="1"/>
  <c r="J111" i="1"/>
  <c r="M153" i="1"/>
  <c r="L157" i="1"/>
  <c r="J171" i="1"/>
  <c r="L116" i="1"/>
  <c r="M125" i="1"/>
  <c r="L129" i="1"/>
  <c r="J124" i="1"/>
  <c r="M167" i="1"/>
  <c r="L171" i="1"/>
  <c r="J129" i="1"/>
  <c r="J157" i="1"/>
  <c r="N157" i="1" s="1"/>
  <c r="J166" i="1"/>
  <c r="A1" i="3"/>
  <c r="J158" i="1" l="1"/>
  <c r="N158" i="1" s="1"/>
  <c r="J117" i="1"/>
  <c r="M116" i="1"/>
  <c r="N116" i="1" s="1"/>
  <c r="M157" i="1"/>
  <c r="J130" i="1"/>
  <c r="J172" i="1"/>
  <c r="M171" i="1"/>
  <c r="N171" i="1" s="1"/>
  <c r="M129" i="1"/>
  <c r="N129" i="1" s="1"/>
  <c r="L102" i="1"/>
  <c r="L101" i="1"/>
  <c r="M101" i="1" s="1"/>
  <c r="L100" i="1"/>
  <c r="M100" i="1" s="1"/>
  <c r="L99" i="1"/>
  <c r="J173" i="1" l="1"/>
  <c r="D18" i="2"/>
  <c r="J131" i="1"/>
  <c r="D15" i="2"/>
  <c r="J118" i="1"/>
  <c r="D14" i="2"/>
  <c r="J159" i="1"/>
  <c r="N159" i="1" s="1"/>
  <c r="D17" i="2"/>
  <c r="J98" i="1"/>
  <c r="M99" i="1"/>
  <c r="L103" i="1"/>
  <c r="J103" i="1"/>
  <c r="J104" i="1" l="1"/>
  <c r="M103" i="1"/>
  <c r="N103" i="1" s="1"/>
  <c r="J105" i="1" l="1"/>
  <c r="D13" i="2"/>
  <c r="C10" i="2" l="1"/>
  <c r="B10" i="2"/>
  <c r="C8" i="2"/>
  <c r="C131" i="3" l="1"/>
  <c r="C111" i="3"/>
  <c r="C129" i="3"/>
  <c r="C109" i="3"/>
  <c r="D131" i="3"/>
  <c r="D111" i="3"/>
  <c r="L63" i="1"/>
  <c r="L62" i="1"/>
  <c r="M62" i="1" s="1"/>
  <c r="L61" i="1"/>
  <c r="M61" i="1" s="1"/>
  <c r="L60" i="1"/>
  <c r="J59" i="1" l="1"/>
  <c r="M60" i="1"/>
  <c r="L64" i="1"/>
  <c r="J64" i="1"/>
  <c r="J65" i="1" l="1"/>
  <c r="M64" i="1"/>
  <c r="N64" i="1" s="1"/>
  <c r="A8" i="1"/>
  <c r="A9" i="1" s="1"/>
  <c r="A10" i="1" s="1"/>
  <c r="A11" i="1" s="1"/>
  <c r="A12" i="1" s="1"/>
  <c r="A13" i="1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J66" i="1"/>
  <c r="D10" i="2"/>
  <c r="L51" i="1"/>
  <c r="L50" i="1"/>
  <c r="L49" i="1"/>
  <c r="L89" i="1"/>
  <c r="L87" i="1"/>
  <c r="L76" i="1"/>
  <c r="L39" i="1"/>
  <c r="L38" i="1"/>
  <c r="L37" i="1"/>
  <c r="L27" i="1"/>
  <c r="L214" i="1" s="1"/>
  <c r="M214" i="1" s="1"/>
  <c r="A68" i="1" l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L13" i="1"/>
  <c r="L12" i="1"/>
  <c r="L75" i="1"/>
  <c r="L74" i="1"/>
  <c r="J40" i="1"/>
  <c r="L25" i="1"/>
  <c r="A133" i="1" l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9" i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L26" i="1"/>
  <c r="J77" i="1"/>
  <c r="J15" i="1"/>
  <c r="F7" i="4" s="1"/>
  <c r="J52" i="1"/>
  <c r="J90" i="1"/>
  <c r="L88" i="1"/>
  <c r="A175" i="1" l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290" i="1" s="1"/>
  <c r="A291" i="1" s="1"/>
  <c r="A292" i="1" s="1"/>
  <c r="J7" i="4"/>
  <c r="F39" i="4"/>
  <c r="G39" i="4" s="1"/>
  <c r="F8" i="4"/>
  <c r="G8" i="4" s="1"/>
  <c r="F13" i="4"/>
  <c r="G13" i="4" s="1"/>
  <c r="F12" i="4"/>
  <c r="G12" i="4" s="1"/>
  <c r="F9" i="4"/>
  <c r="G9" i="4" s="1"/>
  <c r="F10" i="4"/>
  <c r="G10" i="4" s="1"/>
  <c r="F11" i="4"/>
  <c r="G11" i="4" s="1"/>
  <c r="F14" i="4"/>
  <c r="G14" i="4" s="1"/>
  <c r="F15" i="4"/>
  <c r="G15" i="4" s="1"/>
  <c r="F16" i="4"/>
  <c r="G16" i="4" s="1"/>
  <c r="F17" i="4"/>
  <c r="G17" i="4" s="1"/>
  <c r="F18" i="4"/>
  <c r="G18" i="4" s="1"/>
  <c r="F19" i="4"/>
  <c r="G19" i="4" s="1"/>
  <c r="F20" i="4"/>
  <c r="G20" i="4" s="1"/>
  <c r="F21" i="4"/>
  <c r="G21" i="4" s="1"/>
  <c r="F22" i="4"/>
  <c r="G22" i="4" s="1"/>
  <c r="F23" i="4"/>
  <c r="G23" i="4" s="1"/>
  <c r="F24" i="4"/>
  <c r="G24" i="4" s="1"/>
  <c r="F25" i="4"/>
  <c r="G25" i="4" s="1"/>
  <c r="F26" i="4"/>
  <c r="G26" i="4" s="1"/>
  <c r="F27" i="4"/>
  <c r="G27" i="4" s="1"/>
  <c r="F28" i="4"/>
  <c r="G28" i="4" s="1"/>
  <c r="F29" i="4"/>
  <c r="G29" i="4" s="1"/>
  <c r="F30" i="4"/>
  <c r="G30" i="4" s="1"/>
  <c r="F31" i="4"/>
  <c r="G31" i="4" s="1"/>
  <c r="F32" i="4"/>
  <c r="G32" i="4" s="1"/>
  <c r="F33" i="4"/>
  <c r="G33" i="4" s="1"/>
  <c r="F34" i="4"/>
  <c r="G34" i="4" s="1"/>
  <c r="F35" i="4"/>
  <c r="G35" i="4" s="1"/>
  <c r="F36" i="4"/>
  <c r="G36" i="4" s="1"/>
  <c r="F37" i="4"/>
  <c r="G37" i="4" s="1"/>
  <c r="F38" i="4"/>
  <c r="G38" i="4" s="1"/>
  <c r="C7" i="2"/>
  <c r="C11" i="2"/>
  <c r="C12" i="2"/>
  <c r="C9" i="2"/>
  <c r="B20" i="2"/>
  <c r="B9" i="2"/>
  <c r="B12" i="2"/>
  <c r="B11" i="2"/>
  <c r="B8" i="2"/>
  <c r="B7" i="2"/>
  <c r="C6" i="2"/>
  <c r="B6" i="2"/>
  <c r="M38" i="1"/>
  <c r="M37" i="1"/>
  <c r="L36" i="1"/>
  <c r="M25" i="1"/>
  <c r="M75" i="1"/>
  <c r="M74" i="1"/>
  <c r="L73" i="1"/>
  <c r="M88" i="1"/>
  <c r="M87" i="1"/>
  <c r="L86" i="1"/>
  <c r="M50" i="1"/>
  <c r="M49" i="1"/>
  <c r="L48" i="1"/>
  <c r="D141" i="3" l="1"/>
  <c r="D121" i="3"/>
  <c r="D113" i="3"/>
  <c r="D133" i="3"/>
  <c r="C130" i="3"/>
  <c r="C110" i="3"/>
  <c r="D128" i="3"/>
  <c r="D108" i="3"/>
  <c r="C132" i="3"/>
  <c r="C112" i="3"/>
  <c r="C113" i="3"/>
  <c r="C133" i="3"/>
  <c r="D109" i="3"/>
  <c r="D129" i="3"/>
  <c r="C128" i="3"/>
  <c r="C108" i="3"/>
  <c r="D132" i="3"/>
  <c r="D112" i="3"/>
  <c r="D130" i="3"/>
  <c r="D110" i="3"/>
  <c r="J39" i="4"/>
  <c r="K39" i="4" s="1"/>
  <c r="J10" i="4"/>
  <c r="K10" i="4" s="1"/>
  <c r="L10" i="4" s="1"/>
  <c r="M10" i="4" s="1"/>
  <c r="J14" i="4"/>
  <c r="K14" i="4" s="1"/>
  <c r="L14" i="4" s="1"/>
  <c r="M14" i="4" s="1"/>
  <c r="J11" i="4"/>
  <c r="K11" i="4" s="1"/>
  <c r="L11" i="4" s="1"/>
  <c r="M11" i="4" s="1"/>
  <c r="J13" i="4"/>
  <c r="K13" i="4" s="1"/>
  <c r="L13" i="4" s="1"/>
  <c r="M13" i="4" s="1"/>
  <c r="J9" i="4"/>
  <c r="K9" i="4" s="1"/>
  <c r="L9" i="4" s="1"/>
  <c r="M9" i="4" s="1"/>
  <c r="J8" i="4"/>
  <c r="K8" i="4" s="1"/>
  <c r="L8" i="4" s="1"/>
  <c r="M8" i="4" s="1"/>
  <c r="J12" i="4"/>
  <c r="K12" i="4" s="1"/>
  <c r="L12" i="4" s="1"/>
  <c r="M12" i="4" s="1"/>
  <c r="J15" i="4"/>
  <c r="K15" i="4" s="1"/>
  <c r="L15" i="4" s="1"/>
  <c r="M15" i="4" s="1"/>
  <c r="J16" i="4"/>
  <c r="K16" i="4" s="1"/>
  <c r="L16" i="4" s="1"/>
  <c r="M16" i="4" s="1"/>
  <c r="J17" i="4"/>
  <c r="K17" i="4" s="1"/>
  <c r="L17" i="4" s="1"/>
  <c r="M17" i="4" s="1"/>
  <c r="J18" i="4"/>
  <c r="K18" i="4" s="1"/>
  <c r="L18" i="4" s="1"/>
  <c r="M18" i="4" s="1"/>
  <c r="J19" i="4"/>
  <c r="K19" i="4" s="1"/>
  <c r="L19" i="4" s="1"/>
  <c r="M19" i="4" s="1"/>
  <c r="J20" i="4"/>
  <c r="K20" i="4" s="1"/>
  <c r="L20" i="4" s="1"/>
  <c r="M20" i="4" s="1"/>
  <c r="J21" i="4"/>
  <c r="K21" i="4" s="1"/>
  <c r="L21" i="4" s="1"/>
  <c r="M21" i="4" s="1"/>
  <c r="J22" i="4"/>
  <c r="K22" i="4" s="1"/>
  <c r="L22" i="4" s="1"/>
  <c r="M22" i="4" s="1"/>
  <c r="J23" i="4"/>
  <c r="K23" i="4" s="1"/>
  <c r="L23" i="4" s="1"/>
  <c r="M23" i="4" s="1"/>
  <c r="J24" i="4"/>
  <c r="K24" i="4" s="1"/>
  <c r="L24" i="4" s="1"/>
  <c r="M24" i="4" s="1"/>
  <c r="J25" i="4"/>
  <c r="K25" i="4" s="1"/>
  <c r="L25" i="4" s="1"/>
  <c r="M25" i="4" s="1"/>
  <c r="J26" i="4"/>
  <c r="K26" i="4" s="1"/>
  <c r="L26" i="4" s="1"/>
  <c r="M26" i="4" s="1"/>
  <c r="J27" i="4"/>
  <c r="K27" i="4" s="1"/>
  <c r="L27" i="4" s="1"/>
  <c r="M27" i="4" s="1"/>
  <c r="J28" i="4"/>
  <c r="K28" i="4" s="1"/>
  <c r="L28" i="4" s="1"/>
  <c r="M28" i="4" s="1"/>
  <c r="J29" i="4"/>
  <c r="K29" i="4" s="1"/>
  <c r="L29" i="4" s="1"/>
  <c r="M29" i="4" s="1"/>
  <c r="J30" i="4"/>
  <c r="K30" i="4" s="1"/>
  <c r="L30" i="4" s="1"/>
  <c r="M30" i="4" s="1"/>
  <c r="J31" i="4"/>
  <c r="K31" i="4" s="1"/>
  <c r="L31" i="4" s="1"/>
  <c r="M31" i="4" s="1"/>
  <c r="J32" i="4"/>
  <c r="K32" i="4" s="1"/>
  <c r="L32" i="4" s="1"/>
  <c r="M32" i="4" s="1"/>
  <c r="J33" i="4"/>
  <c r="K33" i="4" s="1"/>
  <c r="L33" i="4" s="1"/>
  <c r="M33" i="4" s="1"/>
  <c r="J34" i="4"/>
  <c r="K34" i="4" s="1"/>
  <c r="L34" i="4" s="1"/>
  <c r="M34" i="4" s="1"/>
  <c r="J35" i="4"/>
  <c r="K35" i="4" s="1"/>
  <c r="L35" i="4" s="1"/>
  <c r="M35" i="4" s="1"/>
  <c r="J36" i="4"/>
  <c r="K36" i="4" s="1"/>
  <c r="L36" i="4" s="1"/>
  <c r="M36" i="4" s="1"/>
  <c r="J37" i="4"/>
  <c r="K37" i="4" s="1"/>
  <c r="L37" i="4" s="1"/>
  <c r="M37" i="4" s="1"/>
  <c r="J38" i="4"/>
  <c r="K38" i="4" s="1"/>
  <c r="L38" i="4" s="1"/>
  <c r="M38" i="4" s="1"/>
  <c r="C107" i="3"/>
  <c r="C127" i="3"/>
  <c r="D107" i="3"/>
  <c r="D127" i="3"/>
  <c r="M48" i="1"/>
  <c r="L52" i="1"/>
  <c r="M86" i="1"/>
  <c r="L90" i="1"/>
  <c r="M73" i="1"/>
  <c r="L77" i="1"/>
  <c r="M36" i="1"/>
  <c r="L40" i="1"/>
  <c r="M24" i="1"/>
  <c r="L28" i="1"/>
  <c r="M28" i="1" s="1"/>
  <c r="N28" i="1" s="1"/>
  <c r="J35" i="1"/>
  <c r="M26" i="1"/>
  <c r="J23" i="1"/>
  <c r="J72" i="1"/>
  <c r="J85" i="1"/>
  <c r="L203" i="1"/>
  <c r="L213" i="1" s="1"/>
  <c r="M213" i="1" s="1"/>
  <c r="L202" i="1"/>
  <c r="L212" i="1" s="1"/>
  <c r="M212" i="1" s="1"/>
  <c r="L11" i="1"/>
  <c r="A1" i="1"/>
  <c r="A7" i="2"/>
  <c r="A8" i="2" s="1"/>
  <c r="A9" i="2" s="1"/>
  <c r="A10" i="2" s="1"/>
  <c r="L39" i="4" l="1"/>
  <c r="M39" i="4" s="1"/>
  <c r="A11" i="2"/>
  <c r="A12" i="2" s="1"/>
  <c r="A13" i="2" s="1"/>
  <c r="A14" i="2" s="1"/>
  <c r="A15" i="2" s="1"/>
  <c r="A16" i="2" s="1"/>
  <c r="A17" i="2" s="1"/>
  <c r="A18" i="2" s="1"/>
  <c r="L15" i="1"/>
  <c r="M202" i="1"/>
  <c r="M203" i="1"/>
  <c r="M12" i="1"/>
  <c r="M13" i="1"/>
  <c r="J41" i="1"/>
  <c r="J29" i="1"/>
  <c r="J78" i="1"/>
  <c r="J91" i="1"/>
  <c r="M40" i="1"/>
  <c r="N40" i="1" s="1"/>
  <c r="M77" i="1"/>
  <c r="N77" i="1" s="1"/>
  <c r="M90" i="1"/>
  <c r="N90" i="1" s="1"/>
  <c r="M52" i="1"/>
  <c r="N52" i="1" s="1"/>
  <c r="J10" i="1"/>
  <c r="J200" i="1"/>
  <c r="J201" i="1" s="1"/>
  <c r="J211" i="1" s="1"/>
  <c r="J215" i="1" s="1"/>
  <c r="M11" i="1"/>
  <c r="L201" i="1" l="1"/>
  <c r="L211" i="1" s="1"/>
  <c r="J205" i="1"/>
  <c r="J206" i="1" s="1"/>
  <c r="D20" i="2" s="1"/>
  <c r="J30" i="1"/>
  <c r="D7" i="2"/>
  <c r="J79" i="1"/>
  <c r="D11" i="2"/>
  <c r="J92" i="1"/>
  <c r="D12" i="2"/>
  <c r="J42" i="1"/>
  <c r="D8" i="2"/>
  <c r="L205" i="1"/>
  <c r="J16" i="1"/>
  <c r="M15" i="1"/>
  <c r="N15" i="1" s="1"/>
  <c r="L215" i="1" l="1"/>
  <c r="M215" i="1" s="1"/>
  <c r="M211" i="1"/>
  <c r="M201" i="1"/>
  <c r="J17" i="1"/>
  <c r="D6" i="2"/>
  <c r="M205" i="1"/>
  <c r="N205" i="1" s="1"/>
  <c r="G16" i="3" l="1"/>
  <c r="H16" i="3" s="1"/>
  <c r="I16" i="3" s="1"/>
  <c r="G42" i="3"/>
  <c r="H42" i="3" s="1"/>
  <c r="I42" i="3" s="1"/>
  <c r="G27" i="3"/>
  <c r="H27" i="3" s="1"/>
  <c r="I27" i="3" s="1"/>
  <c r="G29" i="3"/>
  <c r="H29" i="3" s="1"/>
  <c r="I29" i="3" s="1"/>
  <c r="G31" i="3" l="1"/>
  <c r="H31" i="3" s="1"/>
  <c r="I31" i="3" s="1"/>
  <c r="K224" i="1"/>
  <c r="G7" i="3"/>
  <c r="H7" i="3" s="1"/>
  <c r="I7" i="3" s="1"/>
  <c r="G25" i="3"/>
  <c r="H25" i="3" s="1"/>
  <c r="I25" i="3" s="1"/>
  <c r="M83" i="1"/>
  <c r="N83" i="1" s="1"/>
  <c r="G20" i="3"/>
  <c r="H20" i="3" s="1"/>
  <c r="I20" i="3" s="1"/>
  <c r="M191" i="1"/>
  <c r="N191" i="1" s="1"/>
  <c r="G59" i="3"/>
  <c r="H59" i="3" s="1"/>
  <c r="I59" i="3" s="1"/>
  <c r="G39" i="3"/>
  <c r="H39" i="3" s="1"/>
  <c r="I39" i="3" s="1"/>
  <c r="G11" i="3"/>
  <c r="H11" i="3" s="1"/>
  <c r="I11" i="3" s="1"/>
  <c r="G10" i="3"/>
  <c r="H10" i="3" s="1"/>
  <c r="I10" i="3" s="1"/>
  <c r="G64" i="3"/>
  <c r="H64" i="3" s="1"/>
  <c r="I64" i="3" s="1"/>
  <c r="G41" i="3"/>
  <c r="H41" i="3" s="1"/>
  <c r="I41" i="3" s="1"/>
  <c r="G61" i="3"/>
  <c r="H61" i="3" s="1"/>
  <c r="I61" i="3" s="1"/>
  <c r="G55" i="3"/>
  <c r="H55" i="3" s="1"/>
  <c r="I55" i="3" s="1"/>
  <c r="G57" i="3"/>
  <c r="H57" i="3" s="1"/>
  <c r="I57" i="3" s="1"/>
  <c r="G54" i="3"/>
  <c r="H54" i="3" s="1"/>
  <c r="I54" i="3" s="1"/>
  <c r="G58" i="3"/>
  <c r="H58" i="3" s="1"/>
  <c r="I58" i="3" s="1"/>
  <c r="G51" i="3"/>
  <c r="H51" i="3" s="1"/>
  <c r="I51" i="3" s="1"/>
  <c r="G63" i="3"/>
  <c r="H63" i="3" s="1"/>
  <c r="I63" i="3" s="1"/>
  <c r="G52" i="3"/>
  <c r="H52" i="3" s="1"/>
  <c r="I52" i="3" s="1"/>
  <c r="G21" i="3"/>
  <c r="H21" i="3" s="1"/>
  <c r="I21" i="3" s="1"/>
  <c r="G53" i="3"/>
  <c r="H53" i="3" s="1"/>
  <c r="I53" i="3" s="1"/>
  <c r="G23" i="3"/>
  <c r="H23" i="3" s="1"/>
  <c r="I23" i="3" s="1"/>
  <c r="G44" i="3"/>
  <c r="H44" i="3" s="1"/>
  <c r="I44" i="3" s="1"/>
  <c r="P96" i="1"/>
  <c r="G28" i="3"/>
  <c r="H28" i="3" s="1"/>
  <c r="I28" i="3" s="1"/>
  <c r="G33" i="3"/>
  <c r="H33" i="3" s="1"/>
  <c r="I33" i="3" s="1"/>
  <c r="P197" i="1"/>
  <c r="G62" i="3"/>
  <c r="H62" i="3" s="1"/>
  <c r="I62" i="3" s="1"/>
  <c r="G37" i="3"/>
  <c r="H37" i="3" s="1"/>
  <c r="I37" i="3" s="1"/>
  <c r="G36" i="3"/>
  <c r="H36" i="3" s="1"/>
  <c r="I36" i="3" s="1"/>
  <c r="P151" i="1"/>
  <c r="M151" i="1"/>
  <c r="N151" i="1" s="1"/>
  <c r="M97" i="1"/>
  <c r="N97" i="1" s="1"/>
  <c r="P97" i="1"/>
  <c r="P95" i="1"/>
  <c r="M95" i="1"/>
  <c r="M96" i="1"/>
  <c r="N96" i="1" s="1"/>
  <c r="P110" i="1"/>
  <c r="G14" i="3"/>
  <c r="H14" i="3" s="1"/>
  <c r="I14" i="3" s="1"/>
  <c r="M46" i="1"/>
  <c r="N46" i="1" s="1"/>
  <c r="M197" i="1"/>
  <c r="N197" i="1" s="1"/>
  <c r="M9" i="1"/>
  <c r="N9" i="1" s="1"/>
  <c r="P46" i="1"/>
  <c r="P57" i="1"/>
  <c r="M57" i="1"/>
  <c r="P9" i="1"/>
  <c r="M71" i="1"/>
  <c r="N71" i="1" s="1"/>
  <c r="M108" i="1" l="1"/>
  <c r="P108" i="1"/>
  <c r="K255" i="1"/>
  <c r="G32" i="3"/>
  <c r="H32" i="3" s="1"/>
  <c r="I32" i="3" s="1"/>
  <c r="K232" i="1"/>
  <c r="P109" i="1"/>
  <c r="K228" i="1"/>
  <c r="K240" i="1"/>
  <c r="K250" i="1"/>
  <c r="K260" i="1"/>
  <c r="K236" i="1"/>
  <c r="P199" i="1"/>
  <c r="M198" i="1"/>
  <c r="N198" i="1" s="1"/>
  <c r="M199" i="1"/>
  <c r="N199" i="1" s="1"/>
  <c r="G56" i="3"/>
  <c r="H56" i="3" s="1"/>
  <c r="I56" i="3" s="1"/>
  <c r="P191" i="1"/>
  <c r="M194" i="1"/>
  <c r="N194" i="1" s="1"/>
  <c r="G24" i="3"/>
  <c r="H24" i="3" s="1"/>
  <c r="I24" i="3" s="1"/>
  <c r="M162" i="1"/>
  <c r="P162" i="1"/>
  <c r="G40" i="3"/>
  <c r="H40" i="3" s="1"/>
  <c r="I40" i="3" s="1"/>
  <c r="K265" i="1"/>
  <c r="P194" i="1"/>
  <c r="M82" i="1"/>
  <c r="P21" i="1"/>
  <c r="P188" i="1"/>
  <c r="P192" i="1"/>
  <c r="P82" i="1"/>
  <c r="P83" i="1"/>
  <c r="M58" i="1"/>
  <c r="N58" i="1" s="1"/>
  <c r="M188" i="1"/>
  <c r="N188" i="1" s="1"/>
  <c r="M148" i="1"/>
  <c r="M190" i="1"/>
  <c r="N190" i="1" s="1"/>
  <c r="M22" i="1"/>
  <c r="N22" i="1" s="1"/>
  <c r="M193" i="1"/>
  <c r="N193" i="1" s="1"/>
  <c r="M21" i="1"/>
  <c r="N21" i="1" s="1"/>
  <c r="P22" i="1"/>
  <c r="P193" i="1"/>
  <c r="P198" i="1"/>
  <c r="P190" i="1"/>
  <c r="P148" i="1"/>
  <c r="P150" i="1"/>
  <c r="M150" i="1"/>
  <c r="N150" i="1" s="1"/>
  <c r="M192" i="1"/>
  <c r="N192" i="1" s="1"/>
  <c r="P58" i="1"/>
  <c r="M196" i="1"/>
  <c r="N196" i="1" s="1"/>
  <c r="P149" i="1"/>
  <c r="P196" i="1"/>
  <c r="M149" i="1"/>
  <c r="N149" i="1" s="1"/>
  <c r="P189" i="1"/>
  <c r="M189" i="1"/>
  <c r="N189" i="1" s="1"/>
  <c r="M186" i="1"/>
  <c r="N186" i="1" s="1"/>
  <c r="P186" i="1"/>
  <c r="M187" i="1"/>
  <c r="N187" i="1" s="1"/>
  <c r="P187" i="1"/>
  <c r="P69" i="1"/>
  <c r="M69" i="1"/>
  <c r="N69" i="1" s="1"/>
  <c r="N95" i="1"/>
  <c r="M98" i="1"/>
  <c r="G47" i="3"/>
  <c r="H47" i="3" s="1"/>
  <c r="I47" i="3" s="1"/>
  <c r="G46" i="3"/>
  <c r="H46" i="3" s="1"/>
  <c r="I46" i="3" s="1"/>
  <c r="N57" i="1"/>
  <c r="M121" i="1"/>
  <c r="G35" i="3"/>
  <c r="H35" i="3" s="1"/>
  <c r="I35" i="3" s="1"/>
  <c r="L98" i="1"/>
  <c r="P34" i="1"/>
  <c r="P122" i="1"/>
  <c r="P123" i="1"/>
  <c r="M110" i="1"/>
  <c r="N110" i="1" s="1"/>
  <c r="P71" i="1"/>
  <c r="P70" i="1"/>
  <c r="L111" i="1" l="1"/>
  <c r="M109" i="1"/>
  <c r="N109" i="1" s="1"/>
  <c r="K245" i="1"/>
  <c r="P84" i="1"/>
  <c r="P163" i="1"/>
  <c r="G45" i="3"/>
  <c r="H45" i="3" s="1"/>
  <c r="I45" i="3" s="1"/>
  <c r="K270" i="1"/>
  <c r="K275" i="1"/>
  <c r="K280" i="1"/>
  <c r="L59" i="1"/>
  <c r="M59" i="1"/>
  <c r="L152" i="1"/>
  <c r="L200" i="1"/>
  <c r="M200" i="1"/>
  <c r="N200" i="1" s="1"/>
  <c r="N108" i="1"/>
  <c r="N121" i="1"/>
  <c r="N82" i="1"/>
  <c r="N148" i="1"/>
  <c r="M152" i="1"/>
  <c r="P164" i="1"/>
  <c r="M164" i="1"/>
  <c r="N164" i="1" s="1"/>
  <c r="P165" i="1"/>
  <c r="L104" i="1"/>
  <c r="E13" i="2" s="1"/>
  <c r="L124" i="1"/>
  <c r="M34" i="1"/>
  <c r="N34" i="1" s="1"/>
  <c r="M123" i="1"/>
  <c r="N123" i="1" s="1"/>
  <c r="M122" i="1"/>
  <c r="N122" i="1" s="1"/>
  <c r="M70" i="1"/>
  <c r="L72" i="1"/>
  <c r="N98" i="1"/>
  <c r="L117" i="1" l="1"/>
  <c r="M111" i="1"/>
  <c r="N111" i="1" s="1"/>
  <c r="M84" i="1"/>
  <c r="L85" i="1"/>
  <c r="L158" i="1"/>
  <c r="L65" i="1"/>
  <c r="L206" i="1"/>
  <c r="M104" i="1"/>
  <c r="L105" i="1"/>
  <c r="M105" i="1" s="1"/>
  <c r="M165" i="1"/>
  <c r="N165" i="1" s="1"/>
  <c r="M124" i="1"/>
  <c r="N124" i="1" s="1"/>
  <c r="N70" i="1"/>
  <c r="M72" i="1"/>
  <c r="M163" i="1"/>
  <c r="L166" i="1"/>
  <c r="L130" i="1"/>
  <c r="L78" i="1"/>
  <c r="E11" i="2" s="1"/>
  <c r="N59" i="1"/>
  <c r="H13" i="2" l="1"/>
  <c r="F134" i="3" s="1"/>
  <c r="N105" i="1"/>
  <c r="N104" i="1"/>
  <c r="F13" i="2"/>
  <c r="F114" i="3" s="1"/>
  <c r="M206" i="1"/>
  <c r="E20" i="2"/>
  <c r="L66" i="1"/>
  <c r="M66" i="1" s="1"/>
  <c r="E10" i="2"/>
  <c r="M130" i="1"/>
  <c r="E15" i="2"/>
  <c r="L159" i="1"/>
  <c r="M159" i="1" s="1"/>
  <c r="E17" i="2"/>
  <c r="M117" i="1"/>
  <c r="E14" i="2"/>
  <c r="L118" i="1"/>
  <c r="M118" i="1" s="1"/>
  <c r="L91" i="1"/>
  <c r="E12" i="2" s="1"/>
  <c r="N84" i="1"/>
  <c r="M85" i="1"/>
  <c r="M65" i="1"/>
  <c r="M158" i="1"/>
  <c r="M78" i="1"/>
  <c r="L79" i="1"/>
  <c r="M79" i="1" s="1"/>
  <c r="L172" i="1"/>
  <c r="E18" i="2" s="1"/>
  <c r="N163" i="1"/>
  <c r="M166" i="1"/>
  <c r="L131" i="1"/>
  <c r="M131" i="1" s="1"/>
  <c r="H15" i="2" s="1"/>
  <c r="F136" i="3" s="1"/>
  <c r="N72" i="1"/>
  <c r="N66" i="1" l="1"/>
  <c r="H10" i="2"/>
  <c r="F131" i="3" s="1"/>
  <c r="H11" i="2"/>
  <c r="F132" i="3" s="1"/>
  <c r="N79" i="1"/>
  <c r="H14" i="2"/>
  <c r="F135" i="3" s="1"/>
  <c r="H17" i="2"/>
  <c r="F138" i="3" s="1"/>
  <c r="N65" i="1"/>
  <c r="F10" i="2"/>
  <c r="F111" i="3" s="1"/>
  <c r="N130" i="1"/>
  <c r="F15" i="2"/>
  <c r="N78" i="1"/>
  <c r="F11" i="2"/>
  <c r="F112" i="3" s="1"/>
  <c r="F17" i="2"/>
  <c r="F118" i="3" s="1"/>
  <c r="N206" i="1"/>
  <c r="F20" i="2"/>
  <c r="F121" i="3" s="1"/>
  <c r="G13" i="2"/>
  <c r="N117" i="1"/>
  <c r="F14" i="2"/>
  <c r="F115" i="3" s="1"/>
  <c r="N118" i="1"/>
  <c r="N85" i="1"/>
  <c r="L92" i="1"/>
  <c r="M92" i="1" s="1"/>
  <c r="H12" i="2" s="1"/>
  <c r="F133" i="3" s="1"/>
  <c r="M91" i="1"/>
  <c r="N131" i="1"/>
  <c r="L173" i="1"/>
  <c r="M172" i="1"/>
  <c r="N166" i="1"/>
  <c r="M173" i="1" l="1"/>
  <c r="G19" i="2" s="1"/>
  <c r="G134" i="3"/>
  <c r="G114" i="3"/>
  <c r="G15" i="2"/>
  <c r="F116" i="3"/>
  <c r="F18" i="2"/>
  <c r="F119" i="3" s="1"/>
  <c r="N173" i="1"/>
  <c r="H18" i="2"/>
  <c r="F139" i="3" s="1"/>
  <c r="G20" i="2"/>
  <c r="G14" i="2"/>
  <c r="G11" i="2"/>
  <c r="N91" i="1"/>
  <c r="F12" i="2"/>
  <c r="F113" i="3" s="1"/>
  <c r="G17" i="2"/>
  <c r="G10" i="2"/>
  <c r="N92" i="1"/>
  <c r="N172" i="1"/>
  <c r="G140" i="3" l="1"/>
  <c r="G120" i="3"/>
  <c r="G131" i="3"/>
  <c r="G111" i="3"/>
  <c r="G121" i="3"/>
  <c r="G141" i="3"/>
  <c r="G138" i="3"/>
  <c r="G118" i="3"/>
  <c r="G112" i="3"/>
  <c r="G132" i="3"/>
  <c r="G116" i="3"/>
  <c r="G136" i="3"/>
  <c r="G18" i="2"/>
  <c r="G135" i="3"/>
  <c r="G115" i="3"/>
  <c r="G12" i="2"/>
  <c r="G139" i="3" l="1"/>
  <c r="G119" i="3"/>
  <c r="G113" i="3"/>
  <c r="G133" i="3"/>
  <c r="P260" i="1"/>
  <c r="P280" i="1"/>
  <c r="P236" i="1"/>
  <c r="P275" i="1"/>
  <c r="P224" i="1"/>
  <c r="P228" i="1"/>
  <c r="P250" i="1"/>
  <c r="P255" i="1"/>
  <c r="P232" i="1"/>
  <c r="P270" i="1"/>
  <c r="P265" i="1"/>
  <c r="P240" i="1"/>
  <c r="P245" i="1"/>
  <c r="G6" i="3" l="1"/>
  <c r="H6" i="3" s="1"/>
  <c r="I6" i="3" s="1"/>
  <c r="P8" i="1"/>
  <c r="G13" i="3"/>
  <c r="H13" i="3" s="1"/>
  <c r="I13" i="3" s="1"/>
  <c r="M33" i="1"/>
  <c r="M8" i="1"/>
  <c r="N8" i="1" s="1"/>
  <c r="L35" i="1" l="1"/>
  <c r="L41" i="1" s="1"/>
  <c r="E8" i="2" s="1"/>
  <c r="L10" i="1"/>
  <c r="L23" i="1"/>
  <c r="M20" i="1"/>
  <c r="N33" i="1"/>
  <c r="M35" i="1"/>
  <c r="N35" i="1" s="1"/>
  <c r="G9" i="3"/>
  <c r="H9" i="3" s="1"/>
  <c r="I9" i="3" s="1"/>
  <c r="M10" i="1"/>
  <c r="P20" i="1"/>
  <c r="L16" i="1" l="1"/>
  <c r="E6" i="2" s="1"/>
  <c r="L42" i="1"/>
  <c r="M42" i="1" s="1"/>
  <c r="H8" i="2" s="1"/>
  <c r="F129" i="3" s="1"/>
  <c r="M41" i="1"/>
  <c r="N10" i="1"/>
  <c r="M23" i="1"/>
  <c r="N23" i="1" s="1"/>
  <c r="N20" i="1"/>
  <c r="L29" i="1"/>
  <c r="N41" i="1" l="1"/>
  <c r="L17" i="1"/>
  <c r="M17" i="1" s="1"/>
  <c r="H6" i="2" s="1"/>
  <c r="F127" i="3" s="1"/>
  <c r="M16" i="1"/>
  <c r="N16" i="1" s="1"/>
  <c r="F8" i="2"/>
  <c r="F109" i="3" s="1"/>
  <c r="N42" i="1"/>
  <c r="E7" i="2"/>
  <c r="L30" i="1"/>
  <c r="M30" i="1" s="1"/>
  <c r="H7" i="2" s="1"/>
  <c r="F128" i="3" s="1"/>
  <c r="M29" i="1"/>
  <c r="F6" i="2" l="1"/>
  <c r="N17" i="1"/>
  <c r="G8" i="2"/>
  <c r="N30" i="1"/>
  <c r="N29" i="1"/>
  <c r="F7" i="2"/>
  <c r="F108" i="3" s="1"/>
  <c r="G129" i="3" l="1"/>
  <c r="G109" i="3"/>
  <c r="G6" i="2"/>
  <c r="G127" i="3" s="1"/>
  <c r="F107" i="3"/>
  <c r="G7" i="2"/>
  <c r="G108" i="3" l="1"/>
  <c r="G128" i="3"/>
  <c r="G107" i="3"/>
  <c r="J47" i="1" l="1"/>
  <c r="M136" i="1"/>
  <c r="N136" i="1" s="1"/>
  <c r="P136" i="1"/>
  <c r="M135" i="1"/>
  <c r="N135" i="1" s="1"/>
  <c r="M137" i="1"/>
  <c r="L47" i="1"/>
  <c r="L53" i="1" l="1"/>
  <c r="L54" i="1" s="1"/>
  <c r="N45" i="1"/>
  <c r="N137" i="1"/>
  <c r="P135" i="1"/>
  <c r="J138" i="1"/>
  <c r="J210" i="1" s="1"/>
  <c r="J216" i="1" s="1"/>
  <c r="J53" i="1"/>
  <c r="M134" i="1"/>
  <c r="L138" i="1"/>
  <c r="L144" i="1" s="1"/>
  <c r="M45" i="1"/>
  <c r="M47" i="1" s="1"/>
  <c r="P137" i="1"/>
  <c r="P134" i="1"/>
  <c r="L210" i="1" l="1"/>
  <c r="N47" i="1"/>
  <c r="E9" i="2"/>
  <c r="J144" i="1"/>
  <c r="J145" i="1" s="1"/>
  <c r="E16" i="2"/>
  <c r="L145" i="1"/>
  <c r="M138" i="1"/>
  <c r="N138" i="1" s="1"/>
  <c r="N134" i="1"/>
  <c r="J54" i="1"/>
  <c r="M54" i="1" s="1"/>
  <c r="D9" i="2"/>
  <c r="M53" i="1"/>
  <c r="M210" i="1" l="1"/>
  <c r="N210" i="1" s="1"/>
  <c r="O280" i="1" s="1"/>
  <c r="L216" i="1"/>
  <c r="M216" i="1" s="1"/>
  <c r="D16" i="2"/>
  <c r="D21" i="2" s="1"/>
  <c r="M144" i="1"/>
  <c r="M145" i="1"/>
  <c r="N145" i="1" s="1"/>
  <c r="N53" i="1"/>
  <c r="F9" i="2"/>
  <c r="H9" i="2"/>
  <c r="F130" i="3" s="1"/>
  <c r="N54" i="1"/>
  <c r="N144" i="1" l="1"/>
  <c r="F16" i="2"/>
  <c r="G16" i="2" s="1"/>
  <c r="G9" i="2"/>
  <c r="F110" i="3"/>
  <c r="O276" i="1"/>
  <c r="K276" i="1" s="1"/>
  <c r="P276" i="1" s="1"/>
  <c r="O242" i="1"/>
  <c r="K242" i="1" s="1"/>
  <c r="P242" i="1" s="1"/>
  <c r="O261" i="1"/>
  <c r="K261" i="1" s="1"/>
  <c r="P261" i="1" s="1"/>
  <c r="O240" i="1"/>
  <c r="O271" i="1"/>
  <c r="K271" i="1" s="1"/>
  <c r="P271" i="1" s="1"/>
  <c r="O250" i="1"/>
  <c r="O251" i="1"/>
  <c r="K251" i="1" s="1"/>
  <c r="P251" i="1" s="1"/>
  <c r="O235" i="1"/>
  <c r="K235" i="1" s="1"/>
  <c r="P235" i="1" s="1"/>
  <c r="O256" i="1"/>
  <c r="K256" i="1" s="1"/>
  <c r="P256" i="1" s="1"/>
  <c r="O270" i="1"/>
  <c r="O267" i="1"/>
  <c r="K267" i="1" s="1"/>
  <c r="P267" i="1" s="1"/>
  <c r="O281" i="1"/>
  <c r="K281" i="1" s="1"/>
  <c r="P281" i="1" s="1"/>
  <c r="O231" i="1"/>
  <c r="K231" i="1" s="1"/>
  <c r="P231" i="1" s="1"/>
  <c r="O236" i="1"/>
  <c r="O245" i="1"/>
  <c r="O259" i="1"/>
  <c r="K259" i="1" s="1"/>
  <c r="P259" i="1" s="1"/>
  <c r="O246" i="1"/>
  <c r="K246" i="1" s="1"/>
  <c r="P246" i="1" s="1"/>
  <c r="O264" i="1"/>
  <c r="K264" i="1" s="1"/>
  <c r="P264" i="1" s="1"/>
  <c r="O255" i="1"/>
  <c r="O225" i="1"/>
  <c r="K225" i="1" s="1"/>
  <c r="P225" i="1" s="1"/>
  <c r="O272" i="1"/>
  <c r="K272" i="1" s="1"/>
  <c r="P272" i="1" s="1"/>
  <c r="O249" i="1"/>
  <c r="K249" i="1" s="1"/>
  <c r="P249" i="1" s="1"/>
  <c r="O233" i="1"/>
  <c r="K233" i="1" s="1"/>
  <c r="P233" i="1" s="1"/>
  <c r="O229" i="1"/>
  <c r="K229" i="1" s="1"/>
  <c r="P229" i="1" s="1"/>
  <c r="O262" i="1"/>
  <c r="K262" i="1" s="1"/>
  <c r="P262" i="1" s="1"/>
  <c r="O254" i="1"/>
  <c r="K254" i="1" s="1"/>
  <c r="P254" i="1" s="1"/>
  <c r="O228" i="1"/>
  <c r="O241" i="1"/>
  <c r="K241" i="1" s="1"/>
  <c r="P241" i="1" s="1"/>
  <c r="O260" i="1"/>
  <c r="O282" i="1"/>
  <c r="K282" i="1" s="1"/>
  <c r="P282" i="1" s="1"/>
  <c r="O223" i="1"/>
  <c r="K223" i="1" s="1"/>
  <c r="P223" i="1" s="1"/>
  <c r="O252" i="1"/>
  <c r="K252" i="1" s="1"/>
  <c r="P252" i="1" s="1"/>
  <c r="O227" i="1"/>
  <c r="K227" i="1" s="1"/>
  <c r="P227" i="1" s="1"/>
  <c r="O277" i="1"/>
  <c r="K277" i="1" s="1"/>
  <c r="P277" i="1" s="1"/>
  <c r="O239" i="1"/>
  <c r="K239" i="1" s="1"/>
  <c r="P239" i="1" s="1"/>
  <c r="O275" i="1"/>
  <c r="O266" i="1"/>
  <c r="K266" i="1" s="1"/>
  <c r="P266" i="1" s="1"/>
  <c r="O257" i="1"/>
  <c r="K257" i="1" s="1"/>
  <c r="P257" i="1" s="1"/>
  <c r="O224" i="1"/>
  <c r="O244" i="1"/>
  <c r="K244" i="1" s="1"/>
  <c r="P244" i="1" s="1"/>
  <c r="O232" i="1"/>
  <c r="O265" i="1"/>
  <c r="O279" i="1"/>
  <c r="K279" i="1" s="1"/>
  <c r="P279" i="1" s="1"/>
  <c r="O237" i="1"/>
  <c r="K237" i="1" s="1"/>
  <c r="P237" i="1" s="1"/>
  <c r="O274" i="1"/>
  <c r="K274" i="1" s="1"/>
  <c r="P274" i="1" s="1"/>
  <c r="O247" i="1"/>
  <c r="K247" i="1" s="1"/>
  <c r="P247" i="1" s="1"/>
  <c r="O269" i="1"/>
  <c r="K269" i="1" s="1"/>
  <c r="P269" i="1" s="1"/>
  <c r="E21" i="2"/>
  <c r="F117" i="3" l="1"/>
  <c r="G137" i="3"/>
  <c r="G117" i="3"/>
  <c r="G130" i="3"/>
  <c r="G110" i="3"/>
  <c r="M219" i="1"/>
  <c r="N216" i="1"/>
  <c r="G122" i="3" s="1"/>
  <c r="F122" i="3"/>
  <c r="F21" i="2"/>
  <c r="F24" i="2" l="1"/>
  <c r="F25" i="2" s="1"/>
  <c r="G21" i="2"/>
</calcChain>
</file>

<file path=xl/sharedStrings.xml><?xml version="1.0" encoding="utf-8"?>
<sst xmlns="http://schemas.openxmlformats.org/spreadsheetml/2006/main" count="406" uniqueCount="144">
  <si>
    <t>#</t>
  </si>
  <si>
    <t>Item</t>
  </si>
  <si>
    <t>Present Revenue</t>
  </si>
  <si>
    <t>Proposed Revenue</t>
  </si>
  <si>
    <t>Total Base Rates</t>
  </si>
  <si>
    <t>Total Riders</t>
  </si>
  <si>
    <t>Target Revenue</t>
  </si>
  <si>
    <t>Code</t>
  </si>
  <si>
    <t>Classification</t>
  </si>
  <si>
    <t>Billing Component</t>
  </si>
  <si>
    <t>Increase $</t>
  </si>
  <si>
    <t>%</t>
  </si>
  <si>
    <t>Customer Charge</t>
  </si>
  <si>
    <t>Average</t>
  </si>
  <si>
    <t>TOTAL REVENUE</t>
  </si>
  <si>
    <t>Proposed Rate</t>
  </si>
  <si>
    <t xml:space="preserve">       Present Rate</t>
  </si>
  <si>
    <t xml:space="preserve">            Present Revenue</t>
  </si>
  <si>
    <t xml:space="preserve">    FAC</t>
  </si>
  <si>
    <t xml:space="preserve">    ES</t>
  </si>
  <si>
    <t>TOTALS</t>
  </si>
  <si>
    <t xml:space="preserve">    Misc Adj</t>
  </si>
  <si>
    <t>Per Unit Rate Change</t>
  </si>
  <si>
    <t>Rate Rounding Variance</t>
  </si>
  <si>
    <t xml:space="preserve">    Other</t>
  </si>
  <si>
    <t xml:space="preserve">    Prepay Daily Charges</t>
  </si>
  <si>
    <t>Present</t>
  </si>
  <si>
    <t>Proposed</t>
  </si>
  <si>
    <t>Energy Charge per kWh</t>
  </si>
  <si>
    <t>Energy Charge - On Peak per kWh</t>
  </si>
  <si>
    <t>Energy Charge - Off Peak per kWh</t>
  </si>
  <si>
    <t>Demand Charge per kW</t>
  </si>
  <si>
    <t>FARMERS RECC</t>
  </si>
  <si>
    <t>Sodium Vapor 100 Watt</t>
  </si>
  <si>
    <t>Mercury Vapor 175 Watt</t>
  </si>
  <si>
    <t>Mercury Vapor 175 Watt (shared)</t>
  </si>
  <si>
    <t>Mercury Vapor 250 Watt</t>
  </si>
  <si>
    <t>Mercury Vapor 400 Watt</t>
  </si>
  <si>
    <t>Mercury Vapor 1000 Watt</t>
  </si>
  <si>
    <t>Sodium Vapor 150 Watt</t>
  </si>
  <si>
    <t>Sodium Vapor 250 Watt</t>
  </si>
  <si>
    <t>Sodium Vapor 400 Watt</t>
  </si>
  <si>
    <t>Sodium Vapor 1000 Watt</t>
  </si>
  <si>
    <t>LED Light 70 Watt</t>
  </si>
  <si>
    <t>LED Light 105 Watt</t>
  </si>
  <si>
    <t>LED Light 145 Watt</t>
  </si>
  <si>
    <t>LED Flood Light 199 Watt</t>
  </si>
  <si>
    <t>The amount of the change requested in both dollar amounts and percentage change for each customer classification to which the proposed rates will apply is set forth below:</t>
  </si>
  <si>
    <t>Increase</t>
  </si>
  <si>
    <t>Rate Class</t>
  </si>
  <si>
    <t>Dollars</t>
  </si>
  <si>
    <t>Percent</t>
  </si>
  <si>
    <t>The amount of the average usage and the effect upon the average bill for each customer classification to which the proposed rates will apply is set forth below:</t>
  </si>
  <si>
    <t>Usage (kWh)</t>
  </si>
  <si>
    <t>NA</t>
  </si>
  <si>
    <t>Rate</t>
  </si>
  <si>
    <t>RATES WITH NO CURRENT MEMBERS</t>
  </si>
  <si>
    <t>Customer Charge Single Phase</t>
  </si>
  <si>
    <t>Customer Charge Three Phase</t>
  </si>
  <si>
    <t>Energy Charge On Peak per kWh</t>
  </si>
  <si>
    <t>Energy Charge Off Peak per kWh</t>
  </si>
  <si>
    <t>Large Power</t>
  </si>
  <si>
    <t>LPC-1</t>
  </si>
  <si>
    <t xml:space="preserve">Large Power </t>
  </si>
  <si>
    <t>LPC-3</t>
  </si>
  <si>
    <t>LPC-4</t>
  </si>
  <si>
    <t>LPC-5</t>
  </si>
  <si>
    <t>LPB-1</t>
  </si>
  <si>
    <t>Demand Charge Contract per kW</t>
  </si>
  <si>
    <t>Demand Charge Excess per kW</t>
  </si>
  <si>
    <t>LPB-2</t>
  </si>
  <si>
    <t>LPB-3</t>
  </si>
  <si>
    <t>LPB-4</t>
  </si>
  <si>
    <t>LPB-5</t>
  </si>
  <si>
    <t>LPE-1</t>
  </si>
  <si>
    <t>LPE-2</t>
  </si>
  <si>
    <t>LPE-3</t>
  </si>
  <si>
    <t>LPE-5</t>
  </si>
  <si>
    <t>Present &amp; Proposed Rates</t>
  </si>
  <si>
    <t>Variance</t>
  </si>
  <si>
    <t>Incr(Decr)</t>
  </si>
  <si>
    <t>Target</t>
  </si>
  <si>
    <t>Present &amp; Proposed Rate Summary</t>
  </si>
  <si>
    <t>Present and Proposed Rate Detail</t>
  </si>
  <si>
    <t>Scalar</t>
  </si>
  <si>
    <t>No changes to any other rate schedules are proposed.</t>
  </si>
  <si>
    <t>Avg Bill Incr per Mon</t>
  </si>
  <si>
    <t>Incr(Decr) $</t>
  </si>
  <si>
    <t>Incr(Decr) %</t>
  </si>
  <si>
    <t>Total</t>
  </si>
  <si>
    <t>TOTAL</t>
  </si>
  <si>
    <t>Test Year Rate</t>
  </si>
  <si>
    <t>Test Year Revenue</t>
  </si>
  <si>
    <t xml:space="preserve">    Other - Prepay</t>
  </si>
  <si>
    <t>FAC Rolll In</t>
  </si>
  <si>
    <t>FAC Roll-In</t>
  </si>
  <si>
    <t>Test Year Billing Units</t>
  </si>
  <si>
    <t>Pres/Prop Billing Units</t>
  </si>
  <si>
    <t>rate switching 36 to 24</t>
  </si>
  <si>
    <t>Make same as R-TOD (3)</t>
  </si>
  <si>
    <t>Schedule E - Large Industrial Rate</t>
  </si>
  <si>
    <t>OL</t>
  </si>
  <si>
    <t>Estimated Monthly Rate Increase by KWH</t>
  </si>
  <si>
    <t>Residential</t>
  </si>
  <si>
    <t>Monthly</t>
  </si>
  <si>
    <t>Present Base Rates</t>
  </si>
  <si>
    <t>Proposed Base Rates</t>
  </si>
  <si>
    <t>kWh</t>
  </si>
  <si>
    <t>Customer</t>
  </si>
  <si>
    <t xml:space="preserve">Energy </t>
  </si>
  <si>
    <t>Riders</t>
  </si>
  <si>
    <t xml:space="preserve">Customer </t>
  </si>
  <si>
    <t>Energy</t>
  </si>
  <si>
    <t>$</t>
  </si>
  <si>
    <t>AVG</t>
  </si>
  <si>
    <t>Schedule R - Residential Service</t>
  </si>
  <si>
    <t>Schedule R - TOD Residential Service</t>
  </si>
  <si>
    <t>Schedule C - Commercial &amp; Industrial Service &lt;50kW</t>
  </si>
  <si>
    <t>Schedule C - Commercial &amp; Industrial Service &gt;50kW</t>
  </si>
  <si>
    <t>Schedule C - Commercial &amp; Industrial Service - Primary</t>
  </si>
  <si>
    <t>Schedule C - TOD Commercial Service</t>
  </si>
  <si>
    <t>Schedule D - Large Commercial/Industrial Optional TOD Rate</t>
  </si>
  <si>
    <t xml:space="preserve">Schedule LPC-2 - Large Power </t>
  </si>
  <si>
    <t xml:space="preserve">Schedule LPC-1 - Large Power </t>
  </si>
  <si>
    <t xml:space="preserve">Schedule LPC-3 - Large Power </t>
  </si>
  <si>
    <t xml:space="preserve">Schedule LPC-4 - Large Power </t>
  </si>
  <si>
    <t xml:space="preserve">Schedule LPC-5 - Large Power </t>
  </si>
  <si>
    <t>Schedule LPE-1  - Large Power TOD</t>
  </si>
  <si>
    <t>Schedule LPE-2  - Large Power TOD</t>
  </si>
  <si>
    <t>Schedule LPE-3  - Large Power TOD</t>
  </si>
  <si>
    <t>Schedule LPE-5  - Large Power TOD</t>
  </si>
  <si>
    <t>Schedule LPE-4  - Large Power TOD</t>
  </si>
  <si>
    <t>Schedule LPG-1 - Large Power</t>
  </si>
  <si>
    <t>LPG-1</t>
  </si>
  <si>
    <t>Rate Schedule NM - Net Metering</t>
  </si>
  <si>
    <t>Schedule RM - Residential Off-Peak Marketing - ETS</t>
  </si>
  <si>
    <t>Schedule CM - Small Commercial Off-Peak Marketing - ETS</t>
  </si>
  <si>
    <t>Schedule LPE-4  - Large Power TOD Interruptible 1500 Firm 200</t>
  </si>
  <si>
    <t>Monthly Increase</t>
  </si>
  <si>
    <t>Schedule SL -  Street Lighting Service</t>
  </si>
  <si>
    <t>SL</t>
  </si>
  <si>
    <t>Schedule OL - Outdoor Lighting Service</t>
  </si>
  <si>
    <t>Make same as (50)</t>
  </si>
  <si>
    <t>(Rate switching 36 to 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</si>
</sst>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"/>
    <numFmt numFmtId="167" formatCode="_(* #,##0.00000_);_(* \(#,##0.00000\);_(* &quot;-&quot;??_);_(@_)"/>
    <numFmt numFmtId="168" formatCode="_(* #,##0.000000_);_(* \(#,##0.000000\);_(* &quot;-&quot;??_);_(@_)"/>
    <numFmt numFmtId="169" formatCode="_(* #,##0.0000_);_(* \(#,##0.0000\);_(* &quot;-&quot;??_);_(@_)"/>
    <numFmt numFmtId="170" formatCode="_(&quot;$&quot;* #,##0.00000_);_(&quot;$&quot;* \(#,##0.00000\);_(&quot;$&quot;* &quot;-&quot;??_);_(@_)"/>
    <numFmt numFmtId="171" formatCode="_(&quot;$&quot;* #,##0.000000_);_(&quot;$&quot;* \(#,##0.000000\);_(&quot;$&quot;* &quot;-&quot;??_);_(@_)"/>
    <numFmt numFmtId="172" formatCode="_(&quot;$&quot;* #,##0.000000_);_(&quot;$&quot;* \(#,##0.000000\);_(&quot;$&quot;* &quot;-&quot;??????_);_(@_)"/>
    <numFmt numFmtId="173" formatCode="_(&quot;$&quot;* #,##0.0_);_(&quot;$&quot;* \(#,##0.0\);_(&quot;$&quot;* &quot;-&quot;?_);_(@_)"/>
    <numFmt numFmtId="174" formatCode="0.0%"/>
    <numFmt numFmtId="175" formatCode="0.00000"/>
    <numFmt numFmtId="176" formatCode="0.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u/>
      <sz val="10"/>
      <color theme="1"/>
      <name val="Arial"/>
      <family val="2"/>
    </font>
    <font>
      <u/>
      <sz val="10"/>
      <name val="Arial"/>
      <family val="2"/>
    </font>
    <font>
      <sz val="10"/>
      <color rgb="FF0000FF"/>
      <name val="Arial"/>
      <family val="2"/>
    </font>
    <font>
      <sz val="11"/>
      <name val="Times New Roman"/>
      <family val="1"/>
    </font>
    <font>
      <i/>
      <sz val="10"/>
      <name val="Arial"/>
      <family val="2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4AF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1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0" fontId="3" fillId="0" borderId="0" xfId="3" applyNumberFormat="1" applyFont="1"/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right" wrapText="1"/>
    </xf>
    <xf numFmtId="44" fontId="3" fillId="0" borderId="0" xfId="0" applyNumberFormat="1" applyFont="1"/>
    <xf numFmtId="43" fontId="3" fillId="0" borderId="0" xfId="1" applyFont="1"/>
    <xf numFmtId="0" fontId="3" fillId="0" borderId="4" xfId="0" applyFont="1" applyBorder="1"/>
    <xf numFmtId="0" fontId="3" fillId="0" borderId="0" xfId="0" applyFont="1" applyAlignment="1">
      <alignment horizontal="center"/>
    </xf>
    <xf numFmtId="167" fontId="3" fillId="0" borderId="0" xfId="1" applyNumberFormat="1" applyFont="1"/>
    <xf numFmtId="165" fontId="3" fillId="0" borderId="0" xfId="2" applyNumberFormat="1" applyFont="1" applyAlignment="1"/>
    <xf numFmtId="0" fontId="3" fillId="0" borderId="1" xfId="0" applyFont="1" applyBorder="1"/>
    <xf numFmtId="165" fontId="3" fillId="0" borderId="1" xfId="2" applyNumberFormat="1" applyFont="1" applyBorder="1" applyAlignment="1"/>
    <xf numFmtId="165" fontId="3" fillId="0" borderId="4" xfId="2" applyNumberFormat="1" applyFont="1" applyBorder="1" applyAlignment="1"/>
    <xf numFmtId="0" fontId="3" fillId="2" borderId="0" xfId="0" applyFont="1" applyFill="1"/>
    <xf numFmtId="43" fontId="3" fillId="0" borderId="0" xfId="0" applyNumberFormat="1" applyFont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44" fontId="3" fillId="0" borderId="0" xfId="2" applyFont="1"/>
    <xf numFmtId="170" fontId="3" fillId="0" borderId="0" xfId="2" applyNumberFormat="1" applyFont="1"/>
    <xf numFmtId="0" fontId="2" fillId="0" borderId="3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71" fontId="3" fillId="0" borderId="0" xfId="2" applyNumberFormat="1" applyFont="1"/>
    <xf numFmtId="0" fontId="3" fillId="0" borderId="3" xfId="0" applyFont="1" applyBorder="1"/>
    <xf numFmtId="0" fontId="2" fillId="0" borderId="4" xfId="0" applyFont="1" applyBorder="1" applyAlignment="1">
      <alignment horizontal="right"/>
    </xf>
    <xf numFmtId="165" fontId="3" fillId="0" borderId="0" xfId="2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1" applyNumberFormat="1" applyFont="1"/>
    <xf numFmtId="164" fontId="4" fillId="0" borderId="0" xfId="1" applyNumberFormat="1" applyFont="1" applyAlignment="1">
      <alignment horizontal="right"/>
    </xf>
    <xf numFmtId="44" fontId="3" fillId="0" borderId="0" xfId="2" applyFont="1" applyAlignment="1">
      <alignment horizontal="right"/>
    </xf>
    <xf numFmtId="169" fontId="4" fillId="0" borderId="0" xfId="1" applyNumberFormat="1" applyFont="1" applyAlignment="1">
      <alignment vertical="center"/>
    </xf>
    <xf numFmtId="0" fontId="2" fillId="0" borderId="3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6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4" fillId="0" borderId="0" xfId="0" applyFont="1" applyAlignment="1">
      <alignment horizontal="left"/>
    </xf>
    <xf numFmtId="10" fontId="4" fillId="0" borderId="0" xfId="3" applyNumberFormat="1" applyFont="1" applyFill="1" applyAlignment="1"/>
    <xf numFmtId="165" fontId="4" fillId="0" borderId="0" xfId="2" applyNumberFormat="1" applyFont="1" applyFill="1" applyAlignment="1"/>
    <xf numFmtId="165" fontId="4" fillId="0" borderId="0" xfId="2" applyNumberFormat="1" applyFont="1" applyFill="1"/>
    <xf numFmtId="43" fontId="4" fillId="0" borderId="0" xfId="1" applyFont="1" applyFill="1"/>
    <xf numFmtId="10" fontId="4" fillId="0" borderId="0" xfId="3" applyNumberFormat="1" applyFont="1" applyFill="1"/>
    <xf numFmtId="168" fontId="4" fillId="0" borderId="0" xfId="1" applyNumberFormat="1" applyFont="1" applyFill="1"/>
    <xf numFmtId="164" fontId="4" fillId="0" borderId="0" xfId="1" applyNumberFormat="1" applyFont="1" applyFill="1"/>
    <xf numFmtId="172" fontId="3" fillId="0" borderId="0" xfId="0" applyNumberFormat="1" applyFont="1"/>
    <xf numFmtId="166" fontId="3" fillId="0" borderId="0" xfId="0" applyNumberFormat="1" applyFont="1"/>
    <xf numFmtId="43" fontId="3" fillId="0" borderId="0" xfId="1" applyFont="1" applyAlignment="1">
      <alignment vertical="center"/>
    </xf>
    <xf numFmtId="10" fontId="4" fillId="0" borderId="4" xfId="3" applyNumberFormat="1" applyFont="1" applyFill="1" applyBorder="1" applyAlignment="1"/>
    <xf numFmtId="0" fontId="4" fillId="0" borderId="0" xfId="0" applyFont="1"/>
    <xf numFmtId="0" fontId="4" fillId="0" borderId="5" xfId="0" applyFont="1" applyBorder="1"/>
    <xf numFmtId="165" fontId="4" fillId="0" borderId="0" xfId="0" applyNumberFormat="1" applyFont="1"/>
    <xf numFmtId="166" fontId="4" fillId="0" borderId="0" xfId="0" applyNumberFormat="1" applyFont="1"/>
    <xf numFmtId="0" fontId="8" fillId="0" borderId="0" xfId="0" applyFont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6" fillId="0" borderId="0" xfId="0" applyFont="1"/>
    <xf numFmtId="0" fontId="3" fillId="0" borderId="1" xfId="0" applyFont="1" applyBorder="1" applyAlignment="1">
      <alignment horizontal="left"/>
    </xf>
    <xf numFmtId="10" fontId="3" fillId="0" borderId="1" xfId="3" applyNumberFormat="1" applyFont="1" applyBorder="1"/>
    <xf numFmtId="0" fontId="4" fillId="0" borderId="1" xfId="0" applyFont="1" applyBorder="1" applyAlignment="1">
      <alignment horizontal="center"/>
    </xf>
    <xf numFmtId="173" fontId="3" fillId="0" borderId="0" xfId="0" applyNumberFormat="1" applyFont="1"/>
    <xf numFmtId="9" fontId="3" fillId="0" borderId="0" xfId="3" applyFont="1"/>
    <xf numFmtId="0" fontId="9" fillId="0" borderId="0" xfId="0" applyFont="1"/>
    <xf numFmtId="165" fontId="3" fillId="0" borderId="0" xfId="0" applyNumberFormat="1" applyFont="1"/>
    <xf numFmtId="174" fontId="3" fillId="0" borderId="0" xfId="0" applyNumberFormat="1" applyFont="1"/>
    <xf numFmtId="174" fontId="3" fillId="0" borderId="0" xfId="3" applyNumberFormat="1" applyFont="1"/>
    <xf numFmtId="43" fontId="3" fillId="0" borderId="0" xfId="1" applyFont="1" applyFill="1"/>
    <xf numFmtId="168" fontId="3" fillId="0" borderId="0" xfId="1" applyNumberFormat="1" applyFont="1" applyFill="1"/>
    <xf numFmtId="167" fontId="3" fillId="0" borderId="0" xfId="1" applyNumberFormat="1" applyFont="1" applyFill="1" applyAlignment="1">
      <alignment vertical="center"/>
    </xf>
    <xf numFmtId="167" fontId="3" fillId="0" borderId="0" xfId="0" applyNumberFormat="1" applyFont="1"/>
    <xf numFmtId="164" fontId="3" fillId="0" borderId="0" xfId="1" applyNumberFormat="1" applyFont="1" applyFill="1"/>
    <xf numFmtId="0" fontId="3" fillId="0" borderId="5" xfId="0" applyFont="1" applyBorder="1"/>
    <xf numFmtId="164" fontId="3" fillId="0" borderId="0" xfId="1" applyNumberFormat="1" applyFont="1" applyFill="1" applyAlignment="1">
      <alignment horizontal="center"/>
    </xf>
    <xf numFmtId="164" fontId="3" fillId="0" borderId="4" xfId="1" applyNumberFormat="1" applyFont="1" applyFill="1" applyBorder="1" applyAlignment="1">
      <alignment vertical="center"/>
    </xf>
    <xf numFmtId="169" fontId="3" fillId="0" borderId="0" xfId="1" applyNumberFormat="1" applyFont="1"/>
    <xf numFmtId="169" fontId="3" fillId="3" borderId="0" xfId="1" applyNumberFormat="1" applyFont="1" applyFill="1"/>
    <xf numFmtId="167" fontId="3" fillId="3" borderId="0" xfId="1" applyNumberFormat="1" applyFont="1" applyFill="1"/>
    <xf numFmtId="0" fontId="7" fillId="0" borderId="0" xfId="0" applyFont="1" applyAlignment="1">
      <alignment horizontal="center"/>
    </xf>
    <xf numFmtId="0" fontId="4" fillId="4" borderId="0" xfId="0" applyFont="1" applyFill="1" applyAlignment="1">
      <alignment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5" xfId="5" applyFont="1" applyBorder="1" applyAlignment="1">
      <alignment horizontal="center" vertical="center"/>
    </xf>
    <xf numFmtId="0" fontId="6" fillId="0" borderId="16" xfId="5" applyFont="1" applyBorder="1" applyAlignment="1">
      <alignment horizontal="center" vertical="center"/>
    </xf>
    <xf numFmtId="0" fontId="6" fillId="0" borderId="17" xfId="5" applyFont="1" applyBorder="1" applyAlignment="1">
      <alignment horizontal="center" vertical="center"/>
    </xf>
    <xf numFmtId="0" fontId="6" fillId="0" borderId="18" xfId="5" applyFont="1" applyBorder="1" applyAlignment="1">
      <alignment horizontal="center" vertical="center"/>
    </xf>
    <xf numFmtId="0" fontId="6" fillId="0" borderId="0" xfId="5" applyFont="1"/>
    <xf numFmtId="0" fontId="6" fillId="0" borderId="19" xfId="5" applyFont="1" applyBorder="1" applyAlignment="1">
      <alignment horizontal="center" vertical="center"/>
    </xf>
    <xf numFmtId="0" fontId="6" fillId="0" borderId="20" xfId="5" applyFont="1" applyBorder="1" applyAlignment="1">
      <alignment horizontal="center" vertical="center"/>
    </xf>
    <xf numFmtId="44" fontId="11" fillId="0" borderId="20" xfId="5" applyNumberFormat="1" applyFont="1" applyBorder="1" applyAlignment="1">
      <alignment horizontal="center" vertical="center"/>
    </xf>
    <xf numFmtId="0" fontId="11" fillId="0" borderId="20" xfId="5" applyFont="1" applyBorder="1" applyAlignment="1">
      <alignment horizontal="center" vertical="center"/>
    </xf>
    <xf numFmtId="0" fontId="6" fillId="0" borderId="21" xfId="5" applyFont="1" applyBorder="1" applyAlignment="1">
      <alignment horizontal="center" vertical="center"/>
    </xf>
    <xf numFmtId="44" fontId="4" fillId="0" borderId="7" xfId="8" applyFont="1" applyBorder="1"/>
    <xf numFmtId="44" fontId="4" fillId="0" borderId="8" xfId="8" applyFont="1" applyBorder="1"/>
    <xf numFmtId="174" fontId="4" fillId="0" borderId="24" xfId="9" applyNumberFormat="1" applyFont="1" applyBorder="1"/>
    <xf numFmtId="44" fontId="4" fillId="0" borderId="25" xfId="8" applyFont="1" applyBorder="1"/>
    <xf numFmtId="44" fontId="4" fillId="0" borderId="27" xfId="8" applyFont="1" applyBorder="1"/>
    <xf numFmtId="174" fontId="4" fillId="0" borderId="28" xfId="9" applyNumberFormat="1" applyFont="1" applyBorder="1"/>
    <xf numFmtId="0" fontId="4" fillId="0" borderId="0" xfId="5" applyAlignment="1">
      <alignment horizontal="center"/>
    </xf>
    <xf numFmtId="0" fontId="4" fillId="0" borderId="0" xfId="5"/>
    <xf numFmtId="0" fontId="4" fillId="0" borderId="22" xfId="5" applyBorder="1" applyAlignment="1">
      <alignment horizontal="center"/>
    </xf>
    <xf numFmtId="44" fontId="4" fillId="0" borderId="7" xfId="5" applyNumberFormat="1" applyBorder="1"/>
    <xf numFmtId="44" fontId="4" fillId="0" borderId="0" xfId="5" applyNumberFormat="1"/>
    <xf numFmtId="44" fontId="4" fillId="0" borderId="8" xfId="5" applyNumberFormat="1" applyBorder="1"/>
    <xf numFmtId="0" fontId="4" fillId="0" borderId="19" xfId="5" applyBorder="1" applyAlignment="1">
      <alignment horizontal="center"/>
    </xf>
    <xf numFmtId="44" fontId="4" fillId="0" borderId="25" xfId="5" applyNumberFormat="1" applyBorder="1"/>
    <xf numFmtId="44" fontId="4" fillId="0" borderId="26" xfId="5" applyNumberFormat="1" applyBorder="1"/>
    <xf numFmtId="44" fontId="4" fillId="0" borderId="27" xfId="5" applyNumberFormat="1" applyBorder="1"/>
    <xf numFmtId="0" fontId="6" fillId="0" borderId="0" xfId="6" applyFont="1"/>
    <xf numFmtId="0" fontId="6" fillId="0" borderId="0" xfId="5" applyFont="1" applyAlignment="1">
      <alignment horizontal="left"/>
    </xf>
    <xf numFmtId="164" fontId="3" fillId="0" borderId="23" xfId="7" applyNumberFormat="1" applyFont="1" applyBorder="1"/>
    <xf numFmtId="164" fontId="3" fillId="0" borderId="20" xfId="7" applyNumberFormat="1" applyFont="1" applyBorder="1"/>
    <xf numFmtId="0" fontId="3" fillId="0" borderId="0" xfId="0" applyFont="1" applyAlignment="1">
      <alignment horizontal="left" vertical="center"/>
    </xf>
    <xf numFmtId="0" fontId="3" fillId="5" borderId="0" xfId="0" applyFont="1" applyFill="1"/>
    <xf numFmtId="165" fontId="3" fillId="5" borderId="0" xfId="0" applyNumberFormat="1" applyFont="1" applyFill="1"/>
    <xf numFmtId="0" fontId="3" fillId="0" borderId="5" xfId="0" applyFont="1" applyBorder="1" applyAlignment="1">
      <alignment horizontal="center"/>
    </xf>
    <xf numFmtId="165" fontId="3" fillId="0" borderId="0" xfId="2" applyNumberFormat="1" applyFont="1"/>
    <xf numFmtId="10" fontId="3" fillId="0" borderId="0" xfId="0" applyNumberFormat="1" applyFont="1"/>
    <xf numFmtId="175" fontId="4" fillId="0" borderId="0" xfId="0" applyNumberFormat="1" applyFont="1"/>
    <xf numFmtId="9" fontId="4" fillId="0" borderId="0" xfId="0" applyNumberFormat="1" applyFont="1"/>
    <xf numFmtId="0" fontId="3" fillId="0" borderId="29" xfId="0" applyFont="1" applyBorder="1"/>
    <xf numFmtId="0" fontId="3" fillId="0" borderId="29" xfId="0" applyFont="1" applyBorder="1" applyAlignment="1">
      <alignment horizontal="center"/>
    </xf>
    <xf numFmtId="164" fontId="4" fillId="0" borderId="29" xfId="1" applyNumberFormat="1" applyFont="1" applyFill="1" applyBorder="1"/>
    <xf numFmtId="175" fontId="4" fillId="0" borderId="29" xfId="0" applyNumberFormat="1" applyFont="1" applyBorder="1"/>
    <xf numFmtId="165" fontId="4" fillId="0" borderId="29" xfId="2" applyNumberFormat="1" applyFont="1" applyFill="1" applyBorder="1"/>
    <xf numFmtId="168" fontId="4" fillId="0" borderId="29" xfId="1" applyNumberFormat="1" applyFont="1" applyFill="1" applyBorder="1"/>
    <xf numFmtId="10" fontId="3" fillId="0" borderId="29" xfId="3" applyNumberFormat="1" applyFont="1" applyBorder="1"/>
    <xf numFmtId="165" fontId="3" fillId="0" borderId="29" xfId="2" applyNumberFormat="1" applyFont="1" applyBorder="1"/>
    <xf numFmtId="10" fontId="3" fillId="0" borderId="29" xfId="0" applyNumberFormat="1" applyFont="1" applyBorder="1"/>
    <xf numFmtId="164" fontId="9" fillId="0" borderId="0" xfId="1" applyNumberFormat="1" applyFont="1" applyFill="1"/>
    <xf numFmtId="165" fontId="3" fillId="0" borderId="1" xfId="2" applyNumberFormat="1" applyFont="1" applyBorder="1"/>
    <xf numFmtId="10" fontId="3" fillId="0" borderId="0" xfId="3" applyNumberFormat="1" applyFont="1" applyAlignment="1">
      <alignment horizontal="right"/>
    </xf>
    <xf numFmtId="169" fontId="3" fillId="0" borderId="0" xfId="0" applyNumberFormat="1" applyFont="1"/>
    <xf numFmtId="176" fontId="4" fillId="0" borderId="0" xfId="3" applyNumberFormat="1" applyFont="1" applyFill="1"/>
    <xf numFmtId="44" fontId="3" fillId="0" borderId="0" xfId="2" applyFont="1" applyFill="1"/>
    <xf numFmtId="174" fontId="3" fillId="0" borderId="0" xfId="3" applyNumberFormat="1" applyFont="1" applyFill="1"/>
    <xf numFmtId="0" fontId="6" fillId="0" borderId="3" xfId="0" applyFont="1" applyBorder="1" applyAlignment="1">
      <alignment horizontal="right"/>
    </xf>
    <xf numFmtId="10" fontId="3" fillId="0" borderId="0" xfId="3" applyNumberFormat="1" applyFont="1" applyFill="1"/>
    <xf numFmtId="0" fontId="6" fillId="0" borderId="0" xfId="0" applyFont="1" applyAlignment="1">
      <alignment horizontal="right"/>
    </xf>
    <xf numFmtId="0" fontId="6" fillId="0" borderId="11" xfId="5" applyFont="1" applyBorder="1" applyAlignment="1">
      <alignment horizontal="center" vertical="center"/>
    </xf>
    <xf numFmtId="0" fontId="6" fillId="0" borderId="12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6" fillId="0" borderId="14" xfId="5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176" fontId="3" fillId="0" borderId="0" xfId="3" applyNumberFormat="1" applyFont="1" applyAlignment="1"/>
    <xf numFmtId="165" fontId="3" fillId="0" borderId="0" xfId="2" applyNumberFormat="1" applyFont="1" applyFill="1" applyBorder="1" applyAlignment="1"/>
    <xf numFmtId="0" fontId="4" fillId="0" borderId="0" xfId="0" applyFont="1" applyFill="1"/>
    <xf numFmtId="0" fontId="3" fillId="0" borderId="0" xfId="0" applyFont="1" applyFill="1"/>
    <xf numFmtId="0" fontId="2" fillId="0" borderId="3" xfId="0" applyFont="1" applyFill="1" applyBorder="1" applyAlignment="1">
      <alignment horizontal="right" wrapText="1"/>
    </xf>
    <xf numFmtId="0" fontId="2" fillId="0" borderId="0" xfId="0" applyFont="1" applyFill="1" applyAlignment="1">
      <alignment horizontal="right" wrapText="1"/>
    </xf>
    <xf numFmtId="0" fontId="4" fillId="0" borderId="5" xfId="0" applyFont="1" applyFill="1" applyBorder="1"/>
    <xf numFmtId="0" fontId="3" fillId="0" borderId="5" xfId="0" applyFont="1" applyFill="1" applyBorder="1"/>
    <xf numFmtId="166" fontId="4" fillId="0" borderId="0" xfId="0" applyNumberFormat="1" applyFont="1" applyFill="1"/>
    <xf numFmtId="0" fontId="3" fillId="0" borderId="4" xfId="0" applyFont="1" applyFill="1" applyBorder="1" applyAlignment="1">
      <alignment vertical="center"/>
    </xf>
    <xf numFmtId="0" fontId="3" fillId="0" borderId="4" xfId="0" applyFont="1" applyFill="1" applyBorder="1"/>
    <xf numFmtId="0" fontId="3" fillId="0" borderId="2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66" fontId="3" fillId="0" borderId="0" xfId="0" applyNumberFormat="1" applyFont="1" applyFill="1"/>
    <xf numFmtId="0" fontId="4" fillId="0" borderId="0" xfId="0" applyFont="1" applyFill="1" applyAlignment="1">
      <alignment horizontal="right"/>
    </xf>
    <xf numFmtId="165" fontId="3" fillId="0" borderId="0" xfId="0" applyNumberFormat="1" applyFont="1" applyFill="1" applyAlignment="1">
      <alignment horizontal="right"/>
    </xf>
    <xf numFmtId="165" fontId="3" fillId="0" borderId="0" xfId="0" applyNumberFormat="1" applyFont="1" applyFill="1"/>
    <xf numFmtId="0" fontId="3" fillId="0" borderId="6" xfId="0" applyFont="1" applyFill="1" applyBorder="1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2" fillId="0" borderId="3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vertical="center"/>
    </xf>
    <xf numFmtId="0" fontId="3" fillId="0" borderId="5" xfId="0" applyFont="1" applyFill="1" applyBorder="1" applyAlignment="1">
      <alignment horizontal="center"/>
    </xf>
    <xf numFmtId="165" fontId="3" fillId="0" borderId="0" xfId="2" applyNumberFormat="1" applyFont="1" applyFill="1"/>
    <xf numFmtId="0" fontId="3" fillId="0" borderId="0" xfId="0" applyFont="1" applyFill="1" applyAlignment="1">
      <alignment horizontal="center" vertical="center"/>
    </xf>
    <xf numFmtId="165" fontId="3" fillId="0" borderId="4" xfId="2" applyNumberFormat="1" applyFont="1" applyFill="1" applyBorder="1" applyAlignment="1">
      <alignment vertical="center"/>
    </xf>
    <xf numFmtId="10" fontId="3" fillId="0" borderId="4" xfId="3" applyNumberFormat="1" applyFont="1" applyFill="1" applyBorder="1" applyAlignment="1">
      <alignment vertical="center"/>
    </xf>
    <xf numFmtId="165" fontId="3" fillId="0" borderId="4" xfId="2" applyNumberFormat="1" applyFont="1" applyFill="1" applyBorder="1"/>
    <xf numFmtId="43" fontId="3" fillId="0" borderId="4" xfId="1" applyFont="1" applyFill="1" applyBorder="1"/>
    <xf numFmtId="165" fontId="3" fillId="0" borderId="2" xfId="0" applyNumberFormat="1" applyFont="1" applyFill="1" applyBorder="1" applyAlignment="1">
      <alignment vertical="center"/>
    </xf>
    <xf numFmtId="165" fontId="3" fillId="0" borderId="2" xfId="2" applyNumberFormat="1" applyFont="1" applyFill="1" applyBorder="1" applyAlignment="1">
      <alignment vertical="center"/>
    </xf>
    <xf numFmtId="10" fontId="3" fillId="0" borderId="2" xfId="3" applyNumberFormat="1" applyFont="1" applyFill="1" applyBorder="1" applyAlignment="1">
      <alignment vertical="center"/>
    </xf>
    <xf numFmtId="44" fontId="3" fillId="0" borderId="0" xfId="0" applyNumberFormat="1" applyFont="1" applyFill="1"/>
    <xf numFmtId="9" fontId="3" fillId="0" borderId="0" xfId="3" applyFont="1" applyFill="1"/>
    <xf numFmtId="43" fontId="3" fillId="0" borderId="0" xfId="1" applyFont="1" applyFill="1" applyAlignment="1">
      <alignment horizontal="center"/>
    </xf>
    <xf numFmtId="43" fontId="3" fillId="0" borderId="0" xfId="0" applyNumberFormat="1" applyFont="1" applyFill="1"/>
    <xf numFmtId="165" fontId="3" fillId="0" borderId="0" xfId="0" applyNumberFormat="1" applyFont="1" applyFill="1" applyAlignment="1">
      <alignment vertical="center"/>
    </xf>
    <xf numFmtId="0" fontId="3" fillId="0" borderId="6" xfId="0" applyFont="1" applyFill="1" applyBorder="1" applyAlignment="1">
      <alignment horizontal="center"/>
    </xf>
    <xf numFmtId="165" fontId="3" fillId="0" borderId="4" xfId="0" applyNumberFormat="1" applyFont="1" applyFill="1" applyBorder="1" applyAlignment="1">
      <alignment vertical="center"/>
    </xf>
    <xf numFmtId="165" fontId="3" fillId="0" borderId="4" xfId="0" applyNumberFormat="1" applyFont="1" applyFill="1" applyBorder="1"/>
    <xf numFmtId="165" fontId="3" fillId="0" borderId="0" xfId="0" applyNumberFormat="1" applyFont="1" applyFill="1" applyAlignment="1">
      <alignment horizontal="left" indent="2"/>
    </xf>
    <xf numFmtId="0" fontId="4" fillId="0" borderId="22" xfId="5" applyFill="1" applyBorder="1" applyAlignment="1">
      <alignment horizontal="center"/>
    </xf>
    <xf numFmtId="164" fontId="3" fillId="0" borderId="23" xfId="7" applyNumberFormat="1" applyFont="1" applyFill="1" applyBorder="1"/>
    <xf numFmtId="44" fontId="4" fillId="0" borderId="7" xfId="5" applyNumberFormat="1" applyFill="1" applyBorder="1"/>
    <xf numFmtId="44" fontId="4" fillId="0" borderId="0" xfId="5" applyNumberFormat="1" applyFill="1"/>
    <xf numFmtId="44" fontId="4" fillId="0" borderId="8" xfId="5" applyNumberFormat="1" applyFill="1" applyBorder="1"/>
    <xf numFmtId="44" fontId="4" fillId="0" borderId="7" xfId="8" applyFont="1" applyFill="1" applyBorder="1"/>
    <xf numFmtId="44" fontId="4" fillId="0" borderId="8" xfId="8" applyFont="1" applyFill="1" applyBorder="1"/>
    <xf numFmtId="174" fontId="4" fillId="0" borderId="24" xfId="9" applyNumberFormat="1" applyFont="1" applyFill="1" applyBorder="1"/>
    <xf numFmtId="0" fontId="4" fillId="0" borderId="19" xfId="5" applyFill="1" applyBorder="1" applyAlignment="1">
      <alignment horizontal="center"/>
    </xf>
    <xf numFmtId="164" fontId="3" fillId="0" borderId="20" xfId="7" applyNumberFormat="1" applyFont="1" applyFill="1" applyBorder="1"/>
    <xf numFmtId="44" fontId="4" fillId="0" borderId="25" xfId="5" applyNumberFormat="1" applyFill="1" applyBorder="1"/>
    <xf numFmtId="44" fontId="4" fillId="0" borderId="26" xfId="5" applyNumberFormat="1" applyFill="1" applyBorder="1"/>
    <xf numFmtId="44" fontId="4" fillId="0" borderId="27" xfId="5" applyNumberFormat="1" applyFill="1" applyBorder="1"/>
    <xf numFmtId="44" fontId="4" fillId="0" borderId="25" xfId="8" applyFont="1" applyFill="1" applyBorder="1"/>
    <xf numFmtId="44" fontId="4" fillId="0" borderId="27" xfId="8" applyFont="1" applyFill="1" applyBorder="1"/>
    <xf numFmtId="174" fontId="4" fillId="0" borderId="28" xfId="9" applyNumberFormat="1" applyFont="1" applyFill="1" applyBorder="1"/>
    <xf numFmtId="0" fontId="3" fillId="0" borderId="0" xfId="0" applyFont="1" applyFill="1" applyAlignment="1">
      <alignment horizontal="left"/>
    </xf>
    <xf numFmtId="0" fontId="12" fillId="0" borderId="0" xfId="0" applyFont="1" applyFill="1" applyAlignment="1">
      <alignment horizontal="right"/>
    </xf>
  </cellXfs>
  <cellStyles count="10">
    <cellStyle name="Comma" xfId="1" builtinId="3"/>
    <cellStyle name="Comma 3 2" xfId="7" xr:uid="{B08810C4-7B8A-4853-B2B4-43BC5C73AB4F}"/>
    <cellStyle name="Currency" xfId="2" builtinId="4"/>
    <cellStyle name="Currency 2 2" xfId="8" xr:uid="{EB5C808D-637C-42F1-8546-02A6A77B6BC0}"/>
    <cellStyle name="Normal" xfId="0" builtinId="0"/>
    <cellStyle name="Normal 2" xfId="4" xr:uid="{07BB8BC8-C5A2-4D23-8181-BEF9162D0260}"/>
    <cellStyle name="Normal 2 2" xfId="5" xr:uid="{5F32FB8F-16CF-4DD4-B475-67162831CC80}"/>
    <cellStyle name="Normal 3" xfId="6" xr:uid="{D8D8D9C0-5BE1-4CF5-8C2B-4B9788AF2179}"/>
    <cellStyle name="Percent" xfId="3" builtinId="5"/>
    <cellStyle name="Percent 3 2" xfId="9" xr:uid="{72DCF5DB-5BAC-4376-B46A-C0B216C8F248}"/>
  </cellStyles>
  <dxfs count="0"/>
  <tableStyles count="0" defaultTableStyle="TableStyleMedium2" defaultPivotStyle="PivotStyleLight16"/>
  <colors>
    <mruColors>
      <color rgb="FFFF9B9D"/>
      <color rgb="FFFFE5FF"/>
      <color rgb="FFFFE4AF"/>
      <color rgb="FFFFCC66"/>
      <color rgb="FF99FF99"/>
      <color rgb="FF0000FF"/>
      <color rgb="FFCDFFE6"/>
      <color rgb="FFCCFFFF"/>
      <color rgb="FF99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O201"/>
  <sheetViews>
    <sheetView view="pageBreakPreview" zoomScaleNormal="120" zoomScaleSheetLayoutView="100" workbookViewId="0">
      <selection activeCell="J26" sqref="J26"/>
    </sheetView>
  </sheetViews>
  <sheetFormatPr defaultColWidth="8.85546875" defaultRowHeight="12.75" x14ac:dyDescent="0.2"/>
  <cols>
    <col min="1" max="1" width="5.7109375" style="2" customWidth="1"/>
    <col min="2" max="2" width="55.42578125" style="2" bestFit="1" customWidth="1"/>
    <col min="3" max="3" width="7.5703125" style="13" customWidth="1"/>
    <col min="4" max="5" width="13.42578125" style="2" bestFit="1" customWidth="1"/>
    <col min="6" max="6" width="14.28515625" style="2" customWidth="1"/>
    <col min="7" max="7" width="11.28515625" style="2" customWidth="1"/>
    <col min="8" max="8" width="17.5703125" style="2" customWidth="1"/>
    <col min="9" max="9" width="36.7109375" style="2" customWidth="1"/>
    <col min="10" max="10" width="46.7109375" style="2" bestFit="1" customWidth="1"/>
    <col min="11" max="11" width="14.5703125" style="2" customWidth="1"/>
    <col min="12" max="12" width="9" style="2" customWidth="1"/>
    <col min="13" max="13" width="14.7109375" style="2" customWidth="1"/>
    <col min="14" max="14" width="10" style="2" customWidth="1"/>
    <col min="15" max="16384" width="8.85546875" style="2"/>
  </cols>
  <sheetData>
    <row r="1" spans="1:15" x14ac:dyDescent="0.2">
      <c r="A1" s="1" t="s">
        <v>32</v>
      </c>
    </row>
    <row r="2" spans="1:15" x14ac:dyDescent="0.2">
      <c r="A2" s="1" t="s">
        <v>82</v>
      </c>
    </row>
    <row r="3" spans="1:15" x14ac:dyDescent="0.2">
      <c r="A3" s="1"/>
    </row>
    <row r="4" spans="1:15" x14ac:dyDescent="0.2">
      <c r="A4" s="1"/>
    </row>
    <row r="5" spans="1:15" s="8" customFormat="1" ht="54.6" customHeight="1" x14ac:dyDescent="0.2">
      <c r="A5" s="6" t="s">
        <v>0</v>
      </c>
      <c r="B5" s="6" t="s">
        <v>1</v>
      </c>
      <c r="C5" s="7" t="s">
        <v>7</v>
      </c>
      <c r="D5" s="9" t="s">
        <v>2</v>
      </c>
      <c r="E5" s="9" t="s">
        <v>3</v>
      </c>
      <c r="F5" s="9" t="s">
        <v>87</v>
      </c>
      <c r="G5" s="7" t="s">
        <v>88</v>
      </c>
      <c r="H5" s="7" t="s">
        <v>86</v>
      </c>
      <c r="I5" s="2"/>
      <c r="J5" s="2"/>
      <c r="K5" s="2"/>
      <c r="L5" s="2"/>
      <c r="M5" s="2"/>
      <c r="N5" s="2"/>
      <c r="O5" s="2"/>
    </row>
    <row r="6" spans="1:15" x14ac:dyDescent="0.2">
      <c r="A6" s="3">
        <v>1</v>
      </c>
      <c r="B6" s="2" t="str">
        <f>'Billing Detail'!B7</f>
        <v>Schedule R - Residential Service</v>
      </c>
      <c r="C6" s="13">
        <f>'Billing Detail'!C7</f>
        <v>1</v>
      </c>
      <c r="D6" s="15">
        <f>'Billing Detail'!J16</f>
        <v>39845937.473306008</v>
      </c>
      <c r="E6" s="44">
        <f>'Billing Detail'!L16</f>
        <v>42202860.134512007</v>
      </c>
      <c r="F6" s="44">
        <f>'Billing Detail'!M16</f>
        <v>2356922.6612059996</v>
      </c>
      <c r="G6" s="43">
        <f t="shared" ref="G6:G16" si="0">IF(D6=0,0,F6/D6)</f>
        <v>5.9150889919078277E-2</v>
      </c>
      <c r="H6" s="10">
        <f>'Billing Detail'!M17</f>
        <v>7.9927383443806548</v>
      </c>
      <c r="J6" s="10"/>
    </row>
    <row r="7" spans="1:15" x14ac:dyDescent="0.2">
      <c r="A7" s="3">
        <f t="shared" ref="A7:A25" si="1">A6+1</f>
        <v>2</v>
      </c>
      <c r="B7" s="2" t="str">
        <f>'Billing Detail'!B19</f>
        <v>Schedule R - TOD Residential Service</v>
      </c>
      <c r="C7" s="13">
        <f>'Billing Detail'!C19</f>
        <v>3</v>
      </c>
      <c r="D7" s="15">
        <f>'Billing Detail'!J29</f>
        <v>1372.0563609999999</v>
      </c>
      <c r="E7" s="44">
        <f>'Billing Detail'!L29</f>
        <v>1417.8963610000001</v>
      </c>
      <c r="F7" s="44">
        <f>'Billing Detail'!M29</f>
        <v>45.840000000000146</v>
      </c>
      <c r="G7" s="43">
        <f t="shared" si="0"/>
        <v>3.3409706264974741E-2</v>
      </c>
      <c r="H7" s="10">
        <f>'Billing Detail'!M30</f>
        <v>3.8200000000000216</v>
      </c>
    </row>
    <row r="8" spans="1:15" x14ac:dyDescent="0.2">
      <c r="A8" s="3">
        <f t="shared" si="1"/>
        <v>3</v>
      </c>
      <c r="B8" s="2" t="str">
        <f>'Billing Detail'!B32</f>
        <v>Rate Schedule NM - Net Metering</v>
      </c>
      <c r="C8" s="13">
        <f>'Billing Detail'!C32</f>
        <v>20</v>
      </c>
      <c r="D8" s="15">
        <f>'Billing Detail'!J41</f>
        <v>192638.28229600002</v>
      </c>
      <c r="E8" s="44">
        <f>'Billing Detail'!L41</f>
        <v>199639.745242</v>
      </c>
      <c r="F8" s="44">
        <f>'Billing Detail'!M41</f>
        <v>7001.4629459999851</v>
      </c>
      <c r="G8" s="43">
        <f t="shared" si="0"/>
        <v>3.6345127575638507E-2</v>
      </c>
      <c r="H8" s="10">
        <f>'Billing Detail'!M42</f>
        <v>7.2780280103949906</v>
      </c>
    </row>
    <row r="9" spans="1:15" x14ac:dyDescent="0.2">
      <c r="A9" s="3">
        <f t="shared" si="1"/>
        <v>4</v>
      </c>
      <c r="B9" s="2" t="str">
        <f>'Billing Detail'!B44</f>
        <v>Schedule RM - Residential Off-Peak Marketing - ETS</v>
      </c>
      <c r="C9" s="13">
        <f>'Billing Detail'!C44</f>
        <v>7</v>
      </c>
      <c r="D9" s="15">
        <f>'Billing Detail'!J53</f>
        <v>16969.346264</v>
      </c>
      <c r="E9" s="44">
        <f>'Billing Detail'!L53</f>
        <v>18821.378718999997</v>
      </c>
      <c r="F9" s="44">
        <f>'Billing Detail'!M53</f>
        <v>1852.0324549999968</v>
      </c>
      <c r="G9" s="43">
        <f t="shared" si="0"/>
        <v>0.10913988236123348</v>
      </c>
      <c r="H9" s="10">
        <f>'Billing Detail'!M54</f>
        <v>1.8821468038617866</v>
      </c>
    </row>
    <row r="10" spans="1:15" x14ac:dyDescent="0.2">
      <c r="A10" s="3">
        <f t="shared" si="1"/>
        <v>5</v>
      </c>
      <c r="B10" s="2" t="str">
        <f>'Billing Detail'!B56</f>
        <v>Schedule C - Commercial &amp; Industrial Service &lt;50kW</v>
      </c>
      <c r="C10" s="13">
        <f>'Billing Detail'!C56</f>
        <v>4</v>
      </c>
      <c r="D10" s="15">
        <f>'Billing Detail'!J65</f>
        <v>4484392.5339719998</v>
      </c>
      <c r="E10" s="44">
        <f>'Billing Detail'!L65</f>
        <v>4484392.5339719998</v>
      </c>
      <c r="F10" s="44">
        <f>'Billing Detail'!M65</f>
        <v>0</v>
      </c>
      <c r="G10" s="43">
        <f t="shared" si="0"/>
        <v>0</v>
      </c>
      <c r="H10" s="10">
        <f>'Billing Detail'!M66</f>
        <v>0</v>
      </c>
    </row>
    <row r="11" spans="1:15" x14ac:dyDescent="0.2">
      <c r="A11" s="3">
        <f t="shared" si="1"/>
        <v>6</v>
      </c>
      <c r="B11" s="2" t="str">
        <f>'Billing Detail'!B68</f>
        <v>Schedule C - Commercial &amp; Industrial Service &gt;50kW</v>
      </c>
      <c r="C11" s="13">
        <f>'Billing Detail'!C68</f>
        <v>5</v>
      </c>
      <c r="D11" s="15">
        <f>'Billing Detail'!J78</f>
        <v>6333925.4620400006</v>
      </c>
      <c r="E11" s="44">
        <f>'Billing Detail'!L78</f>
        <v>6333925.4620400006</v>
      </c>
      <c r="F11" s="44">
        <f>'Billing Detail'!M78</f>
        <v>0</v>
      </c>
      <c r="G11" s="43">
        <f t="shared" si="0"/>
        <v>0</v>
      </c>
      <c r="H11" s="10">
        <f>'Billing Detail'!M79</f>
        <v>0</v>
      </c>
    </row>
    <row r="12" spans="1:15" x14ac:dyDescent="0.2">
      <c r="A12" s="3">
        <f t="shared" si="1"/>
        <v>7</v>
      </c>
      <c r="B12" s="2" t="str">
        <f>'Billing Detail'!B81</f>
        <v>Schedule C - Commercial &amp; Industrial Service - Primary</v>
      </c>
      <c r="C12" s="13">
        <f>'Billing Detail'!C81</f>
        <v>9</v>
      </c>
      <c r="D12" s="15">
        <f>'Billing Detail'!J91</f>
        <v>2602300.35996</v>
      </c>
      <c r="E12" s="44">
        <f>'Billing Detail'!L91</f>
        <v>2602300.35996</v>
      </c>
      <c r="F12" s="44">
        <f>'Billing Detail'!M91</f>
        <v>0</v>
      </c>
      <c r="G12" s="43">
        <f t="shared" si="0"/>
        <v>0</v>
      </c>
      <c r="H12" s="10">
        <f>'Billing Detail'!M92</f>
        <v>0</v>
      </c>
    </row>
    <row r="13" spans="1:15" x14ac:dyDescent="0.2">
      <c r="A13" s="3">
        <f t="shared" si="1"/>
        <v>8</v>
      </c>
      <c r="B13" s="2" t="str">
        <f>'Billing Detail'!B94</f>
        <v>Schedule E - Large Industrial Rate</v>
      </c>
      <c r="C13" s="13">
        <f>'Billing Detail'!C94</f>
        <v>10</v>
      </c>
      <c r="D13" s="15">
        <f>'Billing Detail'!J104</f>
        <v>2927714.3267040001</v>
      </c>
      <c r="E13" s="44">
        <f>'Billing Detail'!L104</f>
        <v>2927714.3267040001</v>
      </c>
      <c r="F13" s="44">
        <f>'Billing Detail'!M104</f>
        <v>0</v>
      </c>
      <c r="G13" s="43">
        <f t="shared" si="0"/>
        <v>0</v>
      </c>
      <c r="H13" s="10">
        <f>'Billing Detail'!M105</f>
        <v>0</v>
      </c>
    </row>
    <row r="14" spans="1:15" x14ac:dyDescent="0.2">
      <c r="A14" s="3">
        <f t="shared" si="1"/>
        <v>9</v>
      </c>
      <c r="B14" s="2" t="str">
        <f>'Billing Detail'!B107</f>
        <v xml:space="preserve">Schedule LPC-2 - Large Power </v>
      </c>
      <c r="C14" s="13">
        <f>'Billing Detail'!C107</f>
        <v>14</v>
      </c>
      <c r="D14" s="15">
        <f>'Billing Detail'!J117</f>
        <v>780651.86619999993</v>
      </c>
      <c r="E14" s="44">
        <f>'Billing Detail'!L117</f>
        <v>780651.86619999993</v>
      </c>
      <c r="F14" s="44">
        <f>'Billing Detail'!M117</f>
        <v>0</v>
      </c>
      <c r="G14" s="43">
        <f t="shared" si="0"/>
        <v>0</v>
      </c>
      <c r="H14" s="10">
        <f>'Billing Detail'!M118</f>
        <v>0</v>
      </c>
    </row>
    <row r="15" spans="1:15" x14ac:dyDescent="0.2">
      <c r="A15" s="3">
        <f t="shared" si="1"/>
        <v>10</v>
      </c>
      <c r="B15" s="2" t="str">
        <f>'Billing Detail'!B120</f>
        <v>Schedule D - Large Commercial/Industrial Optional TOD Rate</v>
      </c>
      <c r="C15" s="13">
        <f>'Billing Detail'!C120</f>
        <v>15</v>
      </c>
      <c r="D15" s="15">
        <f>'Billing Detail'!J130</f>
        <v>115843.350588</v>
      </c>
      <c r="E15" s="44">
        <f>'Billing Detail'!L130</f>
        <v>115843.350588</v>
      </c>
      <c r="F15" s="44">
        <f>'Billing Detail'!M130</f>
        <v>0</v>
      </c>
      <c r="G15" s="43">
        <f t="shared" si="0"/>
        <v>0</v>
      </c>
      <c r="H15" s="10">
        <f>'Billing Detail'!M131</f>
        <v>0</v>
      </c>
    </row>
    <row r="16" spans="1:15" x14ac:dyDescent="0.2">
      <c r="A16" s="3">
        <f t="shared" si="1"/>
        <v>11</v>
      </c>
      <c r="B16" s="2" t="str">
        <f>'Billing Detail'!B133</f>
        <v>Schedule LPE-4  - Large Power TOD Interruptible 1500 Firm 200</v>
      </c>
      <c r="C16" s="13">
        <f>'Billing Detail'!C133</f>
        <v>24</v>
      </c>
      <c r="D16" s="15">
        <f>'Billing Detail'!J144</f>
        <v>1586400.0336389998</v>
      </c>
      <c r="E16" s="15">
        <f>'Billing Detail'!L144</f>
        <v>1586400.0336389998</v>
      </c>
      <c r="F16" s="44">
        <f>'Billing Detail'!M144</f>
        <v>0</v>
      </c>
      <c r="G16" s="43">
        <f t="shared" si="0"/>
        <v>0</v>
      </c>
      <c r="H16" s="10">
        <v>0</v>
      </c>
    </row>
    <row r="17" spans="1:12" x14ac:dyDescent="0.2">
      <c r="A17" s="3">
        <f t="shared" si="1"/>
        <v>12</v>
      </c>
      <c r="B17" s="2" t="str">
        <f>'Billing Detail'!B147</f>
        <v>Schedule LPE-4  - Large Power TOD</v>
      </c>
      <c r="C17" s="13">
        <f>'Billing Detail'!C147</f>
        <v>36</v>
      </c>
      <c r="D17" s="15">
        <f>'Billing Detail'!J158</f>
        <v>0</v>
      </c>
      <c r="E17" s="44">
        <f>'Billing Detail'!L158</f>
        <v>0</v>
      </c>
      <c r="F17" s="44">
        <f>'Billing Detail'!M158</f>
        <v>0</v>
      </c>
      <c r="G17" s="43">
        <f>IF(D17=0,0,F17/D17)</f>
        <v>0</v>
      </c>
      <c r="H17" s="10">
        <f>'Billing Detail'!M159</f>
        <v>0</v>
      </c>
    </row>
    <row r="18" spans="1:12" x14ac:dyDescent="0.2">
      <c r="A18" s="3">
        <f t="shared" si="1"/>
        <v>13</v>
      </c>
      <c r="B18" s="2" t="str">
        <f>'Billing Detail'!B161</f>
        <v>Schedule C - TOD Commercial Service</v>
      </c>
      <c r="C18" s="13">
        <f>'Billing Detail'!C161</f>
        <v>50</v>
      </c>
      <c r="D18" s="15">
        <f>'Billing Detail'!J172</f>
        <v>68294.305846000003</v>
      </c>
      <c r="E18" s="44">
        <f>'Billing Detail'!L172</f>
        <v>68294.305846000003</v>
      </c>
      <c r="F18" s="44">
        <f>'Billing Detail'!M172</f>
        <v>0</v>
      </c>
      <c r="G18" s="43">
        <f>IF(D18=0,0,F18/D18)</f>
        <v>0</v>
      </c>
      <c r="H18" s="10">
        <f>'Billing Detail'!M173</f>
        <v>0</v>
      </c>
    </row>
    <row r="19" spans="1:12" x14ac:dyDescent="0.2">
      <c r="A19" s="3">
        <f t="shared" si="1"/>
        <v>14</v>
      </c>
      <c r="B19" s="2" t="str">
        <f>'Billing Detail'!B175</f>
        <v>Schedule SL -  Street Lighting Service</v>
      </c>
      <c r="C19" s="13" t="str">
        <f>'Billing Detail'!C175</f>
        <v>SL</v>
      </c>
      <c r="D19" s="15">
        <f>'Billing Detail'!J183</f>
        <v>77513.305362000014</v>
      </c>
      <c r="E19" s="44">
        <f>'Billing Detail'!L183</f>
        <v>77513.305362000014</v>
      </c>
      <c r="F19" s="44">
        <f>'Billing Detail'!M183</f>
        <v>0</v>
      </c>
      <c r="G19" s="43">
        <f>IF(D19=0,0,F19/D19)</f>
        <v>0</v>
      </c>
      <c r="H19" s="136" t="s">
        <v>54</v>
      </c>
    </row>
    <row r="20" spans="1:12" x14ac:dyDescent="0.2">
      <c r="A20" s="3">
        <f t="shared" si="1"/>
        <v>15</v>
      </c>
      <c r="B20" s="2" t="str">
        <f>'Billing Detail'!B185</f>
        <v>Schedule OL - Outdoor Lighting Service</v>
      </c>
      <c r="C20" s="13" t="str">
        <f>'Billing Detail'!C185</f>
        <v>OL</v>
      </c>
      <c r="D20" s="15">
        <f>'Billing Detail'!J206</f>
        <v>1076944.57</v>
      </c>
      <c r="E20" s="44">
        <f>'Billing Detail'!L206</f>
        <v>1076944.57</v>
      </c>
      <c r="F20" s="44">
        <f>'Billing Detail'!M206</f>
        <v>0</v>
      </c>
      <c r="G20" s="43">
        <f>IF(D20=0,0,F20/D20)</f>
        <v>0</v>
      </c>
      <c r="H20" s="136" t="s">
        <v>54</v>
      </c>
    </row>
    <row r="21" spans="1:12" ht="16.149999999999999" customHeight="1" x14ac:dyDescent="0.2">
      <c r="A21" s="3">
        <f t="shared" si="1"/>
        <v>16</v>
      </c>
      <c r="B21" s="12" t="s">
        <v>90</v>
      </c>
      <c r="C21" s="27"/>
      <c r="D21" s="18">
        <f>SUM(D6:D20)</f>
        <v>60110897.272538006</v>
      </c>
      <c r="E21" s="18">
        <f>SUM(E6:E20)</f>
        <v>62476719.269145012</v>
      </c>
      <c r="F21" s="18">
        <f>SUM(F6:F20)</f>
        <v>2365821.9966069995</v>
      </c>
      <c r="G21" s="53">
        <f>IF(D21=0,0,F21/D21)</f>
        <v>3.9357622393832378E-2</v>
      </c>
      <c r="H21" s="12"/>
    </row>
    <row r="22" spans="1:12" ht="12.6" customHeight="1" x14ac:dyDescent="0.2">
      <c r="A22" s="3">
        <f t="shared" si="1"/>
        <v>17</v>
      </c>
      <c r="F22" s="69"/>
      <c r="L22" s="15"/>
    </row>
    <row r="23" spans="1:12" x14ac:dyDescent="0.2">
      <c r="A23" s="3">
        <f t="shared" si="1"/>
        <v>18</v>
      </c>
      <c r="B23" s="2" t="s">
        <v>6</v>
      </c>
      <c r="F23" s="151">
        <v>2365836.5641139122</v>
      </c>
    </row>
    <row r="24" spans="1:12" ht="15" customHeight="1" x14ac:dyDescent="0.2">
      <c r="A24" s="3">
        <f t="shared" si="1"/>
        <v>19</v>
      </c>
      <c r="B24" s="16" t="s">
        <v>23</v>
      </c>
      <c r="C24" s="26"/>
      <c r="D24" s="16"/>
      <c r="E24" s="16"/>
      <c r="F24" s="17">
        <f>F21-F23</f>
        <v>-14.567506912630051</v>
      </c>
    </row>
    <row r="25" spans="1:12" ht="15" customHeight="1" x14ac:dyDescent="0.2">
      <c r="A25" s="3">
        <f t="shared" si="1"/>
        <v>20</v>
      </c>
      <c r="B25" s="2" t="s">
        <v>23</v>
      </c>
      <c r="F25" s="150">
        <f>F24/F23</f>
        <v>-6.1574443195259719E-6</v>
      </c>
    </row>
    <row r="26" spans="1:12" x14ac:dyDescent="0.2">
      <c r="A26" s="3"/>
    </row>
    <row r="30" spans="1:12" x14ac:dyDescent="0.2">
      <c r="F30" s="67"/>
    </row>
    <row r="34" spans="6:8" x14ac:dyDescent="0.2">
      <c r="F34" s="66"/>
    </row>
    <row r="46" spans="6:8" x14ac:dyDescent="0.2">
      <c r="H46" s="2">
        <v>5.3957999999999999E-2</v>
      </c>
    </row>
    <row r="57" spans="8:8" x14ac:dyDescent="0.2">
      <c r="H57" s="2">
        <v>23.39</v>
      </c>
    </row>
    <row r="58" spans="8:8" x14ac:dyDescent="0.2">
      <c r="H58" s="2">
        <v>8.7732000000000004E-2</v>
      </c>
    </row>
    <row r="81" spans="8:8" x14ac:dyDescent="0.2">
      <c r="H81" s="2">
        <v>115.18</v>
      </c>
    </row>
    <row r="82" spans="8:8" x14ac:dyDescent="0.2">
      <c r="H82" s="2">
        <v>6.6689999999999999E-2</v>
      </c>
    </row>
    <row r="83" spans="8:8" x14ac:dyDescent="0.2">
      <c r="H83" s="2">
        <v>8.66</v>
      </c>
    </row>
    <row r="94" spans="8:8" x14ac:dyDescent="0.2">
      <c r="H94" s="68">
        <f>H81</f>
        <v>115.18</v>
      </c>
    </row>
    <row r="95" spans="8:8" x14ac:dyDescent="0.2">
      <c r="H95" s="68">
        <f>H83</f>
        <v>8.66</v>
      </c>
    </row>
    <row r="96" spans="8:8" x14ac:dyDescent="0.2">
      <c r="H96" s="68">
        <f>H82</f>
        <v>6.6689999999999999E-2</v>
      </c>
    </row>
    <row r="107" spans="8:8" x14ac:dyDescent="0.2">
      <c r="H107" s="2">
        <v>1253.27</v>
      </c>
    </row>
    <row r="108" spans="8:8" x14ac:dyDescent="0.2">
      <c r="H108" s="2">
        <v>8.66</v>
      </c>
    </row>
    <row r="109" spans="8:8" x14ac:dyDescent="0.2">
      <c r="H109" s="2">
        <v>5.2032000000000002E-2</v>
      </c>
    </row>
    <row r="120" spans="8:8" x14ac:dyDescent="0.2">
      <c r="H120" s="2">
        <v>1412.92</v>
      </c>
    </row>
    <row r="121" spans="8:8" x14ac:dyDescent="0.2">
      <c r="H121" s="2">
        <v>8.66</v>
      </c>
    </row>
    <row r="122" spans="8:8" x14ac:dyDescent="0.2">
      <c r="H122" s="2">
        <v>5.6676999999999998E-2</v>
      </c>
    </row>
    <row r="133" spans="8:8" x14ac:dyDescent="0.2">
      <c r="H133" s="2">
        <v>115.18</v>
      </c>
    </row>
    <row r="134" spans="8:8" x14ac:dyDescent="0.2">
      <c r="H134" s="2">
        <v>8.66</v>
      </c>
    </row>
    <row r="135" spans="8:8" x14ac:dyDescent="0.2">
      <c r="H135" s="2">
        <v>6.6697000000000006E-2</v>
      </c>
    </row>
    <row r="160" spans="8:8" x14ac:dyDescent="0.2">
      <c r="H160" s="2">
        <v>3526.81</v>
      </c>
    </row>
    <row r="161" spans="8:8" x14ac:dyDescent="0.2">
      <c r="H161" s="2">
        <v>7.26</v>
      </c>
    </row>
    <row r="162" spans="8:8" x14ac:dyDescent="0.2">
      <c r="H162" s="2">
        <v>6.3515000000000002E-2</v>
      </c>
    </row>
    <row r="163" spans="8:8" x14ac:dyDescent="0.2">
      <c r="H163" s="2">
        <v>5.4272000000000001E-2</v>
      </c>
    </row>
    <row r="174" spans="8:8" x14ac:dyDescent="0.2">
      <c r="H174" s="2">
        <v>23.39</v>
      </c>
    </row>
    <row r="175" spans="8:8" x14ac:dyDescent="0.2">
      <c r="H175" s="2">
        <v>115.18</v>
      </c>
    </row>
    <row r="176" spans="8:8" x14ac:dyDescent="0.2">
      <c r="H176" s="2">
        <v>0.124794</v>
      </c>
    </row>
    <row r="177" spans="8:8" x14ac:dyDescent="0.2">
      <c r="H177" s="2">
        <v>6.1343000000000002E-2</v>
      </c>
    </row>
    <row r="188" spans="8:8" x14ac:dyDescent="0.2">
      <c r="H188" s="2">
        <v>10.35</v>
      </c>
    </row>
    <row r="189" spans="8:8" x14ac:dyDescent="0.2">
      <c r="H189" s="2">
        <v>3.45</v>
      </c>
    </row>
    <row r="190" spans="8:8" x14ac:dyDescent="0.2">
      <c r="H190" s="2">
        <v>11.77</v>
      </c>
    </row>
    <row r="191" spans="8:8" x14ac:dyDescent="0.2">
      <c r="H191" s="2">
        <v>17.88</v>
      </c>
    </row>
    <row r="192" spans="8:8" x14ac:dyDescent="0.2">
      <c r="H192" s="2">
        <v>31.35</v>
      </c>
    </row>
    <row r="193" spans="8:8" x14ac:dyDescent="0.2">
      <c r="H193" s="2">
        <v>10.78</v>
      </c>
    </row>
    <row r="194" spans="8:8" x14ac:dyDescent="0.2">
      <c r="H194" s="2">
        <v>12.55</v>
      </c>
    </row>
    <row r="195" spans="8:8" x14ac:dyDescent="0.2">
      <c r="H195" s="2">
        <v>17.02</v>
      </c>
    </row>
    <row r="196" spans="8:8" x14ac:dyDescent="0.2">
      <c r="H196" s="2">
        <v>21.86</v>
      </c>
    </row>
    <row r="197" spans="8:8" x14ac:dyDescent="0.2">
      <c r="H197" s="2">
        <v>47.29</v>
      </c>
    </row>
    <row r="198" spans="8:8" x14ac:dyDescent="0.2">
      <c r="H198" s="2">
        <v>10.71</v>
      </c>
    </row>
    <row r="199" spans="8:8" x14ac:dyDescent="0.2">
      <c r="H199" s="2">
        <v>16.46</v>
      </c>
    </row>
    <row r="200" spans="8:8" x14ac:dyDescent="0.2">
      <c r="H200" s="2">
        <v>18.11</v>
      </c>
    </row>
    <row r="201" spans="8:8" x14ac:dyDescent="0.2">
      <c r="H201" s="2">
        <v>23.24</v>
      </c>
    </row>
  </sheetData>
  <printOptions horizontalCentered="1"/>
  <pageMargins left="0.7" right="0.7" top="0.75" bottom="0.75" header="0.3" footer="0.3"/>
  <pageSetup scale="88" orientation="landscape" r:id="rId1"/>
  <headerFooter>
    <oddFooter>&amp;R&amp;"Arial,Bold"&amp;10Exhibit JW-9
Page &amp;P of 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dimension ref="A1:Y337"/>
  <sheetViews>
    <sheetView tabSelected="1" view="pageBreakPreview" zoomScaleNormal="75" zoomScaleSheetLayoutView="100" workbookViewId="0">
      <pane xSplit="4" ySplit="5" topLeftCell="E123" activePane="bottomRight" state="frozen"/>
      <selection activeCell="C30" sqref="C30"/>
      <selection pane="topRight" activeCell="C30" sqref="C30"/>
      <selection pane="bottomLeft" activeCell="C30" sqref="C30"/>
      <selection pane="bottomRight" activeCell="B147" sqref="B147"/>
    </sheetView>
  </sheetViews>
  <sheetFormatPr defaultColWidth="8.85546875" defaultRowHeight="12.75" x14ac:dyDescent="0.2"/>
  <cols>
    <col min="1" max="1" width="7.42578125" style="59" customWidth="1"/>
    <col min="2" max="2" width="54.140625" style="54" customWidth="1"/>
    <col min="3" max="3" width="7.42578125" style="33" customWidth="1"/>
    <col min="4" max="4" width="31.7109375" style="54" bestFit="1" customWidth="1"/>
    <col min="5" max="5" width="13.28515625" style="54" bestFit="1" customWidth="1"/>
    <col min="6" max="6" width="12.28515625" style="54" customWidth="1"/>
    <col min="7" max="7" width="16" style="54" bestFit="1" customWidth="1"/>
    <col min="8" max="8" width="14.85546875" style="2" customWidth="1"/>
    <col min="9" max="9" width="12.28515625" style="54" customWidth="1"/>
    <col min="10" max="10" width="15.42578125" style="54" bestFit="1" customWidth="1"/>
    <col min="11" max="11" width="12.28515625" style="54" customWidth="1"/>
    <col min="12" max="12" width="15.140625" style="54" customWidth="1"/>
    <col min="13" max="13" width="16.140625" style="54" bestFit="1" customWidth="1"/>
    <col min="14" max="14" width="12.85546875" style="54" customWidth="1"/>
    <col min="15" max="15" width="10.85546875" style="2" customWidth="1"/>
    <col min="16" max="16" width="13.140625" style="2" bestFit="1" customWidth="1"/>
    <col min="17" max="17" width="5.7109375" style="2" customWidth="1"/>
    <col min="18" max="18" width="5" style="2" customWidth="1"/>
    <col min="19" max="19" width="15.28515625" style="2" customWidth="1"/>
    <col min="20" max="20" width="6.5703125" style="2" customWidth="1"/>
    <col min="21" max="21" width="25.42578125" style="2" customWidth="1"/>
    <col min="22" max="22" width="8.85546875" style="2"/>
    <col min="23" max="23" width="14.42578125" style="2" bestFit="1" customWidth="1"/>
    <col min="24" max="25" width="13.5703125" style="2" customWidth="1"/>
    <col min="26" max="16384" width="8.85546875" style="2"/>
  </cols>
  <sheetData>
    <row r="1" spans="1:25" x14ac:dyDescent="0.2">
      <c r="A1" s="168" t="str">
        <f>Summary!A1</f>
        <v>FARMERS RECC</v>
      </c>
      <c r="B1" s="153"/>
      <c r="C1" s="169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</row>
    <row r="2" spans="1:25" ht="14.45" customHeight="1" x14ac:dyDescent="0.2">
      <c r="A2" s="168" t="s">
        <v>83</v>
      </c>
      <c r="B2" s="153"/>
      <c r="C2" s="169"/>
      <c r="D2" s="153"/>
      <c r="E2" s="153"/>
      <c r="F2" s="73"/>
      <c r="G2" s="153"/>
      <c r="H2" s="153"/>
      <c r="I2" s="73"/>
      <c r="J2" s="153"/>
      <c r="K2" s="153"/>
      <c r="L2" s="153"/>
      <c r="M2" s="153"/>
      <c r="N2" s="72"/>
    </row>
    <row r="3" spans="1:25" x14ac:dyDescent="0.2">
      <c r="A3" s="162"/>
      <c r="B3" s="153"/>
      <c r="C3" s="169"/>
      <c r="D3" s="153"/>
      <c r="E3" s="76"/>
      <c r="F3" s="153"/>
      <c r="G3" s="153"/>
      <c r="H3" s="76"/>
      <c r="I3" s="153"/>
      <c r="J3" s="153"/>
      <c r="K3" s="153"/>
      <c r="L3" s="153"/>
      <c r="M3" s="166"/>
      <c r="N3" s="153"/>
    </row>
    <row r="4" spans="1:25" x14ac:dyDescent="0.2">
      <c r="A4" s="162"/>
      <c r="B4" s="153"/>
      <c r="C4" s="169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</row>
    <row r="5" spans="1:25" ht="38.450000000000003" customHeight="1" x14ac:dyDescent="0.2">
      <c r="A5" s="170" t="s">
        <v>0</v>
      </c>
      <c r="B5" s="170" t="s">
        <v>8</v>
      </c>
      <c r="C5" s="171" t="s">
        <v>7</v>
      </c>
      <c r="D5" s="170" t="s">
        <v>9</v>
      </c>
      <c r="E5" s="154" t="s">
        <v>96</v>
      </c>
      <c r="F5" s="154" t="s">
        <v>91</v>
      </c>
      <c r="G5" s="154" t="s">
        <v>92</v>
      </c>
      <c r="H5" s="154" t="s">
        <v>97</v>
      </c>
      <c r="I5" s="154" t="s">
        <v>16</v>
      </c>
      <c r="J5" s="154" t="s">
        <v>17</v>
      </c>
      <c r="K5" s="154" t="s">
        <v>15</v>
      </c>
      <c r="L5" s="154" t="s">
        <v>3</v>
      </c>
      <c r="M5" s="154" t="s">
        <v>10</v>
      </c>
      <c r="N5" s="171" t="s">
        <v>11</v>
      </c>
      <c r="O5" s="8" t="s">
        <v>84</v>
      </c>
      <c r="P5" s="9" t="s">
        <v>22</v>
      </c>
      <c r="S5" s="2" t="s">
        <v>94</v>
      </c>
    </row>
    <row r="6" spans="1:25" ht="30.6" customHeight="1" thickBot="1" x14ac:dyDescent="0.25">
      <c r="A6" s="172"/>
      <c r="B6" s="173"/>
      <c r="C6" s="174"/>
      <c r="D6" s="173"/>
      <c r="E6" s="155"/>
      <c r="F6" s="155"/>
      <c r="G6" s="155"/>
      <c r="H6" s="155"/>
      <c r="I6" s="155"/>
      <c r="J6" s="155"/>
      <c r="K6" s="155"/>
      <c r="L6" s="155"/>
      <c r="M6" s="155"/>
      <c r="N6" s="174"/>
    </row>
    <row r="7" spans="1:25" x14ac:dyDescent="0.2">
      <c r="A7" s="175">
        <v>1</v>
      </c>
      <c r="B7" s="157" t="s">
        <v>115</v>
      </c>
      <c r="C7" s="176">
        <v>1</v>
      </c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</row>
    <row r="8" spans="1:25" x14ac:dyDescent="0.2">
      <c r="A8" s="175">
        <f>A7+1</f>
        <v>2</v>
      </c>
      <c r="B8" s="153"/>
      <c r="C8" s="153"/>
      <c r="D8" s="153" t="s">
        <v>12</v>
      </c>
      <c r="E8" s="76">
        <v>294883</v>
      </c>
      <c r="F8" s="72">
        <v>18.12</v>
      </c>
      <c r="G8" s="177">
        <f>F8*E8</f>
        <v>5343279.96</v>
      </c>
      <c r="H8" s="76">
        <f>E8+(12*51)</f>
        <v>295495</v>
      </c>
      <c r="I8" s="72">
        <f>F8</f>
        <v>18.12</v>
      </c>
      <c r="J8" s="177">
        <f>I8*H8</f>
        <v>5354369.4000000004</v>
      </c>
      <c r="K8" s="72">
        <v>27.79</v>
      </c>
      <c r="L8" s="177">
        <f>K8*H8</f>
        <v>8211806.0499999998</v>
      </c>
      <c r="M8" s="177">
        <f>L8-J8</f>
        <v>2857436.6499999994</v>
      </c>
      <c r="N8" s="142">
        <f>IF(J8=0,0,M8/J8)</f>
        <v>0.5336644591611478</v>
      </c>
      <c r="O8" s="82">
        <v>1.3687400000000001</v>
      </c>
      <c r="P8" s="4">
        <f>K8/I8-1</f>
        <v>0.53366445916114769</v>
      </c>
    </row>
    <row r="9" spans="1:25" x14ac:dyDescent="0.2">
      <c r="A9" s="175">
        <f t="shared" ref="A9:A68" si="0">A8+1</f>
        <v>3</v>
      </c>
      <c r="B9" s="72"/>
      <c r="C9" s="169"/>
      <c r="D9" s="153" t="s">
        <v>28</v>
      </c>
      <c r="E9" s="76">
        <v>310421953</v>
      </c>
      <c r="F9" s="73">
        <v>8.8816000000000006E-2</v>
      </c>
      <c r="G9" s="177">
        <f>F9*E9</f>
        <v>27570436.177648</v>
      </c>
      <c r="H9" s="76">
        <f>E9+649513</f>
        <v>311071466</v>
      </c>
      <c r="I9" s="73">
        <v>0.10066600000000001</v>
      </c>
      <c r="J9" s="177">
        <f>I9*H9</f>
        <v>31314320.196356002</v>
      </c>
      <c r="K9" s="163">
        <f>ROUND(I9*O9,6)</f>
        <v>9.9057000000000006E-2</v>
      </c>
      <c r="L9" s="177">
        <f>K9*H9</f>
        <v>30813806.207562003</v>
      </c>
      <c r="M9" s="177">
        <f>L9-J9</f>
        <v>-500513.98879399896</v>
      </c>
      <c r="N9" s="142">
        <f>IF(J9=0,0,M9/J9)</f>
        <v>-1.5983549559930827E-2</v>
      </c>
      <c r="O9" s="2">
        <v>0.98402000000000001</v>
      </c>
      <c r="P9" s="4">
        <f>K9/I9-1</f>
        <v>-1.5983549559930865E-2</v>
      </c>
      <c r="R9" s="2">
        <v>0.98050000000000004</v>
      </c>
      <c r="S9" s="75">
        <f>I9-F9</f>
        <v>1.1849999999999999E-2</v>
      </c>
    </row>
    <row r="10" spans="1:25" s="5" customFormat="1" ht="20.45" customHeight="1" x14ac:dyDescent="0.2">
      <c r="A10" s="175">
        <f t="shared" si="0"/>
        <v>4</v>
      </c>
      <c r="B10" s="162"/>
      <c r="C10" s="178"/>
      <c r="D10" s="159" t="s">
        <v>4</v>
      </c>
      <c r="E10" s="159"/>
      <c r="F10" s="159"/>
      <c r="G10" s="179">
        <f>SUM(G8:G9)</f>
        <v>32913716.137648001</v>
      </c>
      <c r="H10" s="159"/>
      <c r="I10" s="159"/>
      <c r="J10" s="179">
        <f>SUM(J8:J9)</f>
        <v>36668689.596356004</v>
      </c>
      <c r="K10" s="159"/>
      <c r="L10" s="179">
        <f>SUM(L8:L9)</f>
        <v>39025612.257562004</v>
      </c>
      <c r="M10" s="179">
        <f>SUM(M8:M9)</f>
        <v>2356922.6612060005</v>
      </c>
      <c r="N10" s="180">
        <f>M10/J10</f>
        <v>6.4276162774036583E-2</v>
      </c>
      <c r="O10" s="74">
        <v>1</v>
      </c>
      <c r="R10" s="2"/>
      <c r="S10" s="2"/>
      <c r="U10" s="2"/>
      <c r="V10" s="2"/>
      <c r="W10" s="2"/>
      <c r="X10" s="2"/>
      <c r="Y10" s="2"/>
    </row>
    <row r="11" spans="1:25" x14ac:dyDescent="0.2">
      <c r="A11" s="175">
        <f t="shared" si="0"/>
        <v>5</v>
      </c>
      <c r="B11" s="153"/>
      <c r="C11" s="169"/>
      <c r="D11" s="153" t="s">
        <v>18</v>
      </c>
      <c r="E11" s="153"/>
      <c r="F11" s="153"/>
      <c r="G11" s="166">
        <v>2183260</v>
      </c>
      <c r="H11" s="153"/>
      <c r="I11" s="153"/>
      <c r="J11" s="166">
        <f>G11-(E9*$I$283)</f>
        <v>-1495240.1430499996</v>
      </c>
      <c r="K11" s="153"/>
      <c r="L11" s="177">
        <f>J11</f>
        <v>-1495240.1430499996</v>
      </c>
      <c r="M11" s="177">
        <f>L11-J11</f>
        <v>0</v>
      </c>
      <c r="N11" s="72">
        <v>0</v>
      </c>
    </row>
    <row r="12" spans="1:25" x14ac:dyDescent="0.2">
      <c r="A12" s="175">
        <f t="shared" si="0"/>
        <v>6</v>
      </c>
      <c r="B12" s="153"/>
      <c r="C12" s="169"/>
      <c r="D12" s="153" t="s">
        <v>19</v>
      </c>
      <c r="E12" s="153"/>
      <c r="F12" s="153"/>
      <c r="G12" s="166">
        <v>4610513</v>
      </c>
      <c r="H12" s="153"/>
      <c r="I12" s="153"/>
      <c r="J12" s="166">
        <f t="shared" ref="J12:J14" si="1">G12</f>
        <v>4610513</v>
      </c>
      <c r="K12" s="153"/>
      <c r="L12" s="177">
        <f>J12</f>
        <v>4610513</v>
      </c>
      <c r="M12" s="177">
        <f>L12-J12</f>
        <v>0</v>
      </c>
      <c r="N12" s="72">
        <v>0</v>
      </c>
    </row>
    <row r="13" spans="1:25" x14ac:dyDescent="0.2">
      <c r="A13" s="175">
        <f t="shared" si="0"/>
        <v>7</v>
      </c>
      <c r="B13" s="153"/>
      <c r="C13" s="169"/>
      <c r="D13" s="153" t="s">
        <v>21</v>
      </c>
      <c r="E13" s="153"/>
      <c r="F13" s="153"/>
      <c r="G13" s="166">
        <v>0</v>
      </c>
      <c r="H13" s="153"/>
      <c r="I13" s="153"/>
      <c r="J13" s="166">
        <f t="shared" si="1"/>
        <v>0</v>
      </c>
      <c r="K13" s="153"/>
      <c r="L13" s="177">
        <f>J13</f>
        <v>0</v>
      </c>
      <c r="M13" s="177">
        <f>L13-J13</f>
        <v>0</v>
      </c>
      <c r="N13" s="72">
        <v>0</v>
      </c>
    </row>
    <row r="14" spans="1:25" x14ac:dyDescent="0.2">
      <c r="A14" s="175">
        <f t="shared" si="0"/>
        <v>8</v>
      </c>
      <c r="B14" s="153"/>
      <c r="C14" s="169"/>
      <c r="D14" s="153" t="s">
        <v>93</v>
      </c>
      <c r="E14" s="76">
        <v>19489</v>
      </c>
      <c r="F14" s="153">
        <v>3.18</v>
      </c>
      <c r="G14" s="166">
        <f>E14*F14</f>
        <v>61975.020000000004</v>
      </c>
      <c r="H14" s="76">
        <f>E14</f>
        <v>19489</v>
      </c>
      <c r="I14" s="153"/>
      <c r="J14" s="166">
        <f t="shared" si="1"/>
        <v>61975.020000000004</v>
      </c>
      <c r="K14" s="153"/>
      <c r="L14" s="177">
        <f>J14</f>
        <v>61975.020000000004</v>
      </c>
      <c r="M14" s="177"/>
      <c r="N14" s="72">
        <v>0</v>
      </c>
    </row>
    <row r="15" spans="1:25" x14ac:dyDescent="0.2">
      <c r="A15" s="175">
        <f>A14+1</f>
        <v>9</v>
      </c>
      <c r="B15" s="153"/>
      <c r="C15" s="169"/>
      <c r="D15" s="160" t="s">
        <v>5</v>
      </c>
      <c r="E15" s="160"/>
      <c r="F15" s="160"/>
      <c r="G15" s="181">
        <f>SUM(G11:G14)</f>
        <v>6855748.0199999996</v>
      </c>
      <c r="H15" s="160"/>
      <c r="I15" s="160"/>
      <c r="J15" s="181">
        <f>SUM(J11:J14)</f>
        <v>3177247.8769500004</v>
      </c>
      <c r="K15" s="160"/>
      <c r="L15" s="181">
        <f>SUM(L11:L14)</f>
        <v>3177247.8769500004</v>
      </c>
      <c r="M15" s="181">
        <f>L15-J15</f>
        <v>0</v>
      </c>
      <c r="N15" s="182">
        <f>M15/J15</f>
        <v>0</v>
      </c>
    </row>
    <row r="16" spans="1:25" s="5" customFormat="1" ht="26.45" customHeight="1" thickBot="1" x14ac:dyDescent="0.25">
      <c r="A16" s="175">
        <f t="shared" si="0"/>
        <v>10</v>
      </c>
      <c r="B16" s="162"/>
      <c r="C16" s="178"/>
      <c r="D16" s="161" t="s">
        <v>14</v>
      </c>
      <c r="E16" s="161"/>
      <c r="F16" s="161"/>
      <c r="G16" s="183">
        <f>G15+G10</f>
        <v>39769464.157647997</v>
      </c>
      <c r="H16" s="161"/>
      <c r="I16" s="161"/>
      <c r="J16" s="183">
        <f>J15+J10</f>
        <v>39845937.473306008</v>
      </c>
      <c r="K16" s="161"/>
      <c r="L16" s="184">
        <f>L15+L10</f>
        <v>42202860.134512007</v>
      </c>
      <c r="M16" s="184">
        <f>L16-J16</f>
        <v>2356922.6612059996</v>
      </c>
      <c r="N16" s="185">
        <f>M16/J16</f>
        <v>5.9150889919078277E-2</v>
      </c>
      <c r="R16" s="2"/>
      <c r="S16" s="2"/>
      <c r="U16" s="2"/>
      <c r="V16" s="2"/>
      <c r="W16" s="2"/>
      <c r="X16" s="2"/>
      <c r="Y16" s="2"/>
    </row>
    <row r="17" spans="1:25" ht="13.5" thickTop="1" x14ac:dyDescent="0.2">
      <c r="A17" s="175">
        <f t="shared" si="0"/>
        <v>11</v>
      </c>
      <c r="B17" s="153"/>
      <c r="C17" s="169"/>
      <c r="D17" s="153" t="s">
        <v>13</v>
      </c>
      <c r="E17" s="76">
        <f>E9/E8</f>
        <v>1052.6953164475401</v>
      </c>
      <c r="F17" s="153"/>
      <c r="G17" s="186">
        <f>G16/E8</f>
        <v>134.86523182973585</v>
      </c>
      <c r="H17" s="76">
        <f>H9/H8</f>
        <v>1052.7131288177466</v>
      </c>
      <c r="I17" s="153"/>
      <c r="J17" s="186">
        <f>J16/E8</f>
        <v>135.12456626291109</v>
      </c>
      <c r="K17" s="153"/>
      <c r="L17" s="186">
        <f>L16/E8</f>
        <v>143.11730460729174</v>
      </c>
      <c r="M17" s="186">
        <f>L17-J17</f>
        <v>7.9927383443806548</v>
      </c>
      <c r="N17" s="142">
        <f>M17/J17</f>
        <v>5.9150889919078298E-2</v>
      </c>
    </row>
    <row r="18" spans="1:25" ht="13.5" thickBot="1" x14ac:dyDescent="0.25">
      <c r="A18" s="175">
        <f t="shared" si="0"/>
        <v>12</v>
      </c>
      <c r="B18" s="153"/>
      <c r="C18" s="169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</row>
    <row r="19" spans="1:25" x14ac:dyDescent="0.2">
      <c r="A19" s="175">
        <f t="shared" si="0"/>
        <v>13</v>
      </c>
      <c r="B19" s="157" t="s">
        <v>116</v>
      </c>
      <c r="C19" s="176">
        <v>3</v>
      </c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</row>
    <row r="20" spans="1:25" x14ac:dyDescent="0.2">
      <c r="A20" s="175">
        <f t="shared" si="0"/>
        <v>14</v>
      </c>
      <c r="B20" s="153"/>
      <c r="C20" s="153"/>
      <c r="D20" s="153" t="s">
        <v>12</v>
      </c>
      <c r="E20" s="76">
        <v>12</v>
      </c>
      <c r="F20" s="72">
        <v>23.97</v>
      </c>
      <c r="G20" s="177">
        <f>F20*E20</f>
        <v>287.64</v>
      </c>
      <c r="H20" s="76">
        <f>E20</f>
        <v>12</v>
      </c>
      <c r="I20" s="72">
        <f>F20</f>
        <v>23.97</v>
      </c>
      <c r="J20" s="177">
        <f>I20*H20</f>
        <v>287.64</v>
      </c>
      <c r="K20" s="72">
        <f>K8</f>
        <v>27.79</v>
      </c>
      <c r="L20" s="177">
        <f>K20*H20</f>
        <v>333.48</v>
      </c>
      <c r="M20" s="177">
        <f>L20-J20</f>
        <v>45.840000000000032</v>
      </c>
      <c r="N20" s="142">
        <f>IF(J20=0,0,M20/J20)</f>
        <v>0.15936587400917826</v>
      </c>
      <c r="P20" s="4">
        <f>K20/I20-1</f>
        <v>0.15936587400917812</v>
      </c>
    </row>
    <row r="21" spans="1:25" x14ac:dyDescent="0.2">
      <c r="A21" s="175">
        <f t="shared" si="0"/>
        <v>15</v>
      </c>
      <c r="B21" s="153"/>
      <c r="C21" s="169"/>
      <c r="D21" s="153" t="s">
        <v>29</v>
      </c>
      <c r="E21" s="76">
        <v>3600</v>
      </c>
      <c r="F21" s="73">
        <v>0.110191</v>
      </c>
      <c r="G21" s="177">
        <f>F21*E21</f>
        <v>396.68759999999997</v>
      </c>
      <c r="H21" s="76">
        <f>E21</f>
        <v>3600</v>
      </c>
      <c r="I21" s="73">
        <v>0.122041</v>
      </c>
      <c r="J21" s="177">
        <f>I21*H21</f>
        <v>439.3476</v>
      </c>
      <c r="K21" s="163">
        <f>I21</f>
        <v>0.122041</v>
      </c>
      <c r="L21" s="177">
        <f>K21*H21</f>
        <v>439.3476</v>
      </c>
      <c r="M21" s="177">
        <f>L21-J21</f>
        <v>0</v>
      </c>
      <c r="N21" s="142">
        <f>IF(J21=0,0,M21/J21)</f>
        <v>0</v>
      </c>
      <c r="P21" s="4">
        <f>K21/I21-1</f>
        <v>0</v>
      </c>
      <c r="S21" s="75">
        <f>I21-F21</f>
        <v>1.1849999999999999E-2</v>
      </c>
    </row>
    <row r="22" spans="1:25" x14ac:dyDescent="0.2">
      <c r="A22" s="175">
        <f t="shared" si="0"/>
        <v>16</v>
      </c>
      <c r="B22" s="153"/>
      <c r="C22" s="169"/>
      <c r="D22" s="153" t="s">
        <v>30</v>
      </c>
      <c r="E22" s="76">
        <v>7527</v>
      </c>
      <c r="F22" s="73">
        <v>6.1343000000000002E-2</v>
      </c>
      <c r="G22" s="177">
        <f>F22*E22</f>
        <v>461.72876100000002</v>
      </c>
      <c r="H22" s="76">
        <f>E22</f>
        <v>7527</v>
      </c>
      <c r="I22" s="73">
        <v>7.3192999999999994E-2</v>
      </c>
      <c r="J22" s="177">
        <f>I22*H22</f>
        <v>550.92371099999991</v>
      </c>
      <c r="K22" s="163">
        <f>I22</f>
        <v>7.3192999999999994E-2</v>
      </c>
      <c r="L22" s="177">
        <f>K22*H22</f>
        <v>550.92371099999991</v>
      </c>
      <c r="M22" s="177">
        <f>L22-J22</f>
        <v>0</v>
      </c>
      <c r="N22" s="142">
        <f>IF(J22=0,0,M22/J22)</f>
        <v>0</v>
      </c>
      <c r="P22" s="4">
        <f>K22/I22-1</f>
        <v>0</v>
      </c>
      <c r="S22" s="75">
        <f>I22-F22</f>
        <v>1.1849999999999992E-2</v>
      </c>
    </row>
    <row r="23" spans="1:25" s="5" customFormat="1" ht="20.45" customHeight="1" x14ac:dyDescent="0.2">
      <c r="A23" s="175">
        <f t="shared" si="0"/>
        <v>17</v>
      </c>
      <c r="B23" s="162"/>
      <c r="C23" s="178"/>
      <c r="D23" s="159" t="s">
        <v>4</v>
      </c>
      <c r="E23" s="159"/>
      <c r="F23" s="159">
        <f>F29</f>
        <v>2342890</v>
      </c>
      <c r="G23" s="179">
        <f>SUM(G20:G22)</f>
        <v>1146.0563609999999</v>
      </c>
      <c r="H23" s="159"/>
      <c r="I23" s="159">
        <f>I29</f>
        <v>2342890</v>
      </c>
      <c r="J23" s="179">
        <f>SUM(J20:J22)</f>
        <v>1277.9113109999998</v>
      </c>
      <c r="K23" s="159"/>
      <c r="L23" s="179">
        <f>SUM(L20:L22)</f>
        <v>1323.751311</v>
      </c>
      <c r="M23" s="179">
        <f>SUM(M20:M22)</f>
        <v>45.840000000000032</v>
      </c>
      <c r="N23" s="180">
        <f>M23/J23</f>
        <v>3.5871033932807904E-2</v>
      </c>
      <c r="O23" s="52">
        <v>1</v>
      </c>
      <c r="U23" s="2"/>
      <c r="V23" s="2"/>
      <c r="W23" s="2"/>
      <c r="X23" s="2"/>
      <c r="Y23" s="2"/>
    </row>
    <row r="24" spans="1:25" x14ac:dyDescent="0.2">
      <c r="A24" s="175">
        <f t="shared" si="0"/>
        <v>18</v>
      </c>
      <c r="B24" s="153"/>
      <c r="C24" s="169"/>
      <c r="D24" s="153" t="s">
        <v>18</v>
      </c>
      <c r="E24" s="153"/>
      <c r="F24" s="153"/>
      <c r="G24" s="166">
        <v>73</v>
      </c>
      <c r="H24" s="153"/>
      <c r="I24" s="153"/>
      <c r="J24" s="166">
        <f>G24-((E22+E21)*$I$283)</f>
        <v>-58.854950000000002</v>
      </c>
      <c r="K24" s="153"/>
      <c r="L24" s="177">
        <f>J24</f>
        <v>-58.854950000000002</v>
      </c>
      <c r="M24" s="177">
        <f>L24-J24</f>
        <v>0</v>
      </c>
      <c r="N24" s="72">
        <v>0</v>
      </c>
    </row>
    <row r="25" spans="1:25" x14ac:dyDescent="0.2">
      <c r="A25" s="175">
        <f t="shared" si="0"/>
        <v>19</v>
      </c>
      <c r="B25" s="153"/>
      <c r="C25" s="169"/>
      <c r="D25" s="153" t="s">
        <v>19</v>
      </c>
      <c r="E25" s="153"/>
      <c r="F25" s="153"/>
      <c r="G25" s="166">
        <v>153</v>
      </c>
      <c r="H25" s="153"/>
      <c r="I25" s="153"/>
      <c r="J25" s="166">
        <f t="shared" ref="J25:J27" si="2">G25</f>
        <v>153</v>
      </c>
      <c r="K25" s="153"/>
      <c r="L25" s="177">
        <f>J25</f>
        <v>153</v>
      </c>
      <c r="M25" s="177">
        <f>L25-J25</f>
        <v>0</v>
      </c>
      <c r="N25" s="72">
        <v>0</v>
      </c>
    </row>
    <row r="26" spans="1:25" x14ac:dyDescent="0.2">
      <c r="A26" s="175">
        <f t="shared" si="0"/>
        <v>20</v>
      </c>
      <c r="B26" s="153"/>
      <c r="C26" s="169"/>
      <c r="D26" s="153" t="s">
        <v>21</v>
      </c>
      <c r="E26" s="153"/>
      <c r="F26" s="153"/>
      <c r="G26" s="166">
        <v>0</v>
      </c>
      <c r="H26" s="153"/>
      <c r="I26" s="153"/>
      <c r="J26" s="166">
        <f t="shared" si="2"/>
        <v>0</v>
      </c>
      <c r="K26" s="153"/>
      <c r="L26" s="177">
        <f>J26</f>
        <v>0</v>
      </c>
      <c r="M26" s="177">
        <f>L26-J26</f>
        <v>0</v>
      </c>
      <c r="N26" s="72">
        <v>0</v>
      </c>
    </row>
    <row r="27" spans="1:25" x14ac:dyDescent="0.2">
      <c r="A27" s="175">
        <f t="shared" si="0"/>
        <v>21</v>
      </c>
      <c r="B27" s="153"/>
      <c r="C27" s="169"/>
      <c r="D27" s="153" t="s">
        <v>24</v>
      </c>
      <c r="E27" s="153"/>
      <c r="F27" s="153"/>
      <c r="G27" s="166">
        <v>0</v>
      </c>
      <c r="H27" s="153"/>
      <c r="I27" s="153"/>
      <c r="J27" s="166">
        <f t="shared" si="2"/>
        <v>0</v>
      </c>
      <c r="K27" s="153"/>
      <c r="L27" s="177">
        <f>J27</f>
        <v>0</v>
      </c>
      <c r="M27" s="177"/>
      <c r="N27" s="72"/>
    </row>
    <row r="28" spans="1:25" x14ac:dyDescent="0.2">
      <c r="A28" s="175">
        <f t="shared" si="0"/>
        <v>22</v>
      </c>
      <c r="B28" s="153"/>
      <c r="C28" s="169"/>
      <c r="D28" s="160" t="s">
        <v>5</v>
      </c>
      <c r="E28" s="160"/>
      <c r="F28" s="160"/>
      <c r="G28" s="181">
        <f>SUM(G24:G27)</f>
        <v>226</v>
      </c>
      <c r="H28" s="160"/>
      <c r="I28" s="160"/>
      <c r="J28" s="181">
        <f>SUM(J24:J27)</f>
        <v>94.145049999999998</v>
      </c>
      <c r="K28" s="160"/>
      <c r="L28" s="181">
        <f>SUM(L24:L27)</f>
        <v>94.145049999999998</v>
      </c>
      <c r="M28" s="181">
        <f>L28-J28</f>
        <v>0</v>
      </c>
      <c r="N28" s="182">
        <f>M28/J28</f>
        <v>0</v>
      </c>
    </row>
    <row r="29" spans="1:25" s="5" customFormat="1" ht="26.45" customHeight="1" thickBot="1" x14ac:dyDescent="0.3">
      <c r="A29" s="175">
        <f t="shared" si="0"/>
        <v>23</v>
      </c>
      <c r="B29" s="162"/>
      <c r="C29" s="178"/>
      <c r="D29" s="161" t="s">
        <v>14</v>
      </c>
      <c r="E29" s="161"/>
      <c r="F29" s="161">
        <v>2342890</v>
      </c>
      <c r="G29" s="183">
        <f>G28+G23</f>
        <v>1372.0563609999999</v>
      </c>
      <c r="H29" s="161"/>
      <c r="I29" s="161">
        <v>2342890</v>
      </c>
      <c r="J29" s="183">
        <f>J28+J23</f>
        <v>1372.0563609999999</v>
      </c>
      <c r="K29" s="161"/>
      <c r="L29" s="184">
        <f>L28+L23</f>
        <v>1417.8963610000001</v>
      </c>
      <c r="M29" s="184">
        <f>L29-J29</f>
        <v>45.840000000000146</v>
      </c>
      <c r="N29" s="185">
        <f>M29/J29</f>
        <v>3.3409706264974741E-2</v>
      </c>
    </row>
    <row r="30" spans="1:25" ht="13.5" thickTop="1" x14ac:dyDescent="0.2">
      <c r="A30" s="175">
        <f t="shared" si="0"/>
        <v>24</v>
      </c>
      <c r="B30" s="153"/>
      <c r="C30" s="169"/>
      <c r="D30" s="153" t="s">
        <v>13</v>
      </c>
      <c r="E30" s="76">
        <f>(E21+E22)/E20</f>
        <v>927.25</v>
      </c>
      <c r="F30" s="187"/>
      <c r="G30" s="186">
        <f>G29/E20</f>
        <v>114.33803008333332</v>
      </c>
      <c r="H30" s="76">
        <f>(H21+H22)/H20</f>
        <v>927.25</v>
      </c>
      <c r="I30" s="187"/>
      <c r="J30" s="186">
        <f>J29/E20</f>
        <v>114.33803008333332</v>
      </c>
      <c r="K30" s="153"/>
      <c r="L30" s="186">
        <f>L29/E20</f>
        <v>118.15803008333334</v>
      </c>
      <c r="M30" s="186">
        <f>L30-J30</f>
        <v>3.8200000000000216</v>
      </c>
      <c r="N30" s="142">
        <f>M30/J30</f>
        <v>3.3409706264974824E-2</v>
      </c>
    </row>
    <row r="31" spans="1:25" ht="13.5" thickBot="1" x14ac:dyDescent="0.25">
      <c r="A31" s="175">
        <f t="shared" si="0"/>
        <v>25</v>
      </c>
      <c r="B31" s="153"/>
      <c r="C31" s="169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</row>
    <row r="32" spans="1:25" x14ac:dyDescent="0.2">
      <c r="A32" s="175">
        <f t="shared" si="0"/>
        <v>26</v>
      </c>
      <c r="B32" s="157" t="s">
        <v>134</v>
      </c>
      <c r="C32" s="176">
        <v>20</v>
      </c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</row>
    <row r="33" spans="1:21" x14ac:dyDescent="0.2">
      <c r="A33" s="175">
        <f t="shared" si="0"/>
        <v>27</v>
      </c>
      <c r="B33" s="153"/>
      <c r="C33" s="153"/>
      <c r="D33" s="153" t="s">
        <v>12</v>
      </c>
      <c r="E33" s="76">
        <v>962</v>
      </c>
      <c r="F33" s="72">
        <f>F8</f>
        <v>18.12</v>
      </c>
      <c r="G33" s="177">
        <f>F33*E33</f>
        <v>17431.440000000002</v>
      </c>
      <c r="H33" s="76">
        <f>E33+(12*4)</f>
        <v>1010</v>
      </c>
      <c r="I33" s="72">
        <f>F33</f>
        <v>18.12</v>
      </c>
      <c r="J33" s="177">
        <f>I33*H33</f>
        <v>18301.2</v>
      </c>
      <c r="K33" s="72">
        <f>K8</f>
        <v>27.79</v>
      </c>
      <c r="L33" s="177">
        <f>K33*H33</f>
        <v>28067.899999999998</v>
      </c>
      <c r="M33" s="177">
        <f>L33-J33</f>
        <v>9766.6999999999971</v>
      </c>
      <c r="N33" s="142">
        <f>IF(J33=0,0,M33/J33)</f>
        <v>0.53366445916114769</v>
      </c>
      <c r="S33" s="19"/>
    </row>
    <row r="34" spans="1:21" x14ac:dyDescent="0.2">
      <c r="A34" s="175">
        <f t="shared" si="0"/>
        <v>28</v>
      </c>
      <c r="B34" s="153"/>
      <c r="C34" s="169"/>
      <c r="D34" s="153" t="s">
        <v>28</v>
      </c>
      <c r="E34" s="76">
        <v>1640178</v>
      </c>
      <c r="F34" s="73">
        <f>F9</f>
        <v>8.8816000000000006E-2</v>
      </c>
      <c r="G34" s="177">
        <f>F34*E34</f>
        <v>145674.049248</v>
      </c>
      <c r="H34" s="76">
        <f>E34+78428</f>
        <v>1718606</v>
      </c>
      <c r="I34" s="73">
        <v>0.10066600000000001</v>
      </c>
      <c r="J34" s="177">
        <f>I34*H34</f>
        <v>173005.19159600002</v>
      </c>
      <c r="K34" s="73">
        <f>K9</f>
        <v>9.9057000000000006E-2</v>
      </c>
      <c r="L34" s="177">
        <f>K34*H34</f>
        <v>170239.95454200002</v>
      </c>
      <c r="M34" s="177">
        <f>L34-J34</f>
        <v>-2765.2370539999974</v>
      </c>
      <c r="N34" s="142">
        <f>IF(J34=0,0,M34/J34)</f>
        <v>-1.5983549559930844E-2</v>
      </c>
      <c r="P34" s="4">
        <f>K34/I34-1</f>
        <v>-1.5983549559930865E-2</v>
      </c>
      <c r="S34" s="75">
        <f>I34-F34</f>
        <v>1.1849999999999999E-2</v>
      </c>
    </row>
    <row r="35" spans="1:21" s="5" customFormat="1" ht="20.45" customHeight="1" x14ac:dyDescent="0.25">
      <c r="A35" s="175">
        <f t="shared" si="0"/>
        <v>29</v>
      </c>
      <c r="B35" s="162"/>
      <c r="C35" s="178"/>
      <c r="D35" s="159" t="s">
        <v>4</v>
      </c>
      <c r="E35" s="159"/>
      <c r="F35" s="159"/>
      <c r="G35" s="179">
        <f>SUM(G33:G34)</f>
        <v>163105.489248</v>
      </c>
      <c r="H35" s="159"/>
      <c r="I35" s="159"/>
      <c r="J35" s="179">
        <f>SUM(J33:J34)</f>
        <v>191306.39159600003</v>
      </c>
      <c r="K35" s="159"/>
      <c r="L35" s="179">
        <f>SUM(L33:L34)</f>
        <v>198307.85454200002</v>
      </c>
      <c r="M35" s="179">
        <f>SUM(M33:M34)</f>
        <v>7001.4629459999996</v>
      </c>
      <c r="N35" s="180">
        <f>M35/J35</f>
        <v>3.6598165317893075E-2</v>
      </c>
      <c r="O35" s="52">
        <v>1</v>
      </c>
    </row>
    <row r="36" spans="1:21" x14ac:dyDescent="0.2">
      <c r="A36" s="175">
        <f t="shared" si="0"/>
        <v>30</v>
      </c>
      <c r="B36" s="153"/>
      <c r="C36" s="169"/>
      <c r="D36" s="153" t="s">
        <v>18</v>
      </c>
      <c r="E36" s="153"/>
      <c r="F36" s="153"/>
      <c r="G36" s="166">
        <v>6390</v>
      </c>
      <c r="H36" s="153"/>
      <c r="I36" s="153"/>
      <c r="J36" s="166">
        <f>G36-(E34*$I$283)</f>
        <v>-13046.1093</v>
      </c>
      <c r="K36" s="153"/>
      <c r="L36" s="177">
        <f>J36</f>
        <v>-13046.1093</v>
      </c>
      <c r="M36" s="177">
        <f>L36-J36</f>
        <v>0</v>
      </c>
      <c r="N36" s="72">
        <v>0</v>
      </c>
    </row>
    <row r="37" spans="1:21" x14ac:dyDescent="0.2">
      <c r="A37" s="175">
        <f t="shared" si="0"/>
        <v>31</v>
      </c>
      <c r="B37" s="153"/>
      <c r="C37" s="169"/>
      <c r="D37" s="153" t="s">
        <v>19</v>
      </c>
      <c r="E37" s="153"/>
      <c r="F37" s="153"/>
      <c r="G37" s="166">
        <v>14378</v>
      </c>
      <c r="H37" s="153"/>
      <c r="I37" s="153"/>
      <c r="J37" s="166">
        <f t="shared" ref="J37:J39" si="3">G37</f>
        <v>14378</v>
      </c>
      <c r="K37" s="153"/>
      <c r="L37" s="177">
        <f>J37</f>
        <v>14378</v>
      </c>
      <c r="M37" s="177">
        <f>L37-J37</f>
        <v>0</v>
      </c>
      <c r="N37" s="72">
        <v>0</v>
      </c>
    </row>
    <row r="38" spans="1:21" x14ac:dyDescent="0.2">
      <c r="A38" s="175">
        <f t="shared" si="0"/>
        <v>32</v>
      </c>
      <c r="B38" s="153"/>
      <c r="C38" s="169"/>
      <c r="D38" s="153" t="s">
        <v>21</v>
      </c>
      <c r="E38" s="153"/>
      <c r="F38" s="153"/>
      <c r="G38" s="166">
        <v>0</v>
      </c>
      <c r="H38" s="153"/>
      <c r="I38" s="153"/>
      <c r="J38" s="166">
        <f t="shared" si="3"/>
        <v>0</v>
      </c>
      <c r="K38" s="153"/>
      <c r="L38" s="177">
        <f>J38</f>
        <v>0</v>
      </c>
      <c r="M38" s="177">
        <f>L38-J38</f>
        <v>0</v>
      </c>
      <c r="N38" s="72">
        <v>0</v>
      </c>
    </row>
    <row r="39" spans="1:21" x14ac:dyDescent="0.2">
      <c r="A39" s="175">
        <f t="shared" si="0"/>
        <v>33</v>
      </c>
      <c r="B39" s="153"/>
      <c r="C39" s="169"/>
      <c r="D39" s="153" t="s">
        <v>24</v>
      </c>
      <c r="E39" s="153"/>
      <c r="F39" s="153"/>
      <c r="G39" s="166">
        <v>0</v>
      </c>
      <c r="H39" s="153"/>
      <c r="I39" s="153"/>
      <c r="J39" s="166">
        <f t="shared" si="3"/>
        <v>0</v>
      </c>
      <c r="K39" s="153"/>
      <c r="L39" s="177">
        <f>J39</f>
        <v>0</v>
      </c>
      <c r="M39" s="177"/>
      <c r="N39" s="72"/>
    </row>
    <row r="40" spans="1:21" x14ac:dyDescent="0.2">
      <c r="A40" s="175">
        <f t="shared" si="0"/>
        <v>34</v>
      </c>
      <c r="B40" s="153"/>
      <c r="C40" s="169"/>
      <c r="D40" s="160" t="s">
        <v>5</v>
      </c>
      <c r="E40" s="160"/>
      <c r="F40" s="160"/>
      <c r="G40" s="181">
        <f>SUM(G36:G39)</f>
        <v>20768</v>
      </c>
      <c r="H40" s="160"/>
      <c r="I40" s="160"/>
      <c r="J40" s="181">
        <f>SUM(J36:J39)</f>
        <v>1331.8906999999999</v>
      </c>
      <c r="K40" s="160"/>
      <c r="L40" s="181">
        <f>SUM(L36:L39)</f>
        <v>1331.8906999999999</v>
      </c>
      <c r="M40" s="181">
        <f>L40-J40</f>
        <v>0</v>
      </c>
      <c r="N40" s="182">
        <f>M40/J40</f>
        <v>0</v>
      </c>
    </row>
    <row r="41" spans="1:21" s="5" customFormat="1" ht="26.45" customHeight="1" thickBot="1" x14ac:dyDescent="0.3">
      <c r="A41" s="175">
        <f t="shared" si="0"/>
        <v>35</v>
      </c>
      <c r="B41" s="162"/>
      <c r="C41" s="178"/>
      <c r="D41" s="161" t="s">
        <v>14</v>
      </c>
      <c r="E41" s="161"/>
      <c r="F41" s="161"/>
      <c r="G41" s="183">
        <f>G40+G35</f>
        <v>183873.489248</v>
      </c>
      <c r="H41" s="161"/>
      <c r="I41" s="161"/>
      <c r="J41" s="183">
        <f>J40+J35</f>
        <v>192638.28229600002</v>
      </c>
      <c r="K41" s="161"/>
      <c r="L41" s="184">
        <f>L40+L35</f>
        <v>199639.745242</v>
      </c>
      <c r="M41" s="184">
        <f>L41-J41</f>
        <v>7001.4629459999851</v>
      </c>
      <c r="N41" s="185">
        <f>M41/J41</f>
        <v>3.6345127575638507E-2</v>
      </c>
    </row>
    <row r="42" spans="1:21" ht="13.5" thickTop="1" x14ac:dyDescent="0.2">
      <c r="A42" s="175">
        <f t="shared" si="0"/>
        <v>36</v>
      </c>
      <c r="B42" s="153"/>
      <c r="C42" s="169"/>
      <c r="D42" s="153" t="s">
        <v>13</v>
      </c>
      <c r="E42" s="76">
        <f>E34/E33</f>
        <v>1704.966735966736</v>
      </c>
      <c r="F42" s="153"/>
      <c r="G42" s="186">
        <f>G41/E33</f>
        <v>191.1366832099792</v>
      </c>
      <c r="H42" s="76">
        <f>H34/H33</f>
        <v>1701.590099009901</v>
      </c>
      <c r="I42" s="153"/>
      <c r="J42" s="186">
        <f>J41/E33</f>
        <v>200.24769469438672</v>
      </c>
      <c r="K42" s="153"/>
      <c r="L42" s="186">
        <f>L41/E33</f>
        <v>207.52572270478171</v>
      </c>
      <c r="M42" s="186">
        <f>L42-J42</f>
        <v>7.2780280103949906</v>
      </c>
      <c r="N42" s="142">
        <f>M42/J42</f>
        <v>3.6345127575638479E-2</v>
      </c>
    </row>
    <row r="43" spans="1:21" ht="13.5" thickBot="1" x14ac:dyDescent="0.25">
      <c r="A43" s="175">
        <f t="shared" si="0"/>
        <v>37</v>
      </c>
      <c r="B43" s="153"/>
      <c r="C43" s="169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</row>
    <row r="44" spans="1:21" x14ac:dyDescent="0.2">
      <c r="A44" s="175">
        <f t="shared" si="0"/>
        <v>38</v>
      </c>
      <c r="B44" s="157" t="s">
        <v>135</v>
      </c>
      <c r="C44" s="176">
        <v>7</v>
      </c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</row>
    <row r="45" spans="1:21" x14ac:dyDescent="0.2">
      <c r="A45" s="175">
        <f t="shared" si="0"/>
        <v>39</v>
      </c>
      <c r="B45" s="153"/>
      <c r="C45" s="153"/>
      <c r="D45" s="153" t="s">
        <v>12</v>
      </c>
      <c r="E45" s="76">
        <v>984</v>
      </c>
      <c r="F45" s="72">
        <v>0</v>
      </c>
      <c r="G45" s="177">
        <f>F45*E45</f>
        <v>0</v>
      </c>
      <c r="H45" s="76">
        <f>E45+(12*-4)</f>
        <v>936</v>
      </c>
      <c r="I45" s="72">
        <f>F45</f>
        <v>0</v>
      </c>
      <c r="J45" s="177">
        <f>I45*H45</f>
        <v>0</v>
      </c>
      <c r="K45" s="72">
        <f>I45</f>
        <v>0</v>
      </c>
      <c r="L45" s="177">
        <f>K45*H45</f>
        <v>0</v>
      </c>
      <c r="M45" s="177">
        <f>L45-J45</f>
        <v>0</v>
      </c>
      <c r="N45" s="142">
        <f>IF(J45=0,0,M45/J45)</f>
        <v>0</v>
      </c>
      <c r="P45" s="4"/>
    </row>
    <row r="46" spans="1:21" x14ac:dyDescent="0.2">
      <c r="A46" s="175">
        <f t="shared" si="0"/>
        <v>40</v>
      </c>
      <c r="B46" s="162"/>
      <c r="C46" s="169"/>
      <c r="D46" s="153" t="s">
        <v>30</v>
      </c>
      <c r="E46" s="76">
        <v>263644</v>
      </c>
      <c r="F46" s="73">
        <v>5.3957999999999999E-2</v>
      </c>
      <c r="G46" s="177">
        <f>F46*E46</f>
        <v>14225.702952</v>
      </c>
      <c r="H46" s="76">
        <f>E46-12861</f>
        <v>250783</v>
      </c>
      <c r="I46" s="73">
        <v>6.5808000000000005E-2</v>
      </c>
      <c r="J46" s="177">
        <f>I46*H46</f>
        <v>16503.527664000001</v>
      </c>
      <c r="K46" s="163">
        <f>K22</f>
        <v>7.3192999999999994E-2</v>
      </c>
      <c r="L46" s="177">
        <f>K46*H46</f>
        <v>18355.560118999998</v>
      </c>
      <c r="M46" s="177">
        <f>L46-J46</f>
        <v>1852.0324549999968</v>
      </c>
      <c r="N46" s="142">
        <f>IF(J46=0,0,M46/J46)</f>
        <v>0.11222039873571582</v>
      </c>
      <c r="P46" s="4">
        <f>K46/I46-1</f>
        <v>0.11222039873571577</v>
      </c>
      <c r="S46" s="75">
        <f>I46-F46</f>
        <v>1.1850000000000006E-2</v>
      </c>
      <c r="U46" s="162" t="s">
        <v>99</v>
      </c>
    </row>
    <row r="47" spans="1:21" s="5" customFormat="1" ht="20.45" customHeight="1" x14ac:dyDescent="0.25">
      <c r="A47" s="175">
        <f t="shared" si="0"/>
        <v>41</v>
      </c>
      <c r="B47" s="162"/>
      <c r="C47" s="178"/>
      <c r="D47" s="159" t="s">
        <v>4</v>
      </c>
      <c r="E47" s="159"/>
      <c r="F47" s="159"/>
      <c r="G47" s="179">
        <f>SUM(G45:G46)</f>
        <v>14225.702952</v>
      </c>
      <c r="H47" s="159"/>
      <c r="I47" s="159"/>
      <c r="J47" s="179">
        <f>SUM(J45:J46)</f>
        <v>16503.527664000001</v>
      </c>
      <c r="K47" s="159"/>
      <c r="L47" s="179">
        <f>SUM(L45:L46)</f>
        <v>18355.560118999998</v>
      </c>
      <c r="M47" s="179">
        <f>SUM(M45:M46)</f>
        <v>1852.0324549999968</v>
      </c>
      <c r="N47" s="180">
        <f>M47/J47</f>
        <v>0.11222039873571582</v>
      </c>
      <c r="O47" s="52">
        <v>1</v>
      </c>
    </row>
    <row r="48" spans="1:21" x14ac:dyDescent="0.2">
      <c r="A48" s="175">
        <f t="shared" si="0"/>
        <v>42</v>
      </c>
      <c r="B48" s="153"/>
      <c r="C48" s="169"/>
      <c r="D48" s="153" t="s">
        <v>18</v>
      </c>
      <c r="E48" s="153"/>
      <c r="F48" s="153"/>
      <c r="G48" s="166">
        <v>1701</v>
      </c>
      <c r="H48" s="153"/>
      <c r="I48" s="153"/>
      <c r="J48" s="166">
        <f>G48-(E46*$I$283)</f>
        <v>-1423.1813999999999</v>
      </c>
      <c r="K48" s="153"/>
      <c r="L48" s="177">
        <f>J48</f>
        <v>-1423.1813999999999</v>
      </c>
      <c r="M48" s="177">
        <f>L48-J48</f>
        <v>0</v>
      </c>
      <c r="N48" s="72">
        <v>0</v>
      </c>
    </row>
    <row r="49" spans="1:19" x14ac:dyDescent="0.2">
      <c r="A49" s="175">
        <f t="shared" si="0"/>
        <v>43</v>
      </c>
      <c r="B49" s="153"/>
      <c r="C49" s="169"/>
      <c r="D49" s="153" t="s">
        <v>19</v>
      </c>
      <c r="E49" s="153"/>
      <c r="F49" s="153"/>
      <c r="G49" s="166">
        <v>1889</v>
      </c>
      <c r="H49" s="153"/>
      <c r="I49" s="153"/>
      <c r="J49" s="166">
        <f t="shared" ref="J49:J51" si="4">G49</f>
        <v>1889</v>
      </c>
      <c r="K49" s="153"/>
      <c r="L49" s="177">
        <f>J49</f>
        <v>1889</v>
      </c>
      <c r="M49" s="177">
        <f>L49-J49</f>
        <v>0</v>
      </c>
      <c r="N49" s="72">
        <v>0</v>
      </c>
    </row>
    <row r="50" spans="1:19" x14ac:dyDescent="0.2">
      <c r="A50" s="175">
        <f t="shared" si="0"/>
        <v>44</v>
      </c>
      <c r="B50" s="153"/>
      <c r="C50" s="169"/>
      <c r="D50" s="153" t="s">
        <v>21</v>
      </c>
      <c r="E50" s="153"/>
      <c r="F50" s="153"/>
      <c r="G50" s="166">
        <v>0</v>
      </c>
      <c r="H50" s="153"/>
      <c r="I50" s="153"/>
      <c r="J50" s="166">
        <f t="shared" si="4"/>
        <v>0</v>
      </c>
      <c r="K50" s="153"/>
      <c r="L50" s="177">
        <f>J50</f>
        <v>0</v>
      </c>
      <c r="M50" s="177">
        <f>L50-J50</f>
        <v>0</v>
      </c>
      <c r="N50" s="72">
        <v>0</v>
      </c>
    </row>
    <row r="51" spans="1:19" x14ac:dyDescent="0.2">
      <c r="A51" s="175">
        <f t="shared" si="0"/>
        <v>45</v>
      </c>
      <c r="B51" s="153"/>
      <c r="C51" s="169"/>
      <c r="D51" s="153" t="s">
        <v>24</v>
      </c>
      <c r="E51" s="153"/>
      <c r="F51" s="153"/>
      <c r="G51" s="166">
        <v>0</v>
      </c>
      <c r="H51" s="153"/>
      <c r="I51" s="153"/>
      <c r="J51" s="166">
        <f t="shared" si="4"/>
        <v>0</v>
      </c>
      <c r="K51" s="153"/>
      <c r="L51" s="177">
        <f>J51</f>
        <v>0</v>
      </c>
      <c r="M51" s="177"/>
      <c r="N51" s="72"/>
    </row>
    <row r="52" spans="1:19" x14ac:dyDescent="0.2">
      <c r="A52" s="175">
        <f t="shared" si="0"/>
        <v>46</v>
      </c>
      <c r="B52" s="153"/>
      <c r="C52" s="169"/>
      <c r="D52" s="160" t="s">
        <v>5</v>
      </c>
      <c r="E52" s="160"/>
      <c r="F52" s="160"/>
      <c r="G52" s="181">
        <f>SUM(G48:G51)</f>
        <v>3590</v>
      </c>
      <c r="H52" s="160"/>
      <c r="I52" s="160"/>
      <c r="J52" s="181">
        <f>SUM(J48:J51)</f>
        <v>465.81860000000006</v>
      </c>
      <c r="K52" s="160"/>
      <c r="L52" s="181">
        <f>SUM(L48:L51)</f>
        <v>465.81860000000006</v>
      </c>
      <c r="M52" s="181">
        <f>L52-J52</f>
        <v>0</v>
      </c>
      <c r="N52" s="182">
        <f>M52/J52</f>
        <v>0</v>
      </c>
    </row>
    <row r="53" spans="1:19" s="5" customFormat="1" ht="26.45" customHeight="1" thickBot="1" x14ac:dyDescent="0.3">
      <c r="A53" s="175">
        <f t="shared" si="0"/>
        <v>47</v>
      </c>
      <c r="B53" s="162"/>
      <c r="C53" s="178"/>
      <c r="D53" s="161" t="s">
        <v>14</v>
      </c>
      <c r="E53" s="161"/>
      <c r="F53" s="161"/>
      <c r="G53" s="183">
        <f>G52+G47</f>
        <v>17815.702952</v>
      </c>
      <c r="H53" s="161"/>
      <c r="I53" s="161"/>
      <c r="J53" s="183">
        <f>J52+J47</f>
        <v>16969.346264</v>
      </c>
      <c r="K53" s="161"/>
      <c r="L53" s="184">
        <f>L52+L47</f>
        <v>18821.378718999997</v>
      </c>
      <c r="M53" s="184">
        <f>L53-J53</f>
        <v>1852.0324549999968</v>
      </c>
      <c r="N53" s="185">
        <f>M53/J53</f>
        <v>0.10913988236123348</v>
      </c>
    </row>
    <row r="54" spans="1:19" ht="13.5" thickTop="1" x14ac:dyDescent="0.2">
      <c r="A54" s="175">
        <f t="shared" si="0"/>
        <v>48</v>
      </c>
      <c r="B54" s="153"/>
      <c r="C54" s="169"/>
      <c r="D54" s="153" t="s">
        <v>13</v>
      </c>
      <c r="E54" s="76">
        <f>E46/E45</f>
        <v>267.9308943089431</v>
      </c>
      <c r="F54" s="153"/>
      <c r="G54" s="186">
        <f>G53/E45</f>
        <v>18.105389178861788</v>
      </c>
      <c r="H54" s="76">
        <f>H46/H45</f>
        <v>267.93055555555554</v>
      </c>
      <c r="I54" s="153"/>
      <c r="J54" s="186">
        <f>J53/E45</f>
        <v>17.245270593495935</v>
      </c>
      <c r="K54" s="153"/>
      <c r="L54" s="186">
        <f>L53/E45</f>
        <v>19.127417397357721</v>
      </c>
      <c r="M54" s="186">
        <f>L54-J54</f>
        <v>1.8821468038617866</v>
      </c>
      <c r="N54" s="142">
        <f>M54/J54</f>
        <v>0.10913988236123355</v>
      </c>
    </row>
    <row r="55" spans="1:19" ht="13.5" thickBot="1" x14ac:dyDescent="0.25">
      <c r="A55" s="175">
        <f t="shared" si="0"/>
        <v>49</v>
      </c>
      <c r="B55" s="153"/>
      <c r="C55" s="169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</row>
    <row r="56" spans="1:19" x14ac:dyDescent="0.2">
      <c r="A56" s="175">
        <f t="shared" si="0"/>
        <v>50</v>
      </c>
      <c r="B56" s="157" t="s">
        <v>117</v>
      </c>
      <c r="C56" s="176">
        <v>4</v>
      </c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</row>
    <row r="57" spans="1:19" x14ac:dyDescent="0.2">
      <c r="A57" s="175">
        <f t="shared" si="0"/>
        <v>51</v>
      </c>
      <c r="B57" s="153"/>
      <c r="C57" s="153"/>
      <c r="D57" s="153" t="s">
        <v>12</v>
      </c>
      <c r="E57" s="76">
        <v>21219</v>
      </c>
      <c r="F57" s="72">
        <v>23.39</v>
      </c>
      <c r="G57" s="177">
        <f>F57*E57</f>
        <v>496312.41000000003</v>
      </c>
      <c r="H57" s="76">
        <f>E57+(12*101)</f>
        <v>22431</v>
      </c>
      <c r="I57" s="72">
        <f>F57</f>
        <v>23.39</v>
      </c>
      <c r="J57" s="177">
        <f>I57*H57</f>
        <v>524661.09</v>
      </c>
      <c r="K57" s="72">
        <f>I57+(K8-I8)</f>
        <v>33.06</v>
      </c>
      <c r="L57" s="177">
        <f>K57*H57</f>
        <v>741568.8600000001</v>
      </c>
      <c r="M57" s="177">
        <f>L57-J57</f>
        <v>216907.77000000014</v>
      </c>
      <c r="N57" s="142">
        <f>IF(J57=0,0,M57/J57)</f>
        <v>0.41342454040188142</v>
      </c>
      <c r="P57" s="4">
        <f>K57/I57-1</f>
        <v>0.41342454040188126</v>
      </c>
    </row>
    <row r="58" spans="1:19" x14ac:dyDescent="0.2">
      <c r="A58" s="175">
        <f t="shared" si="0"/>
        <v>52</v>
      </c>
      <c r="B58" s="153"/>
      <c r="C58" s="169"/>
      <c r="D58" s="153" t="s">
        <v>28</v>
      </c>
      <c r="E58" s="76">
        <v>34413107</v>
      </c>
      <c r="F58" s="73">
        <v>8.7732000000000004E-2</v>
      </c>
      <c r="G58" s="177">
        <f>F58*E58</f>
        <v>3019130.7033240004</v>
      </c>
      <c r="H58" s="76">
        <f>E58+1960764</f>
        <v>36373871</v>
      </c>
      <c r="I58" s="73">
        <v>9.9582000000000004E-2</v>
      </c>
      <c r="J58" s="177">
        <f>I58*H58</f>
        <v>3622182.821922</v>
      </c>
      <c r="K58" s="163">
        <f>I58*O58</f>
        <v>9.3618714706554029E-2</v>
      </c>
      <c r="L58" s="177">
        <f>K58*H58</f>
        <v>3405275.0519219991</v>
      </c>
      <c r="M58" s="177">
        <f>L58-J58</f>
        <v>-216907.77000000095</v>
      </c>
      <c r="N58" s="142">
        <f>IF(J58=0,0,M58/J58)</f>
        <v>-5.9883164562330268E-2</v>
      </c>
      <c r="O58" s="14">
        <v>0.94011683543766966</v>
      </c>
      <c r="P58" s="4">
        <f>K58/I58-1</f>
        <v>-5.9883164562330338E-2</v>
      </c>
      <c r="S58" s="75">
        <f>I58-F58</f>
        <v>1.1849999999999999E-2</v>
      </c>
    </row>
    <row r="59" spans="1:19" s="5" customFormat="1" ht="20.45" customHeight="1" x14ac:dyDescent="0.25">
      <c r="A59" s="175">
        <f t="shared" si="0"/>
        <v>53</v>
      </c>
      <c r="B59" s="162"/>
      <c r="C59" s="178"/>
      <c r="D59" s="159" t="s">
        <v>4</v>
      </c>
      <c r="E59" s="159"/>
      <c r="F59" s="159"/>
      <c r="G59" s="179">
        <f>SUM(G57:G58)</f>
        <v>3515443.1133240005</v>
      </c>
      <c r="H59" s="159"/>
      <c r="I59" s="159"/>
      <c r="J59" s="179">
        <f>SUM(J57:J58)</f>
        <v>4146843.9119219999</v>
      </c>
      <c r="K59" s="159"/>
      <c r="L59" s="179">
        <f>SUM(L57:L58)</f>
        <v>4146843.9119219994</v>
      </c>
      <c r="M59" s="179">
        <f>SUM(M57:M58)</f>
        <v>-8.149072527885437E-10</v>
      </c>
      <c r="N59" s="180">
        <f>M59/J59</f>
        <v>-1.9651264192648294E-16</v>
      </c>
      <c r="O59" s="52">
        <v>1</v>
      </c>
    </row>
    <row r="60" spans="1:19" x14ac:dyDescent="0.2">
      <c r="A60" s="175">
        <f t="shared" si="0"/>
        <v>54</v>
      </c>
      <c r="B60" s="153"/>
      <c r="C60" s="169"/>
      <c r="D60" s="153" t="s">
        <v>18</v>
      </c>
      <c r="E60" s="153"/>
      <c r="F60" s="153"/>
      <c r="G60" s="166">
        <v>249966.44</v>
      </c>
      <c r="H60" s="153"/>
      <c r="I60" s="153"/>
      <c r="J60" s="166">
        <f>G60-(E58*$I$283)</f>
        <v>-157828.87794999999</v>
      </c>
      <c r="K60" s="153"/>
      <c r="L60" s="177">
        <f>J60</f>
        <v>-157828.87794999999</v>
      </c>
      <c r="M60" s="177">
        <f>L60-J60</f>
        <v>0</v>
      </c>
      <c r="N60" s="72">
        <v>0</v>
      </c>
    </row>
    <row r="61" spans="1:19" x14ac:dyDescent="0.2">
      <c r="A61" s="175">
        <f t="shared" si="0"/>
        <v>55</v>
      </c>
      <c r="B61" s="153"/>
      <c r="C61" s="169"/>
      <c r="D61" s="153" t="s">
        <v>19</v>
      </c>
      <c r="E61" s="153"/>
      <c r="F61" s="153"/>
      <c r="G61" s="166">
        <v>495377.49999999994</v>
      </c>
      <c r="H61" s="153"/>
      <c r="I61" s="153"/>
      <c r="J61" s="166">
        <f t="shared" ref="J61:J63" si="5">G61</f>
        <v>495377.49999999994</v>
      </c>
      <c r="K61" s="153"/>
      <c r="L61" s="177">
        <f>J61</f>
        <v>495377.49999999994</v>
      </c>
      <c r="M61" s="177">
        <f>L61-J61</f>
        <v>0</v>
      </c>
      <c r="N61" s="72">
        <v>0</v>
      </c>
    </row>
    <row r="62" spans="1:19" x14ac:dyDescent="0.2">
      <c r="A62" s="175">
        <f t="shared" si="0"/>
        <v>56</v>
      </c>
      <c r="B62" s="153"/>
      <c r="C62" s="169"/>
      <c r="D62" s="153" t="s">
        <v>21</v>
      </c>
      <c r="E62" s="153"/>
      <c r="F62" s="153"/>
      <c r="G62" s="166">
        <v>0</v>
      </c>
      <c r="H62" s="153"/>
      <c r="I62" s="153"/>
      <c r="J62" s="166">
        <f t="shared" si="5"/>
        <v>0</v>
      </c>
      <c r="K62" s="153"/>
      <c r="L62" s="177">
        <f>J62</f>
        <v>0</v>
      </c>
      <c r="M62" s="177">
        <f>L62-J62</f>
        <v>0</v>
      </c>
      <c r="N62" s="72">
        <v>0</v>
      </c>
    </row>
    <row r="63" spans="1:19" x14ac:dyDescent="0.2">
      <c r="A63" s="175">
        <f t="shared" si="0"/>
        <v>57</v>
      </c>
      <c r="B63" s="153"/>
      <c r="C63" s="169"/>
      <c r="D63" s="153" t="s">
        <v>24</v>
      </c>
      <c r="E63" s="153"/>
      <c r="F63" s="153"/>
      <c r="G63" s="166">
        <v>0</v>
      </c>
      <c r="H63" s="153"/>
      <c r="I63" s="153"/>
      <c r="J63" s="166">
        <f t="shared" si="5"/>
        <v>0</v>
      </c>
      <c r="K63" s="153"/>
      <c r="L63" s="177">
        <f>J63</f>
        <v>0</v>
      </c>
      <c r="M63" s="177"/>
      <c r="N63" s="72"/>
    </row>
    <row r="64" spans="1:19" x14ac:dyDescent="0.2">
      <c r="A64" s="175">
        <f t="shared" si="0"/>
        <v>58</v>
      </c>
      <c r="B64" s="153"/>
      <c r="C64" s="169"/>
      <c r="D64" s="160" t="s">
        <v>5</v>
      </c>
      <c r="E64" s="160"/>
      <c r="F64" s="160"/>
      <c r="G64" s="181">
        <f>SUM(G60:G63)</f>
        <v>745343.94</v>
      </c>
      <c r="H64" s="160"/>
      <c r="I64" s="160"/>
      <c r="J64" s="181">
        <f>SUM(J60:J63)</f>
        <v>337548.62204999995</v>
      </c>
      <c r="K64" s="160"/>
      <c r="L64" s="181">
        <f>SUM(L60:L63)</f>
        <v>337548.62204999995</v>
      </c>
      <c r="M64" s="181">
        <f>L64-J64</f>
        <v>0</v>
      </c>
      <c r="N64" s="182">
        <f>M64/J64</f>
        <v>0</v>
      </c>
    </row>
    <row r="65" spans="1:19" s="5" customFormat="1" ht="26.45" customHeight="1" thickBot="1" x14ac:dyDescent="0.3">
      <c r="A65" s="175">
        <f t="shared" si="0"/>
        <v>59</v>
      </c>
      <c r="B65" s="162"/>
      <c r="C65" s="178"/>
      <c r="D65" s="161" t="s">
        <v>14</v>
      </c>
      <c r="E65" s="161"/>
      <c r="F65" s="161"/>
      <c r="G65" s="183">
        <f>G64+G59</f>
        <v>4260787.0533240009</v>
      </c>
      <c r="H65" s="161"/>
      <c r="I65" s="161"/>
      <c r="J65" s="183">
        <f>J64+J59</f>
        <v>4484392.5339719998</v>
      </c>
      <c r="K65" s="161"/>
      <c r="L65" s="184">
        <f>L64+L59</f>
        <v>4484392.5339719998</v>
      </c>
      <c r="M65" s="184">
        <f>L65-J65</f>
        <v>0</v>
      </c>
      <c r="N65" s="185">
        <f>M65/J65</f>
        <v>0</v>
      </c>
    </row>
    <row r="66" spans="1:19" ht="13.5" thickTop="1" x14ac:dyDescent="0.2">
      <c r="A66" s="175">
        <f t="shared" si="0"/>
        <v>60</v>
      </c>
      <c r="B66" s="153"/>
      <c r="C66" s="169"/>
      <c r="D66" s="153" t="s">
        <v>13</v>
      </c>
      <c r="E66" s="76">
        <f>E58/E57</f>
        <v>1621.8062585418729</v>
      </c>
      <c r="F66" s="153"/>
      <c r="G66" s="186">
        <f>G65/E57</f>
        <v>200.80055861840808</v>
      </c>
      <c r="H66" s="76">
        <f>H58/H57</f>
        <v>1621.5893629352236</v>
      </c>
      <c r="I66" s="153"/>
      <c r="J66" s="186">
        <f>J65/E57</f>
        <v>211.33854253131625</v>
      </c>
      <c r="K66" s="153"/>
      <c r="L66" s="186">
        <f>L65/E57</f>
        <v>211.33854253131625</v>
      </c>
      <c r="M66" s="186">
        <f>L66-J66</f>
        <v>0</v>
      </c>
      <c r="N66" s="142">
        <f>M66/J66</f>
        <v>0</v>
      </c>
    </row>
    <row r="67" spans="1:19" ht="13.5" thickBot="1" x14ac:dyDescent="0.25">
      <c r="A67" s="175">
        <f t="shared" si="0"/>
        <v>61</v>
      </c>
      <c r="B67" s="153"/>
      <c r="C67" s="169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</row>
    <row r="68" spans="1:19" x14ac:dyDescent="0.2">
      <c r="A68" s="175">
        <f t="shared" si="0"/>
        <v>62</v>
      </c>
      <c r="B68" s="157" t="s">
        <v>118</v>
      </c>
      <c r="C68" s="176">
        <v>5</v>
      </c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</row>
    <row r="69" spans="1:19" x14ac:dyDescent="0.2">
      <c r="A69" s="175">
        <f t="shared" ref="A69:A124" si="6">A68+1</f>
        <v>63</v>
      </c>
      <c r="B69" s="153"/>
      <c r="C69" s="153"/>
      <c r="D69" s="153" t="s">
        <v>12</v>
      </c>
      <c r="E69" s="76">
        <v>1190</v>
      </c>
      <c r="F69" s="72">
        <v>115.18</v>
      </c>
      <c r="G69" s="177">
        <f>F69*E69</f>
        <v>137064.20000000001</v>
      </c>
      <c r="H69" s="76">
        <f>E69</f>
        <v>1190</v>
      </c>
      <c r="I69" s="72">
        <f>F69</f>
        <v>115.18</v>
      </c>
      <c r="J69" s="177">
        <f>I69*H69</f>
        <v>137064.20000000001</v>
      </c>
      <c r="K69" s="72">
        <f>I69</f>
        <v>115.18</v>
      </c>
      <c r="L69" s="177">
        <f>K69*H69</f>
        <v>137064.20000000001</v>
      </c>
      <c r="M69" s="177">
        <f>L69-J69</f>
        <v>0</v>
      </c>
      <c r="N69" s="142">
        <f>IF(J69=0,0,M69/J69)</f>
        <v>0</v>
      </c>
      <c r="P69" s="4">
        <f>K69/I69-1</f>
        <v>0</v>
      </c>
    </row>
    <row r="70" spans="1:19" x14ac:dyDescent="0.2">
      <c r="A70" s="175">
        <f t="shared" si="6"/>
        <v>64</v>
      </c>
      <c r="B70" s="153"/>
      <c r="C70" s="169"/>
      <c r="D70" s="153" t="s">
        <v>28</v>
      </c>
      <c r="E70" s="76">
        <v>53019436</v>
      </c>
      <c r="F70" s="73">
        <v>6.6689999999999999E-2</v>
      </c>
      <c r="G70" s="177">
        <f>F70*E70</f>
        <v>3535866.1868400001</v>
      </c>
      <c r="H70" s="76">
        <f>E70</f>
        <v>53019436</v>
      </c>
      <c r="I70" s="73">
        <v>7.8539999999999999E-2</v>
      </c>
      <c r="J70" s="177">
        <f>I70*H70</f>
        <v>4164146.5034400001</v>
      </c>
      <c r="K70" s="163">
        <f>I70</f>
        <v>7.8539999999999999E-2</v>
      </c>
      <c r="L70" s="177">
        <f>K70*H70</f>
        <v>4164146.5034400001</v>
      </c>
      <c r="M70" s="177">
        <f>L70-J70</f>
        <v>0</v>
      </c>
      <c r="N70" s="142">
        <f>IF(J70=0,0,M70/J70)</f>
        <v>0</v>
      </c>
      <c r="P70" s="4">
        <f>K70/I70-1</f>
        <v>0</v>
      </c>
      <c r="S70" s="75">
        <f>I70-F70</f>
        <v>1.1849999999999999E-2</v>
      </c>
    </row>
    <row r="71" spans="1:19" x14ac:dyDescent="0.2">
      <c r="A71" s="175">
        <f t="shared" si="6"/>
        <v>65</v>
      </c>
      <c r="B71" s="153"/>
      <c r="C71" s="169"/>
      <c r="D71" s="153" t="s">
        <v>31</v>
      </c>
      <c r="E71" s="76">
        <v>176752.71999999997</v>
      </c>
      <c r="F71" s="72">
        <v>8.66</v>
      </c>
      <c r="G71" s="177">
        <f>F71*E71</f>
        <v>1530678.5551999998</v>
      </c>
      <c r="H71" s="76">
        <f>E71</f>
        <v>176752.71999999997</v>
      </c>
      <c r="I71" s="72">
        <f>F71</f>
        <v>8.66</v>
      </c>
      <c r="J71" s="177">
        <f>I71*H71</f>
        <v>1530678.5551999998</v>
      </c>
      <c r="K71" s="72">
        <f>I71</f>
        <v>8.66</v>
      </c>
      <c r="L71" s="177">
        <f>K71*H71</f>
        <v>1530678.5551999998</v>
      </c>
      <c r="M71" s="177">
        <f>L71-J71</f>
        <v>0</v>
      </c>
      <c r="N71" s="142">
        <f>IF(J71=0,0,M71/J71)</f>
        <v>0</v>
      </c>
      <c r="P71" s="4">
        <f>K71/I71-1</f>
        <v>0</v>
      </c>
    </row>
    <row r="72" spans="1:19" s="5" customFormat="1" ht="20.45" customHeight="1" x14ac:dyDescent="0.2">
      <c r="A72" s="175">
        <f t="shared" si="6"/>
        <v>66</v>
      </c>
      <c r="B72" s="162"/>
      <c r="C72" s="178"/>
      <c r="D72" s="159" t="s">
        <v>4</v>
      </c>
      <c r="E72" s="159"/>
      <c r="F72" s="159"/>
      <c r="G72" s="179">
        <f>SUM(G69:G71)</f>
        <v>5203608.9420400001</v>
      </c>
      <c r="H72" s="159"/>
      <c r="I72" s="159"/>
      <c r="J72" s="179">
        <f>SUM(J69:J71)</f>
        <v>5831889.2586400006</v>
      </c>
      <c r="K72" s="159"/>
      <c r="L72" s="179">
        <f>SUM(L69:L71)</f>
        <v>5831889.2586400006</v>
      </c>
      <c r="M72" s="179">
        <f>SUM(M69:M71)</f>
        <v>0</v>
      </c>
      <c r="N72" s="180">
        <f>IF(J72=0,0,M72/J72)</f>
        <v>0</v>
      </c>
      <c r="O72" s="52">
        <v>1</v>
      </c>
      <c r="S72" s="2"/>
    </row>
    <row r="73" spans="1:19" x14ac:dyDescent="0.2">
      <c r="A73" s="175">
        <f t="shared" si="6"/>
        <v>67</v>
      </c>
      <c r="B73" s="153"/>
      <c r="C73" s="169"/>
      <c r="D73" s="153" t="s">
        <v>18</v>
      </c>
      <c r="E73" s="153"/>
      <c r="F73" s="153"/>
      <c r="G73" s="166">
        <v>393767.35</v>
      </c>
      <c r="H73" s="153"/>
      <c r="I73" s="153"/>
      <c r="J73" s="166">
        <f>G73-(E70*$I$283)</f>
        <v>-234512.96660000004</v>
      </c>
      <c r="K73" s="153"/>
      <c r="L73" s="177">
        <f>J73</f>
        <v>-234512.96660000004</v>
      </c>
      <c r="M73" s="177">
        <f>L73-J73</f>
        <v>0</v>
      </c>
      <c r="N73" s="72">
        <v>0</v>
      </c>
    </row>
    <row r="74" spans="1:19" x14ac:dyDescent="0.2">
      <c r="A74" s="175">
        <f t="shared" si="6"/>
        <v>68</v>
      </c>
      <c r="B74" s="153"/>
      <c r="C74" s="169"/>
      <c r="D74" s="153" t="s">
        <v>19</v>
      </c>
      <c r="E74" s="153"/>
      <c r="F74" s="153"/>
      <c r="G74" s="166">
        <v>736549.16999999993</v>
      </c>
      <c r="H74" s="153"/>
      <c r="I74" s="153"/>
      <c r="J74" s="166">
        <f t="shared" ref="J74:J76" si="7">G74</f>
        <v>736549.16999999993</v>
      </c>
      <c r="K74" s="153"/>
      <c r="L74" s="177">
        <f>J74</f>
        <v>736549.16999999993</v>
      </c>
      <c r="M74" s="177">
        <f>L74-J74</f>
        <v>0</v>
      </c>
      <c r="N74" s="72">
        <v>0</v>
      </c>
    </row>
    <row r="75" spans="1:19" x14ac:dyDescent="0.2">
      <c r="A75" s="175">
        <f t="shared" si="6"/>
        <v>69</v>
      </c>
      <c r="B75" s="153"/>
      <c r="C75" s="169"/>
      <c r="D75" s="153" t="s">
        <v>21</v>
      </c>
      <c r="E75" s="153"/>
      <c r="F75" s="153"/>
      <c r="G75" s="166">
        <v>0</v>
      </c>
      <c r="H75" s="153"/>
      <c r="I75" s="153"/>
      <c r="J75" s="166">
        <f t="shared" si="7"/>
        <v>0</v>
      </c>
      <c r="K75" s="153"/>
      <c r="L75" s="177">
        <f>J75</f>
        <v>0</v>
      </c>
      <c r="M75" s="177">
        <f>L75-J75</f>
        <v>0</v>
      </c>
      <c r="N75" s="72">
        <v>0</v>
      </c>
    </row>
    <row r="76" spans="1:19" x14ac:dyDescent="0.2">
      <c r="A76" s="175">
        <f t="shared" si="6"/>
        <v>70</v>
      </c>
      <c r="B76" s="153"/>
      <c r="C76" s="169"/>
      <c r="D76" s="153" t="s">
        <v>24</v>
      </c>
      <c r="E76" s="153"/>
      <c r="F76" s="153"/>
      <c r="G76" s="166">
        <v>0</v>
      </c>
      <c r="H76" s="153"/>
      <c r="I76" s="153"/>
      <c r="J76" s="166">
        <f t="shared" si="7"/>
        <v>0</v>
      </c>
      <c r="K76" s="153"/>
      <c r="L76" s="177">
        <f>J76</f>
        <v>0</v>
      </c>
      <c r="M76" s="177"/>
      <c r="N76" s="72"/>
    </row>
    <row r="77" spans="1:19" x14ac:dyDescent="0.2">
      <c r="A77" s="175">
        <f t="shared" si="6"/>
        <v>71</v>
      </c>
      <c r="B77" s="153"/>
      <c r="C77" s="169"/>
      <c r="D77" s="160" t="s">
        <v>5</v>
      </c>
      <c r="E77" s="160"/>
      <c r="F77" s="160"/>
      <c r="G77" s="181">
        <f>SUM(G73:G76)</f>
        <v>1130316.52</v>
      </c>
      <c r="H77" s="160"/>
      <c r="I77" s="160"/>
      <c r="J77" s="181">
        <f>SUM(J73:J76)</f>
        <v>502036.20339999988</v>
      </c>
      <c r="K77" s="160"/>
      <c r="L77" s="181">
        <f>SUM(L73:L76)</f>
        <v>502036.20339999988</v>
      </c>
      <c r="M77" s="181">
        <f>L77-J77</f>
        <v>0</v>
      </c>
      <c r="N77" s="182">
        <f>M77/J77</f>
        <v>0</v>
      </c>
    </row>
    <row r="78" spans="1:19" s="5" customFormat="1" ht="26.45" customHeight="1" thickBot="1" x14ac:dyDescent="0.3">
      <c r="A78" s="175">
        <f t="shared" si="6"/>
        <v>72</v>
      </c>
      <c r="B78" s="162"/>
      <c r="C78" s="178"/>
      <c r="D78" s="161" t="s">
        <v>14</v>
      </c>
      <c r="E78" s="161"/>
      <c r="F78" s="161"/>
      <c r="G78" s="183">
        <f>G77+G72</f>
        <v>6333925.4620399997</v>
      </c>
      <c r="H78" s="161"/>
      <c r="I78" s="161"/>
      <c r="J78" s="183">
        <f>J77+J72</f>
        <v>6333925.4620400006</v>
      </c>
      <c r="K78" s="161"/>
      <c r="L78" s="184">
        <f>L77+L72</f>
        <v>6333925.4620400006</v>
      </c>
      <c r="M78" s="184">
        <f>L78-J78</f>
        <v>0</v>
      </c>
      <c r="N78" s="185">
        <f>IF(J78=0,0,M78/J78)</f>
        <v>0</v>
      </c>
    </row>
    <row r="79" spans="1:19" ht="13.5" thickTop="1" x14ac:dyDescent="0.2">
      <c r="A79" s="175">
        <f t="shared" si="6"/>
        <v>73</v>
      </c>
      <c r="B79" s="153"/>
      <c r="C79" s="169"/>
      <c r="D79" s="169"/>
      <c r="E79" s="78">
        <f>E70/E69</f>
        <v>44554.147899159667</v>
      </c>
      <c r="F79" s="188"/>
      <c r="G79" s="188">
        <f>G78/E69</f>
        <v>5322.6264386890753</v>
      </c>
      <c r="H79" s="78">
        <f>H70/H69</f>
        <v>44554.147899159667</v>
      </c>
      <c r="I79" s="188"/>
      <c r="J79" s="188">
        <f>J78/E69</f>
        <v>5322.6264386890762</v>
      </c>
      <c r="K79" s="188"/>
      <c r="L79" s="188">
        <f>L78/E69</f>
        <v>5322.6264386890762</v>
      </c>
      <c r="M79" s="188">
        <f>L79-J79</f>
        <v>0</v>
      </c>
      <c r="N79" s="142">
        <f>M79/J79</f>
        <v>0</v>
      </c>
    </row>
    <row r="80" spans="1:19" ht="13.5" thickBot="1" x14ac:dyDescent="0.25">
      <c r="A80" s="175">
        <f t="shared" si="6"/>
        <v>74</v>
      </c>
      <c r="B80" s="153"/>
      <c r="C80" s="169"/>
      <c r="D80" s="153"/>
      <c r="E80" s="153"/>
      <c r="F80" s="153"/>
      <c r="G80" s="153"/>
      <c r="H80" s="153"/>
      <c r="I80" s="153"/>
      <c r="J80" s="153"/>
      <c r="K80" s="153"/>
      <c r="L80" s="153"/>
      <c r="M80" s="153"/>
      <c r="N80" s="153"/>
    </row>
    <row r="81" spans="1:21" x14ac:dyDescent="0.2">
      <c r="A81" s="175">
        <f t="shared" si="6"/>
        <v>75</v>
      </c>
      <c r="B81" s="157" t="s">
        <v>119</v>
      </c>
      <c r="C81" s="176">
        <v>9</v>
      </c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</row>
    <row r="82" spans="1:21" x14ac:dyDescent="0.2">
      <c r="A82" s="175">
        <f t="shared" si="6"/>
        <v>76</v>
      </c>
      <c r="B82" s="153"/>
      <c r="C82" s="153"/>
      <c r="D82" s="153" t="s">
        <v>12</v>
      </c>
      <c r="E82" s="76">
        <v>48</v>
      </c>
      <c r="F82" s="72">
        <f>F69</f>
        <v>115.18</v>
      </c>
      <c r="G82" s="177">
        <f>F82*E82</f>
        <v>5528.64</v>
      </c>
      <c r="H82" s="76">
        <f>E82</f>
        <v>48</v>
      </c>
      <c r="I82" s="72">
        <f>F82</f>
        <v>115.18</v>
      </c>
      <c r="J82" s="177">
        <f>I82*H82</f>
        <v>5528.64</v>
      </c>
      <c r="K82" s="72">
        <f>I82</f>
        <v>115.18</v>
      </c>
      <c r="L82" s="177">
        <f>K82*H82</f>
        <v>5528.64</v>
      </c>
      <c r="M82" s="177">
        <f>L82-J82</f>
        <v>0</v>
      </c>
      <c r="N82" s="142">
        <f>IF(J82=0,0,M82/J82)</f>
        <v>0</v>
      </c>
      <c r="P82" s="4">
        <f>K82/I82-1</f>
        <v>0</v>
      </c>
    </row>
    <row r="83" spans="1:21" x14ac:dyDescent="0.2">
      <c r="A83" s="175">
        <f t="shared" si="6"/>
        <v>77</v>
      </c>
      <c r="B83" s="153"/>
      <c r="C83" s="169"/>
      <c r="D83" s="153" t="s">
        <v>31</v>
      </c>
      <c r="E83" s="76">
        <v>59907.600000000006</v>
      </c>
      <c r="F83" s="72">
        <v>8.66</v>
      </c>
      <c r="G83" s="177">
        <f>F83*E83</f>
        <v>518799.81600000005</v>
      </c>
      <c r="H83" s="76">
        <f>E83</f>
        <v>59907.600000000006</v>
      </c>
      <c r="I83" s="72">
        <f>F83</f>
        <v>8.66</v>
      </c>
      <c r="J83" s="177">
        <f t="shared" ref="J83:J84" si="8">I83*H83</f>
        <v>518799.81600000005</v>
      </c>
      <c r="K83" s="72">
        <f>I83</f>
        <v>8.66</v>
      </c>
      <c r="L83" s="177">
        <f>K83*H83</f>
        <v>518799.81600000005</v>
      </c>
      <c r="M83" s="177">
        <f>L83-J83</f>
        <v>0</v>
      </c>
      <c r="N83" s="142">
        <f>IF(J83=0,0,M83/J83)</f>
        <v>0</v>
      </c>
      <c r="P83" s="4">
        <f>K83/I83-1</f>
        <v>0</v>
      </c>
      <c r="S83" s="75">
        <f>I83-F83</f>
        <v>0</v>
      </c>
    </row>
    <row r="84" spans="1:21" x14ac:dyDescent="0.2">
      <c r="A84" s="175">
        <f t="shared" si="6"/>
        <v>78</v>
      </c>
      <c r="B84" s="189"/>
      <c r="C84" s="169"/>
      <c r="D84" s="153" t="s">
        <v>28</v>
      </c>
      <c r="E84" s="76">
        <v>24304884</v>
      </c>
      <c r="F84" s="73">
        <v>6.6689999999999999E-2</v>
      </c>
      <c r="G84" s="177">
        <f>F84*E84</f>
        <v>1620892.7139600001</v>
      </c>
      <c r="H84" s="76">
        <f>E84</f>
        <v>24304884</v>
      </c>
      <c r="I84" s="73">
        <v>7.8539999999999999E-2</v>
      </c>
      <c r="J84" s="177">
        <f t="shared" si="8"/>
        <v>1908905.5893599999</v>
      </c>
      <c r="K84" s="163">
        <f>I84</f>
        <v>7.8539999999999999E-2</v>
      </c>
      <c r="L84" s="177">
        <f>K84*H84</f>
        <v>1908905.5893599999</v>
      </c>
      <c r="M84" s="177">
        <f>L84-J84</f>
        <v>0</v>
      </c>
      <c r="N84" s="142">
        <f>IF(J84=0,0,M84/J84)</f>
        <v>0</v>
      </c>
      <c r="P84" s="4">
        <f>K84/I84-1</f>
        <v>0</v>
      </c>
      <c r="S84" s="75">
        <f>I84-F84</f>
        <v>1.1849999999999999E-2</v>
      </c>
    </row>
    <row r="85" spans="1:21" s="5" customFormat="1" ht="20.45" customHeight="1" x14ac:dyDescent="0.25">
      <c r="A85" s="175">
        <f t="shared" si="6"/>
        <v>79</v>
      </c>
      <c r="B85" s="162"/>
      <c r="C85" s="178"/>
      <c r="D85" s="159" t="s">
        <v>4</v>
      </c>
      <c r="E85" s="159"/>
      <c r="F85" s="159"/>
      <c r="G85" s="179">
        <f>SUM(G82:G84)</f>
        <v>2145221.1699600001</v>
      </c>
      <c r="H85" s="159"/>
      <c r="I85" s="159"/>
      <c r="J85" s="179">
        <f>SUM(J82:J84)</f>
        <v>2433234.0453599999</v>
      </c>
      <c r="K85" s="159"/>
      <c r="L85" s="179">
        <f>SUM(L82:L84)</f>
        <v>2433234.0453599999</v>
      </c>
      <c r="M85" s="179">
        <f>SUM(M82:M84)</f>
        <v>0</v>
      </c>
      <c r="N85" s="180">
        <f>M85/J85</f>
        <v>0</v>
      </c>
      <c r="O85" s="52">
        <v>1</v>
      </c>
    </row>
    <row r="86" spans="1:21" x14ac:dyDescent="0.2">
      <c r="A86" s="175">
        <f t="shared" si="6"/>
        <v>80</v>
      </c>
      <c r="B86" s="153"/>
      <c r="C86" s="169"/>
      <c r="D86" s="153" t="s">
        <v>18</v>
      </c>
      <c r="E86" s="153"/>
      <c r="F86" s="153"/>
      <c r="G86" s="166">
        <v>184223.87999999998</v>
      </c>
      <c r="H86" s="153"/>
      <c r="I86" s="153"/>
      <c r="J86" s="166">
        <f>G86-(E84*$I$283)</f>
        <v>-103788.99539999999</v>
      </c>
      <c r="K86" s="153"/>
      <c r="L86" s="177">
        <f>J86</f>
        <v>-103788.99539999999</v>
      </c>
      <c r="M86" s="177">
        <f>L86-J86</f>
        <v>0</v>
      </c>
      <c r="N86" s="72">
        <v>0</v>
      </c>
    </row>
    <row r="87" spans="1:21" x14ac:dyDescent="0.2">
      <c r="A87" s="175">
        <f t="shared" si="6"/>
        <v>81</v>
      </c>
      <c r="B87" s="153"/>
      <c r="C87" s="169"/>
      <c r="D87" s="153" t="s">
        <v>19</v>
      </c>
      <c r="E87" s="153"/>
      <c r="F87" s="153"/>
      <c r="G87" s="166">
        <v>272855.31</v>
      </c>
      <c r="H87" s="153"/>
      <c r="I87" s="153"/>
      <c r="J87" s="166">
        <f t="shared" ref="J87:J89" si="9">G87</f>
        <v>272855.31</v>
      </c>
      <c r="K87" s="153"/>
      <c r="L87" s="177">
        <f>J87</f>
        <v>272855.31</v>
      </c>
      <c r="M87" s="177">
        <f>L87-J87</f>
        <v>0</v>
      </c>
      <c r="N87" s="72">
        <v>0</v>
      </c>
    </row>
    <row r="88" spans="1:21" x14ac:dyDescent="0.2">
      <c r="A88" s="175">
        <f t="shared" si="6"/>
        <v>82</v>
      </c>
      <c r="B88" s="153"/>
      <c r="C88" s="169"/>
      <c r="D88" s="153" t="s">
        <v>21</v>
      </c>
      <c r="E88" s="153"/>
      <c r="F88" s="153"/>
      <c r="G88" s="166">
        <v>0</v>
      </c>
      <c r="H88" s="153"/>
      <c r="I88" s="153"/>
      <c r="J88" s="166">
        <f t="shared" si="9"/>
        <v>0</v>
      </c>
      <c r="K88" s="153"/>
      <c r="L88" s="177">
        <f>J88</f>
        <v>0</v>
      </c>
      <c r="M88" s="177">
        <f>L88-J88</f>
        <v>0</v>
      </c>
      <c r="N88" s="72">
        <v>0</v>
      </c>
    </row>
    <row r="89" spans="1:21" x14ac:dyDescent="0.2">
      <c r="A89" s="175">
        <f t="shared" si="6"/>
        <v>83</v>
      </c>
      <c r="B89" s="153"/>
      <c r="C89" s="169"/>
      <c r="D89" s="153" t="s">
        <v>24</v>
      </c>
      <c r="E89" s="153"/>
      <c r="F89" s="153"/>
      <c r="G89" s="166">
        <v>0</v>
      </c>
      <c r="H89" s="153"/>
      <c r="I89" s="153"/>
      <c r="J89" s="166">
        <f t="shared" si="9"/>
        <v>0</v>
      </c>
      <c r="K89" s="153"/>
      <c r="L89" s="177">
        <f>J89</f>
        <v>0</v>
      </c>
      <c r="M89" s="177"/>
      <c r="N89" s="72"/>
    </row>
    <row r="90" spans="1:21" x14ac:dyDescent="0.2">
      <c r="A90" s="175">
        <f t="shared" si="6"/>
        <v>84</v>
      </c>
      <c r="B90" s="153"/>
      <c r="C90" s="169"/>
      <c r="D90" s="160" t="s">
        <v>5</v>
      </c>
      <c r="E90" s="160"/>
      <c r="F90" s="160"/>
      <c r="G90" s="181">
        <f>SUM(G86:G89)</f>
        <v>457079.18999999994</v>
      </c>
      <c r="H90" s="160"/>
      <c r="I90" s="160"/>
      <c r="J90" s="181">
        <f>SUM(J86:J89)</f>
        <v>169066.31460000001</v>
      </c>
      <c r="K90" s="160"/>
      <c r="L90" s="181">
        <f>SUM(L86:L89)</f>
        <v>169066.31460000001</v>
      </c>
      <c r="M90" s="181">
        <f>L90-J90</f>
        <v>0</v>
      </c>
      <c r="N90" s="182">
        <f>M90/J90</f>
        <v>0</v>
      </c>
    </row>
    <row r="91" spans="1:21" s="5" customFormat="1" ht="26.45" customHeight="1" thickBot="1" x14ac:dyDescent="0.3">
      <c r="A91" s="175">
        <f t="shared" si="6"/>
        <v>85</v>
      </c>
      <c r="B91" s="162"/>
      <c r="C91" s="178"/>
      <c r="D91" s="161" t="s">
        <v>14</v>
      </c>
      <c r="E91" s="161"/>
      <c r="F91" s="161"/>
      <c r="G91" s="183">
        <f>G90+G85</f>
        <v>2602300.35996</v>
      </c>
      <c r="H91" s="161"/>
      <c r="I91" s="161"/>
      <c r="J91" s="183">
        <f>J90+J85</f>
        <v>2602300.35996</v>
      </c>
      <c r="K91" s="161"/>
      <c r="L91" s="184">
        <f>L90+L85</f>
        <v>2602300.35996</v>
      </c>
      <c r="M91" s="184">
        <f>L91-J91</f>
        <v>0</v>
      </c>
      <c r="N91" s="185">
        <f>M91/J91</f>
        <v>0</v>
      </c>
    </row>
    <row r="92" spans="1:21" ht="13.5" thickTop="1" x14ac:dyDescent="0.2">
      <c r="A92" s="175">
        <f t="shared" si="6"/>
        <v>86</v>
      </c>
      <c r="B92" s="153"/>
      <c r="C92" s="169"/>
      <c r="D92" s="153" t="s">
        <v>13</v>
      </c>
      <c r="E92" s="76">
        <f>E84/E82</f>
        <v>506351.75</v>
      </c>
      <c r="F92" s="153"/>
      <c r="G92" s="186">
        <f>G91/E82</f>
        <v>54214.590832499998</v>
      </c>
      <c r="H92" s="76">
        <f>H84/H82</f>
        <v>506351.75</v>
      </c>
      <c r="I92" s="153"/>
      <c r="J92" s="186">
        <f>J91/E82</f>
        <v>54214.590832499998</v>
      </c>
      <c r="K92" s="153"/>
      <c r="L92" s="186">
        <f>L91/E82</f>
        <v>54214.590832499998</v>
      </c>
      <c r="M92" s="186">
        <f>L92-J92</f>
        <v>0</v>
      </c>
      <c r="N92" s="142">
        <f>M92/J92</f>
        <v>0</v>
      </c>
    </row>
    <row r="93" spans="1:21" ht="13.5" thickBot="1" x14ac:dyDescent="0.25">
      <c r="A93" s="175">
        <f t="shared" si="6"/>
        <v>87</v>
      </c>
      <c r="B93" s="153"/>
      <c r="C93" s="169"/>
      <c r="D93" s="153"/>
      <c r="E93" s="153"/>
      <c r="F93" s="153"/>
      <c r="G93" s="153"/>
      <c r="H93" s="153"/>
      <c r="I93" s="153"/>
      <c r="J93" s="153"/>
      <c r="K93" s="153"/>
      <c r="L93" s="153"/>
      <c r="M93" s="153"/>
      <c r="N93" s="153"/>
    </row>
    <row r="94" spans="1:21" x14ac:dyDescent="0.2">
      <c r="A94" s="175">
        <f t="shared" si="6"/>
        <v>88</v>
      </c>
      <c r="B94" s="157" t="s">
        <v>100</v>
      </c>
      <c r="C94" s="176">
        <v>10</v>
      </c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T94" s="5"/>
      <c r="U94" s="5"/>
    </row>
    <row r="95" spans="1:21" x14ac:dyDescent="0.2">
      <c r="A95" s="175">
        <f t="shared" si="6"/>
        <v>89</v>
      </c>
      <c r="B95" s="153"/>
      <c r="C95" s="153"/>
      <c r="D95" s="153" t="s">
        <v>12</v>
      </c>
      <c r="E95" s="76">
        <v>12</v>
      </c>
      <c r="F95" s="72">
        <v>1253.27</v>
      </c>
      <c r="G95" s="177">
        <f>F95*E95</f>
        <v>15039.24</v>
      </c>
      <c r="H95" s="76">
        <f>E95</f>
        <v>12</v>
      </c>
      <c r="I95" s="72">
        <f>F95</f>
        <v>1253.27</v>
      </c>
      <c r="J95" s="177">
        <f>I95*H95</f>
        <v>15039.24</v>
      </c>
      <c r="K95" s="72">
        <f>I95</f>
        <v>1253.27</v>
      </c>
      <c r="L95" s="177">
        <f>K95*H95</f>
        <v>15039.24</v>
      </c>
      <c r="M95" s="177">
        <f>L95-J95</f>
        <v>0</v>
      </c>
      <c r="N95" s="142">
        <f>IF(J95=0,0,M95/J95)</f>
        <v>0</v>
      </c>
      <c r="P95" s="4">
        <f>K95/I95-1</f>
        <v>0</v>
      </c>
      <c r="R95" s="14"/>
      <c r="T95" s="5"/>
      <c r="U95" s="5"/>
    </row>
    <row r="96" spans="1:21" x14ac:dyDescent="0.2">
      <c r="A96" s="175">
        <f t="shared" si="6"/>
        <v>90</v>
      </c>
      <c r="B96" s="153"/>
      <c r="C96" s="169"/>
      <c r="D96" s="153" t="s">
        <v>31</v>
      </c>
      <c r="E96" s="76">
        <v>65131.200000000012</v>
      </c>
      <c r="F96" s="72">
        <v>8.66</v>
      </c>
      <c r="G96" s="177">
        <f>F96*E96</f>
        <v>564036.19200000016</v>
      </c>
      <c r="H96" s="76">
        <f>E96</f>
        <v>65131.200000000012</v>
      </c>
      <c r="I96" s="72">
        <f>F96</f>
        <v>8.66</v>
      </c>
      <c r="J96" s="177">
        <f>I96*H96</f>
        <v>564036.19200000016</v>
      </c>
      <c r="K96" s="72">
        <f>I96</f>
        <v>8.66</v>
      </c>
      <c r="L96" s="177">
        <f>K96*H96</f>
        <v>564036.19200000016</v>
      </c>
      <c r="M96" s="177">
        <f>L96-J96</f>
        <v>0</v>
      </c>
      <c r="N96" s="142">
        <f>IF(J96=0,0,M96/J96)</f>
        <v>0</v>
      </c>
      <c r="P96" s="4">
        <f>K96/I96-1</f>
        <v>0</v>
      </c>
      <c r="T96" s="5"/>
      <c r="U96" s="5"/>
    </row>
    <row r="97" spans="1:21" x14ac:dyDescent="0.2">
      <c r="A97" s="175">
        <f t="shared" si="6"/>
        <v>91</v>
      </c>
      <c r="B97" s="153"/>
      <c r="C97" s="169"/>
      <c r="D97" s="153" t="s">
        <v>28</v>
      </c>
      <c r="E97" s="76">
        <v>33856272</v>
      </c>
      <c r="F97" s="73">
        <v>5.2032000000000002E-2</v>
      </c>
      <c r="G97" s="177">
        <f>F97*E97</f>
        <v>1761609.544704</v>
      </c>
      <c r="H97" s="76">
        <f>E97</f>
        <v>33856272</v>
      </c>
      <c r="I97" s="73">
        <v>6.3881999999999994E-2</v>
      </c>
      <c r="J97" s="177">
        <f>I97*H97</f>
        <v>2162806.367904</v>
      </c>
      <c r="K97" s="163">
        <f>I97</f>
        <v>6.3881999999999994E-2</v>
      </c>
      <c r="L97" s="177">
        <f>K97*H97</f>
        <v>2162806.367904</v>
      </c>
      <c r="M97" s="177">
        <f>L97-J97</f>
        <v>0</v>
      </c>
      <c r="N97" s="142">
        <f>IF(J97=0,0,M97/J97)</f>
        <v>0</v>
      </c>
      <c r="P97" s="4">
        <f>K97/I97-1</f>
        <v>0</v>
      </c>
      <c r="S97" s="75">
        <f>I97-F97</f>
        <v>1.1849999999999992E-2</v>
      </c>
      <c r="T97" s="5"/>
      <c r="U97" s="5"/>
    </row>
    <row r="98" spans="1:21" s="5" customFormat="1" ht="20.45" customHeight="1" x14ac:dyDescent="0.25">
      <c r="A98" s="175">
        <f t="shared" si="6"/>
        <v>92</v>
      </c>
      <c r="B98" s="162"/>
      <c r="C98" s="178"/>
      <c r="D98" s="159" t="s">
        <v>4</v>
      </c>
      <c r="E98" s="159"/>
      <c r="F98" s="159"/>
      <c r="G98" s="179">
        <f>SUM(G95:G97)</f>
        <v>2340684.976704</v>
      </c>
      <c r="H98" s="159"/>
      <c r="I98" s="159"/>
      <c r="J98" s="179">
        <f>SUM(J95:J97)</f>
        <v>2741881.799904</v>
      </c>
      <c r="K98" s="159"/>
      <c r="L98" s="179">
        <f>SUM(L95:L97)</f>
        <v>2741881.799904</v>
      </c>
      <c r="M98" s="179">
        <f>SUM(M95:M97)</f>
        <v>0</v>
      </c>
      <c r="N98" s="180">
        <f>M98/J98</f>
        <v>0</v>
      </c>
      <c r="O98" s="52">
        <v>1</v>
      </c>
    </row>
    <row r="99" spans="1:21" x14ac:dyDescent="0.2">
      <c r="A99" s="175">
        <f t="shared" si="6"/>
        <v>93</v>
      </c>
      <c r="B99" s="153"/>
      <c r="C99" s="169"/>
      <c r="D99" s="153" t="s">
        <v>18</v>
      </c>
      <c r="E99" s="153"/>
      <c r="F99" s="153"/>
      <c r="G99" s="166">
        <v>250871.40000000002</v>
      </c>
      <c r="H99" s="153"/>
      <c r="I99" s="153"/>
      <c r="J99" s="166">
        <f>G99-(E97*$I$283)</f>
        <v>-150325.42319999996</v>
      </c>
      <c r="K99" s="153"/>
      <c r="L99" s="177">
        <f>J99</f>
        <v>-150325.42319999996</v>
      </c>
      <c r="M99" s="177">
        <f>L99-J99</f>
        <v>0</v>
      </c>
      <c r="N99" s="72">
        <v>0</v>
      </c>
      <c r="T99" s="5"/>
      <c r="U99" s="5"/>
    </row>
    <row r="100" spans="1:21" x14ac:dyDescent="0.2">
      <c r="A100" s="175">
        <f t="shared" si="6"/>
        <v>94</v>
      </c>
      <c r="B100" s="153"/>
      <c r="C100" s="169"/>
      <c r="D100" s="153" t="s">
        <v>19</v>
      </c>
      <c r="E100" s="153"/>
      <c r="F100" s="153"/>
      <c r="G100" s="166">
        <v>336157.94999999995</v>
      </c>
      <c r="H100" s="153"/>
      <c r="I100" s="153"/>
      <c r="J100" s="166">
        <f t="shared" ref="J100:J102" si="10">G100</f>
        <v>336157.94999999995</v>
      </c>
      <c r="K100" s="153"/>
      <c r="L100" s="177">
        <f>J100</f>
        <v>336157.94999999995</v>
      </c>
      <c r="M100" s="177">
        <f>L100-J100</f>
        <v>0</v>
      </c>
      <c r="N100" s="72">
        <v>0</v>
      </c>
      <c r="T100" s="5"/>
      <c r="U100" s="5"/>
    </row>
    <row r="101" spans="1:21" x14ac:dyDescent="0.2">
      <c r="A101" s="175">
        <f t="shared" si="6"/>
        <v>95</v>
      </c>
      <c r="B101" s="153"/>
      <c r="C101" s="169"/>
      <c r="D101" s="153" t="s">
        <v>21</v>
      </c>
      <c r="E101" s="153"/>
      <c r="F101" s="153"/>
      <c r="G101" s="166">
        <v>0</v>
      </c>
      <c r="H101" s="153"/>
      <c r="I101" s="153"/>
      <c r="J101" s="166">
        <f t="shared" si="10"/>
        <v>0</v>
      </c>
      <c r="K101" s="153"/>
      <c r="L101" s="177">
        <f>J101</f>
        <v>0</v>
      </c>
      <c r="M101" s="177">
        <f>L101-J101</f>
        <v>0</v>
      </c>
      <c r="N101" s="72">
        <v>0</v>
      </c>
    </row>
    <row r="102" spans="1:21" x14ac:dyDescent="0.2">
      <c r="A102" s="175">
        <f t="shared" si="6"/>
        <v>96</v>
      </c>
      <c r="B102" s="153"/>
      <c r="C102" s="169"/>
      <c r="D102" s="153" t="s">
        <v>24</v>
      </c>
      <c r="E102" s="153"/>
      <c r="F102" s="153"/>
      <c r="G102" s="166">
        <v>0</v>
      </c>
      <c r="H102" s="153"/>
      <c r="I102" s="153"/>
      <c r="J102" s="166">
        <f t="shared" si="10"/>
        <v>0</v>
      </c>
      <c r="K102" s="153"/>
      <c r="L102" s="177">
        <f>J102</f>
        <v>0</v>
      </c>
      <c r="M102" s="177"/>
      <c r="N102" s="72"/>
    </row>
    <row r="103" spans="1:21" x14ac:dyDescent="0.2">
      <c r="A103" s="175">
        <f t="shared" si="6"/>
        <v>97</v>
      </c>
      <c r="B103" s="153"/>
      <c r="C103" s="169"/>
      <c r="D103" s="160" t="s">
        <v>5</v>
      </c>
      <c r="E103" s="160"/>
      <c r="F103" s="160"/>
      <c r="G103" s="181">
        <f>SUM(G99:G102)</f>
        <v>587029.35</v>
      </c>
      <c r="H103" s="160"/>
      <c r="I103" s="160"/>
      <c r="J103" s="181">
        <f>SUM(J99:J102)</f>
        <v>185832.52679999999</v>
      </c>
      <c r="K103" s="160"/>
      <c r="L103" s="181">
        <f>SUM(L99:L102)</f>
        <v>185832.52679999999</v>
      </c>
      <c r="M103" s="181">
        <f>L103-J103</f>
        <v>0</v>
      </c>
      <c r="N103" s="182">
        <f>M103/J103</f>
        <v>0</v>
      </c>
    </row>
    <row r="104" spans="1:21" s="5" customFormat="1" ht="26.45" customHeight="1" thickBot="1" x14ac:dyDescent="0.3">
      <c r="A104" s="175">
        <f t="shared" si="6"/>
        <v>98</v>
      </c>
      <c r="B104" s="162"/>
      <c r="C104" s="178"/>
      <c r="D104" s="161" t="s">
        <v>14</v>
      </c>
      <c r="E104" s="161"/>
      <c r="F104" s="161"/>
      <c r="G104" s="183">
        <f>G103+G98</f>
        <v>2927714.3267040001</v>
      </c>
      <c r="H104" s="161"/>
      <c r="I104" s="161"/>
      <c r="J104" s="183">
        <f>J103+J98</f>
        <v>2927714.3267040001</v>
      </c>
      <c r="K104" s="161"/>
      <c r="L104" s="184">
        <f>L103+L98</f>
        <v>2927714.3267040001</v>
      </c>
      <c r="M104" s="184">
        <f>L104-J104</f>
        <v>0</v>
      </c>
      <c r="N104" s="185">
        <f>M104/J104</f>
        <v>0</v>
      </c>
    </row>
    <row r="105" spans="1:21" ht="13.5" thickTop="1" x14ac:dyDescent="0.2">
      <c r="A105" s="175">
        <f t="shared" si="6"/>
        <v>99</v>
      </c>
      <c r="B105" s="153"/>
      <c r="C105" s="169"/>
      <c r="D105" s="153"/>
      <c r="E105" s="78">
        <f>E96/E95</f>
        <v>5427.6000000000013</v>
      </c>
      <c r="F105" s="188"/>
      <c r="G105" s="188">
        <f>G104/E95</f>
        <v>243976.19389200001</v>
      </c>
      <c r="H105" s="78">
        <f>H96/H95</f>
        <v>5427.6000000000013</v>
      </c>
      <c r="I105" s="188"/>
      <c r="J105" s="188">
        <f>J104/E95</f>
        <v>243976.19389200001</v>
      </c>
      <c r="K105" s="188"/>
      <c r="L105" s="188">
        <f>L104/E95</f>
        <v>243976.19389200001</v>
      </c>
      <c r="M105" s="188">
        <f>L105-J105</f>
        <v>0</v>
      </c>
      <c r="N105" s="142">
        <f>M105/J105</f>
        <v>0</v>
      </c>
    </row>
    <row r="106" spans="1:21" ht="13.5" thickBot="1" x14ac:dyDescent="0.25">
      <c r="A106" s="175">
        <f t="shared" si="6"/>
        <v>100</v>
      </c>
      <c r="B106" s="153"/>
      <c r="C106" s="169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</row>
    <row r="107" spans="1:21" x14ac:dyDescent="0.2">
      <c r="A107" s="175">
        <f t="shared" si="6"/>
        <v>101</v>
      </c>
      <c r="B107" s="157" t="s">
        <v>122</v>
      </c>
      <c r="C107" s="176">
        <v>14</v>
      </c>
      <c r="D107" s="157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</row>
    <row r="108" spans="1:21" x14ac:dyDescent="0.2">
      <c r="A108" s="175">
        <f t="shared" si="6"/>
        <v>102</v>
      </c>
      <c r="B108" s="153"/>
      <c r="C108" s="153"/>
      <c r="D108" s="153" t="s">
        <v>12</v>
      </c>
      <c r="E108" s="76">
        <v>12</v>
      </c>
      <c r="F108" s="72">
        <v>1412.92</v>
      </c>
      <c r="G108" s="177">
        <f>F108*E108</f>
        <v>16955.04</v>
      </c>
      <c r="H108" s="76">
        <f>E108</f>
        <v>12</v>
      </c>
      <c r="I108" s="72">
        <f>F108</f>
        <v>1412.92</v>
      </c>
      <c r="J108" s="177">
        <f>I108*H108</f>
        <v>16955.04</v>
      </c>
      <c r="K108" s="72">
        <f>I108</f>
        <v>1412.92</v>
      </c>
      <c r="L108" s="177">
        <f>K108*H108</f>
        <v>16955.04</v>
      </c>
      <c r="M108" s="177">
        <f>L108-J108</f>
        <v>0</v>
      </c>
      <c r="N108" s="142">
        <f>IF(J108=0,0,M108/J108)</f>
        <v>0</v>
      </c>
      <c r="P108" s="4">
        <f>K108/I108-1</f>
        <v>0</v>
      </c>
    </row>
    <row r="109" spans="1:21" x14ac:dyDescent="0.2">
      <c r="A109" s="175">
        <f t="shared" si="6"/>
        <v>103</v>
      </c>
      <c r="B109" s="153"/>
      <c r="C109" s="169"/>
      <c r="D109" s="153" t="s">
        <v>31</v>
      </c>
      <c r="E109" s="76">
        <v>16230</v>
      </c>
      <c r="F109" s="72">
        <v>8.66</v>
      </c>
      <c r="G109" s="177">
        <f>F109*E109</f>
        <v>140551.79999999999</v>
      </c>
      <c r="H109" s="76">
        <f>E109</f>
        <v>16230</v>
      </c>
      <c r="I109" s="72">
        <f>F109</f>
        <v>8.66</v>
      </c>
      <c r="J109" s="177">
        <f>I109*H109</f>
        <v>140551.79999999999</v>
      </c>
      <c r="K109" s="72">
        <f>I109</f>
        <v>8.66</v>
      </c>
      <c r="L109" s="177">
        <f>K109*H109</f>
        <v>140551.79999999999</v>
      </c>
      <c r="M109" s="177">
        <f>L109-J109</f>
        <v>0</v>
      </c>
      <c r="N109" s="142">
        <f>IF(J109=0,0,M109/J109)</f>
        <v>0</v>
      </c>
      <c r="P109" s="4">
        <f>K109/I109-1</f>
        <v>0</v>
      </c>
      <c r="T109" s="5"/>
      <c r="U109" s="5"/>
    </row>
    <row r="110" spans="1:21" x14ac:dyDescent="0.2">
      <c r="A110" s="175">
        <f t="shared" si="6"/>
        <v>104</v>
      </c>
      <c r="B110" s="72"/>
      <c r="C110" s="169"/>
      <c r="D110" s="153" t="s">
        <v>28</v>
      </c>
      <c r="E110" s="76">
        <v>8340600</v>
      </c>
      <c r="F110" s="73">
        <v>5.6676999999999998E-2</v>
      </c>
      <c r="G110" s="177">
        <f>F110*E110</f>
        <v>472720.1862</v>
      </c>
      <c r="H110" s="76">
        <f>E110</f>
        <v>8340600</v>
      </c>
      <c r="I110" s="73">
        <v>6.8527000000000005E-2</v>
      </c>
      <c r="J110" s="177">
        <f>I110*H110</f>
        <v>571556.29619999998</v>
      </c>
      <c r="K110" s="163">
        <f>I110</f>
        <v>6.8527000000000005E-2</v>
      </c>
      <c r="L110" s="177">
        <f>K110*H110</f>
        <v>571556.29619999998</v>
      </c>
      <c r="M110" s="177">
        <f>L110-J110</f>
        <v>0</v>
      </c>
      <c r="N110" s="142">
        <f>IF(J110=0,0,M110/J110)</f>
        <v>0</v>
      </c>
      <c r="P110" s="4">
        <f>K110/I110-1</f>
        <v>0</v>
      </c>
      <c r="S110" s="75">
        <f>I110-F110</f>
        <v>1.1850000000000006E-2</v>
      </c>
    </row>
    <row r="111" spans="1:21" s="5" customFormat="1" ht="20.45" customHeight="1" x14ac:dyDescent="0.25">
      <c r="A111" s="175">
        <f t="shared" si="6"/>
        <v>105</v>
      </c>
      <c r="B111" s="162"/>
      <c r="C111" s="178"/>
      <c r="D111" s="159" t="s">
        <v>4</v>
      </c>
      <c r="E111" s="159"/>
      <c r="F111" s="159"/>
      <c r="G111" s="179">
        <f>SUM(G108:G110)</f>
        <v>630227.02619999996</v>
      </c>
      <c r="H111" s="159"/>
      <c r="I111" s="159"/>
      <c r="J111" s="179">
        <f>SUM(J108:J110)</f>
        <v>729063.13619999995</v>
      </c>
      <c r="K111" s="159"/>
      <c r="L111" s="179">
        <f>SUM(L108:L110)</f>
        <v>729063.13619999995</v>
      </c>
      <c r="M111" s="179">
        <f>SUM(M108:M110)</f>
        <v>0</v>
      </c>
      <c r="N111" s="180">
        <f>M111/J111</f>
        <v>0</v>
      </c>
      <c r="O111" s="52">
        <v>1</v>
      </c>
    </row>
    <row r="112" spans="1:21" x14ac:dyDescent="0.2">
      <c r="A112" s="175">
        <f t="shared" si="6"/>
        <v>106</v>
      </c>
      <c r="B112" s="153"/>
      <c r="C112" s="169"/>
      <c r="D112" s="153" t="s">
        <v>18</v>
      </c>
      <c r="E112" s="153"/>
      <c r="F112" s="153"/>
      <c r="G112" s="166">
        <v>61599.88</v>
      </c>
      <c r="H112" s="153"/>
      <c r="I112" s="153"/>
      <c r="J112" s="166">
        <f>G112-(E110*$I$283)</f>
        <v>-37236.230000000003</v>
      </c>
      <c r="K112" s="153"/>
      <c r="L112" s="177">
        <f>J112</f>
        <v>-37236.230000000003</v>
      </c>
      <c r="M112" s="177">
        <f>L112-J112</f>
        <v>0</v>
      </c>
      <c r="N112" s="72">
        <v>0</v>
      </c>
    </row>
    <row r="113" spans="1:19" x14ac:dyDescent="0.2">
      <c r="A113" s="175">
        <f t="shared" si="6"/>
        <v>107</v>
      </c>
      <c r="B113" s="153"/>
      <c r="C113" s="169"/>
      <c r="D113" s="153" t="s">
        <v>19</v>
      </c>
      <c r="E113" s="153"/>
      <c r="F113" s="153"/>
      <c r="G113" s="166">
        <v>88824.959999999992</v>
      </c>
      <c r="H113" s="153"/>
      <c r="I113" s="153"/>
      <c r="J113" s="166">
        <f t="shared" ref="J113:J115" si="11">G113</f>
        <v>88824.959999999992</v>
      </c>
      <c r="K113" s="153"/>
      <c r="L113" s="177">
        <f>J113</f>
        <v>88824.959999999992</v>
      </c>
      <c r="M113" s="177">
        <f>L113-J113</f>
        <v>0</v>
      </c>
      <c r="N113" s="72">
        <v>0</v>
      </c>
    </row>
    <row r="114" spans="1:19" x14ac:dyDescent="0.2">
      <c r="A114" s="175">
        <f t="shared" si="6"/>
        <v>108</v>
      </c>
      <c r="B114" s="153"/>
      <c r="C114" s="169"/>
      <c r="D114" s="153" t="s">
        <v>25</v>
      </c>
      <c r="E114" s="153"/>
      <c r="F114" s="153"/>
      <c r="G114" s="166">
        <v>0</v>
      </c>
      <c r="H114" s="153"/>
      <c r="I114" s="153"/>
      <c r="J114" s="166">
        <f t="shared" si="11"/>
        <v>0</v>
      </c>
      <c r="K114" s="153"/>
      <c r="L114" s="177">
        <f>J114</f>
        <v>0</v>
      </c>
      <c r="M114" s="177">
        <f>L114-J114</f>
        <v>0</v>
      </c>
      <c r="N114" s="72">
        <v>0</v>
      </c>
    </row>
    <row r="115" spans="1:19" x14ac:dyDescent="0.2">
      <c r="A115" s="175">
        <f t="shared" si="6"/>
        <v>109</v>
      </c>
      <c r="B115" s="153"/>
      <c r="C115" s="169"/>
      <c r="D115" s="153" t="s">
        <v>24</v>
      </c>
      <c r="E115" s="153"/>
      <c r="F115" s="153"/>
      <c r="G115" s="166">
        <v>0</v>
      </c>
      <c r="H115" s="153"/>
      <c r="I115" s="153"/>
      <c r="J115" s="166">
        <f t="shared" si="11"/>
        <v>0</v>
      </c>
      <c r="K115" s="153"/>
      <c r="L115" s="177">
        <f>J115</f>
        <v>0</v>
      </c>
      <c r="M115" s="177"/>
      <c r="N115" s="72">
        <v>0</v>
      </c>
    </row>
    <row r="116" spans="1:19" x14ac:dyDescent="0.2">
      <c r="A116" s="175">
        <f t="shared" si="6"/>
        <v>110</v>
      </c>
      <c r="B116" s="153"/>
      <c r="C116" s="169"/>
      <c r="D116" s="160" t="s">
        <v>5</v>
      </c>
      <c r="E116" s="160"/>
      <c r="F116" s="160"/>
      <c r="G116" s="181">
        <f>SUM(G112:G115)</f>
        <v>150424.84</v>
      </c>
      <c r="H116" s="160"/>
      <c r="I116" s="160"/>
      <c r="J116" s="181">
        <f>SUM(J112:J115)</f>
        <v>51588.729999999989</v>
      </c>
      <c r="K116" s="160"/>
      <c r="L116" s="181">
        <f>SUM(L112:L115)</f>
        <v>51588.729999999989</v>
      </c>
      <c r="M116" s="181">
        <f>L116-J116</f>
        <v>0</v>
      </c>
      <c r="N116" s="182">
        <f>M116/J116</f>
        <v>0</v>
      </c>
    </row>
    <row r="117" spans="1:19" s="5" customFormat="1" ht="26.45" customHeight="1" thickBot="1" x14ac:dyDescent="0.3">
      <c r="A117" s="175">
        <f t="shared" si="6"/>
        <v>111</v>
      </c>
      <c r="B117" s="162"/>
      <c r="C117" s="178"/>
      <c r="D117" s="161" t="s">
        <v>14</v>
      </c>
      <c r="E117" s="161"/>
      <c r="F117" s="161"/>
      <c r="G117" s="183">
        <f>G116+G111</f>
        <v>780651.86619999993</v>
      </c>
      <c r="H117" s="161"/>
      <c r="I117" s="161"/>
      <c r="J117" s="183">
        <f>J116+J111</f>
        <v>780651.86619999993</v>
      </c>
      <c r="K117" s="161"/>
      <c r="L117" s="184">
        <f>L116+L111</f>
        <v>780651.86619999993</v>
      </c>
      <c r="M117" s="184">
        <f>L117-J117</f>
        <v>0</v>
      </c>
      <c r="N117" s="185">
        <f>M117/J117</f>
        <v>0</v>
      </c>
    </row>
    <row r="118" spans="1:19" ht="13.5" thickTop="1" x14ac:dyDescent="0.2">
      <c r="A118" s="175">
        <f t="shared" si="6"/>
        <v>112</v>
      </c>
      <c r="B118" s="153"/>
      <c r="C118" s="169"/>
      <c r="D118" s="153" t="s">
        <v>13</v>
      </c>
      <c r="E118" s="76">
        <f>E110/E108</f>
        <v>695050</v>
      </c>
      <c r="F118" s="153"/>
      <c r="G118" s="186">
        <f>G117/E108</f>
        <v>65054.32218333333</v>
      </c>
      <c r="H118" s="76">
        <f>H110/H108</f>
        <v>695050</v>
      </c>
      <c r="I118" s="153"/>
      <c r="J118" s="186">
        <f>J117/E108</f>
        <v>65054.32218333333</v>
      </c>
      <c r="K118" s="153"/>
      <c r="L118" s="186">
        <f>L117/E108</f>
        <v>65054.32218333333</v>
      </c>
      <c r="M118" s="186">
        <f>L118-J118</f>
        <v>0</v>
      </c>
      <c r="N118" s="142">
        <f>M118/J118</f>
        <v>0</v>
      </c>
    </row>
    <row r="119" spans="1:19" ht="13.5" thickBot="1" x14ac:dyDescent="0.25">
      <c r="A119" s="175">
        <f t="shared" si="6"/>
        <v>113</v>
      </c>
      <c r="B119" s="153"/>
      <c r="C119" s="169"/>
      <c r="D119" s="153"/>
      <c r="E119" s="153"/>
      <c r="F119" s="153"/>
      <c r="G119" s="153"/>
      <c r="H119" s="153"/>
      <c r="I119" s="153"/>
      <c r="J119" s="153"/>
      <c r="K119" s="153"/>
      <c r="L119" s="153"/>
      <c r="M119" s="153"/>
      <c r="N119" s="153"/>
    </row>
    <row r="120" spans="1:19" x14ac:dyDescent="0.2">
      <c r="A120" s="175">
        <f t="shared" si="6"/>
        <v>114</v>
      </c>
      <c r="B120" s="157" t="s">
        <v>121</v>
      </c>
      <c r="C120" s="176">
        <v>15</v>
      </c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</row>
    <row r="121" spans="1:19" x14ac:dyDescent="0.2">
      <c r="A121" s="175">
        <f t="shared" si="6"/>
        <v>115</v>
      </c>
      <c r="B121" s="153"/>
      <c r="C121" s="153"/>
      <c r="D121" s="153" t="s">
        <v>12</v>
      </c>
      <c r="E121" s="76">
        <v>48</v>
      </c>
      <c r="F121" s="72">
        <v>115.18</v>
      </c>
      <c r="G121" s="177">
        <f>F121*E121</f>
        <v>5528.64</v>
      </c>
      <c r="H121" s="76">
        <f>E121</f>
        <v>48</v>
      </c>
      <c r="I121" s="72">
        <f>F121</f>
        <v>115.18</v>
      </c>
      <c r="J121" s="177">
        <f>I121*H121</f>
        <v>5528.64</v>
      </c>
      <c r="K121" s="72">
        <f>I121</f>
        <v>115.18</v>
      </c>
      <c r="L121" s="177">
        <f>K121*H121</f>
        <v>5528.64</v>
      </c>
      <c r="M121" s="177">
        <f>L121-J121</f>
        <v>0</v>
      </c>
      <c r="N121" s="142">
        <f>IF(J121=0,0,M121/J121)</f>
        <v>0</v>
      </c>
    </row>
    <row r="122" spans="1:19" x14ac:dyDescent="0.2">
      <c r="A122" s="175">
        <f t="shared" si="6"/>
        <v>116</v>
      </c>
      <c r="B122" s="153"/>
      <c r="C122" s="169"/>
      <c r="D122" s="153" t="s">
        <v>31</v>
      </c>
      <c r="E122" s="76">
        <v>4766</v>
      </c>
      <c r="F122" s="72">
        <v>8.66</v>
      </c>
      <c r="G122" s="177">
        <f>F122*E122</f>
        <v>41273.56</v>
      </c>
      <c r="H122" s="76">
        <f>E122</f>
        <v>4766</v>
      </c>
      <c r="I122" s="72">
        <f>F122</f>
        <v>8.66</v>
      </c>
      <c r="J122" s="177">
        <f>I122*H122</f>
        <v>41273.56</v>
      </c>
      <c r="K122" s="72">
        <f>I122</f>
        <v>8.66</v>
      </c>
      <c r="L122" s="177">
        <f>K122*H122</f>
        <v>41273.56</v>
      </c>
      <c r="M122" s="177">
        <f>L122-J122</f>
        <v>0</v>
      </c>
      <c r="N122" s="142">
        <f>IF(J122=0,0,M122/J122)</f>
        <v>0</v>
      </c>
      <c r="P122" s="4">
        <f>K122/I122-1</f>
        <v>0</v>
      </c>
    </row>
    <row r="123" spans="1:19" x14ac:dyDescent="0.2">
      <c r="A123" s="175">
        <f t="shared" si="6"/>
        <v>117</v>
      </c>
      <c r="B123" s="153"/>
      <c r="C123" s="169"/>
      <c r="D123" s="153" t="s">
        <v>28</v>
      </c>
      <c r="E123" s="76">
        <v>765404</v>
      </c>
      <c r="F123" s="73">
        <v>6.6697000000000006E-2</v>
      </c>
      <c r="G123" s="177">
        <f>F123*E123</f>
        <v>51050.150588000004</v>
      </c>
      <c r="H123" s="76">
        <f>E123</f>
        <v>765404</v>
      </c>
      <c r="I123" s="73">
        <v>7.8547000000000006E-2</v>
      </c>
      <c r="J123" s="177">
        <f>I123*H123</f>
        <v>60120.187988000005</v>
      </c>
      <c r="K123" s="163">
        <f>I123</f>
        <v>7.8547000000000006E-2</v>
      </c>
      <c r="L123" s="177">
        <f>K123*H123</f>
        <v>60120.187988000005</v>
      </c>
      <c r="M123" s="177">
        <f>L123-J123</f>
        <v>0</v>
      </c>
      <c r="N123" s="142">
        <f>IF(J123=0,0,M123/J123)</f>
        <v>0</v>
      </c>
      <c r="P123" s="4">
        <f>K123/I123-1</f>
        <v>0</v>
      </c>
      <c r="S123" s="75">
        <f>I123-F123</f>
        <v>1.1849999999999999E-2</v>
      </c>
    </row>
    <row r="124" spans="1:19" s="5" customFormat="1" ht="20.45" customHeight="1" x14ac:dyDescent="0.25">
      <c r="A124" s="175">
        <f t="shared" si="6"/>
        <v>118</v>
      </c>
      <c r="B124" s="162"/>
      <c r="C124" s="178"/>
      <c r="D124" s="159" t="s">
        <v>4</v>
      </c>
      <c r="E124" s="159"/>
      <c r="F124" s="159"/>
      <c r="G124" s="179">
        <f>SUM(G121:G123)</f>
        <v>97852.350588000001</v>
      </c>
      <c r="H124" s="159"/>
      <c r="I124" s="159"/>
      <c r="J124" s="179">
        <f>SUM(J121:J123)</f>
        <v>106922.387988</v>
      </c>
      <c r="K124" s="159"/>
      <c r="L124" s="179">
        <f>SUM(L121:L123)</f>
        <v>106922.387988</v>
      </c>
      <c r="M124" s="179">
        <f>SUM(M121:M123)</f>
        <v>0</v>
      </c>
      <c r="N124" s="180">
        <f>M124/J124</f>
        <v>0</v>
      </c>
      <c r="O124" s="52">
        <v>1</v>
      </c>
    </row>
    <row r="125" spans="1:19" x14ac:dyDescent="0.2">
      <c r="A125" s="175">
        <f t="shared" ref="A125:A200" si="12">A124+1</f>
        <v>119</v>
      </c>
      <c r="B125" s="153"/>
      <c r="C125" s="169"/>
      <c r="D125" s="153" t="s">
        <v>18</v>
      </c>
      <c r="E125" s="153"/>
      <c r="F125" s="153"/>
      <c r="G125" s="166">
        <v>5520</v>
      </c>
      <c r="H125" s="153"/>
      <c r="I125" s="153"/>
      <c r="J125" s="166">
        <f>G125-(E123*$I$283)</f>
        <v>-3550.0373999999993</v>
      </c>
      <c r="K125" s="153"/>
      <c r="L125" s="177">
        <f>J125</f>
        <v>-3550.0373999999993</v>
      </c>
      <c r="M125" s="177">
        <f>L125-J125</f>
        <v>0</v>
      </c>
      <c r="N125" s="72">
        <v>0</v>
      </c>
    </row>
    <row r="126" spans="1:19" x14ac:dyDescent="0.2">
      <c r="A126" s="175">
        <f t="shared" si="12"/>
        <v>120</v>
      </c>
      <c r="B126" s="153"/>
      <c r="C126" s="169"/>
      <c r="D126" s="153" t="s">
        <v>19</v>
      </c>
      <c r="E126" s="153"/>
      <c r="F126" s="153"/>
      <c r="G126" s="166">
        <v>12471</v>
      </c>
      <c r="H126" s="153"/>
      <c r="I126" s="153"/>
      <c r="J126" s="166">
        <f t="shared" ref="J126:J128" si="13">G126</f>
        <v>12471</v>
      </c>
      <c r="K126" s="153"/>
      <c r="L126" s="177">
        <f>J126</f>
        <v>12471</v>
      </c>
      <c r="M126" s="177">
        <f>L126-J126</f>
        <v>0</v>
      </c>
      <c r="N126" s="72">
        <v>0</v>
      </c>
    </row>
    <row r="127" spans="1:19" x14ac:dyDescent="0.2">
      <c r="A127" s="175">
        <f t="shared" si="12"/>
        <v>121</v>
      </c>
      <c r="B127" s="153"/>
      <c r="C127" s="169"/>
      <c r="D127" s="153" t="s">
        <v>21</v>
      </c>
      <c r="E127" s="153"/>
      <c r="F127" s="153"/>
      <c r="G127" s="166">
        <v>0</v>
      </c>
      <c r="H127" s="153"/>
      <c r="I127" s="153"/>
      <c r="J127" s="166">
        <f t="shared" si="13"/>
        <v>0</v>
      </c>
      <c r="K127" s="153"/>
      <c r="L127" s="177">
        <f>J127</f>
        <v>0</v>
      </c>
      <c r="M127" s="177">
        <f>L127-J127</f>
        <v>0</v>
      </c>
      <c r="N127" s="72">
        <v>0</v>
      </c>
    </row>
    <row r="128" spans="1:19" x14ac:dyDescent="0.2">
      <c r="A128" s="175">
        <f t="shared" si="12"/>
        <v>122</v>
      </c>
      <c r="B128" s="153"/>
      <c r="C128" s="169"/>
      <c r="D128" s="153" t="s">
        <v>24</v>
      </c>
      <c r="E128" s="153"/>
      <c r="F128" s="153"/>
      <c r="G128" s="166">
        <v>0</v>
      </c>
      <c r="H128" s="153"/>
      <c r="I128" s="153"/>
      <c r="J128" s="166">
        <f t="shared" si="13"/>
        <v>0</v>
      </c>
      <c r="K128" s="153"/>
      <c r="L128" s="177">
        <f>J128</f>
        <v>0</v>
      </c>
      <c r="M128" s="177"/>
      <c r="N128" s="72"/>
    </row>
    <row r="129" spans="1:20" x14ac:dyDescent="0.2">
      <c r="A129" s="175">
        <f t="shared" si="12"/>
        <v>123</v>
      </c>
      <c r="B129" s="153"/>
      <c r="C129" s="169"/>
      <c r="D129" s="160" t="s">
        <v>5</v>
      </c>
      <c r="E129" s="160"/>
      <c r="F129" s="160"/>
      <c r="G129" s="181">
        <f>SUM(G125:G128)</f>
        <v>17991</v>
      </c>
      <c r="H129" s="160"/>
      <c r="I129" s="160"/>
      <c r="J129" s="181">
        <f>SUM(J125:J128)</f>
        <v>8920.9626000000007</v>
      </c>
      <c r="K129" s="160"/>
      <c r="L129" s="181">
        <f>SUM(L125:L128)</f>
        <v>8920.9626000000007</v>
      </c>
      <c r="M129" s="181">
        <f>L129-J129</f>
        <v>0</v>
      </c>
      <c r="N129" s="182">
        <f>M129/J129</f>
        <v>0</v>
      </c>
    </row>
    <row r="130" spans="1:20" s="5" customFormat="1" ht="26.45" customHeight="1" thickBot="1" x14ac:dyDescent="0.3">
      <c r="A130" s="175">
        <f t="shared" si="12"/>
        <v>124</v>
      </c>
      <c r="B130" s="162"/>
      <c r="C130" s="178"/>
      <c r="D130" s="161" t="s">
        <v>14</v>
      </c>
      <c r="E130" s="161"/>
      <c r="F130" s="161"/>
      <c r="G130" s="183">
        <f>G129+G124</f>
        <v>115843.350588</v>
      </c>
      <c r="H130" s="161"/>
      <c r="I130" s="161"/>
      <c r="J130" s="183">
        <f>J129+J124</f>
        <v>115843.350588</v>
      </c>
      <c r="K130" s="161"/>
      <c r="L130" s="184">
        <f>L129+L124</f>
        <v>115843.350588</v>
      </c>
      <c r="M130" s="184">
        <f>L130-J130</f>
        <v>0</v>
      </c>
      <c r="N130" s="185">
        <f>M130/J130</f>
        <v>0</v>
      </c>
    </row>
    <row r="131" spans="1:20" ht="13.5" thickTop="1" x14ac:dyDescent="0.2">
      <c r="A131" s="175">
        <f t="shared" si="12"/>
        <v>125</v>
      </c>
      <c r="B131" s="153"/>
      <c r="C131" s="169"/>
      <c r="D131" s="153" t="s">
        <v>13</v>
      </c>
      <c r="E131" s="76">
        <f>E123/E121</f>
        <v>15945.916666666666</v>
      </c>
      <c r="F131" s="153"/>
      <c r="G131" s="186">
        <f>G130/E121</f>
        <v>2413.4031372499999</v>
      </c>
      <c r="H131" s="76">
        <f>H123/H121</f>
        <v>15945.916666666666</v>
      </c>
      <c r="I131" s="153"/>
      <c r="J131" s="186">
        <f>J130/E121</f>
        <v>2413.4031372499999</v>
      </c>
      <c r="K131" s="153"/>
      <c r="L131" s="186">
        <f>L130/E121</f>
        <v>2413.4031372499999</v>
      </c>
      <c r="M131" s="186">
        <f>L131-J131</f>
        <v>0</v>
      </c>
      <c r="N131" s="142">
        <f>M131/J131</f>
        <v>0</v>
      </c>
    </row>
    <row r="132" spans="1:20" ht="13.5" thickBot="1" x14ac:dyDescent="0.25">
      <c r="A132" s="175">
        <f t="shared" si="12"/>
        <v>126</v>
      </c>
      <c r="B132" s="153"/>
      <c r="C132" s="169"/>
      <c r="D132" s="153"/>
      <c r="E132" s="153"/>
      <c r="F132" s="153"/>
      <c r="G132" s="153"/>
      <c r="H132" s="153"/>
      <c r="I132" s="153"/>
      <c r="J132" s="153"/>
      <c r="K132" s="153"/>
      <c r="L132" s="153"/>
      <c r="M132" s="153"/>
      <c r="N132" s="153"/>
    </row>
    <row r="133" spans="1:20" x14ac:dyDescent="0.2">
      <c r="A133" s="175">
        <f>A118+1</f>
        <v>113</v>
      </c>
      <c r="B133" s="157" t="s">
        <v>137</v>
      </c>
      <c r="C133" s="176">
        <v>24</v>
      </c>
      <c r="D133" s="157"/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</row>
    <row r="134" spans="1:20" x14ac:dyDescent="0.2">
      <c r="A134" s="175">
        <f t="shared" si="12"/>
        <v>114</v>
      </c>
      <c r="B134" s="153"/>
      <c r="C134" s="153"/>
      <c r="D134" s="153" t="s">
        <v>12</v>
      </c>
      <c r="E134" s="76">
        <v>7</v>
      </c>
      <c r="F134" s="72">
        <v>3526.81</v>
      </c>
      <c r="G134" s="177">
        <f>F134*E134</f>
        <v>24687.67</v>
      </c>
      <c r="H134" s="76">
        <f>E134+E148</f>
        <v>12</v>
      </c>
      <c r="I134" s="72">
        <f>F134</f>
        <v>3526.81</v>
      </c>
      <c r="J134" s="177">
        <f>I134*H134</f>
        <v>42321.72</v>
      </c>
      <c r="K134" s="72">
        <f>I134</f>
        <v>3526.81</v>
      </c>
      <c r="L134" s="177">
        <f>K134*H134</f>
        <v>42321.72</v>
      </c>
      <c r="M134" s="177">
        <f>L134-J134</f>
        <v>0</v>
      </c>
      <c r="N134" s="142">
        <f>IF(J134=0,0,M134/J134)</f>
        <v>0</v>
      </c>
      <c r="P134" s="4">
        <f>K134/I134-1</f>
        <v>0</v>
      </c>
    </row>
    <row r="135" spans="1:20" x14ac:dyDescent="0.2">
      <c r="A135" s="175">
        <f t="shared" si="12"/>
        <v>115</v>
      </c>
      <c r="B135" s="212" t="s">
        <v>143</v>
      </c>
      <c r="C135" s="169"/>
      <c r="D135" s="153" t="s">
        <v>31</v>
      </c>
      <c r="E135" s="76">
        <v>21628.799999999999</v>
      </c>
      <c r="F135" s="72">
        <v>7.26</v>
      </c>
      <c r="G135" s="177">
        <f>F135*E135</f>
        <v>157025.08799999999</v>
      </c>
      <c r="H135" s="76">
        <f t="shared" ref="H135:H137" si="14">E135+E149</f>
        <v>38016.800000000003</v>
      </c>
      <c r="I135" s="72">
        <f>F135</f>
        <v>7.26</v>
      </c>
      <c r="J135" s="177">
        <f>I135*H135</f>
        <v>276001.96799999999</v>
      </c>
      <c r="K135" s="72">
        <f>I135</f>
        <v>7.26</v>
      </c>
      <c r="L135" s="177">
        <f>K135*H135</f>
        <v>276001.96799999999</v>
      </c>
      <c r="M135" s="177">
        <f>L135-J135</f>
        <v>0</v>
      </c>
      <c r="N135" s="142">
        <f>IF(J135=0,0,M135/J135)</f>
        <v>0</v>
      </c>
      <c r="P135" s="4">
        <f>K135/I135-1</f>
        <v>0</v>
      </c>
      <c r="T135" s="211" t="s">
        <v>98</v>
      </c>
    </row>
    <row r="136" spans="1:20" x14ac:dyDescent="0.2">
      <c r="A136" s="175">
        <f t="shared" si="12"/>
        <v>116</v>
      </c>
      <c r="B136" s="153"/>
      <c r="C136" s="169"/>
      <c r="D136" s="153" t="s">
        <v>29</v>
      </c>
      <c r="E136" s="76">
        <v>4541395</v>
      </c>
      <c r="F136" s="73">
        <v>6.3515000000000002E-2</v>
      </c>
      <c r="G136" s="177">
        <f>F136*E136</f>
        <v>288446.70342500001</v>
      </c>
      <c r="H136" s="76">
        <f t="shared" si="14"/>
        <v>7486837</v>
      </c>
      <c r="I136" s="73">
        <v>7.5365000000000001E-2</v>
      </c>
      <c r="J136" s="177">
        <f>I136*H136</f>
        <v>564245.47050499998</v>
      </c>
      <c r="K136" s="163">
        <f>I136</f>
        <v>7.5365000000000001E-2</v>
      </c>
      <c r="L136" s="177">
        <f>K136*H136</f>
        <v>564245.47050499998</v>
      </c>
      <c r="M136" s="177">
        <f>L136-J136</f>
        <v>0</v>
      </c>
      <c r="N136" s="142">
        <f>IF(J136=0,0,M136/J136)</f>
        <v>0</v>
      </c>
      <c r="P136" s="4">
        <f>K136/I136-1</f>
        <v>0</v>
      </c>
      <c r="S136" s="75">
        <f t="shared" ref="S136:S137" si="15">I136-F136</f>
        <v>1.1849999999999999E-2</v>
      </c>
    </row>
    <row r="137" spans="1:20" x14ac:dyDescent="0.2">
      <c r="A137" s="175">
        <f t="shared" si="12"/>
        <v>117</v>
      </c>
      <c r="B137" s="153"/>
      <c r="C137" s="169"/>
      <c r="D137" s="153" t="s">
        <v>30</v>
      </c>
      <c r="E137" s="76">
        <v>5046909</v>
      </c>
      <c r="F137" s="73">
        <v>5.4272000000000001E-2</v>
      </c>
      <c r="G137" s="177">
        <f>F137*E137</f>
        <v>273905.845248</v>
      </c>
      <c r="H137" s="76">
        <f t="shared" si="14"/>
        <v>9136822</v>
      </c>
      <c r="I137" s="73">
        <v>6.6122E-2</v>
      </c>
      <c r="J137" s="177">
        <f>I137*H137</f>
        <v>604144.94428399997</v>
      </c>
      <c r="K137" s="163">
        <f>I137</f>
        <v>6.6122E-2</v>
      </c>
      <c r="L137" s="177">
        <f>K137*H137</f>
        <v>604144.94428399997</v>
      </c>
      <c r="M137" s="177">
        <f>L137-J137</f>
        <v>0</v>
      </c>
      <c r="N137" s="142">
        <f>IF(J137=0,0,M137/J137)</f>
        <v>0</v>
      </c>
      <c r="P137" s="4">
        <f>K137/I137-1</f>
        <v>0</v>
      </c>
      <c r="S137" s="75">
        <f t="shared" si="15"/>
        <v>1.1849999999999999E-2</v>
      </c>
    </row>
    <row r="138" spans="1:20" s="5" customFormat="1" ht="20.45" customHeight="1" x14ac:dyDescent="0.25">
      <c r="A138" s="175">
        <f t="shared" si="12"/>
        <v>118</v>
      </c>
      <c r="B138" s="162"/>
      <c r="C138" s="178"/>
      <c r="D138" s="159" t="s">
        <v>4</v>
      </c>
      <c r="E138" s="159"/>
      <c r="F138" s="159"/>
      <c r="G138" s="179">
        <f>SUM(G134:G137)</f>
        <v>744065.30667299998</v>
      </c>
      <c r="H138" s="159"/>
      <c r="I138" s="159"/>
      <c r="J138" s="179">
        <f>SUM(J134:J137)</f>
        <v>1486714.1027889999</v>
      </c>
      <c r="K138" s="159"/>
      <c r="L138" s="179">
        <f>SUM(L134:L137)</f>
        <v>1486714.1027889999</v>
      </c>
      <c r="M138" s="179">
        <f>SUM(M134:M137)</f>
        <v>0</v>
      </c>
      <c r="N138" s="180">
        <f>M138/J138</f>
        <v>0</v>
      </c>
      <c r="O138" s="52">
        <v>1</v>
      </c>
    </row>
    <row r="139" spans="1:20" x14ac:dyDescent="0.2">
      <c r="A139" s="175">
        <f t="shared" si="12"/>
        <v>119</v>
      </c>
      <c r="B139" s="153"/>
      <c r="C139" s="169"/>
      <c r="D139" s="153" t="s">
        <v>18</v>
      </c>
      <c r="E139" s="153"/>
      <c r="F139" s="153"/>
      <c r="G139" s="166">
        <v>55763.68</v>
      </c>
      <c r="H139" s="153"/>
      <c r="I139" s="153"/>
      <c r="J139" s="166">
        <f>G139+G153-((E137+E136+E150+E151)*$I$283)</f>
        <v>-72927.179150000011</v>
      </c>
      <c r="K139" s="153"/>
      <c r="L139" s="177">
        <f>J139</f>
        <v>-72927.179150000011</v>
      </c>
      <c r="M139" s="177">
        <f>L139-J139</f>
        <v>0</v>
      </c>
      <c r="N139" s="72">
        <v>0</v>
      </c>
    </row>
    <row r="140" spans="1:20" x14ac:dyDescent="0.2">
      <c r="A140" s="175">
        <f t="shared" si="12"/>
        <v>120</v>
      </c>
      <c r="B140" s="153"/>
      <c r="C140" s="169"/>
      <c r="D140" s="153" t="s">
        <v>19</v>
      </c>
      <c r="E140" s="153"/>
      <c r="F140" s="153"/>
      <c r="G140" s="166">
        <v>107134.02</v>
      </c>
      <c r="H140" s="153"/>
      <c r="I140" s="153"/>
      <c r="J140" s="166">
        <f>G140+G154</f>
        <v>172613.11000000002</v>
      </c>
      <c r="K140" s="153"/>
      <c r="L140" s="177">
        <f>J140</f>
        <v>172613.11000000002</v>
      </c>
      <c r="M140" s="177">
        <f>L140-J140</f>
        <v>0</v>
      </c>
      <c r="N140" s="72">
        <v>0</v>
      </c>
    </row>
    <row r="141" spans="1:20" x14ac:dyDescent="0.2">
      <c r="A141" s="175">
        <f t="shared" si="12"/>
        <v>121</v>
      </c>
      <c r="B141" s="153"/>
      <c r="C141" s="169"/>
      <c r="D141" s="153" t="s">
        <v>21</v>
      </c>
      <c r="E141" s="153"/>
      <c r="F141" s="153"/>
      <c r="G141" s="177">
        <f>F141*E141</f>
        <v>0</v>
      </c>
      <c r="H141" s="153"/>
      <c r="I141" s="153"/>
      <c r="J141" s="166">
        <f t="shared" ref="J141:J142" si="16">G141+G155</f>
        <v>0</v>
      </c>
      <c r="K141" s="153"/>
      <c r="L141" s="177">
        <f>J141</f>
        <v>0</v>
      </c>
      <c r="M141" s="177">
        <f>L141-J141</f>
        <v>0</v>
      </c>
      <c r="N141" s="72">
        <v>0</v>
      </c>
    </row>
    <row r="142" spans="1:20" x14ac:dyDescent="0.2">
      <c r="A142" s="175">
        <f t="shared" si="12"/>
        <v>122</v>
      </c>
      <c r="B142" s="153"/>
      <c r="C142" s="169"/>
      <c r="D142" s="153" t="s">
        <v>24</v>
      </c>
      <c r="E142" s="153"/>
      <c r="F142" s="153"/>
      <c r="G142" s="177">
        <f>F142*E142</f>
        <v>0</v>
      </c>
      <c r="H142" s="153"/>
      <c r="I142" s="153"/>
      <c r="J142" s="166">
        <f t="shared" si="16"/>
        <v>0</v>
      </c>
      <c r="K142" s="153"/>
      <c r="L142" s="177">
        <f>J142</f>
        <v>0</v>
      </c>
      <c r="M142" s="177"/>
      <c r="N142" s="72"/>
    </row>
    <row r="143" spans="1:20" x14ac:dyDescent="0.2">
      <c r="A143" s="175">
        <f t="shared" si="12"/>
        <v>123</v>
      </c>
      <c r="B143" s="153"/>
      <c r="C143" s="169"/>
      <c r="D143" s="160" t="s">
        <v>5</v>
      </c>
      <c r="E143" s="160"/>
      <c r="F143" s="160"/>
      <c r="G143" s="181">
        <f>SUM(G139:G142)</f>
        <v>162897.70000000001</v>
      </c>
      <c r="H143" s="160"/>
      <c r="I143" s="160"/>
      <c r="J143" s="181">
        <f>SUM(J139:J142)</f>
        <v>99685.930850000004</v>
      </c>
      <c r="K143" s="160"/>
      <c r="L143" s="181">
        <f>SUM(L139:L142)</f>
        <v>99685.930850000004</v>
      </c>
      <c r="M143" s="181">
        <f>L143-J143</f>
        <v>0</v>
      </c>
      <c r="N143" s="182">
        <f>M143/J143</f>
        <v>0</v>
      </c>
    </row>
    <row r="144" spans="1:20" s="5" customFormat="1" ht="26.45" customHeight="1" thickBot="1" x14ac:dyDescent="0.3">
      <c r="A144" s="175">
        <f t="shared" si="12"/>
        <v>124</v>
      </c>
      <c r="B144" s="162"/>
      <c r="C144" s="178"/>
      <c r="D144" s="161" t="s">
        <v>14</v>
      </c>
      <c r="E144" s="161"/>
      <c r="F144" s="161"/>
      <c r="G144" s="183">
        <f>G143+G138</f>
        <v>906963.00667300005</v>
      </c>
      <c r="H144" s="161"/>
      <c r="I144" s="161"/>
      <c r="J144" s="183">
        <f>J143+J138</f>
        <v>1586400.0336389998</v>
      </c>
      <c r="K144" s="161"/>
      <c r="L144" s="184">
        <f>L143+L138</f>
        <v>1586400.0336389998</v>
      </c>
      <c r="M144" s="184">
        <f>L144-J144</f>
        <v>0</v>
      </c>
      <c r="N144" s="185">
        <f>M144/J144</f>
        <v>0</v>
      </c>
    </row>
    <row r="145" spans="1:20" ht="13.5" thickTop="1" x14ac:dyDescent="0.2">
      <c r="A145" s="175">
        <f t="shared" si="12"/>
        <v>125</v>
      </c>
      <c r="B145" s="153"/>
      <c r="C145" s="169"/>
      <c r="D145" s="153" t="s">
        <v>13</v>
      </c>
      <c r="E145" s="76">
        <f>(E136+E137)/E134</f>
        <v>1369757.7142857143</v>
      </c>
      <c r="F145" s="153"/>
      <c r="G145" s="186">
        <f>G144/E134</f>
        <v>129566.14381042858</v>
      </c>
      <c r="H145" s="72">
        <f>(H136+H137)/H134</f>
        <v>1385304.9166666667</v>
      </c>
      <c r="I145" s="153"/>
      <c r="J145" s="186">
        <f>J144/E134</f>
        <v>226628.57623414282</v>
      </c>
      <c r="K145" s="153"/>
      <c r="L145" s="186">
        <f>L144/E134</f>
        <v>226628.57623414282</v>
      </c>
      <c r="M145" s="186">
        <f>L145-J145</f>
        <v>0</v>
      </c>
      <c r="N145" s="142">
        <f>M145/J145</f>
        <v>0</v>
      </c>
    </row>
    <row r="146" spans="1:20" ht="13.5" thickBot="1" x14ac:dyDescent="0.25">
      <c r="A146" s="175">
        <f t="shared" si="12"/>
        <v>126</v>
      </c>
      <c r="B146" s="153"/>
      <c r="C146" s="169"/>
      <c r="D146" s="153"/>
      <c r="E146" s="76">
        <f>E145+E159</f>
        <v>2776828.7142857146</v>
      </c>
      <c r="F146" s="153"/>
      <c r="G146" s="153"/>
      <c r="H146" s="153"/>
      <c r="I146" s="153"/>
      <c r="J146" s="153"/>
      <c r="K146" s="153"/>
      <c r="L146" s="153"/>
      <c r="M146" s="153"/>
      <c r="N146" s="153"/>
    </row>
    <row r="147" spans="1:20" x14ac:dyDescent="0.2">
      <c r="A147" s="175">
        <f>A132+1</f>
        <v>127</v>
      </c>
      <c r="B147" s="157" t="s">
        <v>131</v>
      </c>
      <c r="C147" s="176">
        <v>36</v>
      </c>
      <c r="D147" s="157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</row>
    <row r="148" spans="1:20" x14ac:dyDescent="0.2">
      <c r="A148" s="175">
        <f t="shared" si="12"/>
        <v>128</v>
      </c>
      <c r="B148" s="153"/>
      <c r="C148" s="153"/>
      <c r="D148" s="153" t="s">
        <v>12</v>
      </c>
      <c r="E148" s="76">
        <v>5</v>
      </c>
      <c r="F148" s="72">
        <v>3526.81</v>
      </c>
      <c r="G148" s="177">
        <f>F148*E148</f>
        <v>17634.05</v>
      </c>
      <c r="H148" s="76">
        <v>0</v>
      </c>
      <c r="I148" s="72">
        <f>F148</f>
        <v>3526.81</v>
      </c>
      <c r="J148" s="177">
        <f>I148*H148</f>
        <v>0</v>
      </c>
      <c r="K148" s="72">
        <f>I148</f>
        <v>3526.81</v>
      </c>
      <c r="L148" s="177">
        <f>K148*H148</f>
        <v>0</v>
      </c>
      <c r="M148" s="177">
        <f>L148-J148</f>
        <v>0</v>
      </c>
      <c r="N148" s="142">
        <f>IF(J148=0,0,M148/J148)</f>
        <v>0</v>
      </c>
      <c r="P148" s="4">
        <f>K148/I148-1</f>
        <v>0</v>
      </c>
    </row>
    <row r="149" spans="1:20" x14ac:dyDescent="0.2">
      <c r="A149" s="175">
        <f t="shared" si="12"/>
        <v>129</v>
      </c>
      <c r="B149" s="212" t="s">
        <v>143</v>
      </c>
      <c r="C149" s="169"/>
      <c r="D149" s="153" t="s">
        <v>31</v>
      </c>
      <c r="E149" s="76">
        <v>16388</v>
      </c>
      <c r="F149" s="72">
        <v>7.26</v>
      </c>
      <c r="G149" s="177">
        <f>F149*E149</f>
        <v>118976.87999999999</v>
      </c>
      <c r="H149" s="76">
        <v>0</v>
      </c>
      <c r="I149" s="72">
        <f>F149</f>
        <v>7.26</v>
      </c>
      <c r="J149" s="177">
        <f>I149*H149</f>
        <v>0</v>
      </c>
      <c r="K149" s="72">
        <f>I149</f>
        <v>7.26</v>
      </c>
      <c r="L149" s="177">
        <f>K149*H149</f>
        <v>0</v>
      </c>
      <c r="M149" s="177">
        <f>L149-J149</f>
        <v>0</v>
      </c>
      <c r="N149" s="142">
        <f>IF(J149=0,0,M149/J149)</f>
        <v>0</v>
      </c>
      <c r="P149" s="4">
        <f>K149/I149-1</f>
        <v>0</v>
      </c>
      <c r="S149" s="75">
        <f t="shared" ref="S149:S150" si="17">I149-F149</f>
        <v>0</v>
      </c>
      <c r="T149" s="211" t="s">
        <v>98</v>
      </c>
    </row>
    <row r="150" spans="1:20" x14ac:dyDescent="0.2">
      <c r="A150" s="175">
        <f t="shared" si="12"/>
        <v>130</v>
      </c>
      <c r="B150" s="153"/>
      <c r="C150" s="169"/>
      <c r="D150" s="153" t="s">
        <v>29</v>
      </c>
      <c r="E150" s="76">
        <v>2945442</v>
      </c>
      <c r="F150" s="73">
        <v>6.3515000000000002E-2</v>
      </c>
      <c r="G150" s="177">
        <f>F150*E150</f>
        <v>187079.74863000002</v>
      </c>
      <c r="H150" s="76">
        <v>0</v>
      </c>
      <c r="I150" s="73">
        <v>7.5365000000000001E-2</v>
      </c>
      <c r="J150" s="177">
        <f>I150*H150</f>
        <v>0</v>
      </c>
      <c r="K150" s="163">
        <f>I150</f>
        <v>7.5365000000000001E-2</v>
      </c>
      <c r="L150" s="177">
        <f>K150*H150</f>
        <v>0</v>
      </c>
      <c r="M150" s="177">
        <f>L150-J150</f>
        <v>0</v>
      </c>
      <c r="N150" s="142">
        <f>IF(J150=0,0,M150/J150)</f>
        <v>0</v>
      </c>
      <c r="P150" s="4">
        <f>K150/I150-1</f>
        <v>0</v>
      </c>
      <c r="S150" s="75">
        <f t="shared" si="17"/>
        <v>1.1849999999999999E-2</v>
      </c>
    </row>
    <row r="151" spans="1:20" x14ac:dyDescent="0.2">
      <c r="A151" s="175">
        <f t="shared" si="12"/>
        <v>131</v>
      </c>
      <c r="B151" s="166"/>
      <c r="C151" s="169"/>
      <c r="D151" s="153" t="s">
        <v>30</v>
      </c>
      <c r="E151" s="76">
        <v>4089913</v>
      </c>
      <c r="F151" s="73">
        <v>5.4272000000000001E-2</v>
      </c>
      <c r="G151" s="177">
        <f>F151*E151</f>
        <v>221967.758336</v>
      </c>
      <c r="H151" s="76">
        <v>0</v>
      </c>
      <c r="I151" s="73">
        <v>6.6122E-2</v>
      </c>
      <c r="J151" s="177">
        <f>I151*H151</f>
        <v>0</v>
      </c>
      <c r="K151" s="163">
        <f>I151</f>
        <v>6.6122E-2</v>
      </c>
      <c r="L151" s="177">
        <f>K151*H151</f>
        <v>0</v>
      </c>
      <c r="M151" s="177">
        <f>L151-J151</f>
        <v>0</v>
      </c>
      <c r="N151" s="142">
        <f>IF(J151=0,0,M151/J151)</f>
        <v>0</v>
      </c>
      <c r="P151" s="4">
        <f>K151/I151-1</f>
        <v>0</v>
      </c>
      <c r="S151" s="75">
        <f>I151-F151</f>
        <v>1.1849999999999999E-2</v>
      </c>
    </row>
    <row r="152" spans="1:20" s="5" customFormat="1" ht="20.45" customHeight="1" x14ac:dyDescent="0.2">
      <c r="A152" s="175">
        <f t="shared" si="12"/>
        <v>132</v>
      </c>
      <c r="B152" s="166"/>
      <c r="C152" s="178"/>
      <c r="D152" s="159" t="s">
        <v>4</v>
      </c>
      <c r="E152" s="159"/>
      <c r="F152" s="159"/>
      <c r="G152" s="179">
        <f>SUM(G148:G151)</f>
        <v>545658.43696600001</v>
      </c>
      <c r="H152" s="159"/>
      <c r="I152" s="159"/>
      <c r="J152" s="179">
        <f>SUM(J148:J151)</f>
        <v>0</v>
      </c>
      <c r="K152" s="159"/>
      <c r="L152" s="179">
        <f>SUM(L148:L151)</f>
        <v>0</v>
      </c>
      <c r="M152" s="179">
        <f>SUM(M148:M151)</f>
        <v>0</v>
      </c>
      <c r="N152" s="180">
        <f>IF(J152=0,0,M152/J152)</f>
        <v>0</v>
      </c>
      <c r="O152" s="52">
        <v>1</v>
      </c>
    </row>
    <row r="153" spans="1:20" x14ac:dyDescent="0.2">
      <c r="A153" s="175">
        <f t="shared" si="12"/>
        <v>133</v>
      </c>
      <c r="B153" s="166"/>
      <c r="C153" s="169"/>
      <c r="D153" s="153" t="s">
        <v>18</v>
      </c>
      <c r="E153" s="153"/>
      <c r="F153" s="153"/>
      <c r="G153" s="166">
        <v>68299.5</v>
      </c>
      <c r="H153" s="153"/>
      <c r="I153" s="153"/>
      <c r="J153" s="166">
        <v>0</v>
      </c>
      <c r="K153" s="153"/>
      <c r="L153" s="177">
        <f>J153</f>
        <v>0</v>
      </c>
      <c r="M153" s="177">
        <f>L153-J153</f>
        <v>0</v>
      </c>
      <c r="N153" s="72">
        <v>0</v>
      </c>
    </row>
    <row r="154" spans="1:20" x14ac:dyDescent="0.2">
      <c r="A154" s="175">
        <f t="shared" si="12"/>
        <v>134</v>
      </c>
      <c r="B154" s="153"/>
      <c r="C154" s="169"/>
      <c r="D154" s="153" t="s">
        <v>19</v>
      </c>
      <c r="E154" s="153"/>
      <c r="F154" s="153"/>
      <c r="G154" s="166">
        <v>65479.090000000004</v>
      </c>
      <c r="H154" s="153"/>
      <c r="I154" s="153"/>
      <c r="J154" s="166">
        <v>0</v>
      </c>
      <c r="K154" s="153"/>
      <c r="L154" s="177">
        <f>J154</f>
        <v>0</v>
      </c>
      <c r="M154" s="177">
        <f>L154-J154</f>
        <v>0</v>
      </c>
      <c r="N154" s="72">
        <v>0</v>
      </c>
    </row>
    <row r="155" spans="1:20" x14ac:dyDescent="0.2">
      <c r="A155" s="175">
        <f t="shared" si="12"/>
        <v>135</v>
      </c>
      <c r="B155" s="153"/>
      <c r="C155" s="169"/>
      <c r="D155" s="153" t="s">
        <v>21</v>
      </c>
      <c r="E155" s="153"/>
      <c r="F155" s="153"/>
      <c r="G155" s="166">
        <v>0</v>
      </c>
      <c r="H155" s="153"/>
      <c r="I155" s="153"/>
      <c r="J155" s="166">
        <v>0</v>
      </c>
      <c r="K155" s="153"/>
      <c r="L155" s="177">
        <f>J155</f>
        <v>0</v>
      </c>
      <c r="M155" s="177">
        <f>L155-J155</f>
        <v>0</v>
      </c>
      <c r="N155" s="72">
        <v>0</v>
      </c>
    </row>
    <row r="156" spans="1:20" x14ac:dyDescent="0.2">
      <c r="A156" s="175">
        <f t="shared" si="12"/>
        <v>136</v>
      </c>
      <c r="B156" s="166"/>
      <c r="C156" s="169"/>
      <c r="D156" s="153" t="s">
        <v>24</v>
      </c>
      <c r="E156" s="153"/>
      <c r="F156" s="153"/>
      <c r="G156" s="166">
        <v>0</v>
      </c>
      <c r="H156" s="153"/>
      <c r="I156" s="153"/>
      <c r="J156" s="166">
        <v>0</v>
      </c>
      <c r="K156" s="153"/>
      <c r="L156" s="177">
        <f>J156</f>
        <v>0</v>
      </c>
      <c r="M156" s="177"/>
      <c r="N156" s="72"/>
    </row>
    <row r="157" spans="1:20" x14ac:dyDescent="0.2">
      <c r="A157" s="175">
        <f t="shared" si="12"/>
        <v>137</v>
      </c>
      <c r="B157" s="153"/>
      <c r="C157" s="169"/>
      <c r="D157" s="160" t="s">
        <v>5</v>
      </c>
      <c r="E157" s="160"/>
      <c r="F157" s="160"/>
      <c r="G157" s="181">
        <f>SUM(G153:G156)</f>
        <v>133778.59</v>
      </c>
      <c r="H157" s="160"/>
      <c r="I157" s="160"/>
      <c r="J157" s="181">
        <f>SUM(J153:J156)</f>
        <v>0</v>
      </c>
      <c r="K157" s="160"/>
      <c r="L157" s="181">
        <f>SUM(L153:L156)</f>
        <v>0</v>
      </c>
      <c r="M157" s="181">
        <f>L157-J157</f>
        <v>0</v>
      </c>
      <c r="N157" s="182">
        <f>IF(J157=0,0,M157/J157)</f>
        <v>0</v>
      </c>
    </row>
    <row r="158" spans="1:20" s="5" customFormat="1" ht="26.45" customHeight="1" thickBot="1" x14ac:dyDescent="0.3">
      <c r="A158" s="175">
        <f t="shared" si="12"/>
        <v>138</v>
      </c>
      <c r="B158" s="190"/>
      <c r="C158" s="178"/>
      <c r="D158" s="161" t="s">
        <v>14</v>
      </c>
      <c r="E158" s="161"/>
      <c r="F158" s="161"/>
      <c r="G158" s="183">
        <f>G157+G152</f>
        <v>679437.02696599998</v>
      </c>
      <c r="H158" s="161"/>
      <c r="I158" s="161"/>
      <c r="J158" s="183">
        <f>J157+J152</f>
        <v>0</v>
      </c>
      <c r="K158" s="161"/>
      <c r="L158" s="184">
        <f>L157+L152</f>
        <v>0</v>
      </c>
      <c r="M158" s="184">
        <f>L158-J158</f>
        <v>0</v>
      </c>
      <c r="N158" s="185">
        <f>IF(J158=0,0,M158/J158)</f>
        <v>0</v>
      </c>
    </row>
    <row r="159" spans="1:20" ht="13.5" thickTop="1" x14ac:dyDescent="0.2">
      <c r="A159" s="175">
        <f t="shared" si="12"/>
        <v>139</v>
      </c>
      <c r="B159" s="153"/>
      <c r="C159" s="169"/>
      <c r="D159" s="153" t="s">
        <v>13</v>
      </c>
      <c r="E159" s="76">
        <f>(E150+E151)/E148</f>
        <v>1407071</v>
      </c>
      <c r="F159" s="153"/>
      <c r="G159" s="186">
        <f>G158/E148</f>
        <v>135887.4053932</v>
      </c>
      <c r="H159" s="76">
        <f>IF(H148=0,0,(H150+H151)/H148)</f>
        <v>0</v>
      </c>
      <c r="I159" s="153"/>
      <c r="J159" s="186">
        <f>J158/E148</f>
        <v>0</v>
      </c>
      <c r="K159" s="153"/>
      <c r="L159" s="186">
        <f>L158/E148</f>
        <v>0</v>
      </c>
      <c r="M159" s="186">
        <f>L159-J159</f>
        <v>0</v>
      </c>
      <c r="N159" s="142">
        <f>IF(J159=0,0,M159/J159)</f>
        <v>0</v>
      </c>
    </row>
    <row r="160" spans="1:20" ht="13.5" thickBot="1" x14ac:dyDescent="0.25">
      <c r="A160" s="175">
        <f t="shared" si="12"/>
        <v>140</v>
      </c>
      <c r="B160" s="153"/>
      <c r="C160" s="169"/>
      <c r="D160" s="153"/>
      <c r="E160" s="153"/>
      <c r="F160" s="153"/>
      <c r="G160" s="153"/>
      <c r="H160" s="153"/>
      <c r="I160" s="153"/>
      <c r="J160" s="153"/>
      <c r="K160" s="153"/>
      <c r="L160" s="153"/>
      <c r="M160" s="153"/>
      <c r="N160" s="153"/>
    </row>
    <row r="161" spans="1:19" x14ac:dyDescent="0.2">
      <c r="A161" s="175">
        <f t="shared" si="12"/>
        <v>141</v>
      </c>
      <c r="B161" s="157" t="s">
        <v>120</v>
      </c>
      <c r="C161" s="176">
        <v>50</v>
      </c>
      <c r="D161" s="157"/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</row>
    <row r="162" spans="1:19" x14ac:dyDescent="0.2">
      <c r="A162" s="175">
        <f t="shared" si="12"/>
        <v>142</v>
      </c>
      <c r="B162" s="153"/>
      <c r="C162" s="153"/>
      <c r="D162" s="153" t="s">
        <v>57</v>
      </c>
      <c r="E162" s="76">
        <v>0</v>
      </c>
      <c r="F162" s="72">
        <v>23.39</v>
      </c>
      <c r="G162" s="177">
        <f>F162*E162</f>
        <v>0</v>
      </c>
      <c r="H162" s="76">
        <f>E162</f>
        <v>0</v>
      </c>
      <c r="I162" s="72">
        <f>F162</f>
        <v>23.39</v>
      </c>
      <c r="J162" s="177">
        <f>I162*H162</f>
        <v>0</v>
      </c>
      <c r="K162" s="72">
        <f>I162+(K8-I8)</f>
        <v>33.06</v>
      </c>
      <c r="L162" s="177">
        <f>K162*H162</f>
        <v>0</v>
      </c>
      <c r="M162" s="177">
        <f>L162-J162</f>
        <v>0</v>
      </c>
      <c r="N162" s="142">
        <f>IF(J162=0,0,M162/J162)</f>
        <v>0</v>
      </c>
      <c r="P162" s="4">
        <f>K162/I162-1</f>
        <v>0.41342454040188126</v>
      </c>
    </row>
    <row r="163" spans="1:19" x14ac:dyDescent="0.2">
      <c r="A163" s="175">
        <f t="shared" si="12"/>
        <v>143</v>
      </c>
      <c r="B163" s="153"/>
      <c r="C163" s="153"/>
      <c r="D163" s="153" t="s">
        <v>58</v>
      </c>
      <c r="E163" s="76">
        <v>79</v>
      </c>
      <c r="F163" s="72">
        <v>115.18</v>
      </c>
      <c r="G163" s="177">
        <f>F163*E163</f>
        <v>9099.2200000000012</v>
      </c>
      <c r="H163" s="76">
        <f>E163</f>
        <v>79</v>
      </c>
      <c r="I163" s="72">
        <f>F163</f>
        <v>115.18</v>
      </c>
      <c r="J163" s="177">
        <f>I163*H163</f>
        <v>9099.2200000000012</v>
      </c>
      <c r="K163" s="72">
        <f>I163</f>
        <v>115.18</v>
      </c>
      <c r="L163" s="177">
        <f>K163*H163</f>
        <v>9099.2200000000012</v>
      </c>
      <c r="M163" s="177">
        <f>L163-J163</f>
        <v>0</v>
      </c>
      <c r="N163" s="142">
        <f>IF(J163=0,0,M163/J163)</f>
        <v>0</v>
      </c>
      <c r="P163" s="4">
        <f>K163/I163-1</f>
        <v>0</v>
      </c>
    </row>
    <row r="164" spans="1:19" x14ac:dyDescent="0.2">
      <c r="A164" s="175">
        <f t="shared" si="12"/>
        <v>144</v>
      </c>
      <c r="B164" s="153"/>
      <c r="C164" s="169"/>
      <c r="D164" s="153" t="s">
        <v>29</v>
      </c>
      <c r="E164" s="76">
        <v>205506</v>
      </c>
      <c r="F164" s="73">
        <v>0.124794</v>
      </c>
      <c r="G164" s="177">
        <f>F164*E164</f>
        <v>25645.915764000001</v>
      </c>
      <c r="H164" s="76">
        <f>E164</f>
        <v>205506</v>
      </c>
      <c r="I164" s="73">
        <v>0.13664399999999999</v>
      </c>
      <c r="J164" s="177">
        <f>I164*H164</f>
        <v>28081.161863999998</v>
      </c>
      <c r="K164" s="163">
        <f>I164</f>
        <v>0.13664399999999999</v>
      </c>
      <c r="L164" s="177">
        <f>K164*H164</f>
        <v>28081.161863999998</v>
      </c>
      <c r="M164" s="177">
        <f>L164-J164</f>
        <v>0</v>
      </c>
      <c r="N164" s="142">
        <f>IF(J164=0,0,M164/J164)</f>
        <v>0</v>
      </c>
      <c r="P164" s="4">
        <f>K164/I164-1</f>
        <v>0</v>
      </c>
      <c r="S164" s="75">
        <f t="shared" ref="S164:S165" si="18">I164-F164</f>
        <v>1.1849999999999986E-2</v>
      </c>
    </row>
    <row r="165" spans="1:19" x14ac:dyDescent="0.2">
      <c r="A165" s="175">
        <f t="shared" si="12"/>
        <v>145</v>
      </c>
      <c r="B165" s="153"/>
      <c r="C165" s="169"/>
      <c r="D165" s="153" t="s">
        <v>30</v>
      </c>
      <c r="E165" s="76">
        <v>354974</v>
      </c>
      <c r="F165" s="73">
        <v>6.1343000000000002E-2</v>
      </c>
      <c r="G165" s="177">
        <f>F165*E165</f>
        <v>21775.170082000001</v>
      </c>
      <c r="H165" s="76">
        <f>E165</f>
        <v>354974</v>
      </c>
      <c r="I165" s="73">
        <v>7.3192999999999994E-2</v>
      </c>
      <c r="J165" s="177">
        <f>I165*H165</f>
        <v>25981.611981999999</v>
      </c>
      <c r="K165" s="163">
        <f>I165</f>
        <v>7.3192999999999994E-2</v>
      </c>
      <c r="L165" s="177">
        <f>K165*H165</f>
        <v>25981.611981999999</v>
      </c>
      <c r="M165" s="177">
        <f>L165-J165</f>
        <v>0</v>
      </c>
      <c r="N165" s="142">
        <f>IF(J165=0,0,M165/J165)</f>
        <v>0</v>
      </c>
      <c r="P165" s="4">
        <f>K165/I165-1</f>
        <v>0</v>
      </c>
      <c r="S165" s="75">
        <f t="shared" si="18"/>
        <v>1.1849999999999992E-2</v>
      </c>
    </row>
    <row r="166" spans="1:19" s="5" customFormat="1" ht="20.45" customHeight="1" x14ac:dyDescent="0.25">
      <c r="A166" s="175">
        <f t="shared" si="12"/>
        <v>146</v>
      </c>
      <c r="B166" s="162"/>
      <c r="C166" s="178"/>
      <c r="D166" s="159" t="s">
        <v>4</v>
      </c>
      <c r="E166" s="159"/>
      <c r="F166" s="159"/>
      <c r="G166" s="179">
        <f>SUM(G163:G165)</f>
        <v>56520.305846000003</v>
      </c>
      <c r="H166" s="159"/>
      <c r="I166" s="159"/>
      <c r="J166" s="179">
        <f>SUM(J163:J165)</f>
        <v>63161.993845999998</v>
      </c>
      <c r="K166" s="159"/>
      <c r="L166" s="179">
        <f>SUM(L163:L165)</f>
        <v>63161.993845999998</v>
      </c>
      <c r="M166" s="179">
        <f>SUM(M163:M165)</f>
        <v>0</v>
      </c>
      <c r="N166" s="180">
        <f>M166/J166</f>
        <v>0</v>
      </c>
      <c r="O166" s="52">
        <v>1</v>
      </c>
    </row>
    <row r="167" spans="1:19" x14ac:dyDescent="0.2">
      <c r="A167" s="175">
        <f t="shared" si="12"/>
        <v>147</v>
      </c>
      <c r="B167" s="153"/>
      <c r="C167" s="169"/>
      <c r="D167" s="153" t="s">
        <v>18</v>
      </c>
      <c r="E167" s="153"/>
      <c r="F167" s="153"/>
      <c r="G167" s="166">
        <v>3606</v>
      </c>
      <c r="H167" s="153"/>
      <c r="I167" s="153"/>
      <c r="J167" s="166">
        <f>G167-((E164+E165)*$I$283)</f>
        <v>-3035.6880000000001</v>
      </c>
      <c r="K167" s="153"/>
      <c r="L167" s="177">
        <f>J167</f>
        <v>-3035.6880000000001</v>
      </c>
      <c r="M167" s="177">
        <f>L167-J167</f>
        <v>0</v>
      </c>
      <c r="N167" s="72">
        <v>0</v>
      </c>
    </row>
    <row r="168" spans="1:19" x14ac:dyDescent="0.2">
      <c r="A168" s="175">
        <f t="shared" si="12"/>
        <v>148</v>
      </c>
      <c r="B168" s="153"/>
      <c r="C168" s="169"/>
      <c r="D168" s="153" t="s">
        <v>19</v>
      </c>
      <c r="E168" s="153"/>
      <c r="F168" s="153"/>
      <c r="G168" s="166">
        <v>8168</v>
      </c>
      <c r="H168" s="153"/>
      <c r="I168" s="153"/>
      <c r="J168" s="166">
        <f t="shared" ref="J168:J170" si="19">G168</f>
        <v>8168</v>
      </c>
      <c r="K168" s="153"/>
      <c r="L168" s="177">
        <f>J168</f>
        <v>8168</v>
      </c>
      <c r="M168" s="177">
        <f>L168-J168</f>
        <v>0</v>
      </c>
      <c r="N168" s="72">
        <v>0</v>
      </c>
    </row>
    <row r="169" spans="1:19" x14ac:dyDescent="0.2">
      <c r="A169" s="175">
        <f t="shared" si="12"/>
        <v>149</v>
      </c>
      <c r="B169" s="153"/>
      <c r="C169" s="169"/>
      <c r="D169" s="153" t="s">
        <v>21</v>
      </c>
      <c r="E169" s="153"/>
      <c r="F169" s="153"/>
      <c r="G169" s="166">
        <v>0</v>
      </c>
      <c r="H169" s="153"/>
      <c r="I169" s="153"/>
      <c r="J169" s="166">
        <f t="shared" si="19"/>
        <v>0</v>
      </c>
      <c r="K169" s="153"/>
      <c r="L169" s="177">
        <f>J169</f>
        <v>0</v>
      </c>
      <c r="M169" s="177">
        <f>L169-J169</f>
        <v>0</v>
      </c>
      <c r="N169" s="72">
        <v>0</v>
      </c>
    </row>
    <row r="170" spans="1:19" x14ac:dyDescent="0.2">
      <c r="A170" s="175">
        <f t="shared" si="12"/>
        <v>150</v>
      </c>
      <c r="B170" s="153"/>
      <c r="C170" s="169"/>
      <c r="D170" s="153" t="s">
        <v>24</v>
      </c>
      <c r="E170" s="153"/>
      <c r="F170" s="153"/>
      <c r="G170" s="166">
        <v>0</v>
      </c>
      <c r="H170" s="153"/>
      <c r="I170" s="153"/>
      <c r="J170" s="166">
        <f t="shared" si="19"/>
        <v>0</v>
      </c>
      <c r="K170" s="153"/>
      <c r="L170" s="177">
        <f>J170</f>
        <v>0</v>
      </c>
      <c r="M170" s="177"/>
      <c r="N170" s="72"/>
    </row>
    <row r="171" spans="1:19" x14ac:dyDescent="0.2">
      <c r="A171" s="175">
        <f t="shared" si="12"/>
        <v>151</v>
      </c>
      <c r="B171" s="153"/>
      <c r="C171" s="169"/>
      <c r="D171" s="160" t="s">
        <v>5</v>
      </c>
      <c r="E171" s="160"/>
      <c r="F171" s="160"/>
      <c r="G171" s="181">
        <f>SUM(G167:G170)</f>
        <v>11774</v>
      </c>
      <c r="H171" s="160"/>
      <c r="I171" s="160"/>
      <c r="J171" s="181">
        <f>SUM(J167:J170)</f>
        <v>5132.3119999999999</v>
      </c>
      <c r="K171" s="160"/>
      <c r="L171" s="181">
        <f>SUM(L167:L170)</f>
        <v>5132.3119999999999</v>
      </c>
      <c r="M171" s="181">
        <f>L171-J171</f>
        <v>0</v>
      </c>
      <c r="N171" s="182">
        <f>M171/J171</f>
        <v>0</v>
      </c>
    </row>
    <row r="172" spans="1:19" s="5" customFormat="1" ht="26.45" customHeight="1" thickBot="1" x14ac:dyDescent="0.3">
      <c r="A172" s="175">
        <f t="shared" si="12"/>
        <v>152</v>
      </c>
      <c r="B172" s="162"/>
      <c r="C172" s="178"/>
      <c r="D172" s="161" t="s">
        <v>14</v>
      </c>
      <c r="E172" s="161"/>
      <c r="F172" s="161"/>
      <c r="G172" s="183">
        <f>G171+G166</f>
        <v>68294.305846000003</v>
      </c>
      <c r="H172" s="161"/>
      <c r="I172" s="161"/>
      <c r="J172" s="183">
        <f>J171+J166</f>
        <v>68294.305846000003</v>
      </c>
      <c r="K172" s="161"/>
      <c r="L172" s="184">
        <f>L171+L166</f>
        <v>68294.305846000003</v>
      </c>
      <c r="M172" s="184">
        <f>L172-J172</f>
        <v>0</v>
      </c>
      <c r="N172" s="185">
        <f>M172/J172</f>
        <v>0</v>
      </c>
    </row>
    <row r="173" spans="1:19" ht="13.5" thickTop="1" x14ac:dyDescent="0.2">
      <c r="A173" s="175">
        <f t="shared" si="12"/>
        <v>153</v>
      </c>
      <c r="B173" s="153"/>
      <c r="C173" s="169"/>
      <c r="D173" s="153" t="s">
        <v>13</v>
      </c>
      <c r="E173" s="76">
        <f>(E164+E165)/E163</f>
        <v>7094.6835443037971</v>
      </c>
      <c r="F173" s="153"/>
      <c r="G173" s="186">
        <f>G172/E163</f>
        <v>864.4848841265823</v>
      </c>
      <c r="H173" s="76">
        <f>(H164+H165)/H163</f>
        <v>7094.6835443037971</v>
      </c>
      <c r="I173" s="153"/>
      <c r="J173" s="186">
        <f>J172/E163</f>
        <v>864.4848841265823</v>
      </c>
      <c r="K173" s="153"/>
      <c r="L173" s="186">
        <f>L172/E163</f>
        <v>864.4848841265823</v>
      </c>
      <c r="M173" s="186">
        <f>L173-J173</f>
        <v>0</v>
      </c>
      <c r="N173" s="142">
        <f>M173/J173</f>
        <v>0</v>
      </c>
    </row>
    <row r="174" spans="1:19" ht="13.5" thickBot="1" x14ac:dyDescent="0.25">
      <c r="A174" s="175">
        <f t="shared" si="12"/>
        <v>154</v>
      </c>
      <c r="B174" s="153"/>
      <c r="C174" s="169"/>
      <c r="D174" s="153"/>
      <c r="E174" s="153"/>
      <c r="F174" s="153"/>
      <c r="G174" s="153"/>
      <c r="H174" s="153"/>
      <c r="I174" s="153"/>
      <c r="J174" s="153"/>
      <c r="K174" s="153"/>
      <c r="L174" s="153"/>
      <c r="M174" s="153"/>
      <c r="N174" s="153"/>
    </row>
    <row r="175" spans="1:19" x14ac:dyDescent="0.2">
      <c r="A175" s="175">
        <f t="shared" si="12"/>
        <v>155</v>
      </c>
      <c r="B175" s="157" t="s">
        <v>139</v>
      </c>
      <c r="C175" s="176" t="s">
        <v>140</v>
      </c>
      <c r="D175" s="157"/>
      <c r="E175" s="157"/>
      <c r="F175" s="157"/>
      <c r="G175" s="157"/>
      <c r="H175" s="157"/>
      <c r="I175" s="157"/>
      <c r="J175" s="157"/>
      <c r="K175" s="157"/>
      <c r="L175" s="157"/>
      <c r="M175" s="157"/>
      <c r="N175" s="157"/>
    </row>
    <row r="176" spans="1:19" x14ac:dyDescent="0.2">
      <c r="A176" s="175">
        <f t="shared" si="12"/>
        <v>156</v>
      </c>
      <c r="B176" s="72"/>
      <c r="C176" s="169"/>
      <c r="D176" s="153" t="s">
        <v>28</v>
      </c>
      <c r="E176" s="76">
        <v>327973</v>
      </c>
      <c r="F176" s="73">
        <v>5.6691999999999999E-2</v>
      </c>
      <c r="G176" s="177">
        <f>F176*E176</f>
        <v>18593.445316000001</v>
      </c>
      <c r="H176" s="76">
        <f>E176+649513</f>
        <v>977486</v>
      </c>
      <c r="I176" s="73">
        <v>6.8542000000000006E-2</v>
      </c>
      <c r="J176" s="177">
        <f>I176*H176</f>
        <v>66998.84541200001</v>
      </c>
      <c r="K176" s="163">
        <f>ROUND(I176*O176,6)</f>
        <v>6.8542000000000006E-2</v>
      </c>
      <c r="L176" s="177">
        <f>K176*H176</f>
        <v>66998.84541200001</v>
      </c>
      <c r="M176" s="177">
        <f>L176-J176</f>
        <v>0</v>
      </c>
      <c r="N176" s="142">
        <f>IF(J176=0,0,M176/J176)</f>
        <v>0</v>
      </c>
      <c r="O176" s="137">
        <f>O186</f>
        <v>1</v>
      </c>
      <c r="P176" s="4">
        <f>K176/I176-1</f>
        <v>0</v>
      </c>
      <c r="S176" s="75">
        <f>I176-F176</f>
        <v>1.1850000000000006E-2</v>
      </c>
    </row>
    <row r="177" spans="1:21" s="5" customFormat="1" ht="20.45" customHeight="1" x14ac:dyDescent="0.2">
      <c r="A177" s="175">
        <f t="shared" ref="A177:A184" si="20">A176+1</f>
        <v>157</v>
      </c>
      <c r="B177" s="162"/>
      <c r="C177" s="178"/>
      <c r="D177" s="159" t="s">
        <v>4</v>
      </c>
      <c r="E177" s="159"/>
      <c r="F177" s="159"/>
      <c r="G177" s="179">
        <f>SUM(G176:G176)</f>
        <v>18593.445316000001</v>
      </c>
      <c r="H177" s="159"/>
      <c r="I177" s="159"/>
      <c r="J177" s="179">
        <f>SUM(J176:J176)</f>
        <v>66998.84541200001</v>
      </c>
      <c r="K177" s="159"/>
      <c r="L177" s="179">
        <f>SUM(L176:L176)</f>
        <v>66998.84541200001</v>
      </c>
      <c r="M177" s="179">
        <f>SUM(M176:M176)</f>
        <v>0</v>
      </c>
      <c r="N177" s="180">
        <f>M177/J177</f>
        <v>0</v>
      </c>
      <c r="O177" s="74">
        <v>1</v>
      </c>
      <c r="R177" s="2"/>
      <c r="S177" s="2"/>
    </row>
    <row r="178" spans="1:21" x14ac:dyDescent="0.2">
      <c r="A178" s="175">
        <f t="shared" si="20"/>
        <v>158</v>
      </c>
      <c r="B178" s="162"/>
      <c r="C178" s="169"/>
      <c r="D178" s="153" t="s">
        <v>18</v>
      </c>
      <c r="E178" s="153"/>
      <c r="F178" s="153"/>
      <c r="G178" s="166">
        <v>2446.21</v>
      </c>
      <c r="H178" s="153"/>
      <c r="I178" s="153"/>
      <c r="J178" s="166">
        <f>G178-(E176*$I$283)</f>
        <v>-1440.2700499999996</v>
      </c>
      <c r="K178" s="153"/>
      <c r="L178" s="177">
        <f>J178</f>
        <v>-1440.2700499999996</v>
      </c>
      <c r="M178" s="177">
        <f>L178-J178</f>
        <v>0</v>
      </c>
      <c r="N178" s="72">
        <v>0</v>
      </c>
    </row>
    <row r="179" spans="1:21" x14ac:dyDescent="0.2">
      <c r="A179" s="175">
        <f t="shared" si="20"/>
        <v>159</v>
      </c>
      <c r="B179" s="153"/>
      <c r="C179" s="169"/>
      <c r="D179" s="153" t="s">
        <v>19</v>
      </c>
      <c r="E179" s="153"/>
      <c r="F179" s="153"/>
      <c r="G179" s="166">
        <v>11954.73</v>
      </c>
      <c r="H179" s="153"/>
      <c r="I179" s="153"/>
      <c r="J179" s="166">
        <f t="shared" ref="J179:J181" si="21">G179</f>
        <v>11954.73</v>
      </c>
      <c r="K179" s="153"/>
      <c r="L179" s="177">
        <f>J179</f>
        <v>11954.73</v>
      </c>
      <c r="M179" s="177">
        <f>L179-J179</f>
        <v>0</v>
      </c>
      <c r="N179" s="72">
        <v>0</v>
      </c>
    </row>
    <row r="180" spans="1:21" x14ac:dyDescent="0.2">
      <c r="A180" s="175">
        <f t="shared" si="20"/>
        <v>160</v>
      </c>
      <c r="B180" s="153"/>
      <c r="C180" s="169"/>
      <c r="D180" s="153" t="s">
        <v>21</v>
      </c>
      <c r="E180" s="153"/>
      <c r="F180" s="153"/>
      <c r="G180" s="166">
        <v>0</v>
      </c>
      <c r="H180" s="153"/>
      <c r="I180" s="153"/>
      <c r="J180" s="166">
        <f t="shared" si="21"/>
        <v>0</v>
      </c>
      <c r="K180" s="153"/>
      <c r="L180" s="177">
        <f>J180</f>
        <v>0</v>
      </c>
      <c r="M180" s="177">
        <f>L180-J180</f>
        <v>0</v>
      </c>
      <c r="N180" s="72">
        <v>0</v>
      </c>
    </row>
    <row r="181" spans="1:21" x14ac:dyDescent="0.2">
      <c r="A181" s="175">
        <f t="shared" si="20"/>
        <v>161</v>
      </c>
      <c r="B181" s="153"/>
      <c r="C181" s="169"/>
      <c r="D181" s="153" t="s">
        <v>24</v>
      </c>
      <c r="E181" s="153"/>
      <c r="F181" s="153"/>
      <c r="G181" s="166">
        <v>0</v>
      </c>
      <c r="H181" s="153"/>
      <c r="I181" s="153"/>
      <c r="J181" s="166">
        <f t="shared" si="21"/>
        <v>0</v>
      </c>
      <c r="K181" s="153"/>
      <c r="L181" s="177">
        <f>J181</f>
        <v>0</v>
      </c>
      <c r="M181" s="177"/>
      <c r="N181" s="72"/>
    </row>
    <row r="182" spans="1:21" x14ac:dyDescent="0.2">
      <c r="A182" s="175">
        <f>A181+1</f>
        <v>162</v>
      </c>
      <c r="B182" s="153"/>
      <c r="C182" s="169"/>
      <c r="D182" s="160" t="s">
        <v>5</v>
      </c>
      <c r="E182" s="160"/>
      <c r="F182" s="160"/>
      <c r="G182" s="181">
        <f>SUM(G178:G181)</f>
        <v>14400.939999999999</v>
      </c>
      <c r="H182" s="160"/>
      <c r="I182" s="160"/>
      <c r="J182" s="181">
        <f>SUM(J178:J181)</f>
        <v>10514.45995</v>
      </c>
      <c r="K182" s="160"/>
      <c r="L182" s="181">
        <f>SUM(L178:L181)</f>
        <v>10514.45995</v>
      </c>
      <c r="M182" s="181">
        <f>L182-J182</f>
        <v>0</v>
      </c>
      <c r="N182" s="182">
        <f>M182/J182</f>
        <v>0</v>
      </c>
    </row>
    <row r="183" spans="1:21" s="5" customFormat="1" ht="26.45" customHeight="1" thickBot="1" x14ac:dyDescent="0.25">
      <c r="A183" s="175">
        <f t="shared" si="20"/>
        <v>163</v>
      </c>
      <c r="B183" s="162"/>
      <c r="C183" s="178"/>
      <c r="D183" s="161" t="s">
        <v>14</v>
      </c>
      <c r="E183" s="161"/>
      <c r="F183" s="161"/>
      <c r="G183" s="183">
        <f>G182+G177</f>
        <v>32994.385316</v>
      </c>
      <c r="H183" s="161"/>
      <c r="I183" s="161"/>
      <c r="J183" s="183">
        <f>J182+J177</f>
        <v>77513.305362000014</v>
      </c>
      <c r="K183" s="161"/>
      <c r="L183" s="184">
        <f>L182+L177</f>
        <v>77513.305362000014</v>
      </c>
      <c r="M183" s="184">
        <f>L183-J183</f>
        <v>0</v>
      </c>
      <c r="N183" s="185">
        <f>M183/J183</f>
        <v>0</v>
      </c>
      <c r="R183" s="2"/>
      <c r="S183" s="2"/>
    </row>
    <row r="184" spans="1:21" ht="14.25" thickTop="1" thickBot="1" x14ac:dyDescent="0.25">
      <c r="A184" s="175">
        <f t="shared" si="20"/>
        <v>164</v>
      </c>
      <c r="B184" s="153"/>
      <c r="C184" s="169"/>
      <c r="D184" s="153"/>
      <c r="E184" s="153"/>
      <c r="F184" s="153"/>
      <c r="G184" s="153"/>
      <c r="H184" s="153"/>
      <c r="I184" s="153"/>
      <c r="J184" s="153"/>
      <c r="K184" s="153"/>
      <c r="L184" s="153"/>
      <c r="M184" s="153"/>
      <c r="N184" s="153"/>
    </row>
    <row r="185" spans="1:21" x14ac:dyDescent="0.2">
      <c r="A185" s="175">
        <f>A184+1</f>
        <v>165</v>
      </c>
      <c r="B185" s="157" t="s">
        <v>141</v>
      </c>
      <c r="C185" s="176" t="s">
        <v>101</v>
      </c>
      <c r="D185" s="157"/>
      <c r="E185" s="157"/>
      <c r="F185" s="157"/>
      <c r="G185" s="157"/>
      <c r="H185" s="157"/>
      <c r="I185" s="157"/>
      <c r="J185" s="157"/>
      <c r="K185" s="157"/>
      <c r="L185" s="157"/>
      <c r="M185" s="157"/>
      <c r="N185" s="157"/>
    </row>
    <row r="186" spans="1:21" x14ac:dyDescent="0.2">
      <c r="A186" s="175">
        <f t="shared" si="12"/>
        <v>166</v>
      </c>
      <c r="B186" s="165"/>
      <c r="C186" s="166"/>
      <c r="D186" s="153" t="s">
        <v>34</v>
      </c>
      <c r="E186" s="76">
        <v>24095</v>
      </c>
      <c r="F186" s="72">
        <v>10.35</v>
      </c>
      <c r="G186" s="177">
        <f>F186*E186</f>
        <v>249383.25</v>
      </c>
      <c r="H186" s="76">
        <f>E186</f>
        <v>24095</v>
      </c>
      <c r="I186" s="72">
        <v>11.18</v>
      </c>
      <c r="J186" s="177">
        <f>I186*H186</f>
        <v>269382.09999999998</v>
      </c>
      <c r="K186" s="72">
        <f>ROUND(I186*O186,2)</f>
        <v>11.18</v>
      </c>
      <c r="L186" s="177">
        <f>K186*H186</f>
        <v>269382.09999999998</v>
      </c>
      <c r="M186" s="177">
        <f t="shared" ref="M186:M199" si="22">L186-J186</f>
        <v>0</v>
      </c>
      <c r="N186" s="142">
        <f t="shared" ref="N186:N199" si="23">IF(J186=0,0,M186/J186)</f>
        <v>0</v>
      </c>
      <c r="O186" s="81">
        <v>1</v>
      </c>
      <c r="P186" s="4">
        <f t="shared" ref="P186:P199" si="24">K186/I186-1</f>
        <v>0</v>
      </c>
      <c r="S186" s="75">
        <f>I186-F186</f>
        <v>0.83000000000000007</v>
      </c>
      <c r="U186" s="2">
        <v>1.0944</v>
      </c>
    </row>
    <row r="187" spans="1:21" x14ac:dyDescent="0.2">
      <c r="A187" s="175">
        <f t="shared" si="12"/>
        <v>167</v>
      </c>
      <c r="B187" s="165"/>
      <c r="C187" s="166"/>
      <c r="D187" s="153" t="s">
        <v>35</v>
      </c>
      <c r="E187" s="76">
        <v>592</v>
      </c>
      <c r="F187" s="72">
        <v>3.45</v>
      </c>
      <c r="G187" s="177">
        <f t="shared" ref="G187:G199" si="25">F187*E187</f>
        <v>2042.4</v>
      </c>
      <c r="H187" s="76">
        <f t="shared" ref="H187:H199" si="26">E187</f>
        <v>592</v>
      </c>
      <c r="I187" s="72">
        <v>4.28</v>
      </c>
      <c r="J187" s="177">
        <f t="shared" ref="J187:J199" si="27">I187*H187</f>
        <v>2533.7600000000002</v>
      </c>
      <c r="K187" s="72">
        <f t="shared" ref="K187:K199" si="28">ROUND(I187*O187,2)</f>
        <v>4.28</v>
      </c>
      <c r="L187" s="177">
        <f t="shared" ref="L187:L199" si="29">K187*H187</f>
        <v>2533.7600000000002</v>
      </c>
      <c r="M187" s="177">
        <f t="shared" si="22"/>
        <v>0</v>
      </c>
      <c r="N187" s="142">
        <f t="shared" si="23"/>
        <v>0</v>
      </c>
      <c r="O187" s="80">
        <f>O186</f>
        <v>1</v>
      </c>
      <c r="P187" s="4">
        <f t="shared" si="24"/>
        <v>0</v>
      </c>
      <c r="S187" s="75">
        <f t="shared" ref="S187:S199" si="30">I187-F187</f>
        <v>0.83000000000000007</v>
      </c>
    </row>
    <row r="188" spans="1:21" x14ac:dyDescent="0.2">
      <c r="A188" s="175">
        <f t="shared" si="12"/>
        <v>168</v>
      </c>
      <c r="B188" s="165"/>
      <c r="C188" s="166"/>
      <c r="D188" s="153" t="s">
        <v>36</v>
      </c>
      <c r="E188" s="76">
        <v>168</v>
      </c>
      <c r="F188" s="72">
        <v>11.77</v>
      </c>
      <c r="G188" s="177">
        <f t="shared" si="25"/>
        <v>1977.36</v>
      </c>
      <c r="H188" s="76">
        <f t="shared" si="26"/>
        <v>168</v>
      </c>
      <c r="I188" s="72">
        <v>12.93</v>
      </c>
      <c r="J188" s="177">
        <f t="shared" si="27"/>
        <v>2172.2399999999998</v>
      </c>
      <c r="K188" s="72">
        <f t="shared" si="28"/>
        <v>12.93</v>
      </c>
      <c r="L188" s="177">
        <f t="shared" si="29"/>
        <v>2172.2399999999998</v>
      </c>
      <c r="M188" s="177">
        <f t="shared" si="22"/>
        <v>0</v>
      </c>
      <c r="N188" s="142">
        <f t="shared" si="23"/>
        <v>0</v>
      </c>
      <c r="O188" s="80">
        <f t="shared" ref="O188:O199" si="31">O187</f>
        <v>1</v>
      </c>
      <c r="P188" s="4">
        <f t="shared" si="24"/>
        <v>0</v>
      </c>
      <c r="S188" s="75">
        <f t="shared" si="30"/>
        <v>1.1600000000000001</v>
      </c>
    </row>
    <row r="189" spans="1:21" x14ac:dyDescent="0.2">
      <c r="A189" s="175">
        <f t="shared" si="12"/>
        <v>169</v>
      </c>
      <c r="B189" s="165"/>
      <c r="C189" s="166"/>
      <c r="D189" s="153" t="s">
        <v>37</v>
      </c>
      <c r="E189" s="76">
        <v>180</v>
      </c>
      <c r="F189" s="72">
        <v>17.88</v>
      </c>
      <c r="G189" s="177">
        <f t="shared" si="25"/>
        <v>3218.3999999999996</v>
      </c>
      <c r="H189" s="76">
        <f t="shared" si="26"/>
        <v>180</v>
      </c>
      <c r="I189" s="72">
        <v>19.73</v>
      </c>
      <c r="J189" s="177">
        <f t="shared" si="27"/>
        <v>3551.4</v>
      </c>
      <c r="K189" s="72">
        <f t="shared" si="28"/>
        <v>19.73</v>
      </c>
      <c r="L189" s="177">
        <f t="shared" si="29"/>
        <v>3551.4</v>
      </c>
      <c r="M189" s="177">
        <f t="shared" si="22"/>
        <v>0</v>
      </c>
      <c r="N189" s="142">
        <f t="shared" si="23"/>
        <v>0</v>
      </c>
      <c r="O189" s="80">
        <f t="shared" si="31"/>
        <v>1</v>
      </c>
      <c r="P189" s="4">
        <f t="shared" si="24"/>
        <v>0</v>
      </c>
      <c r="S189" s="75">
        <f t="shared" si="30"/>
        <v>1.8500000000000014</v>
      </c>
    </row>
    <row r="190" spans="1:21" x14ac:dyDescent="0.2">
      <c r="A190" s="175">
        <f t="shared" si="12"/>
        <v>170</v>
      </c>
      <c r="B190" s="165"/>
      <c r="C190" s="166"/>
      <c r="D190" s="153" t="s">
        <v>38</v>
      </c>
      <c r="E190" s="76">
        <v>36</v>
      </c>
      <c r="F190" s="72">
        <v>31.35</v>
      </c>
      <c r="G190" s="177">
        <f t="shared" si="25"/>
        <v>1128.6000000000001</v>
      </c>
      <c r="H190" s="76">
        <f t="shared" si="26"/>
        <v>36</v>
      </c>
      <c r="I190" s="72">
        <v>35.83</v>
      </c>
      <c r="J190" s="177">
        <f t="shared" si="27"/>
        <v>1289.8799999999999</v>
      </c>
      <c r="K190" s="72">
        <f t="shared" si="28"/>
        <v>35.83</v>
      </c>
      <c r="L190" s="177">
        <f t="shared" si="29"/>
        <v>1289.8799999999999</v>
      </c>
      <c r="M190" s="177">
        <f t="shared" si="22"/>
        <v>0</v>
      </c>
      <c r="N190" s="142">
        <f t="shared" si="23"/>
        <v>0</v>
      </c>
      <c r="O190" s="80">
        <f t="shared" si="31"/>
        <v>1</v>
      </c>
      <c r="P190" s="4">
        <f t="shared" si="24"/>
        <v>0</v>
      </c>
      <c r="S190" s="75">
        <f t="shared" si="30"/>
        <v>4.4799999999999969</v>
      </c>
    </row>
    <row r="191" spans="1:21" x14ac:dyDescent="0.2">
      <c r="A191" s="175">
        <f t="shared" si="12"/>
        <v>171</v>
      </c>
      <c r="B191" s="165"/>
      <c r="C191" s="166"/>
      <c r="D191" s="153" t="s">
        <v>33</v>
      </c>
      <c r="E191" s="76">
        <v>2212</v>
      </c>
      <c r="F191" s="72">
        <v>10.78</v>
      </c>
      <c r="G191" s="177">
        <f t="shared" si="25"/>
        <v>23845.359999999997</v>
      </c>
      <c r="H191" s="76">
        <f t="shared" si="26"/>
        <v>2212</v>
      </c>
      <c r="I191" s="72">
        <v>11.28</v>
      </c>
      <c r="J191" s="177">
        <f t="shared" si="27"/>
        <v>24951.359999999997</v>
      </c>
      <c r="K191" s="72">
        <f t="shared" si="28"/>
        <v>11.28</v>
      </c>
      <c r="L191" s="177">
        <f t="shared" si="29"/>
        <v>24951.359999999997</v>
      </c>
      <c r="M191" s="177">
        <f t="shared" si="22"/>
        <v>0</v>
      </c>
      <c r="N191" s="142">
        <f t="shared" si="23"/>
        <v>0</v>
      </c>
      <c r="O191" s="80">
        <f t="shared" si="31"/>
        <v>1</v>
      </c>
      <c r="P191" s="4">
        <f t="shared" si="24"/>
        <v>0</v>
      </c>
      <c r="S191" s="75">
        <f t="shared" si="30"/>
        <v>0.5</v>
      </c>
    </row>
    <row r="192" spans="1:21" x14ac:dyDescent="0.2">
      <c r="A192" s="175">
        <f t="shared" si="12"/>
        <v>172</v>
      </c>
      <c r="B192" s="165"/>
      <c r="C192" s="166"/>
      <c r="D192" s="153" t="s">
        <v>39</v>
      </c>
      <c r="E192" s="76">
        <v>12</v>
      </c>
      <c r="F192" s="72">
        <v>12.55</v>
      </c>
      <c r="G192" s="177">
        <f t="shared" si="25"/>
        <v>150.60000000000002</v>
      </c>
      <c r="H192" s="76">
        <f t="shared" si="26"/>
        <v>12</v>
      </c>
      <c r="I192" s="72">
        <v>13.3</v>
      </c>
      <c r="J192" s="177">
        <f t="shared" si="27"/>
        <v>159.60000000000002</v>
      </c>
      <c r="K192" s="72">
        <f t="shared" si="28"/>
        <v>13.3</v>
      </c>
      <c r="L192" s="177">
        <f t="shared" si="29"/>
        <v>159.60000000000002</v>
      </c>
      <c r="M192" s="177">
        <f t="shared" si="22"/>
        <v>0</v>
      </c>
      <c r="N192" s="142">
        <f t="shared" si="23"/>
        <v>0</v>
      </c>
      <c r="O192" s="80">
        <f t="shared" si="31"/>
        <v>1</v>
      </c>
      <c r="P192" s="4">
        <f t="shared" si="24"/>
        <v>0</v>
      </c>
      <c r="S192" s="75">
        <f t="shared" si="30"/>
        <v>0.75</v>
      </c>
    </row>
    <row r="193" spans="1:21" x14ac:dyDescent="0.2">
      <c r="A193" s="175">
        <f t="shared" si="12"/>
        <v>173</v>
      </c>
      <c r="B193" s="165"/>
      <c r="C193" s="166"/>
      <c r="D193" s="153" t="s">
        <v>40</v>
      </c>
      <c r="E193" s="76">
        <v>180</v>
      </c>
      <c r="F193" s="72">
        <v>17.02</v>
      </c>
      <c r="G193" s="177">
        <f t="shared" si="25"/>
        <v>3063.6</v>
      </c>
      <c r="H193" s="76">
        <f t="shared" si="26"/>
        <v>180</v>
      </c>
      <c r="I193" s="72">
        <v>18.260000000000002</v>
      </c>
      <c r="J193" s="177">
        <f t="shared" si="27"/>
        <v>3286.8</v>
      </c>
      <c r="K193" s="72">
        <f t="shared" si="28"/>
        <v>18.260000000000002</v>
      </c>
      <c r="L193" s="177">
        <f t="shared" si="29"/>
        <v>3286.8</v>
      </c>
      <c r="M193" s="177">
        <f t="shared" si="22"/>
        <v>0</v>
      </c>
      <c r="N193" s="142">
        <f t="shared" si="23"/>
        <v>0</v>
      </c>
      <c r="O193" s="80">
        <f t="shared" si="31"/>
        <v>1</v>
      </c>
      <c r="P193" s="4">
        <f t="shared" si="24"/>
        <v>0</v>
      </c>
      <c r="S193" s="75">
        <f t="shared" si="30"/>
        <v>1.240000000000002</v>
      </c>
    </row>
    <row r="194" spans="1:21" x14ac:dyDescent="0.2">
      <c r="A194" s="175">
        <f t="shared" si="12"/>
        <v>174</v>
      </c>
      <c r="B194" s="165"/>
      <c r="C194" s="166"/>
      <c r="D194" s="153" t="s">
        <v>41</v>
      </c>
      <c r="E194" s="76">
        <v>1059</v>
      </c>
      <c r="F194" s="72">
        <v>21.86</v>
      </c>
      <c r="G194" s="177">
        <f t="shared" si="25"/>
        <v>23149.739999999998</v>
      </c>
      <c r="H194" s="76">
        <f t="shared" si="26"/>
        <v>1059</v>
      </c>
      <c r="I194" s="72">
        <v>23.82</v>
      </c>
      <c r="J194" s="177">
        <f t="shared" si="27"/>
        <v>25225.38</v>
      </c>
      <c r="K194" s="72">
        <f t="shared" si="28"/>
        <v>23.82</v>
      </c>
      <c r="L194" s="177">
        <f t="shared" si="29"/>
        <v>25225.38</v>
      </c>
      <c r="M194" s="177">
        <f t="shared" si="22"/>
        <v>0</v>
      </c>
      <c r="N194" s="142">
        <f t="shared" si="23"/>
        <v>0</v>
      </c>
      <c r="O194" s="80">
        <f t="shared" si="31"/>
        <v>1</v>
      </c>
      <c r="P194" s="4">
        <f t="shared" si="24"/>
        <v>0</v>
      </c>
      <c r="S194" s="75">
        <f t="shared" si="30"/>
        <v>1.9600000000000009</v>
      </c>
    </row>
    <row r="195" spans="1:21" x14ac:dyDescent="0.2">
      <c r="A195" s="175"/>
      <c r="B195" s="165"/>
      <c r="C195" s="166"/>
      <c r="D195" s="153" t="s">
        <v>42</v>
      </c>
      <c r="E195" s="76">
        <v>0</v>
      </c>
      <c r="F195" s="72">
        <v>47.29</v>
      </c>
      <c r="G195" s="177">
        <f t="shared" si="25"/>
        <v>0</v>
      </c>
      <c r="H195" s="76">
        <f t="shared" si="26"/>
        <v>0</v>
      </c>
      <c r="I195" s="72">
        <v>51.85</v>
      </c>
      <c r="J195" s="177">
        <f t="shared" si="27"/>
        <v>0</v>
      </c>
      <c r="K195" s="72">
        <f t="shared" si="28"/>
        <v>51.85</v>
      </c>
      <c r="L195" s="177">
        <f t="shared" si="29"/>
        <v>0</v>
      </c>
      <c r="M195" s="177">
        <f t="shared" si="22"/>
        <v>0</v>
      </c>
      <c r="N195" s="142">
        <f t="shared" si="23"/>
        <v>0</v>
      </c>
      <c r="O195" s="80">
        <f t="shared" si="31"/>
        <v>1</v>
      </c>
      <c r="P195" s="4">
        <f t="shared" si="24"/>
        <v>0</v>
      </c>
      <c r="S195" s="75">
        <f t="shared" si="30"/>
        <v>4.5600000000000023</v>
      </c>
    </row>
    <row r="196" spans="1:21" x14ac:dyDescent="0.2">
      <c r="A196" s="175">
        <f>A194+1</f>
        <v>175</v>
      </c>
      <c r="B196" s="165"/>
      <c r="C196" s="166"/>
      <c r="D196" s="153" t="s">
        <v>43</v>
      </c>
      <c r="E196" s="76">
        <v>62645</v>
      </c>
      <c r="F196" s="72">
        <v>10.71</v>
      </c>
      <c r="G196" s="177">
        <f t="shared" si="25"/>
        <v>670927.95000000007</v>
      </c>
      <c r="H196" s="76">
        <f t="shared" si="26"/>
        <v>62645</v>
      </c>
      <c r="I196" s="72">
        <v>11.03</v>
      </c>
      <c r="J196" s="177">
        <f t="shared" si="27"/>
        <v>690974.35</v>
      </c>
      <c r="K196" s="72">
        <f t="shared" si="28"/>
        <v>11.03</v>
      </c>
      <c r="L196" s="177">
        <f t="shared" si="29"/>
        <v>690974.35</v>
      </c>
      <c r="M196" s="177">
        <f t="shared" si="22"/>
        <v>0</v>
      </c>
      <c r="N196" s="142">
        <f t="shared" si="23"/>
        <v>0</v>
      </c>
      <c r="O196" s="80">
        <f t="shared" si="31"/>
        <v>1</v>
      </c>
      <c r="P196" s="4">
        <f t="shared" si="24"/>
        <v>0</v>
      </c>
      <c r="S196" s="75">
        <f t="shared" si="30"/>
        <v>0.31999999999999851</v>
      </c>
    </row>
    <row r="197" spans="1:21" x14ac:dyDescent="0.2">
      <c r="A197" s="175">
        <f t="shared" si="12"/>
        <v>176</v>
      </c>
      <c r="B197" s="165"/>
      <c r="C197" s="166"/>
      <c r="D197" s="153" t="s">
        <v>44</v>
      </c>
      <c r="E197" s="76">
        <v>687</v>
      </c>
      <c r="F197" s="72">
        <v>16.46</v>
      </c>
      <c r="G197" s="177">
        <f t="shared" si="25"/>
        <v>11308.02</v>
      </c>
      <c r="H197" s="76">
        <f t="shared" si="26"/>
        <v>687</v>
      </c>
      <c r="I197" s="72">
        <v>16.95</v>
      </c>
      <c r="J197" s="177">
        <f t="shared" si="27"/>
        <v>11644.65</v>
      </c>
      <c r="K197" s="72">
        <f t="shared" si="28"/>
        <v>16.95</v>
      </c>
      <c r="L197" s="177">
        <f t="shared" si="29"/>
        <v>11644.65</v>
      </c>
      <c r="M197" s="177">
        <f t="shared" si="22"/>
        <v>0</v>
      </c>
      <c r="N197" s="142">
        <f t="shared" si="23"/>
        <v>0</v>
      </c>
      <c r="O197" s="80">
        <f t="shared" si="31"/>
        <v>1</v>
      </c>
      <c r="P197" s="4">
        <f t="shared" si="24"/>
        <v>0</v>
      </c>
      <c r="S197" s="75">
        <f t="shared" si="30"/>
        <v>0.48999999999999844</v>
      </c>
    </row>
    <row r="198" spans="1:21" x14ac:dyDescent="0.2">
      <c r="A198" s="175">
        <f t="shared" si="12"/>
        <v>177</v>
      </c>
      <c r="B198" s="165"/>
      <c r="C198" s="166"/>
      <c r="D198" s="153" t="s">
        <v>45</v>
      </c>
      <c r="E198" s="76">
        <v>1735</v>
      </c>
      <c r="F198" s="72">
        <v>18.11</v>
      </c>
      <c r="G198" s="177">
        <f t="shared" si="25"/>
        <v>31420.85</v>
      </c>
      <c r="H198" s="76">
        <f t="shared" si="26"/>
        <v>1735</v>
      </c>
      <c r="I198" s="72">
        <v>18.79</v>
      </c>
      <c r="J198" s="177">
        <f t="shared" si="27"/>
        <v>32600.649999999998</v>
      </c>
      <c r="K198" s="72">
        <f t="shared" si="28"/>
        <v>18.79</v>
      </c>
      <c r="L198" s="177">
        <f t="shared" si="29"/>
        <v>32600.649999999998</v>
      </c>
      <c r="M198" s="177">
        <f t="shared" si="22"/>
        <v>0</v>
      </c>
      <c r="N198" s="142">
        <f t="shared" si="23"/>
        <v>0</v>
      </c>
      <c r="O198" s="80">
        <f t="shared" si="31"/>
        <v>1</v>
      </c>
      <c r="P198" s="4">
        <f t="shared" si="24"/>
        <v>0</v>
      </c>
      <c r="S198" s="75">
        <f t="shared" si="30"/>
        <v>0.67999999999999972</v>
      </c>
    </row>
    <row r="199" spans="1:21" x14ac:dyDescent="0.2">
      <c r="A199" s="175">
        <f t="shared" si="12"/>
        <v>178</v>
      </c>
      <c r="B199" s="165"/>
      <c r="C199" s="166"/>
      <c r="D199" s="153" t="s">
        <v>46</v>
      </c>
      <c r="E199" s="76">
        <v>1581</v>
      </c>
      <c r="F199" s="72">
        <v>23.24</v>
      </c>
      <c r="G199" s="177">
        <f t="shared" si="25"/>
        <v>36742.439999999995</v>
      </c>
      <c r="H199" s="76">
        <f t="shared" si="26"/>
        <v>1581</v>
      </c>
      <c r="I199" s="72">
        <v>24.16</v>
      </c>
      <c r="J199" s="177">
        <f t="shared" si="27"/>
        <v>38196.959999999999</v>
      </c>
      <c r="K199" s="72">
        <f t="shared" si="28"/>
        <v>24.16</v>
      </c>
      <c r="L199" s="177">
        <f t="shared" si="29"/>
        <v>38196.959999999999</v>
      </c>
      <c r="M199" s="177">
        <f t="shared" si="22"/>
        <v>0</v>
      </c>
      <c r="N199" s="142">
        <f t="shared" si="23"/>
        <v>0</v>
      </c>
      <c r="O199" s="80">
        <f t="shared" si="31"/>
        <v>1</v>
      </c>
      <c r="P199" s="4">
        <f t="shared" si="24"/>
        <v>0</v>
      </c>
      <c r="S199" s="75">
        <f t="shared" si="30"/>
        <v>0.92000000000000171</v>
      </c>
    </row>
    <row r="200" spans="1:21" s="5" customFormat="1" ht="24.6" customHeight="1" x14ac:dyDescent="0.2">
      <c r="A200" s="175">
        <f t="shared" si="12"/>
        <v>179</v>
      </c>
      <c r="B200" s="162"/>
      <c r="C200" s="178"/>
      <c r="D200" s="159" t="s">
        <v>4</v>
      </c>
      <c r="E200" s="79"/>
      <c r="F200" s="159"/>
      <c r="G200" s="179">
        <f>SUM(G186:G199)</f>
        <v>1058358.57</v>
      </c>
      <c r="H200" s="79"/>
      <c r="I200" s="159"/>
      <c r="J200" s="179">
        <f>SUM(J186:J199)</f>
        <v>1105969.1299999999</v>
      </c>
      <c r="K200" s="159"/>
      <c r="L200" s="179">
        <f>SUM(L186:L199)</f>
        <v>1105969.1299999999</v>
      </c>
      <c r="M200" s="179">
        <f>SUM(M186:M199)</f>
        <v>0</v>
      </c>
      <c r="N200" s="180">
        <f>M200/J200</f>
        <v>0</v>
      </c>
      <c r="O200" s="52">
        <v>1</v>
      </c>
      <c r="R200" s="2"/>
    </row>
    <row r="201" spans="1:21" x14ac:dyDescent="0.2">
      <c r="A201" s="175">
        <f t="shared" ref="A201:A264" si="32">A200+1</f>
        <v>180</v>
      </c>
      <c r="B201" s="153"/>
      <c r="C201" s="169"/>
      <c r="D201" s="153" t="s">
        <v>18</v>
      </c>
      <c r="E201" s="153"/>
      <c r="F201" s="153"/>
      <c r="G201" s="166">
        <v>3160</v>
      </c>
      <c r="H201" s="153"/>
      <c r="I201" s="153"/>
      <c r="J201" s="166">
        <f>G201-(J200-G200)</f>
        <v>-44450.559999999823</v>
      </c>
      <c r="K201" s="153"/>
      <c r="L201" s="177">
        <f>J201</f>
        <v>-44450.559999999823</v>
      </c>
      <c r="M201" s="177">
        <f>L201-J201</f>
        <v>0</v>
      </c>
      <c r="N201" s="72">
        <v>0</v>
      </c>
    </row>
    <row r="202" spans="1:21" x14ac:dyDescent="0.2">
      <c r="A202" s="175">
        <f t="shared" si="32"/>
        <v>181</v>
      </c>
      <c r="B202" s="153"/>
      <c r="C202" s="169"/>
      <c r="D202" s="153" t="s">
        <v>19</v>
      </c>
      <c r="E202" s="153"/>
      <c r="F202" s="153"/>
      <c r="G202" s="166">
        <v>15426</v>
      </c>
      <c r="H202" s="153"/>
      <c r="I202" s="153"/>
      <c r="J202" s="166">
        <f t="shared" ref="J202:J204" si="33">G202</f>
        <v>15426</v>
      </c>
      <c r="K202" s="153"/>
      <c r="L202" s="177">
        <f>J202</f>
        <v>15426</v>
      </c>
      <c r="M202" s="177">
        <f>L202-J202</f>
        <v>0</v>
      </c>
      <c r="N202" s="72">
        <v>0</v>
      </c>
    </row>
    <row r="203" spans="1:21" x14ac:dyDescent="0.2">
      <c r="A203" s="175">
        <f t="shared" si="32"/>
        <v>182</v>
      </c>
      <c r="B203" s="153"/>
      <c r="C203" s="169"/>
      <c r="D203" s="153" t="s">
        <v>21</v>
      </c>
      <c r="E203" s="153"/>
      <c r="F203" s="153"/>
      <c r="G203" s="166"/>
      <c r="H203" s="153"/>
      <c r="I203" s="153"/>
      <c r="J203" s="166">
        <f t="shared" si="33"/>
        <v>0</v>
      </c>
      <c r="K203" s="153"/>
      <c r="L203" s="177">
        <f>J203</f>
        <v>0</v>
      </c>
      <c r="M203" s="177">
        <f>L203-J203</f>
        <v>0</v>
      </c>
      <c r="N203" s="72">
        <v>0</v>
      </c>
    </row>
    <row r="204" spans="1:21" x14ac:dyDescent="0.2">
      <c r="A204" s="175">
        <f t="shared" si="32"/>
        <v>183</v>
      </c>
      <c r="B204" s="153"/>
      <c r="C204" s="169"/>
      <c r="D204" s="153" t="s">
        <v>24</v>
      </c>
      <c r="E204" s="153"/>
      <c r="F204" s="153"/>
      <c r="G204" s="166"/>
      <c r="H204" s="153"/>
      <c r="I204" s="153"/>
      <c r="J204" s="166">
        <f t="shared" si="33"/>
        <v>0</v>
      </c>
      <c r="K204" s="153"/>
      <c r="L204" s="177"/>
      <c r="M204" s="177"/>
      <c r="N204" s="72"/>
    </row>
    <row r="205" spans="1:21" x14ac:dyDescent="0.2">
      <c r="A205" s="175">
        <f t="shared" si="32"/>
        <v>184</v>
      </c>
      <c r="B205" s="153"/>
      <c r="C205" s="169"/>
      <c r="D205" s="160" t="s">
        <v>5</v>
      </c>
      <c r="E205" s="160"/>
      <c r="F205" s="160"/>
      <c r="G205" s="181">
        <f>SUM(G201:G203)</f>
        <v>18586</v>
      </c>
      <c r="H205" s="160"/>
      <c r="I205" s="160"/>
      <c r="J205" s="181">
        <f>SUM(J201:J203)</f>
        <v>-29024.559999999823</v>
      </c>
      <c r="K205" s="160"/>
      <c r="L205" s="181">
        <f>SUM(L201:L203)</f>
        <v>-29024.559999999823</v>
      </c>
      <c r="M205" s="181">
        <f>L205-J205</f>
        <v>0</v>
      </c>
      <c r="N205" s="182">
        <f>M205/J205</f>
        <v>0</v>
      </c>
    </row>
    <row r="206" spans="1:21" s="5" customFormat="1" ht="26.45" customHeight="1" thickBot="1" x14ac:dyDescent="0.3">
      <c r="A206" s="175">
        <f t="shared" si="32"/>
        <v>185</v>
      </c>
      <c r="B206" s="162"/>
      <c r="C206" s="178"/>
      <c r="D206" s="161" t="s">
        <v>14</v>
      </c>
      <c r="E206" s="161"/>
      <c r="F206" s="161"/>
      <c r="G206" s="183">
        <f>G205+G200</f>
        <v>1076944.57</v>
      </c>
      <c r="H206" s="161"/>
      <c r="I206" s="161"/>
      <c r="J206" s="183">
        <f>J205+J200</f>
        <v>1076944.57</v>
      </c>
      <c r="K206" s="161"/>
      <c r="L206" s="184">
        <f>L205+L200</f>
        <v>1076944.57</v>
      </c>
      <c r="M206" s="184">
        <f>L206-J206</f>
        <v>0</v>
      </c>
      <c r="N206" s="185">
        <f>M206/J206</f>
        <v>0</v>
      </c>
    </row>
    <row r="207" spans="1:21" ht="13.5" thickTop="1" x14ac:dyDescent="0.2">
      <c r="A207" s="175">
        <f t="shared" si="32"/>
        <v>186</v>
      </c>
      <c r="B207" s="153"/>
      <c r="C207" s="169"/>
      <c r="D207" s="153"/>
      <c r="E207" s="153"/>
      <c r="F207" s="153"/>
      <c r="G207" s="186"/>
      <c r="H207" s="153"/>
      <c r="I207" s="153"/>
      <c r="J207" s="186"/>
      <c r="K207" s="153"/>
      <c r="L207" s="186"/>
      <c r="M207" s="186"/>
      <c r="N207" s="142"/>
      <c r="T207" s="5"/>
      <c r="U207" s="5"/>
    </row>
    <row r="208" spans="1:21" ht="13.5" thickBot="1" x14ac:dyDescent="0.25">
      <c r="A208" s="175">
        <f t="shared" si="32"/>
        <v>187</v>
      </c>
      <c r="B208" s="153"/>
      <c r="C208" s="169"/>
      <c r="D208" s="153"/>
      <c r="E208" s="153"/>
      <c r="F208" s="153"/>
      <c r="G208" s="153"/>
      <c r="H208" s="153"/>
      <c r="I208" s="153"/>
      <c r="J208" s="153"/>
      <c r="K208" s="153"/>
      <c r="L208" s="153"/>
      <c r="M208" s="153"/>
      <c r="N208" s="153"/>
    </row>
    <row r="209" spans="1:16" ht="13.5" thickTop="1" x14ac:dyDescent="0.2">
      <c r="A209" s="175">
        <f t="shared" si="32"/>
        <v>188</v>
      </c>
      <c r="B209" s="167"/>
      <c r="C209" s="191"/>
      <c r="D209" s="167"/>
      <c r="E209" s="167"/>
      <c r="F209" s="167"/>
      <c r="G209" s="167"/>
      <c r="H209" s="167"/>
      <c r="I209" s="167"/>
      <c r="J209" s="167"/>
      <c r="K209" s="167"/>
      <c r="L209" s="167"/>
      <c r="M209" s="167"/>
      <c r="N209" s="167"/>
    </row>
    <row r="210" spans="1:16" s="5" customFormat="1" ht="19.899999999999999" customHeight="1" x14ac:dyDescent="0.25">
      <c r="A210" s="175">
        <f t="shared" si="32"/>
        <v>189</v>
      </c>
      <c r="B210" s="162" t="s">
        <v>20</v>
      </c>
      <c r="C210" s="178"/>
      <c r="D210" s="159" t="s">
        <v>4</v>
      </c>
      <c r="E210" s="159"/>
      <c r="F210" s="192"/>
      <c r="G210" s="192">
        <f>G10+G23+G35+G47+G59+G72+G85+G98+G111+G124+G138+G152+G166+G200+G177</f>
        <v>49448427.029826008</v>
      </c>
      <c r="H210" s="159"/>
      <c r="I210" s="192"/>
      <c r="J210" s="192">
        <f>J10+J23+J35+J47+J59+J72+J85+J98+J111+J124+J138+J152+J166+J200+J177</f>
        <v>55590456.038988009</v>
      </c>
      <c r="K210" s="159"/>
      <c r="L210" s="192">
        <f>L10+L23+L35+L47+L59+L72+L85+L98+L111+L124+L138+L152+L166+L200+L177</f>
        <v>57956278.035595015</v>
      </c>
      <c r="M210" s="192">
        <f>L210-J210</f>
        <v>2365821.9966070056</v>
      </c>
      <c r="N210" s="180">
        <f>M210/J210</f>
        <v>4.2558060594929309E-2</v>
      </c>
    </row>
    <row r="211" spans="1:16" x14ac:dyDescent="0.2">
      <c r="A211" s="175">
        <f t="shared" si="32"/>
        <v>190</v>
      </c>
      <c r="B211" s="153"/>
      <c r="C211" s="169"/>
      <c r="D211" s="153" t="s">
        <v>18</v>
      </c>
      <c r="E211" s="153"/>
      <c r="F211" s="166"/>
      <c r="G211" s="166">
        <f t="shared" ref="G211:G214" si="34">G11+G24+G36+G48+G60+G73+G86+G99+G112+G125+G139+G153+G167+G201+G178</f>
        <v>3470648.34</v>
      </c>
      <c r="H211" s="153"/>
      <c r="I211" s="166"/>
      <c r="J211" s="166">
        <f t="shared" ref="J211:J214" si="35">J11+J24+J36+J48+J60+J73+J86+J99+J112+J125+J139+J153+J167+J201+J178</f>
        <v>-2318864.5164499995</v>
      </c>
      <c r="K211" s="153"/>
      <c r="L211" s="166">
        <f t="shared" ref="L211:L214" si="36">L11+L24+L36+L48+L60+L73+L86+L99+L112+L125+L139+L153+L167+L201+L178</f>
        <v>-2318864.5164499995</v>
      </c>
      <c r="M211" s="166">
        <f t="shared" ref="M211:M216" si="37">L211-J211</f>
        <v>0</v>
      </c>
      <c r="N211" s="153"/>
    </row>
    <row r="212" spans="1:16" x14ac:dyDescent="0.2">
      <c r="A212" s="175">
        <f t="shared" si="32"/>
        <v>191</v>
      </c>
      <c r="B212" s="153"/>
      <c r="C212" s="169"/>
      <c r="D212" s="153" t="s">
        <v>19</v>
      </c>
      <c r="E212" s="153"/>
      <c r="F212" s="166"/>
      <c r="G212" s="166">
        <f t="shared" si="34"/>
        <v>6777330.7299999995</v>
      </c>
      <c r="H212" s="153"/>
      <c r="I212" s="166"/>
      <c r="J212" s="166">
        <f t="shared" si="35"/>
        <v>6777330.7300000004</v>
      </c>
      <c r="K212" s="153"/>
      <c r="L212" s="166">
        <f t="shared" si="36"/>
        <v>6777330.7300000004</v>
      </c>
      <c r="M212" s="166">
        <f t="shared" si="37"/>
        <v>0</v>
      </c>
      <c r="N212" s="153"/>
    </row>
    <row r="213" spans="1:16" x14ac:dyDescent="0.2">
      <c r="A213" s="175">
        <f t="shared" si="32"/>
        <v>192</v>
      </c>
      <c r="B213" s="153"/>
      <c r="C213" s="169"/>
      <c r="D213" s="153" t="s">
        <v>21</v>
      </c>
      <c r="E213" s="153"/>
      <c r="F213" s="166"/>
      <c r="G213" s="166">
        <f t="shared" si="34"/>
        <v>0</v>
      </c>
      <c r="H213" s="153"/>
      <c r="I213" s="166"/>
      <c r="J213" s="166">
        <f t="shared" si="35"/>
        <v>0</v>
      </c>
      <c r="K213" s="153"/>
      <c r="L213" s="166">
        <f t="shared" si="36"/>
        <v>0</v>
      </c>
      <c r="M213" s="166">
        <f t="shared" si="37"/>
        <v>0</v>
      </c>
      <c r="N213" s="153"/>
    </row>
    <row r="214" spans="1:16" x14ac:dyDescent="0.2">
      <c r="A214" s="175">
        <f t="shared" si="32"/>
        <v>193</v>
      </c>
      <c r="B214" s="153"/>
      <c r="C214" s="169"/>
      <c r="D214" s="153" t="s">
        <v>24</v>
      </c>
      <c r="E214" s="153"/>
      <c r="F214" s="153"/>
      <c r="G214" s="166">
        <f t="shared" si="34"/>
        <v>61975.020000000004</v>
      </c>
      <c r="H214" s="153"/>
      <c r="I214" s="153"/>
      <c r="J214" s="166">
        <f t="shared" si="35"/>
        <v>61975.020000000004</v>
      </c>
      <c r="K214" s="153"/>
      <c r="L214" s="166">
        <f t="shared" si="36"/>
        <v>61975.020000000004</v>
      </c>
      <c r="M214" s="166">
        <f t="shared" si="37"/>
        <v>0</v>
      </c>
      <c r="N214" s="72"/>
    </row>
    <row r="215" spans="1:16" x14ac:dyDescent="0.2">
      <c r="A215" s="175">
        <f t="shared" si="32"/>
        <v>194</v>
      </c>
      <c r="B215" s="153"/>
      <c r="C215" s="169"/>
      <c r="D215" s="160" t="s">
        <v>5</v>
      </c>
      <c r="E215" s="160"/>
      <c r="F215" s="193"/>
      <c r="G215" s="193">
        <f>SUM(G211:G214)</f>
        <v>10309954.09</v>
      </c>
      <c r="H215" s="160"/>
      <c r="I215" s="193"/>
      <c r="J215" s="193">
        <f>SUM(J211:J214)</f>
        <v>4520441.2335500009</v>
      </c>
      <c r="K215" s="160"/>
      <c r="L215" s="193">
        <f>SUM(L211:L214)</f>
        <v>4520441.2335500009</v>
      </c>
      <c r="M215" s="193">
        <f t="shared" si="37"/>
        <v>0</v>
      </c>
      <c r="N215" s="160"/>
    </row>
    <row r="216" spans="1:16" s="5" customFormat="1" ht="21" customHeight="1" thickBot="1" x14ac:dyDescent="0.3">
      <c r="A216" s="175">
        <f t="shared" si="32"/>
        <v>195</v>
      </c>
      <c r="B216" s="162"/>
      <c r="C216" s="178"/>
      <c r="D216" s="161" t="s">
        <v>14</v>
      </c>
      <c r="E216" s="161"/>
      <c r="F216" s="183"/>
      <c r="G216" s="183">
        <f>G215+G210</f>
        <v>59758381.119826004</v>
      </c>
      <c r="H216" s="161"/>
      <c r="I216" s="183"/>
      <c r="J216" s="183">
        <f>J215+J210</f>
        <v>60110897.272538006</v>
      </c>
      <c r="K216" s="161"/>
      <c r="L216" s="183">
        <f>L215+L210</f>
        <v>62476719.269145012</v>
      </c>
      <c r="M216" s="183">
        <f t="shared" si="37"/>
        <v>2365821.9966070056</v>
      </c>
      <c r="N216" s="185">
        <f>M216/J216</f>
        <v>3.9357622393832482E-2</v>
      </c>
    </row>
    <row r="217" spans="1:16" ht="13.5" thickTop="1" x14ac:dyDescent="0.2">
      <c r="A217" s="175">
        <f t="shared" si="32"/>
        <v>196</v>
      </c>
      <c r="B217" s="153"/>
      <c r="C217" s="169"/>
      <c r="D217" s="153"/>
      <c r="E217" s="153"/>
      <c r="F217" s="153"/>
      <c r="G217" s="153"/>
      <c r="H217" s="153"/>
      <c r="I217" s="153"/>
      <c r="J217" s="153"/>
      <c r="K217" s="153"/>
      <c r="L217" s="153"/>
      <c r="M217" s="153"/>
      <c r="N217" s="153"/>
    </row>
    <row r="218" spans="1:16" x14ac:dyDescent="0.2">
      <c r="A218" s="175">
        <f t="shared" si="32"/>
        <v>197</v>
      </c>
      <c r="B218" s="153"/>
      <c r="C218" s="169"/>
      <c r="D218" s="153"/>
      <c r="E218" s="153"/>
      <c r="F218" s="153"/>
      <c r="G218" s="153"/>
      <c r="H218" s="153"/>
      <c r="I218" s="153"/>
      <c r="J218" s="153"/>
      <c r="K218" s="153"/>
      <c r="L218" s="153" t="s">
        <v>81</v>
      </c>
      <c r="M218" s="194">
        <f>Summary!F23</f>
        <v>2365836.5641139122</v>
      </c>
      <c r="N218" s="153"/>
    </row>
    <row r="219" spans="1:16" x14ac:dyDescent="0.2">
      <c r="A219" s="175">
        <f t="shared" si="32"/>
        <v>198</v>
      </c>
      <c r="B219" s="153"/>
      <c r="C219" s="169"/>
      <c r="D219" s="153"/>
      <c r="E219" s="153"/>
      <c r="F219" s="153"/>
      <c r="G219" s="153"/>
      <c r="H219" s="153"/>
      <c r="I219" s="153"/>
      <c r="J219" s="153"/>
      <c r="K219" s="153"/>
      <c r="L219" s="153" t="s">
        <v>79</v>
      </c>
      <c r="M219" s="166">
        <f>M216-M218</f>
        <v>-14.567506906576455</v>
      </c>
      <c r="N219" s="153"/>
    </row>
    <row r="220" spans="1:16" hidden="1" x14ac:dyDescent="0.2">
      <c r="A220" s="60">
        <f t="shared" si="32"/>
        <v>199</v>
      </c>
      <c r="B220" s="62" t="s">
        <v>56</v>
      </c>
      <c r="H220" s="153"/>
      <c r="I220" s="152"/>
      <c r="M220" s="56"/>
    </row>
    <row r="221" spans="1:16" hidden="1" x14ac:dyDescent="0.2">
      <c r="A221" s="60">
        <f t="shared" si="32"/>
        <v>200</v>
      </c>
      <c r="D221" s="33"/>
      <c r="E221" s="33"/>
      <c r="H221" s="169"/>
      <c r="I221" s="152"/>
    </row>
    <row r="222" spans="1:16" hidden="1" x14ac:dyDescent="0.2">
      <c r="A222" s="60">
        <f t="shared" si="32"/>
        <v>201</v>
      </c>
      <c r="B222" s="55" t="s">
        <v>61</v>
      </c>
      <c r="C222" s="61" t="s">
        <v>62</v>
      </c>
      <c r="D222" s="55"/>
      <c r="E222" s="55"/>
      <c r="F222" s="55"/>
      <c r="G222" s="55"/>
      <c r="H222" s="157"/>
      <c r="I222" s="156"/>
      <c r="J222" s="55"/>
      <c r="K222" s="55"/>
      <c r="L222" s="55"/>
      <c r="M222" s="55"/>
      <c r="N222" s="55"/>
    </row>
    <row r="223" spans="1:16" ht="12.6" hidden="1" customHeight="1" x14ac:dyDescent="0.2">
      <c r="A223" s="60">
        <f t="shared" si="32"/>
        <v>202</v>
      </c>
      <c r="D223" s="54" t="s">
        <v>12</v>
      </c>
      <c r="E223" s="49"/>
      <c r="F223" s="46">
        <v>1016</v>
      </c>
      <c r="G223" s="45"/>
      <c r="H223" s="76"/>
      <c r="I223" s="46">
        <v>1016</v>
      </c>
      <c r="J223" s="45"/>
      <c r="K223" s="46">
        <f>I223*O223</f>
        <v>1059.2389895644483</v>
      </c>
      <c r="L223" s="45"/>
      <c r="M223" s="45"/>
      <c r="N223" s="47"/>
      <c r="O223" s="37">
        <f>1+$N$210</f>
        <v>1.0425580605949294</v>
      </c>
      <c r="P223" s="4">
        <f>K223/I223-1</f>
        <v>4.2558060594929392E-2</v>
      </c>
    </row>
    <row r="224" spans="1:16" hidden="1" x14ac:dyDescent="0.2">
      <c r="A224" s="60">
        <f t="shared" si="32"/>
        <v>203</v>
      </c>
      <c r="D224" s="54" t="s">
        <v>31</v>
      </c>
      <c r="E224" s="49"/>
      <c r="F224" s="46">
        <v>7.77</v>
      </c>
      <c r="G224" s="45"/>
      <c r="H224" s="76"/>
      <c r="I224" s="46">
        <v>7.77</v>
      </c>
      <c r="J224" s="45"/>
      <c r="K224" s="46">
        <f>K109</f>
        <v>8.66</v>
      </c>
      <c r="L224" s="45"/>
      <c r="M224" s="45"/>
      <c r="N224" s="47"/>
      <c r="O224" s="37">
        <f t="shared" ref="O224:O225" si="38">1+$N$210</f>
        <v>1.0425580605949294</v>
      </c>
      <c r="P224" s="4">
        <f>K224/I224-1</f>
        <v>0.11454311454311461</v>
      </c>
    </row>
    <row r="225" spans="1:16" hidden="1" x14ac:dyDescent="0.2">
      <c r="A225" s="60">
        <f t="shared" si="32"/>
        <v>204</v>
      </c>
      <c r="D225" s="54" t="s">
        <v>28</v>
      </c>
      <c r="E225" s="49"/>
      <c r="F225" s="57">
        <v>5.3661E-2</v>
      </c>
      <c r="G225" s="45"/>
      <c r="H225" s="76"/>
      <c r="I225" s="158">
        <v>5.3661E-2</v>
      </c>
      <c r="J225" s="45"/>
      <c r="K225" s="57">
        <f>I225*O225</f>
        <v>5.5944708089584509E-2</v>
      </c>
      <c r="L225" s="45"/>
      <c r="M225" s="45"/>
      <c r="N225" s="47"/>
      <c r="O225" s="37">
        <f t="shared" si="38"/>
        <v>1.0425580605949294</v>
      </c>
      <c r="P225" s="4">
        <f>K225/I225-1</f>
        <v>4.2558060594929392E-2</v>
      </c>
    </row>
    <row r="226" spans="1:16" hidden="1" x14ac:dyDescent="0.2">
      <c r="A226" s="60">
        <f t="shared" si="32"/>
        <v>205</v>
      </c>
      <c r="B226" s="55" t="s">
        <v>63</v>
      </c>
      <c r="C226" s="61" t="s">
        <v>64</v>
      </c>
      <c r="D226" s="55"/>
      <c r="E226" s="55"/>
      <c r="F226" s="55"/>
      <c r="G226" s="55"/>
      <c r="H226" s="157"/>
      <c r="I226" s="156"/>
      <c r="J226" s="55"/>
      <c r="K226" s="55"/>
      <c r="L226" s="55"/>
      <c r="M226" s="55"/>
      <c r="N226" s="55"/>
    </row>
    <row r="227" spans="1:16" ht="12.6" hidden="1" customHeight="1" x14ac:dyDescent="0.2">
      <c r="A227" s="60">
        <f t="shared" si="32"/>
        <v>206</v>
      </c>
      <c r="D227" s="54" t="s">
        <v>12</v>
      </c>
      <c r="E227" s="49"/>
      <c r="F227" s="46">
        <v>2937</v>
      </c>
      <c r="G227" s="45"/>
      <c r="H227" s="76"/>
      <c r="I227" s="46">
        <v>2937</v>
      </c>
      <c r="J227" s="45"/>
      <c r="K227" s="46">
        <f>I227*O227</f>
        <v>3061.9930239673076</v>
      </c>
      <c r="L227" s="45"/>
      <c r="M227" s="45"/>
      <c r="N227" s="47"/>
      <c r="O227" s="37">
        <f>1+$N$210</f>
        <v>1.0425580605949294</v>
      </c>
      <c r="P227" s="4">
        <f>K227/I227-1</f>
        <v>4.2558060594929392E-2</v>
      </c>
    </row>
    <row r="228" spans="1:16" hidden="1" x14ac:dyDescent="0.2">
      <c r="A228" s="60">
        <f t="shared" si="32"/>
        <v>207</v>
      </c>
      <c r="D228" s="54" t="s">
        <v>31</v>
      </c>
      <c r="E228" s="49"/>
      <c r="F228" s="46">
        <v>7.77</v>
      </c>
      <c r="G228" s="45"/>
      <c r="H228" s="76"/>
      <c r="I228" s="46">
        <v>7.77</v>
      </c>
      <c r="J228" s="45"/>
      <c r="K228" s="46">
        <f>K224</f>
        <v>8.66</v>
      </c>
      <c r="L228" s="45"/>
      <c r="M228" s="45"/>
      <c r="N228" s="47"/>
      <c r="O228" s="37">
        <f t="shared" ref="O228:O229" si="39">1+$N$210</f>
        <v>1.0425580605949294</v>
      </c>
      <c r="P228" s="4">
        <f>K228/I228-1</f>
        <v>0.11454311454311461</v>
      </c>
    </row>
    <row r="229" spans="1:16" hidden="1" x14ac:dyDescent="0.2">
      <c r="A229" s="60">
        <f t="shared" si="32"/>
        <v>208</v>
      </c>
      <c r="D229" s="54" t="s">
        <v>28</v>
      </c>
      <c r="E229" s="49"/>
      <c r="F229" s="57">
        <v>5.0169999999999999E-2</v>
      </c>
      <c r="G229" s="45"/>
      <c r="H229" s="76"/>
      <c r="I229" s="158">
        <v>5.0169999999999999E-2</v>
      </c>
      <c r="J229" s="45"/>
      <c r="K229" s="57">
        <f>I229*O229</f>
        <v>5.2305137900047607E-2</v>
      </c>
      <c r="L229" s="45"/>
      <c r="M229" s="45"/>
      <c r="N229" s="47"/>
      <c r="O229" s="37">
        <f t="shared" si="39"/>
        <v>1.0425580605949294</v>
      </c>
      <c r="P229" s="4">
        <f>K229/I229-1</f>
        <v>4.2558060594929392E-2</v>
      </c>
    </row>
    <row r="230" spans="1:16" hidden="1" x14ac:dyDescent="0.2">
      <c r="A230" s="60">
        <f t="shared" si="32"/>
        <v>209</v>
      </c>
      <c r="B230" s="55" t="s">
        <v>61</v>
      </c>
      <c r="C230" s="61" t="s">
        <v>65</v>
      </c>
      <c r="D230" s="55"/>
      <c r="E230" s="55"/>
      <c r="F230" s="55"/>
      <c r="G230" s="55"/>
      <c r="H230" s="157"/>
      <c r="I230" s="156"/>
      <c r="J230" s="55"/>
      <c r="K230" s="55"/>
      <c r="L230" s="55"/>
      <c r="M230" s="55"/>
      <c r="N230" s="55"/>
    </row>
    <row r="231" spans="1:16" ht="12.6" hidden="1" customHeight="1" x14ac:dyDescent="0.2">
      <c r="A231" s="60">
        <f t="shared" si="32"/>
        <v>210</v>
      </c>
      <c r="D231" s="54" t="s">
        <v>12</v>
      </c>
      <c r="E231" s="49"/>
      <c r="F231" s="46">
        <v>3215</v>
      </c>
      <c r="G231" s="45"/>
      <c r="H231" s="76"/>
      <c r="I231" s="46">
        <v>3215</v>
      </c>
      <c r="J231" s="45"/>
      <c r="K231" s="46">
        <f>I231*O231</f>
        <v>3351.8241648126982</v>
      </c>
      <c r="L231" s="45"/>
      <c r="M231" s="45"/>
      <c r="N231" s="47"/>
      <c r="O231" s="37">
        <f>1+$N$210</f>
        <v>1.0425580605949294</v>
      </c>
      <c r="P231" s="4">
        <f>K231/I231-1</f>
        <v>4.2558060594929392E-2</v>
      </c>
    </row>
    <row r="232" spans="1:16" hidden="1" x14ac:dyDescent="0.2">
      <c r="A232" s="60">
        <f t="shared" si="32"/>
        <v>211</v>
      </c>
      <c r="D232" s="54" t="s">
        <v>31</v>
      </c>
      <c r="E232" s="49"/>
      <c r="F232" s="46">
        <v>7.77</v>
      </c>
      <c r="G232" s="45"/>
      <c r="H232" s="76"/>
      <c r="I232" s="46">
        <v>7.77</v>
      </c>
      <c r="J232" s="45"/>
      <c r="K232" s="46">
        <f>K224</f>
        <v>8.66</v>
      </c>
      <c r="L232" s="45"/>
      <c r="M232" s="45"/>
      <c r="N232" s="47"/>
      <c r="O232" s="37">
        <f t="shared" ref="O232:O233" si="40">1+$N$210</f>
        <v>1.0425580605949294</v>
      </c>
      <c r="P232" s="4">
        <f>K232/I232-1</f>
        <v>0.11454311454311461</v>
      </c>
    </row>
    <row r="233" spans="1:16" hidden="1" x14ac:dyDescent="0.2">
      <c r="A233" s="60">
        <f t="shared" si="32"/>
        <v>212</v>
      </c>
      <c r="D233" s="54" t="s">
        <v>28</v>
      </c>
      <c r="E233" s="49"/>
      <c r="F233" s="57">
        <v>4.7676000000000003E-2</v>
      </c>
      <c r="G233" s="45"/>
      <c r="H233" s="76"/>
      <c r="I233" s="158">
        <v>4.7676000000000003E-2</v>
      </c>
      <c r="J233" s="45"/>
      <c r="K233" s="57">
        <f>I233*O233</f>
        <v>4.9704998096923858E-2</v>
      </c>
      <c r="L233" s="45"/>
      <c r="M233" s="45"/>
      <c r="N233" s="47"/>
      <c r="O233" s="37">
        <f t="shared" si="40"/>
        <v>1.0425580605949294</v>
      </c>
      <c r="P233" s="4">
        <f>K233/I233-1</f>
        <v>4.2558060594929392E-2</v>
      </c>
    </row>
    <row r="234" spans="1:16" hidden="1" x14ac:dyDescent="0.2">
      <c r="A234" s="60">
        <f t="shared" si="32"/>
        <v>213</v>
      </c>
      <c r="B234" s="55" t="s">
        <v>61</v>
      </c>
      <c r="C234" s="61" t="s">
        <v>66</v>
      </c>
      <c r="D234" s="55"/>
      <c r="E234" s="55"/>
      <c r="F234" s="55"/>
      <c r="G234" s="55"/>
      <c r="H234" s="157"/>
      <c r="I234" s="156"/>
      <c r="J234" s="55"/>
      <c r="K234" s="55"/>
      <c r="L234" s="55"/>
      <c r="M234" s="55"/>
      <c r="N234" s="55"/>
    </row>
    <row r="235" spans="1:16" ht="12.6" hidden="1" customHeight="1" x14ac:dyDescent="0.2">
      <c r="A235" s="60">
        <f t="shared" si="32"/>
        <v>214</v>
      </c>
      <c r="D235" s="54" t="s">
        <v>12</v>
      </c>
      <c r="E235" s="49"/>
      <c r="F235" s="46">
        <v>4501</v>
      </c>
      <c r="G235" s="45"/>
      <c r="H235" s="76"/>
      <c r="I235" s="46">
        <v>4501</v>
      </c>
      <c r="J235" s="45"/>
      <c r="K235" s="46">
        <f>I235*O235</f>
        <v>4692.5538307377774</v>
      </c>
      <c r="L235" s="45"/>
      <c r="M235" s="45"/>
      <c r="N235" s="47"/>
      <c r="O235" s="37">
        <f>1+$N$210</f>
        <v>1.0425580605949294</v>
      </c>
      <c r="P235" s="4">
        <f>K235/I235-1</f>
        <v>4.2558060594929392E-2</v>
      </c>
    </row>
    <row r="236" spans="1:16" hidden="1" x14ac:dyDescent="0.2">
      <c r="A236" s="60">
        <f t="shared" si="32"/>
        <v>215</v>
      </c>
      <c r="D236" s="54" t="s">
        <v>31</v>
      </c>
      <c r="E236" s="49"/>
      <c r="F236" s="46">
        <v>7.77</v>
      </c>
      <c r="G236" s="45"/>
      <c r="H236" s="76"/>
      <c r="I236" s="46">
        <v>7.77</v>
      </c>
      <c r="J236" s="45"/>
      <c r="K236" s="46">
        <f>K224</f>
        <v>8.66</v>
      </c>
      <c r="L236" s="45"/>
      <c r="M236" s="45"/>
      <c r="N236" s="47"/>
      <c r="O236" s="37">
        <f t="shared" ref="O236:O237" si="41">1+$N$210</f>
        <v>1.0425580605949294</v>
      </c>
      <c r="P236" s="4">
        <f>K236/I236-1</f>
        <v>0.11454311454311461</v>
      </c>
    </row>
    <row r="237" spans="1:16" hidden="1" x14ac:dyDescent="0.2">
      <c r="A237" s="60">
        <f t="shared" si="32"/>
        <v>216</v>
      </c>
      <c r="D237" s="54" t="s">
        <v>28</v>
      </c>
      <c r="E237" s="49"/>
      <c r="F237" s="57">
        <v>4.5182E-2</v>
      </c>
      <c r="G237" s="45"/>
      <c r="H237" s="76"/>
      <c r="I237" s="158">
        <v>4.5182E-2</v>
      </c>
      <c r="J237" s="45"/>
      <c r="K237" s="57">
        <f>I237*O237</f>
        <v>4.7104858293800102E-2</v>
      </c>
      <c r="L237" s="45"/>
      <c r="M237" s="45"/>
      <c r="N237" s="47"/>
      <c r="O237" s="37">
        <f t="shared" si="41"/>
        <v>1.0425580605949294</v>
      </c>
      <c r="P237" s="4">
        <f>K237/I237-1</f>
        <v>4.2558060594929392E-2</v>
      </c>
    </row>
    <row r="238" spans="1:16" hidden="1" x14ac:dyDescent="0.2">
      <c r="A238" s="60">
        <f t="shared" si="32"/>
        <v>217</v>
      </c>
      <c r="B238" s="55" t="s">
        <v>61</v>
      </c>
      <c r="C238" s="61" t="s">
        <v>67</v>
      </c>
      <c r="D238" s="55"/>
      <c r="E238" s="55"/>
      <c r="F238" s="55"/>
      <c r="G238" s="55"/>
      <c r="H238" s="157"/>
      <c r="I238" s="156"/>
      <c r="J238" s="55"/>
      <c r="K238" s="55"/>
      <c r="L238" s="55"/>
      <c r="M238" s="55"/>
      <c r="N238" s="55"/>
    </row>
    <row r="239" spans="1:16" ht="12.6" hidden="1" customHeight="1" x14ac:dyDescent="0.2">
      <c r="A239" s="60">
        <f t="shared" si="32"/>
        <v>218</v>
      </c>
      <c r="D239" s="54" t="s">
        <v>12</v>
      </c>
      <c r="E239" s="49"/>
      <c r="F239" s="46">
        <v>1016</v>
      </c>
      <c r="G239" s="45"/>
      <c r="H239" s="76"/>
      <c r="I239" s="46">
        <v>1016</v>
      </c>
      <c r="J239" s="45"/>
      <c r="K239" s="46">
        <f>I239*O239</f>
        <v>1059.2389895644483</v>
      </c>
      <c r="L239" s="45"/>
      <c r="M239" s="45"/>
      <c r="N239" s="47"/>
      <c r="O239" s="37">
        <f>1+$N$210</f>
        <v>1.0425580605949294</v>
      </c>
      <c r="P239" s="4">
        <f>K239/I239-1</f>
        <v>4.2558060594929392E-2</v>
      </c>
    </row>
    <row r="240" spans="1:16" hidden="1" x14ac:dyDescent="0.2">
      <c r="A240" s="60">
        <f t="shared" si="32"/>
        <v>219</v>
      </c>
      <c r="D240" s="54" t="s">
        <v>68</v>
      </c>
      <c r="E240" s="49"/>
      <c r="F240" s="46">
        <v>7.77</v>
      </c>
      <c r="G240" s="45"/>
      <c r="H240" s="76"/>
      <c r="I240" s="46">
        <v>7.77</v>
      </c>
      <c r="J240" s="45"/>
      <c r="K240" s="46">
        <f>K224</f>
        <v>8.66</v>
      </c>
      <c r="L240" s="45"/>
      <c r="M240" s="45"/>
      <c r="N240" s="47"/>
      <c r="O240" s="37">
        <f t="shared" ref="O240:O242" si="42">1+$N$210</f>
        <v>1.0425580605949294</v>
      </c>
      <c r="P240" s="4">
        <f>K240/I240-1</f>
        <v>0.11454311454311461</v>
      </c>
    </row>
    <row r="241" spans="1:16" hidden="1" x14ac:dyDescent="0.2">
      <c r="A241" s="60">
        <f t="shared" si="32"/>
        <v>220</v>
      </c>
      <c r="D241" s="54" t="s">
        <v>69</v>
      </c>
      <c r="E241" s="49"/>
      <c r="F241" s="46">
        <v>9.98</v>
      </c>
      <c r="G241" s="45"/>
      <c r="H241" s="76"/>
      <c r="I241" s="46">
        <v>9.98</v>
      </c>
      <c r="J241" s="45"/>
      <c r="K241" s="46">
        <f>I241*O241</f>
        <v>10.404729444737395</v>
      </c>
      <c r="L241" s="45"/>
      <c r="M241" s="45"/>
      <c r="N241" s="47"/>
      <c r="O241" s="37">
        <f t="shared" si="42"/>
        <v>1.0425580605949294</v>
      </c>
      <c r="P241" s="4">
        <f>K241/I241-1</f>
        <v>4.2558060594929392E-2</v>
      </c>
    </row>
    <row r="242" spans="1:16" hidden="1" x14ac:dyDescent="0.2">
      <c r="A242" s="60">
        <f t="shared" si="32"/>
        <v>221</v>
      </c>
      <c r="D242" s="54" t="s">
        <v>28</v>
      </c>
      <c r="E242" s="49"/>
      <c r="F242" s="57">
        <v>5.3802000000000003E-2</v>
      </c>
      <c r="G242" s="45"/>
      <c r="H242" s="76"/>
      <c r="I242" s="158">
        <v>5.3802000000000003E-2</v>
      </c>
      <c r="J242" s="45"/>
      <c r="K242" s="57">
        <f>I242*O242</f>
        <v>5.6091708776128395E-2</v>
      </c>
      <c r="L242" s="45"/>
      <c r="M242" s="45"/>
      <c r="N242" s="47"/>
      <c r="O242" s="37">
        <f t="shared" si="42"/>
        <v>1.0425580605949294</v>
      </c>
      <c r="P242" s="4">
        <f>K242/I242-1</f>
        <v>4.2558060594929392E-2</v>
      </c>
    </row>
    <row r="243" spans="1:16" hidden="1" x14ac:dyDescent="0.2">
      <c r="A243" s="60">
        <f t="shared" si="32"/>
        <v>222</v>
      </c>
      <c r="B243" s="55" t="s">
        <v>61</v>
      </c>
      <c r="C243" s="61" t="s">
        <v>70</v>
      </c>
      <c r="D243" s="55"/>
      <c r="E243" s="55"/>
      <c r="F243" s="55"/>
      <c r="G243" s="55"/>
      <c r="H243" s="157"/>
      <c r="I243" s="156"/>
      <c r="J243" s="55"/>
      <c r="K243" s="55"/>
      <c r="L243" s="55"/>
      <c r="M243" s="55"/>
      <c r="N243" s="55"/>
    </row>
    <row r="244" spans="1:16" ht="12.6" hidden="1" customHeight="1" x14ac:dyDescent="0.2">
      <c r="A244" s="60">
        <f t="shared" si="32"/>
        <v>223</v>
      </c>
      <c r="D244" s="54" t="s">
        <v>12</v>
      </c>
      <c r="E244" s="49"/>
      <c r="F244" s="46">
        <v>1288</v>
      </c>
      <c r="G244" s="45"/>
      <c r="H244" s="76"/>
      <c r="I244" s="46">
        <v>1288</v>
      </c>
      <c r="J244" s="45"/>
      <c r="K244" s="46">
        <f>I244*O244</f>
        <v>1342.8147820462691</v>
      </c>
      <c r="L244" s="45"/>
      <c r="M244" s="45"/>
      <c r="N244" s="47"/>
      <c r="O244" s="37">
        <f>1+$N$210</f>
        <v>1.0425580605949294</v>
      </c>
      <c r="P244" s="4">
        <f>K244/I244-1</f>
        <v>4.2558060594929392E-2</v>
      </c>
    </row>
    <row r="245" spans="1:16" hidden="1" x14ac:dyDescent="0.2">
      <c r="A245" s="60">
        <f t="shared" si="32"/>
        <v>224</v>
      </c>
      <c r="D245" s="54" t="s">
        <v>68</v>
      </c>
      <c r="E245" s="49"/>
      <c r="F245" s="46">
        <v>7.77</v>
      </c>
      <c r="G245" s="45"/>
      <c r="H245" s="76"/>
      <c r="I245" s="46">
        <v>7.77</v>
      </c>
      <c r="J245" s="45"/>
      <c r="K245" s="46">
        <f>K228</f>
        <v>8.66</v>
      </c>
      <c r="L245" s="45"/>
      <c r="M245" s="45"/>
      <c r="N245" s="47"/>
      <c r="O245" s="37">
        <f t="shared" ref="O245:O247" si="43">1+$N$210</f>
        <v>1.0425580605949294</v>
      </c>
      <c r="P245" s="4">
        <f>K245/I245-1</f>
        <v>0.11454311454311461</v>
      </c>
    </row>
    <row r="246" spans="1:16" hidden="1" x14ac:dyDescent="0.2">
      <c r="A246" s="60">
        <f t="shared" si="32"/>
        <v>225</v>
      </c>
      <c r="D246" s="54" t="s">
        <v>69</v>
      </c>
      <c r="E246" s="49"/>
      <c r="F246" s="46">
        <v>9.98</v>
      </c>
      <c r="G246" s="45"/>
      <c r="H246" s="76"/>
      <c r="I246" s="46">
        <v>9.98</v>
      </c>
      <c r="J246" s="45"/>
      <c r="K246" s="46">
        <f>I246*O246</f>
        <v>10.404729444737395</v>
      </c>
      <c r="L246" s="45"/>
      <c r="M246" s="45"/>
      <c r="N246" s="47"/>
      <c r="O246" s="37">
        <f t="shared" si="43"/>
        <v>1.0425580605949294</v>
      </c>
      <c r="P246" s="4">
        <f>K246/I246-1</f>
        <v>4.2558060594929392E-2</v>
      </c>
    </row>
    <row r="247" spans="1:16" hidden="1" x14ac:dyDescent="0.2">
      <c r="A247" s="60">
        <f t="shared" si="32"/>
        <v>226</v>
      </c>
      <c r="D247" s="54" t="s">
        <v>28</v>
      </c>
      <c r="E247" s="49"/>
      <c r="F247" s="57">
        <v>5.1802000000000001E-2</v>
      </c>
      <c r="G247" s="45"/>
      <c r="H247" s="76"/>
      <c r="I247" s="158">
        <v>5.1802000000000001E-2</v>
      </c>
      <c r="J247" s="45"/>
      <c r="K247" s="57">
        <f>I247*O247</f>
        <v>5.4006592654938533E-2</v>
      </c>
      <c r="L247" s="45"/>
      <c r="M247" s="45"/>
      <c r="N247" s="47"/>
      <c r="O247" s="37">
        <f t="shared" si="43"/>
        <v>1.0425580605949294</v>
      </c>
      <c r="P247" s="4">
        <f>K247/I247-1</f>
        <v>4.2558060594929392E-2</v>
      </c>
    </row>
    <row r="248" spans="1:16" hidden="1" x14ac:dyDescent="0.2">
      <c r="A248" s="60">
        <f t="shared" si="32"/>
        <v>227</v>
      </c>
      <c r="B248" s="55" t="s">
        <v>61</v>
      </c>
      <c r="C248" s="61" t="s">
        <v>71</v>
      </c>
      <c r="D248" s="55"/>
      <c r="E248" s="55"/>
      <c r="F248" s="55"/>
      <c r="G248" s="55"/>
      <c r="H248" s="157"/>
      <c r="I248" s="156"/>
      <c r="J248" s="55"/>
      <c r="K248" s="55"/>
      <c r="L248" s="55"/>
      <c r="M248" s="55"/>
      <c r="N248" s="55"/>
    </row>
    <row r="249" spans="1:16" ht="12.6" hidden="1" customHeight="1" x14ac:dyDescent="0.2">
      <c r="A249" s="60">
        <f t="shared" si="32"/>
        <v>228</v>
      </c>
      <c r="D249" s="54" t="s">
        <v>12</v>
      </c>
      <c r="E249" s="49"/>
      <c r="F249" s="46">
        <v>2937</v>
      </c>
      <c r="G249" s="45"/>
      <c r="H249" s="76"/>
      <c r="I249" s="46">
        <v>2937</v>
      </c>
      <c r="J249" s="45"/>
      <c r="K249" s="46">
        <f>I249*O249</f>
        <v>3061.9930239673076</v>
      </c>
      <c r="L249" s="45"/>
      <c r="M249" s="45"/>
      <c r="N249" s="47"/>
      <c r="O249" s="37">
        <f>1+$N$210</f>
        <v>1.0425580605949294</v>
      </c>
      <c r="P249" s="4">
        <f>K249/I249-1</f>
        <v>4.2558060594929392E-2</v>
      </c>
    </row>
    <row r="250" spans="1:16" hidden="1" x14ac:dyDescent="0.2">
      <c r="A250" s="60">
        <f t="shared" si="32"/>
        <v>229</v>
      </c>
      <c r="D250" s="54" t="s">
        <v>68</v>
      </c>
      <c r="E250" s="49"/>
      <c r="F250" s="46">
        <v>7.77</v>
      </c>
      <c r="G250" s="45"/>
      <c r="H250" s="76"/>
      <c r="I250" s="46">
        <v>7.77</v>
      </c>
      <c r="J250" s="45"/>
      <c r="K250" s="46">
        <f>K224</f>
        <v>8.66</v>
      </c>
      <c r="L250" s="45"/>
      <c r="M250" s="45"/>
      <c r="N250" s="47"/>
      <c r="O250" s="37">
        <f t="shared" ref="O250:O252" si="44">1+$N$210</f>
        <v>1.0425580605949294</v>
      </c>
      <c r="P250" s="4">
        <f>K250/I250-1</f>
        <v>0.11454311454311461</v>
      </c>
    </row>
    <row r="251" spans="1:16" hidden="1" x14ac:dyDescent="0.2">
      <c r="A251" s="60">
        <f t="shared" si="32"/>
        <v>230</v>
      </c>
      <c r="D251" s="54" t="s">
        <v>69</v>
      </c>
      <c r="E251" s="49"/>
      <c r="F251" s="46">
        <v>9.98</v>
      </c>
      <c r="G251" s="45"/>
      <c r="H251" s="76"/>
      <c r="I251" s="46">
        <v>9.98</v>
      </c>
      <c r="J251" s="45"/>
      <c r="K251" s="46">
        <f>I251*O251</f>
        <v>10.404729444737395</v>
      </c>
      <c r="L251" s="45"/>
      <c r="M251" s="45"/>
      <c r="N251" s="47"/>
      <c r="O251" s="37">
        <f t="shared" si="44"/>
        <v>1.0425580605949294</v>
      </c>
      <c r="P251" s="4">
        <f>K251/I251-1</f>
        <v>4.2558060594929392E-2</v>
      </c>
    </row>
    <row r="252" spans="1:16" hidden="1" x14ac:dyDescent="0.2">
      <c r="A252" s="60">
        <f t="shared" si="32"/>
        <v>231</v>
      </c>
      <c r="D252" s="54" t="s">
        <v>28</v>
      </c>
      <c r="E252" s="49"/>
      <c r="F252" s="57">
        <v>5.0301999999999999E-2</v>
      </c>
      <c r="G252" s="45"/>
      <c r="H252" s="76"/>
      <c r="I252" s="158">
        <v>5.0301999999999999E-2</v>
      </c>
      <c r="J252" s="45"/>
      <c r="K252" s="57">
        <f>I252*O252</f>
        <v>5.2442755564046137E-2</v>
      </c>
      <c r="L252" s="45"/>
      <c r="M252" s="45"/>
      <c r="N252" s="47"/>
      <c r="O252" s="37">
        <f t="shared" si="44"/>
        <v>1.0425580605949294</v>
      </c>
      <c r="P252" s="4">
        <f>K252/I252-1</f>
        <v>4.2558060594929392E-2</v>
      </c>
    </row>
    <row r="253" spans="1:16" hidden="1" x14ac:dyDescent="0.2">
      <c r="A253" s="60">
        <f t="shared" si="32"/>
        <v>232</v>
      </c>
      <c r="B253" s="55" t="s">
        <v>61</v>
      </c>
      <c r="C253" s="61" t="s">
        <v>72</v>
      </c>
      <c r="D253" s="55"/>
      <c r="E253" s="55"/>
      <c r="F253" s="55"/>
      <c r="G253" s="55"/>
      <c r="H253" s="157"/>
      <c r="I253" s="156"/>
      <c r="J253" s="55"/>
      <c r="K253" s="55"/>
      <c r="L253" s="55"/>
      <c r="M253" s="55"/>
      <c r="N253" s="55"/>
    </row>
    <row r="254" spans="1:16" ht="12.6" hidden="1" customHeight="1" x14ac:dyDescent="0.2">
      <c r="A254" s="60">
        <f t="shared" si="32"/>
        <v>233</v>
      </c>
      <c r="D254" s="54" t="s">
        <v>12</v>
      </c>
      <c r="E254" s="49"/>
      <c r="F254" s="46">
        <v>3215</v>
      </c>
      <c r="G254" s="45"/>
      <c r="H254" s="76"/>
      <c r="I254" s="46">
        <v>3215</v>
      </c>
      <c r="J254" s="45"/>
      <c r="K254" s="46">
        <f>I254*O254</f>
        <v>3351.8241648126982</v>
      </c>
      <c r="L254" s="45"/>
      <c r="M254" s="45"/>
      <c r="N254" s="47"/>
      <c r="O254" s="37">
        <f>1+$N$210</f>
        <v>1.0425580605949294</v>
      </c>
      <c r="P254" s="4">
        <f>K254/I254-1</f>
        <v>4.2558060594929392E-2</v>
      </c>
    </row>
    <row r="255" spans="1:16" hidden="1" x14ac:dyDescent="0.2">
      <c r="A255" s="60">
        <f t="shared" si="32"/>
        <v>234</v>
      </c>
      <c r="D255" s="54" t="s">
        <v>68</v>
      </c>
      <c r="E255" s="49"/>
      <c r="F255" s="46">
        <v>7.77</v>
      </c>
      <c r="G255" s="45"/>
      <c r="H255" s="76"/>
      <c r="I255" s="46">
        <v>7.77</v>
      </c>
      <c r="J255" s="45"/>
      <c r="K255" s="46">
        <f>K224</f>
        <v>8.66</v>
      </c>
      <c r="L255" s="45"/>
      <c r="M255" s="45"/>
      <c r="N255" s="47"/>
      <c r="O255" s="37">
        <f t="shared" ref="O255:O257" si="45">1+$N$210</f>
        <v>1.0425580605949294</v>
      </c>
      <c r="P255" s="4">
        <f>K255/I255-1</f>
        <v>0.11454311454311461</v>
      </c>
    </row>
    <row r="256" spans="1:16" hidden="1" x14ac:dyDescent="0.2">
      <c r="A256" s="60">
        <f t="shared" si="32"/>
        <v>235</v>
      </c>
      <c r="D256" s="54" t="s">
        <v>69</v>
      </c>
      <c r="E256" s="49"/>
      <c r="F256" s="46">
        <v>9.98</v>
      </c>
      <c r="G256" s="45"/>
      <c r="H256" s="76"/>
      <c r="I256" s="46">
        <v>9.98</v>
      </c>
      <c r="J256" s="45"/>
      <c r="K256" s="46">
        <f>I256*O256</f>
        <v>10.404729444737395</v>
      </c>
      <c r="L256" s="45"/>
      <c r="M256" s="45"/>
      <c r="N256" s="47"/>
      <c r="O256" s="37">
        <f t="shared" si="45"/>
        <v>1.0425580605949294</v>
      </c>
      <c r="P256" s="4">
        <f>K256/I256-1</f>
        <v>4.2558060594929392E-2</v>
      </c>
    </row>
    <row r="257" spans="1:16" hidden="1" x14ac:dyDescent="0.2">
      <c r="A257" s="60">
        <f t="shared" si="32"/>
        <v>236</v>
      </c>
      <c r="D257" s="54" t="s">
        <v>28</v>
      </c>
      <c r="E257" s="49"/>
      <c r="F257" s="57">
        <v>4.7801999999999997E-2</v>
      </c>
      <c r="G257" s="45"/>
      <c r="H257" s="76"/>
      <c r="I257" s="158">
        <v>4.7801999999999997E-2</v>
      </c>
      <c r="J257" s="45"/>
      <c r="K257" s="57">
        <f>I257*O257</f>
        <v>4.983636041255881E-2</v>
      </c>
      <c r="L257" s="45"/>
      <c r="M257" s="45"/>
      <c r="N257" s="47"/>
      <c r="O257" s="37">
        <f t="shared" si="45"/>
        <v>1.0425580605949294</v>
      </c>
      <c r="P257" s="4">
        <f>K257/I257-1</f>
        <v>4.2558060594929392E-2</v>
      </c>
    </row>
    <row r="258" spans="1:16" hidden="1" x14ac:dyDescent="0.2">
      <c r="A258" s="60">
        <f t="shared" si="32"/>
        <v>237</v>
      </c>
      <c r="B258" s="55" t="s">
        <v>61</v>
      </c>
      <c r="C258" s="61" t="s">
        <v>73</v>
      </c>
      <c r="D258" s="55"/>
      <c r="E258" s="55"/>
      <c r="F258" s="55"/>
      <c r="G258" s="55"/>
      <c r="H258" s="157"/>
      <c r="I258" s="156"/>
      <c r="J258" s="55"/>
      <c r="K258" s="55"/>
      <c r="L258" s="55"/>
      <c r="M258" s="55"/>
      <c r="N258" s="55"/>
    </row>
    <row r="259" spans="1:16" ht="12.6" hidden="1" customHeight="1" x14ac:dyDescent="0.2">
      <c r="A259" s="60">
        <f t="shared" si="32"/>
        <v>238</v>
      </c>
      <c r="D259" s="54" t="s">
        <v>12</v>
      </c>
      <c r="E259" s="49"/>
      <c r="F259" s="46">
        <v>4501</v>
      </c>
      <c r="G259" s="45"/>
      <c r="H259" s="76"/>
      <c r="I259" s="46">
        <v>4501</v>
      </c>
      <c r="J259" s="45"/>
      <c r="K259" s="46">
        <f>I259*O259</f>
        <v>4692.5538307377774</v>
      </c>
      <c r="L259" s="45"/>
      <c r="M259" s="45"/>
      <c r="N259" s="47"/>
      <c r="O259" s="37">
        <f>1+$N$210</f>
        <v>1.0425580605949294</v>
      </c>
      <c r="P259" s="4">
        <f>K259/I259-1</f>
        <v>4.2558060594929392E-2</v>
      </c>
    </row>
    <row r="260" spans="1:16" hidden="1" x14ac:dyDescent="0.2">
      <c r="A260" s="60">
        <f t="shared" si="32"/>
        <v>239</v>
      </c>
      <c r="D260" s="54" t="s">
        <v>68</v>
      </c>
      <c r="E260" s="49"/>
      <c r="F260" s="46">
        <v>7.77</v>
      </c>
      <c r="G260" s="45"/>
      <c r="H260" s="76"/>
      <c r="I260" s="46">
        <v>7.77</v>
      </c>
      <c r="J260" s="45"/>
      <c r="K260" s="46">
        <f>K224</f>
        <v>8.66</v>
      </c>
      <c r="L260" s="45"/>
      <c r="M260" s="45"/>
      <c r="N260" s="47"/>
      <c r="O260" s="37">
        <f t="shared" ref="O260:O262" si="46">1+$N$210</f>
        <v>1.0425580605949294</v>
      </c>
      <c r="P260" s="4">
        <f>K260/I260-1</f>
        <v>0.11454311454311461</v>
      </c>
    </row>
    <row r="261" spans="1:16" hidden="1" x14ac:dyDescent="0.2">
      <c r="A261" s="60">
        <f t="shared" si="32"/>
        <v>240</v>
      </c>
      <c r="D261" s="54" t="s">
        <v>69</v>
      </c>
      <c r="E261" s="49"/>
      <c r="F261" s="46">
        <v>9.98</v>
      </c>
      <c r="G261" s="45"/>
      <c r="H261" s="76"/>
      <c r="I261" s="46">
        <v>9.98</v>
      </c>
      <c r="J261" s="45"/>
      <c r="K261" s="46">
        <f>I261*O261</f>
        <v>10.404729444737395</v>
      </c>
      <c r="L261" s="45"/>
      <c r="M261" s="45"/>
      <c r="N261" s="47"/>
      <c r="O261" s="37">
        <f t="shared" si="46"/>
        <v>1.0425580605949294</v>
      </c>
      <c r="P261" s="4">
        <f>K261/I261-1</f>
        <v>4.2558060594929392E-2</v>
      </c>
    </row>
    <row r="262" spans="1:16" hidden="1" x14ac:dyDescent="0.2">
      <c r="A262" s="60">
        <f t="shared" si="32"/>
        <v>241</v>
      </c>
      <c r="D262" s="54" t="s">
        <v>28</v>
      </c>
      <c r="E262" s="49"/>
      <c r="F262" s="57">
        <v>4.5302000000000002E-2</v>
      </c>
      <c r="G262" s="45"/>
      <c r="H262" s="76"/>
      <c r="I262" s="158">
        <v>4.5302000000000002E-2</v>
      </c>
      <c r="J262" s="45"/>
      <c r="K262" s="57">
        <f>I262*O262</f>
        <v>4.7229965261071497E-2</v>
      </c>
      <c r="L262" s="45"/>
      <c r="M262" s="45"/>
      <c r="N262" s="47"/>
      <c r="O262" s="37">
        <f t="shared" si="46"/>
        <v>1.0425580605949294</v>
      </c>
      <c r="P262" s="4">
        <f>K262/I262-1</f>
        <v>4.2558060594929392E-2</v>
      </c>
    </row>
    <row r="263" spans="1:16" hidden="1" x14ac:dyDescent="0.2">
      <c r="A263" s="60">
        <f t="shared" si="32"/>
        <v>242</v>
      </c>
      <c r="B263" s="55" t="s">
        <v>61</v>
      </c>
      <c r="C263" s="61" t="s">
        <v>74</v>
      </c>
      <c r="D263" s="55"/>
      <c r="E263" s="55"/>
      <c r="F263" s="55"/>
      <c r="G263" s="55"/>
      <c r="H263" s="157"/>
      <c r="I263" s="156"/>
      <c r="J263" s="55"/>
      <c r="K263" s="55"/>
      <c r="L263" s="55"/>
      <c r="M263" s="55"/>
      <c r="N263" s="55"/>
    </row>
    <row r="264" spans="1:16" ht="12.6" hidden="1" customHeight="1" x14ac:dyDescent="0.2">
      <c r="A264" s="60">
        <f t="shared" si="32"/>
        <v>243</v>
      </c>
      <c r="D264" s="54" t="s">
        <v>12</v>
      </c>
      <c r="E264" s="49"/>
      <c r="F264" s="46">
        <v>1016</v>
      </c>
      <c r="G264" s="45"/>
      <c r="H264" s="76"/>
      <c r="I264" s="46">
        <v>1016</v>
      </c>
      <c r="J264" s="45"/>
      <c r="K264" s="46">
        <f>I264*O264</f>
        <v>1059.2389895644483</v>
      </c>
      <c r="L264" s="45"/>
      <c r="M264" s="45"/>
      <c r="N264" s="47"/>
      <c r="O264" s="37">
        <f>1+$N$210</f>
        <v>1.0425580605949294</v>
      </c>
      <c r="P264" s="4">
        <f>K264/I264-1</f>
        <v>4.2558060594929392E-2</v>
      </c>
    </row>
    <row r="265" spans="1:16" hidden="1" x14ac:dyDescent="0.2">
      <c r="A265" s="60">
        <f t="shared" ref="A265:A288" si="47">A264+1</f>
        <v>244</v>
      </c>
      <c r="D265" s="54" t="s">
        <v>31</v>
      </c>
      <c r="E265" s="49"/>
      <c r="F265" s="46">
        <v>6.62</v>
      </c>
      <c r="G265" s="45"/>
      <c r="H265" s="76"/>
      <c r="I265" s="46">
        <v>6.62</v>
      </c>
      <c r="J265" s="45"/>
      <c r="K265" s="46">
        <f>K149</f>
        <v>7.26</v>
      </c>
      <c r="L265" s="45"/>
      <c r="M265" s="45"/>
      <c r="N265" s="47"/>
      <c r="O265" s="37">
        <f t="shared" ref="O265:O267" si="48">1+$N$210</f>
        <v>1.0425580605949294</v>
      </c>
      <c r="P265" s="4">
        <f>K265/I265-1</f>
        <v>9.6676737160120707E-2</v>
      </c>
    </row>
    <row r="266" spans="1:16" hidden="1" x14ac:dyDescent="0.2">
      <c r="A266" s="60">
        <f t="shared" si="47"/>
        <v>245</v>
      </c>
      <c r="D266" s="54" t="s">
        <v>59</v>
      </c>
      <c r="E266" s="49"/>
      <c r="F266" s="48">
        <v>6.3870999999999997E-2</v>
      </c>
      <c r="G266" s="45"/>
      <c r="H266" s="76"/>
      <c r="I266" s="48">
        <v>6.3870999999999997E-2</v>
      </c>
      <c r="J266" s="45"/>
      <c r="K266" s="48">
        <f>I266*O266</f>
        <v>6.6589225888258732E-2</v>
      </c>
      <c r="L266" s="45"/>
      <c r="M266" s="45"/>
      <c r="N266" s="47"/>
      <c r="O266" s="37">
        <f t="shared" si="48"/>
        <v>1.0425580605949294</v>
      </c>
      <c r="P266" s="4">
        <f>K266/I266-1</f>
        <v>4.2558060594929392E-2</v>
      </c>
    </row>
    <row r="267" spans="1:16" hidden="1" x14ac:dyDescent="0.2">
      <c r="A267" s="60">
        <f t="shared" si="47"/>
        <v>246</v>
      </c>
      <c r="D267" s="54" t="s">
        <v>60</v>
      </c>
      <c r="E267" s="49"/>
      <c r="F267" s="48">
        <v>5.5474000000000002E-2</v>
      </c>
      <c r="G267" s="45"/>
      <c r="H267" s="76"/>
      <c r="I267" s="48">
        <v>5.5474000000000002E-2</v>
      </c>
      <c r="J267" s="45"/>
      <c r="K267" s="48">
        <f>I267*O267</f>
        <v>5.7834865853443114E-2</v>
      </c>
      <c r="L267" s="45"/>
      <c r="M267" s="45"/>
      <c r="N267" s="47"/>
      <c r="O267" s="37">
        <f t="shared" si="48"/>
        <v>1.0425580605949294</v>
      </c>
      <c r="P267" s="4">
        <f>K267/I267-1</f>
        <v>4.2558060594929392E-2</v>
      </c>
    </row>
    <row r="268" spans="1:16" hidden="1" x14ac:dyDescent="0.2">
      <c r="A268" s="60">
        <f t="shared" si="47"/>
        <v>247</v>
      </c>
      <c r="B268" s="55" t="s">
        <v>61</v>
      </c>
      <c r="C268" s="61" t="s">
        <v>75</v>
      </c>
      <c r="D268" s="55"/>
      <c r="E268" s="55"/>
      <c r="F268" s="55"/>
      <c r="G268" s="55"/>
      <c r="H268" s="157"/>
      <c r="I268" s="156"/>
      <c r="J268" s="55"/>
      <c r="K268" s="55"/>
      <c r="L268" s="55"/>
      <c r="M268" s="55"/>
      <c r="N268" s="55"/>
    </row>
    <row r="269" spans="1:16" ht="12.6" hidden="1" customHeight="1" x14ac:dyDescent="0.2">
      <c r="A269" s="60">
        <f t="shared" si="47"/>
        <v>248</v>
      </c>
      <c r="D269" s="54" t="s">
        <v>12</v>
      </c>
      <c r="E269" s="49"/>
      <c r="F269" s="46">
        <v>1288</v>
      </c>
      <c r="G269" s="45"/>
      <c r="H269" s="76"/>
      <c r="I269" s="46">
        <v>1288</v>
      </c>
      <c r="J269" s="45"/>
      <c r="K269" s="46">
        <f>I269*O269</f>
        <v>1342.8147820462691</v>
      </c>
      <c r="L269" s="45"/>
      <c r="M269" s="45"/>
      <c r="N269" s="47"/>
      <c r="O269" s="37">
        <f>1+$N$210</f>
        <v>1.0425580605949294</v>
      </c>
      <c r="P269" s="4">
        <f>K269/I269-1</f>
        <v>4.2558060594929392E-2</v>
      </c>
    </row>
    <row r="270" spans="1:16" hidden="1" x14ac:dyDescent="0.2">
      <c r="A270" s="60">
        <f t="shared" si="47"/>
        <v>249</v>
      </c>
      <c r="D270" s="54" t="s">
        <v>31</v>
      </c>
      <c r="E270" s="49"/>
      <c r="F270" s="46">
        <v>6.62</v>
      </c>
      <c r="G270" s="45"/>
      <c r="H270" s="76"/>
      <c r="I270" s="46">
        <v>6.62</v>
      </c>
      <c r="J270" s="45"/>
      <c r="K270" s="46">
        <f>K265</f>
        <v>7.26</v>
      </c>
      <c r="L270" s="45"/>
      <c r="M270" s="45"/>
      <c r="N270" s="47"/>
      <c r="O270" s="37">
        <f t="shared" ref="O270:O272" si="49">1+$N$210</f>
        <v>1.0425580605949294</v>
      </c>
      <c r="P270" s="4">
        <f>K270/I270-1</f>
        <v>9.6676737160120707E-2</v>
      </c>
    </row>
    <row r="271" spans="1:16" hidden="1" x14ac:dyDescent="0.2">
      <c r="A271" s="60">
        <f t="shared" si="47"/>
        <v>250</v>
      </c>
      <c r="D271" s="54" t="s">
        <v>59</v>
      </c>
      <c r="E271" s="49"/>
      <c r="F271" s="48">
        <v>6.1880999999999999E-2</v>
      </c>
      <c r="G271" s="45"/>
      <c r="H271" s="76"/>
      <c r="I271" s="48">
        <v>6.1880999999999999E-2</v>
      </c>
      <c r="J271" s="45"/>
      <c r="K271" s="48">
        <f>I271*O271</f>
        <v>6.4514535347674817E-2</v>
      </c>
      <c r="L271" s="45"/>
      <c r="M271" s="45"/>
      <c r="N271" s="47"/>
      <c r="O271" s="37">
        <f t="shared" si="49"/>
        <v>1.0425580605949294</v>
      </c>
      <c r="P271" s="4">
        <f>K271/I271-1</f>
        <v>4.2558060594929392E-2</v>
      </c>
    </row>
    <row r="272" spans="1:16" hidden="1" x14ac:dyDescent="0.2">
      <c r="A272" s="60">
        <f t="shared" si="47"/>
        <v>251</v>
      </c>
      <c r="D272" s="54" t="s">
        <v>60</v>
      </c>
      <c r="E272" s="49"/>
      <c r="F272" s="48">
        <v>5.3474000000000001E-2</v>
      </c>
      <c r="G272" s="45"/>
      <c r="H272" s="76"/>
      <c r="I272" s="48">
        <v>5.3474000000000001E-2</v>
      </c>
      <c r="J272" s="45"/>
      <c r="K272" s="48">
        <f>I272*O272</f>
        <v>5.5749749732253252E-2</v>
      </c>
      <c r="L272" s="45"/>
      <c r="M272" s="45"/>
      <c r="N272" s="47"/>
      <c r="O272" s="37">
        <f t="shared" si="49"/>
        <v>1.0425580605949294</v>
      </c>
      <c r="P272" s="4">
        <f>K272/I272-1</f>
        <v>4.2558060594929392E-2</v>
      </c>
    </row>
    <row r="273" spans="1:18" hidden="1" x14ac:dyDescent="0.2">
      <c r="A273" s="60">
        <f t="shared" si="47"/>
        <v>252</v>
      </c>
      <c r="B273" s="55" t="s">
        <v>61</v>
      </c>
      <c r="C273" s="61" t="s">
        <v>76</v>
      </c>
      <c r="D273" s="55"/>
      <c r="E273" s="55"/>
      <c r="F273" s="55"/>
      <c r="G273" s="55"/>
      <c r="H273" s="157"/>
      <c r="I273" s="156"/>
      <c r="J273" s="55"/>
      <c r="K273" s="55"/>
      <c r="L273" s="55"/>
      <c r="M273" s="55"/>
      <c r="N273" s="55"/>
    </row>
    <row r="274" spans="1:18" ht="12.6" hidden="1" customHeight="1" x14ac:dyDescent="0.2">
      <c r="A274" s="60">
        <f t="shared" si="47"/>
        <v>253</v>
      </c>
      <c r="D274" s="54" t="s">
        <v>12</v>
      </c>
      <c r="E274" s="49"/>
      <c r="F274" s="46">
        <v>2937</v>
      </c>
      <c r="G274" s="45"/>
      <c r="H274" s="76"/>
      <c r="I274" s="46">
        <v>2937</v>
      </c>
      <c r="J274" s="45"/>
      <c r="K274" s="46">
        <f>I274*O274</f>
        <v>3061.9930239673076</v>
      </c>
      <c r="L274" s="45"/>
      <c r="M274" s="45"/>
      <c r="N274" s="47"/>
      <c r="O274" s="37">
        <f>1+$N$210</f>
        <v>1.0425580605949294</v>
      </c>
      <c r="P274" s="4">
        <f>K274/I274-1</f>
        <v>4.2558060594929392E-2</v>
      </c>
    </row>
    <row r="275" spans="1:18" hidden="1" x14ac:dyDescent="0.2">
      <c r="A275" s="60">
        <f t="shared" si="47"/>
        <v>254</v>
      </c>
      <c r="D275" s="54" t="s">
        <v>31</v>
      </c>
      <c r="E275" s="49"/>
      <c r="F275" s="46">
        <v>6.62</v>
      </c>
      <c r="G275" s="45"/>
      <c r="H275" s="76"/>
      <c r="I275" s="46">
        <v>6.62</v>
      </c>
      <c r="J275" s="45"/>
      <c r="K275" s="46">
        <f>K265</f>
        <v>7.26</v>
      </c>
      <c r="L275" s="45"/>
      <c r="M275" s="45"/>
      <c r="N275" s="47"/>
      <c r="O275" s="37">
        <f t="shared" ref="O275:O277" si="50">1+$N$210</f>
        <v>1.0425580605949294</v>
      </c>
      <c r="P275" s="4">
        <f>K275/I275-1</f>
        <v>9.6676737160120707E-2</v>
      </c>
    </row>
    <row r="276" spans="1:18" hidden="1" x14ac:dyDescent="0.2">
      <c r="A276" s="60">
        <f t="shared" si="47"/>
        <v>255</v>
      </c>
      <c r="D276" s="54" t="s">
        <v>59</v>
      </c>
      <c r="E276" s="49"/>
      <c r="F276" s="48">
        <v>6.0387999999999997E-2</v>
      </c>
      <c r="G276" s="45"/>
      <c r="H276" s="76"/>
      <c r="I276" s="48">
        <v>6.0387999999999997E-2</v>
      </c>
      <c r="J276" s="45"/>
      <c r="K276" s="48">
        <f>I276*O276</f>
        <v>6.2957996163206589E-2</v>
      </c>
      <c r="L276" s="45"/>
      <c r="M276" s="45"/>
      <c r="N276" s="47"/>
      <c r="O276" s="37">
        <f t="shared" si="50"/>
        <v>1.0425580605949294</v>
      </c>
      <c r="P276" s="4">
        <f>K276/I276-1</f>
        <v>4.2558060594929392E-2</v>
      </c>
    </row>
    <row r="277" spans="1:18" hidden="1" x14ac:dyDescent="0.2">
      <c r="A277" s="60">
        <f t="shared" si="47"/>
        <v>256</v>
      </c>
      <c r="D277" s="54" t="s">
        <v>60</v>
      </c>
      <c r="E277" s="49"/>
      <c r="F277" s="48">
        <v>5.1973999999999999E-2</v>
      </c>
      <c r="G277" s="45"/>
      <c r="H277" s="76"/>
      <c r="I277" s="48">
        <v>5.1973999999999999E-2</v>
      </c>
      <c r="J277" s="45"/>
      <c r="K277" s="48">
        <f>I277*O277</f>
        <v>5.4185912641360863E-2</v>
      </c>
      <c r="L277" s="45"/>
      <c r="M277" s="45"/>
      <c r="N277" s="47"/>
      <c r="O277" s="37">
        <f t="shared" si="50"/>
        <v>1.0425580605949294</v>
      </c>
      <c r="P277" s="4">
        <f>K277/I277-1</f>
        <v>4.2558060594929392E-2</v>
      </c>
    </row>
    <row r="278" spans="1:18" hidden="1" x14ac:dyDescent="0.2">
      <c r="A278" s="60">
        <f t="shared" si="47"/>
        <v>257</v>
      </c>
      <c r="B278" s="55" t="s">
        <v>61</v>
      </c>
      <c r="C278" s="61" t="s">
        <v>77</v>
      </c>
      <c r="D278" s="55"/>
      <c r="E278" s="55"/>
      <c r="F278" s="55"/>
      <c r="G278" s="55"/>
      <c r="H278" s="157"/>
      <c r="I278" s="156"/>
      <c r="J278" s="55"/>
      <c r="K278" s="55"/>
      <c r="L278" s="55"/>
      <c r="M278" s="55"/>
      <c r="N278" s="55"/>
    </row>
    <row r="279" spans="1:18" ht="6" hidden="1" customHeight="1" x14ac:dyDescent="0.2">
      <c r="A279" s="60">
        <f t="shared" si="47"/>
        <v>258</v>
      </c>
      <c r="D279" s="54" t="s">
        <v>12</v>
      </c>
      <c r="E279" s="49"/>
      <c r="F279" s="46">
        <v>4501</v>
      </c>
      <c r="G279" s="45"/>
      <c r="H279" s="76"/>
      <c r="I279" s="46">
        <v>4501</v>
      </c>
      <c r="J279" s="45"/>
      <c r="K279" s="46">
        <f>I279*O279</f>
        <v>4692.5538307377774</v>
      </c>
      <c r="L279" s="45"/>
      <c r="M279" s="45"/>
      <c r="N279" s="47"/>
      <c r="O279" s="37">
        <f>1+$N$210</f>
        <v>1.0425580605949294</v>
      </c>
      <c r="P279" s="4">
        <f>K279/I279-1</f>
        <v>4.2558060594929392E-2</v>
      </c>
    </row>
    <row r="280" spans="1:18" hidden="1" x14ac:dyDescent="0.2">
      <c r="A280" s="60">
        <f t="shared" si="47"/>
        <v>259</v>
      </c>
      <c r="D280" s="54" t="s">
        <v>31</v>
      </c>
      <c r="E280" s="49"/>
      <c r="F280" s="46">
        <v>6.62</v>
      </c>
      <c r="G280" s="45"/>
      <c r="H280" s="76"/>
      <c r="I280" s="46">
        <v>6.62</v>
      </c>
      <c r="J280" s="45"/>
      <c r="K280" s="46">
        <f>K265</f>
        <v>7.26</v>
      </c>
      <c r="L280" s="45"/>
      <c r="M280" s="45"/>
      <c r="N280" s="47"/>
      <c r="O280" s="37">
        <f t="shared" ref="O280:O282" si="51">1+$N$210</f>
        <v>1.0425580605949294</v>
      </c>
      <c r="P280" s="4">
        <f>K280/I280-1</f>
        <v>9.6676737160120707E-2</v>
      </c>
    </row>
    <row r="281" spans="1:18" hidden="1" x14ac:dyDescent="0.2">
      <c r="A281" s="60">
        <f t="shared" si="47"/>
        <v>260</v>
      </c>
      <c r="D281" s="54" t="s">
        <v>59</v>
      </c>
      <c r="E281" s="49"/>
      <c r="F281" s="48">
        <v>5.5412000000000003E-2</v>
      </c>
      <c r="G281" s="45"/>
      <c r="H281" s="76"/>
      <c r="I281" s="48">
        <v>5.5412000000000003E-2</v>
      </c>
      <c r="J281" s="45"/>
      <c r="K281" s="48">
        <f>I281*O281</f>
        <v>5.7770227253686232E-2</v>
      </c>
      <c r="L281" s="45"/>
      <c r="M281" s="45"/>
      <c r="N281" s="47"/>
      <c r="O281" s="37">
        <f t="shared" si="51"/>
        <v>1.0425580605949294</v>
      </c>
      <c r="P281" s="4">
        <f>K281/I281-1</f>
        <v>4.2558060594929392E-2</v>
      </c>
    </row>
    <row r="282" spans="1:18" hidden="1" x14ac:dyDescent="0.2">
      <c r="A282" s="60">
        <f t="shared" si="47"/>
        <v>261</v>
      </c>
      <c r="D282" s="54" t="s">
        <v>60</v>
      </c>
      <c r="E282" s="49"/>
      <c r="F282" s="48">
        <v>4.6974000000000002E-2</v>
      </c>
      <c r="G282" s="45"/>
      <c r="H282" s="76"/>
      <c r="I282" s="48">
        <v>4.6974000000000002E-2</v>
      </c>
      <c r="J282" s="45"/>
      <c r="K282" s="48">
        <f>I282*O282</f>
        <v>4.8973122338386216E-2</v>
      </c>
      <c r="L282" s="45"/>
      <c r="M282" s="45"/>
      <c r="N282" s="47"/>
      <c r="O282" s="37">
        <f t="shared" si="51"/>
        <v>1.0425580605949294</v>
      </c>
      <c r="P282" s="4">
        <f>K282/I282-1</f>
        <v>4.2558060594929392E-2</v>
      </c>
    </row>
    <row r="283" spans="1:18" x14ac:dyDescent="0.2">
      <c r="A283" s="60">
        <f t="shared" si="47"/>
        <v>262</v>
      </c>
      <c r="F283" s="49"/>
      <c r="G283" s="49"/>
      <c r="H283" s="164" t="s">
        <v>95</v>
      </c>
      <c r="I283" s="164">
        <v>1.1849999999999999E-2</v>
      </c>
    </row>
    <row r="284" spans="1:18" x14ac:dyDescent="0.2">
      <c r="A284" s="60">
        <f t="shared" si="47"/>
        <v>263</v>
      </c>
      <c r="E284" s="58"/>
      <c r="F284" s="49"/>
      <c r="G284" s="49"/>
      <c r="J284" s="58"/>
    </row>
    <row r="285" spans="1:18" x14ac:dyDescent="0.2">
      <c r="A285" s="60">
        <f t="shared" si="47"/>
        <v>264</v>
      </c>
      <c r="E285" s="49"/>
      <c r="F285" s="49"/>
      <c r="G285" s="138"/>
      <c r="H285" s="76"/>
      <c r="I285" s="49"/>
      <c r="J285" s="49"/>
      <c r="K285" s="124">
        <v>0.06</v>
      </c>
    </row>
    <row r="286" spans="1:18" x14ac:dyDescent="0.2">
      <c r="A286" s="60">
        <f t="shared" si="47"/>
        <v>265</v>
      </c>
      <c r="E286" s="49"/>
      <c r="H286" s="76"/>
      <c r="I286" s="49"/>
      <c r="J286" s="49"/>
    </row>
    <row r="287" spans="1:18" x14ac:dyDescent="0.2">
      <c r="A287" s="60">
        <f t="shared" si="47"/>
        <v>266</v>
      </c>
      <c r="E287" s="49"/>
      <c r="H287" s="76"/>
      <c r="I287" s="49" t="str">
        <f>I5</f>
        <v xml:space="preserve">       Present Rate</v>
      </c>
      <c r="J287" s="49"/>
      <c r="K287" s="54" t="str">
        <f>K5</f>
        <v>Proposed Rate</v>
      </c>
    </row>
    <row r="288" spans="1:18" x14ac:dyDescent="0.2">
      <c r="A288" s="60">
        <f t="shared" si="47"/>
        <v>267</v>
      </c>
      <c r="B288" s="1" t="s">
        <v>56</v>
      </c>
      <c r="C288" s="13"/>
      <c r="D288" s="2"/>
      <c r="E288" s="118"/>
      <c r="F288" s="118"/>
      <c r="G288" s="118"/>
      <c r="H288" s="118"/>
      <c r="I288" s="118"/>
      <c r="J288" s="118"/>
      <c r="K288" s="118"/>
      <c r="L288" s="118"/>
      <c r="M288" s="118"/>
      <c r="N288" s="119"/>
      <c r="O288" s="118"/>
      <c r="P288" s="118"/>
      <c r="Q288" s="118"/>
      <c r="R288" s="118"/>
    </row>
    <row r="289" spans="1:18" ht="13.5" thickBot="1" x14ac:dyDescent="0.25">
      <c r="A289" s="117">
        <f t="shared" ref="A289:A333" si="52">A288+1</f>
        <v>268</v>
      </c>
      <c r="B289" s="2"/>
      <c r="C289" s="13"/>
      <c r="D289" s="13"/>
      <c r="E289" s="33"/>
      <c r="F289" s="33"/>
      <c r="G289" s="33"/>
      <c r="H289" s="54"/>
      <c r="J289" s="2"/>
      <c r="K289" s="2"/>
      <c r="M289" s="2"/>
      <c r="N289" s="2"/>
    </row>
    <row r="290" spans="1:18" x14ac:dyDescent="0.2">
      <c r="A290" s="117">
        <f>A333+1</f>
        <v>310</v>
      </c>
      <c r="B290" s="55" t="s">
        <v>136</v>
      </c>
      <c r="C290" s="61">
        <v>8</v>
      </c>
      <c r="D290" s="55"/>
      <c r="E290" s="55"/>
      <c r="F290" s="55"/>
      <c r="G290" s="55"/>
      <c r="H290" s="77"/>
      <c r="I290" s="55"/>
      <c r="J290" s="55"/>
      <c r="K290" s="55"/>
      <c r="L290" s="55"/>
      <c r="M290" s="77"/>
      <c r="N290" s="77"/>
      <c r="O290" s="77"/>
      <c r="P290" s="77"/>
      <c r="Q290" s="77"/>
      <c r="R290" s="77"/>
    </row>
    <row r="291" spans="1:18" x14ac:dyDescent="0.2">
      <c r="A291" s="117">
        <f>A290+1</f>
        <v>311</v>
      </c>
      <c r="C291" s="54"/>
      <c r="D291" s="54" t="s">
        <v>12</v>
      </c>
      <c r="E291" s="134"/>
      <c r="F291" s="46"/>
      <c r="G291" s="45"/>
      <c r="H291" s="76"/>
      <c r="I291" s="46">
        <f>F291</f>
        <v>0</v>
      </c>
      <c r="J291" s="45"/>
      <c r="K291" s="46">
        <f>I291</f>
        <v>0</v>
      </c>
    </row>
    <row r="292" spans="1:18" ht="13.5" thickBot="1" x14ac:dyDescent="0.25">
      <c r="A292" s="117">
        <f>A291+1</f>
        <v>312</v>
      </c>
      <c r="B292" s="84" t="s">
        <v>142</v>
      </c>
      <c r="D292" s="54" t="s">
        <v>30</v>
      </c>
      <c r="E292" s="134"/>
      <c r="F292" s="48"/>
      <c r="G292" s="45"/>
      <c r="H292" s="76"/>
      <c r="I292" s="48">
        <v>5.9837000000000001E-2</v>
      </c>
      <c r="J292" s="45"/>
      <c r="K292" s="57">
        <f>I292</f>
        <v>5.9837000000000001E-2</v>
      </c>
    </row>
    <row r="293" spans="1:18" x14ac:dyDescent="0.2">
      <c r="A293" s="117">
        <f>A289+1</f>
        <v>269</v>
      </c>
      <c r="B293" s="55" t="s">
        <v>123</v>
      </c>
      <c r="C293" s="120" t="s">
        <v>62</v>
      </c>
      <c r="D293" s="77"/>
      <c r="E293" s="55"/>
      <c r="F293" s="55"/>
      <c r="G293" s="55"/>
      <c r="H293" s="55"/>
      <c r="I293" s="55"/>
      <c r="J293" s="77"/>
      <c r="K293" s="77"/>
      <c r="L293" s="55"/>
      <c r="M293" s="77"/>
      <c r="N293" s="77"/>
      <c r="O293" s="77"/>
      <c r="P293" s="77"/>
      <c r="Q293" s="77"/>
      <c r="R293" s="77"/>
    </row>
    <row r="294" spans="1:18" ht="12.6" customHeight="1" x14ac:dyDescent="0.2">
      <c r="A294" s="117">
        <f t="shared" si="52"/>
        <v>270</v>
      </c>
      <c r="B294" s="2"/>
      <c r="C294" s="13"/>
      <c r="D294" s="2" t="s">
        <v>12</v>
      </c>
      <c r="E294" s="49"/>
      <c r="F294" s="46"/>
      <c r="G294" s="45"/>
      <c r="H294" s="45"/>
      <c r="I294" s="46">
        <v>1051.81</v>
      </c>
      <c r="J294" s="4"/>
      <c r="K294" s="46">
        <f>I294*(1+K$285)</f>
        <v>1114.9186</v>
      </c>
      <c r="L294" s="46"/>
      <c r="M294" s="121"/>
      <c r="N294" s="121"/>
      <c r="O294" s="4"/>
      <c r="P294" s="4"/>
      <c r="Q294" s="122"/>
      <c r="R294" s="122"/>
    </row>
    <row r="295" spans="1:18" x14ac:dyDescent="0.2">
      <c r="A295" s="117">
        <f t="shared" si="52"/>
        <v>271</v>
      </c>
      <c r="B295" s="2"/>
      <c r="C295" s="13"/>
      <c r="D295" s="2" t="s">
        <v>31</v>
      </c>
      <c r="E295" s="49"/>
      <c r="F295" s="123"/>
      <c r="G295" s="45"/>
      <c r="H295" s="45"/>
      <c r="I295" s="46">
        <v>8.0399999999999991</v>
      </c>
      <c r="J295" s="4"/>
      <c r="K295" s="46">
        <v>8.66</v>
      </c>
      <c r="L295" s="46"/>
      <c r="M295" s="121"/>
      <c r="N295" s="121"/>
      <c r="O295" s="4"/>
      <c r="P295" s="4"/>
      <c r="Q295" s="122"/>
      <c r="R295" s="122"/>
    </row>
    <row r="296" spans="1:18" ht="13.5" thickBot="1" x14ac:dyDescent="0.25">
      <c r="A296" s="117">
        <f t="shared" si="52"/>
        <v>272</v>
      </c>
      <c r="B296" s="2"/>
      <c r="C296" s="13"/>
      <c r="D296" s="2" t="s">
        <v>28</v>
      </c>
      <c r="E296" s="49"/>
      <c r="F296" s="123"/>
      <c r="G296" s="45"/>
      <c r="H296" s="45"/>
      <c r="I296" s="57">
        <v>6.7403000000000005E-2</v>
      </c>
      <c r="J296" s="4"/>
      <c r="K296" s="57">
        <f t="shared" ref="K296:K328" si="53">I296*(1+K$285)</f>
        <v>7.1447180000000013E-2</v>
      </c>
      <c r="L296" s="57"/>
      <c r="M296" s="121"/>
      <c r="N296" s="121"/>
      <c r="O296" s="4"/>
      <c r="P296" s="4"/>
      <c r="Q296" s="122"/>
      <c r="R296" s="122"/>
    </row>
    <row r="297" spans="1:18" x14ac:dyDescent="0.2">
      <c r="A297" s="117">
        <f t="shared" si="52"/>
        <v>273</v>
      </c>
      <c r="B297" s="55" t="s">
        <v>124</v>
      </c>
      <c r="C297" s="120" t="s">
        <v>64</v>
      </c>
      <c r="D297" s="77"/>
      <c r="E297" s="55"/>
      <c r="F297" s="55"/>
      <c r="G297" s="55"/>
      <c r="H297" s="55"/>
      <c r="I297" s="55"/>
      <c r="J297" s="77"/>
      <c r="K297" s="55"/>
      <c r="L297" s="55"/>
      <c r="M297" s="77"/>
      <c r="N297" s="77"/>
      <c r="O297" s="77"/>
      <c r="P297" s="77"/>
      <c r="Q297" s="77"/>
      <c r="R297" s="77"/>
    </row>
    <row r="298" spans="1:18" ht="12.6" customHeight="1" x14ac:dyDescent="0.2">
      <c r="A298" s="117">
        <f t="shared" si="52"/>
        <v>274</v>
      </c>
      <c r="B298" s="2"/>
      <c r="C298" s="13"/>
      <c r="D298" s="2" t="s">
        <v>12</v>
      </c>
      <c r="E298" s="49"/>
      <c r="F298" s="46"/>
      <c r="G298" s="45"/>
      <c r="H298" s="45"/>
      <c r="I298" s="46">
        <v>3040.53</v>
      </c>
      <c r="J298" s="4"/>
      <c r="K298" s="46">
        <f t="shared" si="53"/>
        <v>3222.9618000000005</v>
      </c>
      <c r="L298" s="46"/>
      <c r="M298" s="121"/>
      <c r="N298" s="121"/>
      <c r="O298" s="4"/>
      <c r="P298" s="4"/>
      <c r="Q298" s="122"/>
      <c r="R298" s="122"/>
    </row>
    <row r="299" spans="1:18" x14ac:dyDescent="0.2">
      <c r="A299" s="117">
        <f t="shared" si="52"/>
        <v>275</v>
      </c>
      <c r="B299" s="2"/>
      <c r="C299" s="13"/>
      <c r="D299" s="2" t="s">
        <v>31</v>
      </c>
      <c r="E299" s="49"/>
      <c r="F299" s="123"/>
      <c r="G299" s="45"/>
      <c r="H299" s="45"/>
      <c r="I299" s="46">
        <v>8.0399999999999991</v>
      </c>
      <c r="J299" s="4"/>
      <c r="K299" s="46">
        <f>K295</f>
        <v>8.66</v>
      </c>
      <c r="L299" s="46"/>
      <c r="M299" s="121"/>
      <c r="N299" s="121"/>
      <c r="O299" s="4"/>
      <c r="P299" s="4"/>
      <c r="Q299" s="122"/>
      <c r="R299" s="122"/>
    </row>
    <row r="300" spans="1:18" ht="13.5" thickBot="1" x14ac:dyDescent="0.25">
      <c r="A300" s="117">
        <f t="shared" si="52"/>
        <v>276</v>
      </c>
      <c r="B300" s="2"/>
      <c r="C300" s="13"/>
      <c r="D300" s="2" t="s">
        <v>28</v>
      </c>
      <c r="E300" s="49"/>
      <c r="F300" s="123"/>
      <c r="G300" s="45"/>
      <c r="H300" s="45"/>
      <c r="I300" s="57">
        <v>6.3788999999999998E-2</v>
      </c>
      <c r="J300" s="4"/>
      <c r="K300" s="57">
        <f t="shared" si="53"/>
        <v>6.7616339999999997E-2</v>
      </c>
      <c r="L300" s="57"/>
      <c r="M300" s="121"/>
      <c r="N300" s="121"/>
      <c r="O300" s="4"/>
      <c r="P300" s="4"/>
      <c r="Q300" s="122"/>
      <c r="R300" s="122"/>
    </row>
    <row r="301" spans="1:18" x14ac:dyDescent="0.2">
      <c r="A301" s="117">
        <f t="shared" si="52"/>
        <v>277</v>
      </c>
      <c r="B301" s="55" t="s">
        <v>125</v>
      </c>
      <c r="C301" s="120" t="s">
        <v>65</v>
      </c>
      <c r="D301" s="77"/>
      <c r="E301" s="55"/>
      <c r="F301" s="55"/>
      <c r="G301" s="55"/>
      <c r="H301" s="55"/>
      <c r="I301" s="55"/>
      <c r="J301" s="77"/>
      <c r="K301" s="55"/>
      <c r="L301" s="55"/>
      <c r="M301" s="77"/>
      <c r="N301" s="77"/>
      <c r="O301" s="77"/>
      <c r="P301" s="77"/>
      <c r="Q301" s="77"/>
      <c r="R301" s="77"/>
    </row>
    <row r="302" spans="1:18" ht="12.6" customHeight="1" x14ac:dyDescent="0.2">
      <c r="A302" s="117">
        <f t="shared" si="52"/>
        <v>278</v>
      </c>
      <c r="B302" s="2"/>
      <c r="C302" s="13"/>
      <c r="D302" s="2" t="s">
        <v>12</v>
      </c>
      <c r="E302" s="49"/>
      <c r="F302" s="46"/>
      <c r="G302" s="45"/>
      <c r="H302" s="45"/>
      <c r="I302" s="46">
        <v>3328.33</v>
      </c>
      <c r="J302" s="4"/>
      <c r="K302" s="46">
        <f t="shared" si="53"/>
        <v>3528.0298000000003</v>
      </c>
      <c r="L302" s="46"/>
      <c r="M302" s="121"/>
      <c r="N302" s="121"/>
      <c r="O302" s="4"/>
      <c r="P302" s="4"/>
      <c r="Q302" s="122"/>
      <c r="R302" s="122"/>
    </row>
    <row r="303" spans="1:18" x14ac:dyDescent="0.2">
      <c r="A303" s="117">
        <f t="shared" si="52"/>
        <v>279</v>
      </c>
      <c r="B303" s="2"/>
      <c r="C303" s="13"/>
      <c r="D303" s="2" t="s">
        <v>31</v>
      </c>
      <c r="E303" s="49"/>
      <c r="F303" s="123"/>
      <c r="G303" s="45"/>
      <c r="H303" s="45"/>
      <c r="I303" s="46">
        <v>8.0399999999999991</v>
      </c>
      <c r="J303" s="4"/>
      <c r="K303" s="46">
        <v>8.66</v>
      </c>
      <c r="L303" s="46"/>
      <c r="M303" s="121"/>
      <c r="N303" s="121"/>
      <c r="O303" s="4"/>
      <c r="P303" s="4"/>
      <c r="Q303" s="122"/>
      <c r="R303" s="122"/>
    </row>
    <row r="304" spans="1:18" ht="13.5" thickBot="1" x14ac:dyDescent="0.25">
      <c r="A304" s="117">
        <f t="shared" si="52"/>
        <v>280</v>
      </c>
      <c r="B304" s="2"/>
      <c r="C304" s="13"/>
      <c r="D304" s="2" t="s">
        <v>28</v>
      </c>
      <c r="E304" s="49"/>
      <c r="F304" s="123"/>
      <c r="G304" s="45"/>
      <c r="H304" s="45"/>
      <c r="I304" s="57">
        <v>6.1206999999999998E-2</v>
      </c>
      <c r="J304" s="4"/>
      <c r="K304" s="57">
        <f t="shared" si="53"/>
        <v>6.4879420000000007E-2</v>
      </c>
      <c r="L304" s="57"/>
      <c r="M304" s="121"/>
      <c r="N304" s="121"/>
      <c r="O304" s="4"/>
      <c r="P304" s="4"/>
      <c r="Q304" s="122"/>
      <c r="R304" s="122"/>
    </row>
    <row r="305" spans="1:18" x14ac:dyDescent="0.2">
      <c r="A305" s="117">
        <f t="shared" si="52"/>
        <v>281</v>
      </c>
      <c r="B305" s="55" t="s">
        <v>126</v>
      </c>
      <c r="C305" s="120" t="s">
        <v>66</v>
      </c>
      <c r="D305" s="77"/>
      <c r="E305" s="55"/>
      <c r="F305" s="55"/>
      <c r="G305" s="55"/>
      <c r="H305" s="55"/>
      <c r="I305" s="55"/>
      <c r="J305" s="77"/>
      <c r="K305" s="55"/>
      <c r="L305" s="55"/>
      <c r="M305" s="77"/>
      <c r="N305" s="77"/>
      <c r="O305" s="77"/>
      <c r="P305" s="77"/>
      <c r="Q305" s="77"/>
      <c r="R305" s="77"/>
    </row>
    <row r="306" spans="1:18" ht="12.6" customHeight="1" x14ac:dyDescent="0.2">
      <c r="A306" s="117">
        <f t="shared" si="52"/>
        <v>282</v>
      </c>
      <c r="B306" s="2"/>
      <c r="C306" s="13"/>
      <c r="D306" s="2" t="s">
        <v>12</v>
      </c>
      <c r="E306" s="49"/>
      <c r="F306" s="46"/>
      <c r="G306" s="45"/>
      <c r="H306" s="45"/>
      <c r="I306" s="46">
        <v>4659.66</v>
      </c>
      <c r="J306" s="4"/>
      <c r="K306" s="46">
        <f t="shared" si="53"/>
        <v>4939.2395999999999</v>
      </c>
      <c r="L306" s="46"/>
      <c r="M306" s="121"/>
      <c r="N306" s="121"/>
      <c r="O306" s="4"/>
      <c r="P306" s="4"/>
      <c r="Q306" s="122"/>
      <c r="R306" s="122"/>
    </row>
    <row r="307" spans="1:18" x14ac:dyDescent="0.2">
      <c r="A307" s="117">
        <f t="shared" si="52"/>
        <v>283</v>
      </c>
      <c r="B307" s="2"/>
      <c r="C307" s="13"/>
      <c r="D307" s="2" t="s">
        <v>31</v>
      </c>
      <c r="E307" s="49"/>
      <c r="F307" s="123"/>
      <c r="G307" s="45"/>
      <c r="H307" s="45"/>
      <c r="I307" s="46">
        <v>8.0399999999999991</v>
      </c>
      <c r="J307" s="4"/>
      <c r="K307" s="46">
        <f>K295</f>
        <v>8.66</v>
      </c>
      <c r="L307" s="46"/>
      <c r="M307" s="121"/>
      <c r="N307" s="121"/>
      <c r="O307" s="4"/>
      <c r="P307" s="4"/>
      <c r="Q307" s="122"/>
      <c r="R307" s="122"/>
    </row>
    <row r="308" spans="1:18" ht="13.5" thickBot="1" x14ac:dyDescent="0.25">
      <c r="A308" s="117">
        <f t="shared" si="52"/>
        <v>284</v>
      </c>
      <c r="B308" s="2"/>
      <c r="C308" s="13"/>
      <c r="D308" s="2" t="s">
        <v>28</v>
      </c>
      <c r="E308" s="49"/>
      <c r="F308" s="123"/>
      <c r="G308" s="45"/>
      <c r="H308" s="45"/>
      <c r="I308" s="57">
        <v>5.8624999999999997E-2</v>
      </c>
      <c r="J308" s="4"/>
      <c r="K308" s="57">
        <f t="shared" si="53"/>
        <v>6.2142499999999996E-2</v>
      </c>
      <c r="L308" s="57"/>
      <c r="M308" s="121"/>
      <c r="N308" s="121"/>
      <c r="O308" s="4"/>
      <c r="P308" s="4"/>
      <c r="Q308" s="122"/>
      <c r="R308" s="122"/>
    </row>
    <row r="309" spans="1:18" x14ac:dyDescent="0.2">
      <c r="A309" s="117">
        <f t="shared" si="52"/>
        <v>285</v>
      </c>
      <c r="B309" s="77" t="s">
        <v>127</v>
      </c>
      <c r="C309" s="120" t="s">
        <v>74</v>
      </c>
      <c r="D309" s="77"/>
      <c r="E309" s="55"/>
      <c r="F309" s="55"/>
      <c r="G309" s="55"/>
      <c r="H309" s="55"/>
      <c r="I309" s="55"/>
      <c r="J309" s="77"/>
      <c r="K309" s="55"/>
      <c r="L309" s="55"/>
      <c r="M309" s="77"/>
      <c r="N309" s="77"/>
      <c r="O309" s="77"/>
      <c r="P309" s="77"/>
      <c r="Q309" s="77"/>
      <c r="R309" s="77"/>
    </row>
    <row r="310" spans="1:18" ht="12.6" customHeight="1" x14ac:dyDescent="0.2">
      <c r="A310" s="117">
        <f t="shared" si="52"/>
        <v>286</v>
      </c>
      <c r="B310" s="2"/>
      <c r="C310" s="13"/>
      <c r="D310" s="2" t="s">
        <v>12</v>
      </c>
      <c r="E310" s="49"/>
      <c r="F310" s="46"/>
      <c r="G310" s="45"/>
      <c r="H310" s="45"/>
      <c r="I310" s="46">
        <v>1051.81</v>
      </c>
      <c r="J310" s="4"/>
      <c r="K310" s="46">
        <f t="shared" si="53"/>
        <v>1114.9186</v>
      </c>
      <c r="L310" s="46"/>
      <c r="M310" s="121"/>
      <c r="N310" s="121"/>
      <c r="O310" s="4"/>
      <c r="P310" s="4"/>
      <c r="Q310" s="122"/>
      <c r="R310" s="122"/>
    </row>
    <row r="311" spans="1:18" x14ac:dyDescent="0.2">
      <c r="A311" s="117">
        <f t="shared" si="52"/>
        <v>287</v>
      </c>
      <c r="B311" s="2"/>
      <c r="C311" s="13"/>
      <c r="D311" s="2" t="s">
        <v>31</v>
      </c>
      <c r="E311" s="49"/>
      <c r="F311" s="123"/>
      <c r="G311" s="45"/>
      <c r="H311" s="45"/>
      <c r="I311" s="46">
        <v>6.85</v>
      </c>
      <c r="J311" s="4"/>
      <c r="K311" s="46">
        <v>7.26</v>
      </c>
      <c r="L311" s="46"/>
      <c r="M311" s="121"/>
      <c r="N311" s="121"/>
      <c r="O311" s="4"/>
      <c r="P311" s="4"/>
      <c r="Q311" s="122"/>
      <c r="R311" s="122"/>
    </row>
    <row r="312" spans="1:18" x14ac:dyDescent="0.2">
      <c r="A312" s="117">
        <f t="shared" si="52"/>
        <v>288</v>
      </c>
      <c r="B312" s="2"/>
      <c r="C312" s="13"/>
      <c r="D312" s="2" t="s">
        <v>59</v>
      </c>
      <c r="E312" s="49"/>
      <c r="F312" s="123"/>
      <c r="G312" s="45"/>
      <c r="H312" s="45"/>
      <c r="I312" s="48">
        <v>7.7972E-2</v>
      </c>
      <c r="J312" s="4"/>
      <c r="K312" s="48">
        <f t="shared" si="53"/>
        <v>8.2650319999999999E-2</v>
      </c>
      <c r="L312" s="48"/>
      <c r="M312" s="121"/>
      <c r="N312" s="121"/>
      <c r="O312" s="4"/>
      <c r="P312" s="4"/>
      <c r="Q312" s="122"/>
      <c r="R312" s="122"/>
    </row>
    <row r="313" spans="1:18" ht="13.5" thickBot="1" x14ac:dyDescent="0.25">
      <c r="A313" s="117">
        <f t="shared" si="52"/>
        <v>289</v>
      </c>
      <c r="B313" s="2"/>
      <c r="C313" s="13"/>
      <c r="D313" s="2" t="s">
        <v>60</v>
      </c>
      <c r="E313" s="49"/>
      <c r="F313" s="123"/>
      <c r="G313" s="45"/>
      <c r="H313" s="45"/>
      <c r="I313" s="48">
        <v>6.9278999999999993E-2</v>
      </c>
      <c r="J313" s="4"/>
      <c r="K313" s="48">
        <f t="shared" si="53"/>
        <v>7.3435739999999999E-2</v>
      </c>
      <c r="L313" s="48"/>
      <c r="M313" s="121"/>
      <c r="N313" s="121"/>
      <c r="O313" s="4"/>
      <c r="P313" s="4"/>
      <c r="Q313" s="122"/>
      <c r="R313" s="122"/>
    </row>
    <row r="314" spans="1:18" x14ac:dyDescent="0.2">
      <c r="A314" s="117">
        <f t="shared" si="52"/>
        <v>290</v>
      </c>
      <c r="B314" s="77" t="s">
        <v>128</v>
      </c>
      <c r="C314" s="120" t="s">
        <v>75</v>
      </c>
      <c r="D314" s="77"/>
      <c r="E314" s="55"/>
      <c r="F314" s="55"/>
      <c r="G314" s="55"/>
      <c r="H314" s="55"/>
      <c r="I314" s="55"/>
      <c r="J314" s="77"/>
      <c r="K314" s="55"/>
      <c r="L314" s="55"/>
      <c r="M314" s="77"/>
      <c r="N314" s="77"/>
      <c r="O314" s="77"/>
      <c r="P314" s="77"/>
      <c r="Q314" s="77"/>
      <c r="R314" s="77"/>
    </row>
    <row r="315" spans="1:18" ht="12.6" customHeight="1" x14ac:dyDescent="0.2">
      <c r="A315" s="117">
        <f t="shared" si="52"/>
        <v>291</v>
      </c>
      <c r="B315" s="2"/>
      <c r="C315" s="13"/>
      <c r="D315" s="2" t="s">
        <v>12</v>
      </c>
      <c r="E315" s="49"/>
      <c r="F315" s="46"/>
      <c r="G315" s="45"/>
      <c r="H315" s="45"/>
      <c r="I315" s="46">
        <v>1333.4</v>
      </c>
      <c r="J315" s="4"/>
      <c r="K315" s="46">
        <f t="shared" si="53"/>
        <v>1413.4040000000002</v>
      </c>
      <c r="L315" s="46"/>
      <c r="M315" s="121"/>
      <c r="N315" s="121"/>
      <c r="O315" s="4"/>
      <c r="P315" s="4"/>
      <c r="Q315" s="122"/>
      <c r="R315" s="122"/>
    </row>
    <row r="316" spans="1:18" x14ac:dyDescent="0.2">
      <c r="A316" s="117">
        <f t="shared" si="52"/>
        <v>292</v>
      </c>
      <c r="B316" s="2"/>
      <c r="C316" s="13"/>
      <c r="D316" s="2" t="s">
        <v>31</v>
      </c>
      <c r="E316" s="49"/>
      <c r="F316" s="123"/>
      <c r="G316" s="45"/>
      <c r="H316" s="45"/>
      <c r="I316" s="46">
        <v>6.85</v>
      </c>
      <c r="J316" s="4"/>
      <c r="K316" s="46">
        <f>K311</f>
        <v>7.26</v>
      </c>
      <c r="L316" s="46"/>
      <c r="M316" s="121"/>
      <c r="N316" s="121"/>
      <c r="O316" s="4"/>
      <c r="P316" s="4"/>
      <c r="Q316" s="122"/>
      <c r="R316" s="122"/>
    </row>
    <row r="317" spans="1:18" x14ac:dyDescent="0.2">
      <c r="A317" s="117">
        <f t="shared" si="52"/>
        <v>293</v>
      </c>
      <c r="B317" s="2"/>
      <c r="C317" s="13"/>
      <c r="D317" s="2" t="s">
        <v>59</v>
      </c>
      <c r="E317" s="49"/>
      <c r="F317" s="123"/>
      <c r="G317" s="45"/>
      <c r="H317" s="45"/>
      <c r="I317" s="48">
        <v>7.5911999999999993E-2</v>
      </c>
      <c r="J317" s="4"/>
      <c r="K317" s="48">
        <f t="shared" si="53"/>
        <v>8.0466719999999992E-2</v>
      </c>
      <c r="L317" s="48"/>
      <c r="M317" s="121"/>
      <c r="N317" s="121"/>
      <c r="O317" s="4"/>
      <c r="P317" s="4"/>
      <c r="Q317" s="122"/>
      <c r="R317" s="122"/>
    </row>
    <row r="318" spans="1:18" ht="13.5" thickBot="1" x14ac:dyDescent="0.25">
      <c r="A318" s="117">
        <f t="shared" si="52"/>
        <v>294</v>
      </c>
      <c r="B318" s="2"/>
      <c r="C318" s="13"/>
      <c r="D318" s="2" t="s">
        <v>60</v>
      </c>
      <c r="E318" s="49"/>
      <c r="F318" s="123"/>
      <c r="G318" s="45"/>
      <c r="H318" s="45"/>
      <c r="I318" s="48">
        <v>6.7209000000000005E-2</v>
      </c>
      <c r="J318" s="4"/>
      <c r="K318" s="48">
        <f t="shared" si="53"/>
        <v>7.1241540000000006E-2</v>
      </c>
      <c r="L318" s="48"/>
      <c r="M318" s="121"/>
      <c r="N318" s="121"/>
      <c r="O318" s="4"/>
      <c r="P318" s="4"/>
      <c r="Q318" s="122"/>
      <c r="R318" s="122"/>
    </row>
    <row r="319" spans="1:18" x14ac:dyDescent="0.2">
      <c r="A319" s="117">
        <f t="shared" si="52"/>
        <v>295</v>
      </c>
      <c r="B319" s="77" t="s">
        <v>129</v>
      </c>
      <c r="C319" s="120" t="s">
        <v>76</v>
      </c>
      <c r="D319" s="77"/>
      <c r="E319" s="55"/>
      <c r="F319" s="55"/>
      <c r="G319" s="55"/>
      <c r="H319" s="55"/>
      <c r="I319" s="55"/>
      <c r="J319" s="77"/>
      <c r="K319" s="55"/>
      <c r="L319" s="55"/>
      <c r="M319" s="77"/>
      <c r="N319" s="77"/>
      <c r="O319" s="77"/>
      <c r="P319" s="77"/>
      <c r="Q319" s="77"/>
      <c r="R319" s="77"/>
    </row>
    <row r="320" spans="1:18" ht="12.6" customHeight="1" x14ac:dyDescent="0.2">
      <c r="A320" s="117">
        <f t="shared" si="52"/>
        <v>296</v>
      </c>
      <c r="B320" s="2"/>
      <c r="C320" s="13"/>
      <c r="D320" s="2" t="s">
        <v>12</v>
      </c>
      <c r="E320" s="49"/>
      <c r="F320" s="46"/>
      <c r="G320" s="45"/>
      <c r="H320" s="45"/>
      <c r="I320" s="46">
        <v>3040.53</v>
      </c>
      <c r="J320" s="4"/>
      <c r="K320" s="46">
        <f t="shared" si="53"/>
        <v>3222.9618000000005</v>
      </c>
      <c r="L320" s="46"/>
      <c r="M320" s="121"/>
      <c r="N320" s="121"/>
      <c r="O320" s="4"/>
      <c r="P320" s="4"/>
      <c r="Q320" s="122"/>
      <c r="R320" s="122"/>
    </row>
    <row r="321" spans="1:18" x14ac:dyDescent="0.2">
      <c r="A321" s="117">
        <f t="shared" si="52"/>
        <v>297</v>
      </c>
      <c r="B321" s="2"/>
      <c r="C321" s="13"/>
      <c r="D321" s="2" t="s">
        <v>31</v>
      </c>
      <c r="E321" s="49"/>
      <c r="F321" s="123"/>
      <c r="G321" s="45"/>
      <c r="H321" s="45"/>
      <c r="I321" s="46">
        <v>6.85</v>
      </c>
      <c r="J321" s="4"/>
      <c r="K321" s="46">
        <f>K311</f>
        <v>7.26</v>
      </c>
      <c r="L321" s="46"/>
      <c r="M321" s="121"/>
      <c r="N321" s="121"/>
      <c r="O321" s="4"/>
      <c r="P321" s="4"/>
      <c r="Q321" s="122"/>
      <c r="R321" s="122"/>
    </row>
    <row r="322" spans="1:18" x14ac:dyDescent="0.2">
      <c r="A322" s="117">
        <f t="shared" si="52"/>
        <v>298</v>
      </c>
      <c r="B322" s="2"/>
      <c r="C322" s="13"/>
      <c r="D322" s="2" t="s">
        <v>59</v>
      </c>
      <c r="E322" s="49"/>
      <c r="F322" s="123"/>
      <c r="G322" s="45"/>
      <c r="H322" s="45"/>
      <c r="I322" s="48">
        <v>7.4367000000000003E-2</v>
      </c>
      <c r="J322" s="4"/>
      <c r="K322" s="48">
        <f t="shared" si="53"/>
        <v>7.8829020000000014E-2</v>
      </c>
      <c r="L322" s="48"/>
      <c r="M322" s="121"/>
      <c r="N322" s="121"/>
      <c r="O322" s="4"/>
      <c r="P322" s="4"/>
      <c r="Q322" s="122"/>
      <c r="R322" s="122"/>
    </row>
    <row r="323" spans="1:18" ht="13.5" thickBot="1" x14ac:dyDescent="0.25">
      <c r="A323" s="117">
        <f t="shared" si="52"/>
        <v>299</v>
      </c>
      <c r="B323" s="2"/>
      <c r="C323" s="13"/>
      <c r="D323" s="2" t="s">
        <v>60</v>
      </c>
      <c r="E323" s="49"/>
      <c r="F323" s="123"/>
      <c r="G323" s="45"/>
      <c r="H323" s="45"/>
      <c r="I323" s="48">
        <v>6.5656000000000006E-2</v>
      </c>
      <c r="J323" s="4"/>
      <c r="K323" s="48">
        <f t="shared" si="53"/>
        <v>6.9595360000000009E-2</v>
      </c>
      <c r="L323" s="48"/>
      <c r="M323" s="121"/>
      <c r="N323" s="121"/>
      <c r="O323" s="4"/>
      <c r="P323" s="4"/>
      <c r="Q323" s="122"/>
      <c r="R323" s="122"/>
    </row>
    <row r="324" spans="1:18" x14ac:dyDescent="0.2">
      <c r="A324" s="117">
        <f t="shared" si="52"/>
        <v>300</v>
      </c>
      <c r="B324" s="77" t="s">
        <v>130</v>
      </c>
      <c r="C324" s="120" t="s">
        <v>77</v>
      </c>
      <c r="D324" s="77"/>
      <c r="E324" s="55"/>
      <c r="F324" s="55"/>
      <c r="G324" s="55"/>
      <c r="H324" s="55"/>
      <c r="I324" s="55"/>
      <c r="J324" s="77"/>
      <c r="K324" s="55"/>
      <c r="L324" s="55"/>
      <c r="M324" s="77"/>
      <c r="N324" s="77"/>
      <c r="O324" s="77"/>
      <c r="P324" s="77"/>
      <c r="Q324" s="77"/>
      <c r="R324" s="77"/>
    </row>
    <row r="325" spans="1:18" ht="12.6" customHeight="1" x14ac:dyDescent="0.2">
      <c r="A325" s="117">
        <f t="shared" si="52"/>
        <v>301</v>
      </c>
      <c r="B325" s="2"/>
      <c r="C325" s="13"/>
      <c r="D325" s="2" t="s">
        <v>12</v>
      </c>
      <c r="E325" s="49"/>
      <c r="F325" s="46"/>
      <c r="G325" s="45"/>
      <c r="H325" s="45"/>
      <c r="I325" s="46">
        <v>4659.66</v>
      </c>
      <c r="J325" s="4"/>
      <c r="K325" s="46">
        <f t="shared" si="53"/>
        <v>4939.2395999999999</v>
      </c>
      <c r="L325" s="46"/>
      <c r="M325" s="121"/>
      <c r="N325" s="121"/>
      <c r="O325" s="4"/>
      <c r="P325" s="4"/>
      <c r="Q325" s="122"/>
      <c r="R325" s="122"/>
    </row>
    <row r="326" spans="1:18" x14ac:dyDescent="0.2">
      <c r="A326" s="117">
        <f t="shared" si="52"/>
        <v>302</v>
      </c>
      <c r="B326" s="2"/>
      <c r="C326" s="13"/>
      <c r="D326" s="2" t="s">
        <v>31</v>
      </c>
      <c r="E326" s="49"/>
      <c r="F326" s="123"/>
      <c r="G326" s="45"/>
      <c r="H326" s="45"/>
      <c r="I326" s="46">
        <v>6.85</v>
      </c>
      <c r="J326" s="4"/>
      <c r="K326" s="46">
        <f>K311</f>
        <v>7.26</v>
      </c>
      <c r="L326" s="46"/>
      <c r="M326" s="121"/>
      <c r="N326" s="121"/>
      <c r="O326" s="4"/>
      <c r="P326" s="4"/>
      <c r="Q326" s="122"/>
      <c r="R326" s="122"/>
    </row>
    <row r="327" spans="1:18" x14ac:dyDescent="0.2">
      <c r="A327" s="117">
        <f t="shared" si="52"/>
        <v>303</v>
      </c>
      <c r="B327" s="2"/>
      <c r="C327" s="13"/>
      <c r="D327" s="2" t="s">
        <v>59</v>
      </c>
      <c r="E327" s="49"/>
      <c r="F327" s="123"/>
      <c r="G327" s="45"/>
      <c r="H327" s="45"/>
      <c r="I327" s="48">
        <v>6.9214999999999999E-2</v>
      </c>
      <c r="J327" s="4"/>
      <c r="K327" s="48">
        <f t="shared" si="53"/>
        <v>7.33679E-2</v>
      </c>
      <c r="L327" s="48"/>
      <c r="M327" s="121"/>
      <c r="N327" s="121"/>
      <c r="O327" s="4"/>
      <c r="P327" s="4"/>
      <c r="Q327" s="122"/>
      <c r="R327" s="122"/>
    </row>
    <row r="328" spans="1:18" ht="13.5" thickBot="1" x14ac:dyDescent="0.25">
      <c r="A328" s="117">
        <f t="shared" si="52"/>
        <v>304</v>
      </c>
      <c r="B328" s="125"/>
      <c r="C328" s="126"/>
      <c r="D328" s="125" t="s">
        <v>60</v>
      </c>
      <c r="E328" s="127"/>
      <c r="F328" s="128"/>
      <c r="G328" s="129"/>
      <c r="H328" s="129"/>
      <c r="I328" s="130">
        <v>6.0479999999999999E-2</v>
      </c>
      <c r="J328" s="131"/>
      <c r="K328" s="130">
        <f t="shared" si="53"/>
        <v>6.4108800000000007E-2</v>
      </c>
      <c r="L328" s="130"/>
      <c r="M328" s="132"/>
      <c r="N328" s="132"/>
      <c r="O328" s="131"/>
      <c r="P328" s="131"/>
      <c r="Q328" s="133"/>
      <c r="R328" s="133"/>
    </row>
    <row r="329" spans="1:18" x14ac:dyDescent="0.2">
      <c r="A329" s="117">
        <f t="shared" si="52"/>
        <v>305</v>
      </c>
      <c r="B329" s="77" t="s">
        <v>132</v>
      </c>
      <c r="C329" s="120" t="s">
        <v>133</v>
      </c>
      <c r="D329" s="77"/>
      <c r="E329" s="55"/>
      <c r="F329" s="55"/>
      <c r="G329" s="55"/>
      <c r="H329" s="55"/>
      <c r="I329" s="55"/>
      <c r="J329" s="77"/>
      <c r="K329" s="55"/>
      <c r="L329" s="55"/>
      <c r="M329" s="77"/>
      <c r="N329" s="77"/>
      <c r="O329" s="77"/>
      <c r="P329" s="77"/>
      <c r="Q329" s="77"/>
      <c r="R329" s="77"/>
    </row>
    <row r="330" spans="1:18" ht="12.6" customHeight="1" x14ac:dyDescent="0.2">
      <c r="A330" s="117">
        <f t="shared" si="52"/>
        <v>306</v>
      </c>
      <c r="B330" s="2"/>
      <c r="C330" s="13"/>
      <c r="D330" s="2" t="s">
        <v>12</v>
      </c>
      <c r="E330" s="49"/>
      <c r="F330" s="46"/>
      <c r="G330" s="45"/>
      <c r="H330" s="45"/>
      <c r="I330" s="46">
        <v>4659.66</v>
      </c>
      <c r="J330" s="4"/>
      <c r="K330" s="72">
        <f>I330</f>
        <v>4659.66</v>
      </c>
      <c r="L330" s="46"/>
      <c r="M330" s="121"/>
      <c r="N330" s="121"/>
      <c r="O330" s="4"/>
      <c r="P330" s="4"/>
      <c r="Q330" s="122"/>
      <c r="R330" s="122"/>
    </row>
    <row r="331" spans="1:18" x14ac:dyDescent="0.2">
      <c r="A331" s="117">
        <f t="shared" si="52"/>
        <v>307</v>
      </c>
      <c r="B331" s="2"/>
      <c r="C331" s="13"/>
      <c r="D331" s="2" t="s">
        <v>31</v>
      </c>
      <c r="E331" s="49"/>
      <c r="F331" s="123"/>
      <c r="G331" s="45"/>
      <c r="H331" s="45"/>
      <c r="I331" s="46">
        <v>7.3</v>
      </c>
      <c r="J331" s="4"/>
      <c r="K331" s="72">
        <f>I331</f>
        <v>7.3</v>
      </c>
      <c r="L331" s="46"/>
      <c r="M331" s="121"/>
      <c r="N331" s="121"/>
      <c r="O331" s="4"/>
      <c r="P331" s="4"/>
      <c r="Q331" s="122"/>
      <c r="R331" s="122"/>
    </row>
    <row r="332" spans="1:18" x14ac:dyDescent="0.2">
      <c r="A332" s="117">
        <f t="shared" si="52"/>
        <v>308</v>
      </c>
      <c r="B332" s="2"/>
      <c r="C332" s="13"/>
      <c r="D332" s="2" t="s">
        <v>28</v>
      </c>
      <c r="E332" s="49"/>
      <c r="F332" s="123"/>
      <c r="G332" s="45"/>
      <c r="H332" s="45"/>
      <c r="I332" s="48">
        <v>5.1630000000000002E-2</v>
      </c>
      <c r="J332" s="4"/>
      <c r="K332" s="73">
        <f>I332</f>
        <v>5.1630000000000002E-2</v>
      </c>
      <c r="L332" s="48"/>
      <c r="M332" s="121"/>
      <c r="N332" s="121"/>
      <c r="O332" s="4"/>
      <c r="P332" s="4"/>
      <c r="Q332" s="122"/>
      <c r="R332" s="122"/>
    </row>
    <row r="333" spans="1:18" ht="13.5" thickBot="1" x14ac:dyDescent="0.25">
      <c r="A333" s="117">
        <f t="shared" si="52"/>
        <v>309</v>
      </c>
      <c r="H333" s="54"/>
      <c r="I333" s="2"/>
      <c r="K333" s="2"/>
      <c r="L333" s="130"/>
      <c r="M333" s="132"/>
      <c r="N333" s="132"/>
      <c r="O333" s="131"/>
      <c r="P333" s="131"/>
      <c r="Q333" s="133"/>
      <c r="R333" s="133"/>
    </row>
    <row r="334" spans="1:18" x14ac:dyDescent="0.2">
      <c r="A334" s="117"/>
      <c r="B334" s="77"/>
      <c r="C334" s="120"/>
      <c r="D334" s="77"/>
      <c r="E334" s="55"/>
      <c r="F334" s="55"/>
      <c r="G334" s="55"/>
      <c r="H334" s="55"/>
      <c r="I334" s="55"/>
      <c r="J334" s="77"/>
      <c r="K334" s="55"/>
      <c r="L334" s="55"/>
      <c r="M334" s="77"/>
      <c r="N334" s="77"/>
      <c r="O334" s="77"/>
      <c r="P334" s="77"/>
      <c r="Q334" s="77"/>
      <c r="R334" s="77"/>
    </row>
    <row r="335" spans="1:18" x14ac:dyDescent="0.2">
      <c r="H335" s="54"/>
      <c r="I335" s="2"/>
      <c r="K335" s="2"/>
    </row>
    <row r="336" spans="1:18" x14ac:dyDescent="0.2">
      <c r="K336" s="2"/>
    </row>
    <row r="337" spans="9:9" x14ac:dyDescent="0.2">
      <c r="I337" s="2"/>
    </row>
  </sheetData>
  <phoneticPr fontId="5" type="noConversion"/>
  <printOptions horizontalCentered="1"/>
  <pageMargins left="0.7" right="0.7" top="0.75" bottom="0.75" header="0.3" footer="0.3"/>
  <pageSetup scale="50" fitToHeight="5" orientation="landscape" r:id="rId1"/>
  <headerFooter>
    <oddFooter>&amp;R&amp;"Arial,Bold"&amp;10Exhibit JW-9
Page &amp;P of &amp;N</oddFooter>
  </headerFooter>
  <rowBreaks count="4" manualBreakCount="4">
    <brk id="55" max="13" man="1"/>
    <brk id="106" max="13" man="1"/>
    <brk id="132" max="13" man="1"/>
    <brk id="184" max="13" man="1"/>
  </rowBreaks>
  <ignoredErrors>
    <ignoredError sqref="L10:N10 M23:N23 M35:N35 M47:N47 M59 M85 M98 M111 M124 M152 M166 M200:N200 N59:N63 N85:N89 N111:N115 N166:N170 K224:K241 K245:K270 K275:K280 N65 N91:N98 N117:N124 N172:N174 N78 J23 J35 J29:J32 J47 J59 J72 J85 J98 J111 J124 J138 J152 J166 J200 J25:J27 J37:J44 J49:J56 J74:J81 J87:J94 J100:J107 J113:J120 J126:J133 J143:J147 J157:J161 J185 J202:J209 K299:K326 J61:J68 J168:J174 M17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5C3A2-0E08-47ED-8435-4BB6B116C4CB}">
  <sheetPr>
    <pageSetUpPr fitToPage="1"/>
  </sheetPr>
  <dimension ref="A1:M40"/>
  <sheetViews>
    <sheetView topLeftCell="A3" zoomScaleNormal="100" workbookViewId="0">
      <selection activeCell="C30" sqref="C30"/>
    </sheetView>
  </sheetViews>
  <sheetFormatPr defaultColWidth="9.140625" defaultRowHeight="12.75" x14ac:dyDescent="0.2"/>
  <cols>
    <col min="1" max="1" width="3.42578125" style="104" customWidth="1"/>
    <col min="2" max="2" width="5.28515625" style="103" customWidth="1"/>
    <col min="3" max="7" width="9.140625" style="104"/>
    <col min="8" max="8" width="10.5703125" style="104" customWidth="1"/>
    <col min="9" max="11" width="9.140625" style="104"/>
    <col min="12" max="12" width="8.28515625" style="104" bestFit="1" customWidth="1"/>
    <col min="13" max="13" width="7.7109375" style="104" customWidth="1"/>
    <col min="14" max="16384" width="9.140625" style="104"/>
  </cols>
  <sheetData>
    <row r="1" spans="1:13" x14ac:dyDescent="0.2">
      <c r="A1" s="91" t="str">
        <f>Summary!A1</f>
        <v>FARMERS RECC</v>
      </c>
    </row>
    <row r="2" spans="1:13" x14ac:dyDescent="0.2">
      <c r="A2" s="113" t="s">
        <v>102</v>
      </c>
      <c r="I2" s="114"/>
      <c r="J2" s="114"/>
    </row>
    <row r="3" spans="1:13" x14ac:dyDescent="0.2">
      <c r="A3" s="91" t="s">
        <v>103</v>
      </c>
    </row>
    <row r="4" spans="1:13" ht="33.75" customHeight="1" thickBot="1" x14ac:dyDescent="0.25"/>
    <row r="5" spans="1:13" ht="21" customHeight="1" thickTop="1" x14ac:dyDescent="0.2">
      <c r="B5" s="85"/>
      <c r="C5" s="86" t="s">
        <v>104</v>
      </c>
      <c r="D5" s="144" t="s">
        <v>105</v>
      </c>
      <c r="E5" s="144"/>
      <c r="F5" s="144"/>
      <c r="G5" s="145"/>
      <c r="H5" s="146" t="s">
        <v>106</v>
      </c>
      <c r="I5" s="144"/>
      <c r="J5" s="144"/>
      <c r="K5" s="145"/>
      <c r="L5" s="146" t="s">
        <v>48</v>
      </c>
      <c r="M5" s="147"/>
    </row>
    <row r="6" spans="1:13" ht="23.25" customHeight="1" x14ac:dyDescent="0.2">
      <c r="B6" s="87" t="s">
        <v>0</v>
      </c>
      <c r="C6" s="88" t="s">
        <v>107</v>
      </c>
      <c r="D6" s="89" t="s">
        <v>108</v>
      </c>
      <c r="E6" s="89" t="s">
        <v>109</v>
      </c>
      <c r="F6" s="89" t="s">
        <v>110</v>
      </c>
      <c r="G6" s="89" t="s">
        <v>89</v>
      </c>
      <c r="H6" s="89" t="s">
        <v>111</v>
      </c>
      <c r="I6" s="89" t="s">
        <v>112</v>
      </c>
      <c r="J6" s="89" t="s">
        <v>110</v>
      </c>
      <c r="K6" s="89" t="s">
        <v>89</v>
      </c>
      <c r="L6" s="89" t="s">
        <v>113</v>
      </c>
      <c r="M6" s="90" t="s">
        <v>11</v>
      </c>
    </row>
    <row r="7" spans="1:13" s="91" customFormat="1" ht="18" customHeight="1" thickBot="1" x14ac:dyDescent="0.25">
      <c r="B7" s="92"/>
      <c r="C7" s="93"/>
      <c r="D7" s="94">
        <f>'Billing Detail'!I8</f>
        <v>18.12</v>
      </c>
      <c r="E7" s="95">
        <f>'Billing Detail'!I9</f>
        <v>0.10066600000000001</v>
      </c>
      <c r="F7" s="95">
        <f>('Billing Detail'!J15/'Billing Detail'!H9)</f>
        <v>1.0213884024161832E-2</v>
      </c>
      <c r="G7" s="95"/>
      <c r="H7" s="94">
        <f>'Billing Detail'!K8</f>
        <v>27.79</v>
      </c>
      <c r="I7" s="95">
        <f>'Billing Detail'!K9</f>
        <v>9.9057000000000006E-2</v>
      </c>
      <c r="J7" s="95">
        <f>F7</f>
        <v>1.0213884024161832E-2</v>
      </c>
      <c r="K7" s="93"/>
      <c r="L7" s="93"/>
      <c r="M7" s="96"/>
    </row>
    <row r="8" spans="1:13" ht="13.5" thickTop="1" x14ac:dyDescent="0.2">
      <c r="B8" s="105">
        <v>1</v>
      </c>
      <c r="C8" s="115">
        <v>0</v>
      </c>
      <c r="D8" s="106">
        <f t="shared" ref="D8:D39" si="0">D$7</f>
        <v>18.12</v>
      </c>
      <c r="E8" s="107">
        <f t="shared" ref="E8:E38" si="1">$E$7*C8</f>
        <v>0</v>
      </c>
      <c r="F8" s="107">
        <f>$F$7*C8</f>
        <v>0</v>
      </c>
      <c r="G8" s="108">
        <f>E8+D8+F8</f>
        <v>18.12</v>
      </c>
      <c r="H8" s="97">
        <f t="shared" ref="H8:H39" si="2">$H$7</f>
        <v>27.79</v>
      </c>
      <c r="I8" s="107">
        <f t="shared" ref="I8:I38" si="3">$I$7*C8</f>
        <v>0</v>
      </c>
      <c r="J8" s="107">
        <f>$J$7*C8</f>
        <v>0</v>
      </c>
      <c r="K8" s="98">
        <f>H8+I8+J8</f>
        <v>27.79</v>
      </c>
      <c r="L8" s="97">
        <f t="shared" ref="L8:L38" si="4">K8-G8</f>
        <v>9.6699999999999982</v>
      </c>
      <c r="M8" s="99">
        <f t="shared" ref="M8:M38" si="5">L8/G8</f>
        <v>0.5336644591611478</v>
      </c>
    </row>
    <row r="9" spans="1:13" x14ac:dyDescent="0.2">
      <c r="B9" s="105">
        <v>2</v>
      </c>
      <c r="C9" s="115">
        <f>C8+100</f>
        <v>100</v>
      </c>
      <c r="D9" s="106">
        <f t="shared" si="0"/>
        <v>18.12</v>
      </c>
      <c r="E9" s="107">
        <f t="shared" si="1"/>
        <v>10.066600000000001</v>
      </c>
      <c r="F9" s="107">
        <f t="shared" ref="F9:F38" si="6">$F$7*C9</f>
        <v>1.0213884024161832</v>
      </c>
      <c r="G9" s="108">
        <f t="shared" ref="G9:G38" si="7">E9+D9+F9</f>
        <v>29.207988402416184</v>
      </c>
      <c r="H9" s="97">
        <f t="shared" si="2"/>
        <v>27.79</v>
      </c>
      <c r="I9" s="107">
        <f t="shared" si="3"/>
        <v>9.9057000000000013</v>
      </c>
      <c r="J9" s="107">
        <f t="shared" ref="J9:J38" si="8">$J$7*C9</f>
        <v>1.0213884024161832</v>
      </c>
      <c r="K9" s="98">
        <f t="shared" ref="K9:K38" si="9">H9+I9+J9</f>
        <v>38.717088402416188</v>
      </c>
      <c r="L9" s="97">
        <f t="shared" si="4"/>
        <v>9.5091000000000037</v>
      </c>
      <c r="M9" s="99">
        <f t="shared" si="5"/>
        <v>0.32556504299397004</v>
      </c>
    </row>
    <row r="10" spans="1:13" x14ac:dyDescent="0.2">
      <c r="B10" s="105">
        <v>3</v>
      </c>
      <c r="C10" s="115">
        <f t="shared" ref="C10:C37" si="10">C9+100</f>
        <v>200</v>
      </c>
      <c r="D10" s="106">
        <f t="shared" si="0"/>
        <v>18.12</v>
      </c>
      <c r="E10" s="107">
        <f t="shared" si="1"/>
        <v>20.133200000000002</v>
      </c>
      <c r="F10" s="107">
        <f t="shared" si="6"/>
        <v>2.0427768048323665</v>
      </c>
      <c r="G10" s="108">
        <f t="shared" si="7"/>
        <v>40.295976804832371</v>
      </c>
      <c r="H10" s="97">
        <f t="shared" si="2"/>
        <v>27.79</v>
      </c>
      <c r="I10" s="107">
        <f t="shared" si="3"/>
        <v>19.811400000000003</v>
      </c>
      <c r="J10" s="107">
        <f t="shared" si="8"/>
        <v>2.0427768048323665</v>
      </c>
      <c r="K10" s="98">
        <f t="shared" si="9"/>
        <v>49.644176804832362</v>
      </c>
      <c r="L10" s="97">
        <f t="shared" si="4"/>
        <v>9.3481999999999914</v>
      </c>
      <c r="M10" s="99">
        <f t="shared" si="5"/>
        <v>0.23198842021566127</v>
      </c>
    </row>
    <row r="11" spans="1:13" x14ac:dyDescent="0.2">
      <c r="B11" s="105">
        <v>4</v>
      </c>
      <c r="C11" s="115">
        <f t="shared" si="10"/>
        <v>300</v>
      </c>
      <c r="D11" s="106">
        <f t="shared" si="0"/>
        <v>18.12</v>
      </c>
      <c r="E11" s="107">
        <f t="shared" si="1"/>
        <v>30.199800000000003</v>
      </c>
      <c r="F11" s="107">
        <f t="shared" si="6"/>
        <v>3.0641652072485495</v>
      </c>
      <c r="G11" s="108">
        <f t="shared" si="7"/>
        <v>51.383965207248551</v>
      </c>
      <c r="H11" s="97">
        <f t="shared" si="2"/>
        <v>27.79</v>
      </c>
      <c r="I11" s="107">
        <f t="shared" si="3"/>
        <v>29.717100000000002</v>
      </c>
      <c r="J11" s="107">
        <f t="shared" si="8"/>
        <v>3.0641652072485495</v>
      </c>
      <c r="K11" s="98">
        <f t="shared" si="9"/>
        <v>60.571265207248551</v>
      </c>
      <c r="L11" s="97">
        <f t="shared" si="4"/>
        <v>9.1873000000000005</v>
      </c>
      <c r="M11" s="99">
        <f t="shared" si="5"/>
        <v>0.1787970228250112</v>
      </c>
    </row>
    <row r="12" spans="1:13" x14ac:dyDescent="0.2">
      <c r="B12" s="105">
        <v>5</v>
      </c>
      <c r="C12" s="115">
        <f t="shared" si="10"/>
        <v>400</v>
      </c>
      <c r="D12" s="106">
        <f t="shared" si="0"/>
        <v>18.12</v>
      </c>
      <c r="E12" s="107">
        <f t="shared" si="1"/>
        <v>40.266400000000004</v>
      </c>
      <c r="F12" s="107">
        <f t="shared" si="6"/>
        <v>4.0855536096647329</v>
      </c>
      <c r="G12" s="108">
        <f t="shared" si="7"/>
        <v>62.471953609664745</v>
      </c>
      <c r="H12" s="97">
        <f t="shared" si="2"/>
        <v>27.79</v>
      </c>
      <c r="I12" s="107">
        <f t="shared" si="3"/>
        <v>39.622800000000005</v>
      </c>
      <c r="J12" s="107">
        <f t="shared" si="8"/>
        <v>4.0855536096647329</v>
      </c>
      <c r="K12" s="98">
        <f t="shared" si="9"/>
        <v>71.498353609664733</v>
      </c>
      <c r="L12" s="97">
        <f t="shared" si="4"/>
        <v>9.0263999999999882</v>
      </c>
      <c r="M12" s="99">
        <f t="shared" si="5"/>
        <v>0.14448723752739431</v>
      </c>
    </row>
    <row r="13" spans="1:13" x14ac:dyDescent="0.2">
      <c r="B13" s="105">
        <v>6</v>
      </c>
      <c r="C13" s="115">
        <f t="shared" si="10"/>
        <v>500</v>
      </c>
      <c r="D13" s="106">
        <f t="shared" si="0"/>
        <v>18.12</v>
      </c>
      <c r="E13" s="107">
        <f t="shared" si="1"/>
        <v>50.333000000000006</v>
      </c>
      <c r="F13" s="107">
        <f t="shared" si="6"/>
        <v>5.1069420120809159</v>
      </c>
      <c r="G13" s="108">
        <f t="shared" si="7"/>
        <v>73.559942012080924</v>
      </c>
      <c r="H13" s="97">
        <f t="shared" si="2"/>
        <v>27.79</v>
      </c>
      <c r="I13" s="107">
        <f t="shared" si="3"/>
        <v>49.528500000000001</v>
      </c>
      <c r="J13" s="107">
        <f t="shared" si="8"/>
        <v>5.1069420120809159</v>
      </c>
      <c r="K13" s="98">
        <f t="shared" si="9"/>
        <v>82.425442012080921</v>
      </c>
      <c r="L13" s="97">
        <f t="shared" si="4"/>
        <v>8.8654999999999973</v>
      </c>
      <c r="M13" s="99">
        <f t="shared" si="5"/>
        <v>0.1205207584114734</v>
      </c>
    </row>
    <row r="14" spans="1:13" x14ac:dyDescent="0.2">
      <c r="B14" s="105">
        <v>7</v>
      </c>
      <c r="C14" s="115">
        <f t="shared" si="10"/>
        <v>600</v>
      </c>
      <c r="D14" s="106">
        <f t="shared" si="0"/>
        <v>18.12</v>
      </c>
      <c r="E14" s="107">
        <f t="shared" si="1"/>
        <v>60.399600000000007</v>
      </c>
      <c r="F14" s="107">
        <f t="shared" si="6"/>
        <v>6.1283304144970989</v>
      </c>
      <c r="G14" s="108">
        <f t="shared" si="7"/>
        <v>84.647930414497111</v>
      </c>
      <c r="H14" s="97">
        <f t="shared" si="2"/>
        <v>27.79</v>
      </c>
      <c r="I14" s="107">
        <f t="shared" si="3"/>
        <v>59.434200000000004</v>
      </c>
      <c r="J14" s="107">
        <f t="shared" si="8"/>
        <v>6.1283304144970989</v>
      </c>
      <c r="K14" s="98">
        <f t="shared" si="9"/>
        <v>93.352530414497096</v>
      </c>
      <c r="L14" s="97">
        <f t="shared" si="4"/>
        <v>8.704599999999985</v>
      </c>
      <c r="M14" s="99">
        <f t="shared" si="5"/>
        <v>0.10283299257732595</v>
      </c>
    </row>
    <row r="15" spans="1:13" x14ac:dyDescent="0.2">
      <c r="B15" s="105">
        <v>8</v>
      </c>
      <c r="C15" s="115">
        <f t="shared" si="10"/>
        <v>700</v>
      </c>
      <c r="D15" s="106">
        <f t="shared" si="0"/>
        <v>18.12</v>
      </c>
      <c r="E15" s="107">
        <f t="shared" si="1"/>
        <v>70.466200000000001</v>
      </c>
      <c r="F15" s="107">
        <f t="shared" si="6"/>
        <v>7.1497188169132819</v>
      </c>
      <c r="G15" s="108">
        <f t="shared" si="7"/>
        <v>95.735918816913284</v>
      </c>
      <c r="H15" s="97">
        <f t="shared" si="2"/>
        <v>27.79</v>
      </c>
      <c r="I15" s="107">
        <f t="shared" si="3"/>
        <v>69.3399</v>
      </c>
      <c r="J15" s="107">
        <f t="shared" si="8"/>
        <v>7.1497188169132819</v>
      </c>
      <c r="K15" s="98">
        <f t="shared" si="9"/>
        <v>104.27961881691327</v>
      </c>
      <c r="L15" s="97">
        <f t="shared" si="4"/>
        <v>8.543699999999987</v>
      </c>
      <c r="M15" s="99">
        <f t="shared" si="5"/>
        <v>8.9242366977634366E-2</v>
      </c>
    </row>
    <row r="16" spans="1:13" x14ac:dyDescent="0.2">
      <c r="B16" s="105">
        <v>9</v>
      </c>
      <c r="C16" s="115">
        <f t="shared" si="10"/>
        <v>800</v>
      </c>
      <c r="D16" s="106">
        <f t="shared" si="0"/>
        <v>18.12</v>
      </c>
      <c r="E16" s="107">
        <f t="shared" si="1"/>
        <v>80.532800000000009</v>
      </c>
      <c r="F16" s="107">
        <f t="shared" si="6"/>
        <v>8.1711072193294658</v>
      </c>
      <c r="G16" s="108">
        <f t="shared" si="7"/>
        <v>106.82390721932948</v>
      </c>
      <c r="H16" s="97">
        <f t="shared" si="2"/>
        <v>27.79</v>
      </c>
      <c r="I16" s="107">
        <f t="shared" si="3"/>
        <v>79.24560000000001</v>
      </c>
      <c r="J16" s="107">
        <f t="shared" si="8"/>
        <v>8.1711072193294658</v>
      </c>
      <c r="K16" s="98">
        <f t="shared" si="9"/>
        <v>115.20670721932949</v>
      </c>
      <c r="L16" s="97">
        <f t="shared" si="4"/>
        <v>8.3828000000000031</v>
      </c>
      <c r="M16" s="99">
        <f t="shared" si="5"/>
        <v>7.8473070478395301E-2</v>
      </c>
    </row>
    <row r="17" spans="2:13" x14ac:dyDescent="0.2">
      <c r="B17" s="105">
        <v>10</v>
      </c>
      <c r="C17" s="115">
        <f t="shared" si="10"/>
        <v>900</v>
      </c>
      <c r="D17" s="106">
        <f t="shared" si="0"/>
        <v>18.12</v>
      </c>
      <c r="E17" s="107">
        <f t="shared" si="1"/>
        <v>90.599400000000003</v>
      </c>
      <c r="F17" s="107">
        <f t="shared" si="6"/>
        <v>9.1924956217456479</v>
      </c>
      <c r="G17" s="108">
        <f t="shared" si="7"/>
        <v>117.91189562174566</v>
      </c>
      <c r="H17" s="97">
        <f t="shared" si="2"/>
        <v>27.79</v>
      </c>
      <c r="I17" s="107">
        <f t="shared" si="3"/>
        <v>89.151300000000006</v>
      </c>
      <c r="J17" s="107">
        <f t="shared" si="8"/>
        <v>9.1924956217456479</v>
      </c>
      <c r="K17" s="98">
        <f t="shared" si="9"/>
        <v>126.13379562174566</v>
      </c>
      <c r="L17" s="97">
        <f t="shared" si="4"/>
        <v>8.2219000000000051</v>
      </c>
      <c r="M17" s="99">
        <f t="shared" si="5"/>
        <v>6.9729181747491972E-2</v>
      </c>
    </row>
    <row r="18" spans="2:13" x14ac:dyDescent="0.2">
      <c r="B18" s="195">
        <v>11</v>
      </c>
      <c r="C18" s="196">
        <f t="shared" si="10"/>
        <v>1000</v>
      </c>
      <c r="D18" s="197">
        <f t="shared" si="0"/>
        <v>18.12</v>
      </c>
      <c r="E18" s="198">
        <f t="shared" si="1"/>
        <v>100.66600000000001</v>
      </c>
      <c r="F18" s="198">
        <f t="shared" si="6"/>
        <v>10.213884024161832</v>
      </c>
      <c r="G18" s="199">
        <f t="shared" si="7"/>
        <v>128.99988402416184</v>
      </c>
      <c r="H18" s="200">
        <f t="shared" si="2"/>
        <v>27.79</v>
      </c>
      <c r="I18" s="198">
        <f t="shared" si="3"/>
        <v>99.057000000000002</v>
      </c>
      <c r="J18" s="198">
        <f t="shared" si="8"/>
        <v>10.213884024161832</v>
      </c>
      <c r="K18" s="201">
        <f t="shared" si="9"/>
        <v>137.06088402416185</v>
      </c>
      <c r="L18" s="200">
        <f t="shared" si="4"/>
        <v>8.061000000000007</v>
      </c>
      <c r="M18" s="202">
        <f t="shared" si="5"/>
        <v>6.248842827246396E-2</v>
      </c>
    </row>
    <row r="19" spans="2:13" x14ac:dyDescent="0.2">
      <c r="B19" s="195">
        <v>12</v>
      </c>
      <c r="C19" s="196">
        <f t="shared" si="10"/>
        <v>1100</v>
      </c>
      <c r="D19" s="197">
        <f t="shared" si="0"/>
        <v>18.12</v>
      </c>
      <c r="E19" s="198">
        <f t="shared" si="1"/>
        <v>110.73260000000001</v>
      </c>
      <c r="F19" s="198">
        <f t="shared" si="6"/>
        <v>11.235272426578016</v>
      </c>
      <c r="G19" s="199">
        <f t="shared" si="7"/>
        <v>140.087872426578</v>
      </c>
      <c r="H19" s="200">
        <f t="shared" si="2"/>
        <v>27.79</v>
      </c>
      <c r="I19" s="198">
        <f t="shared" si="3"/>
        <v>108.96270000000001</v>
      </c>
      <c r="J19" s="198">
        <f t="shared" si="8"/>
        <v>11.235272426578016</v>
      </c>
      <c r="K19" s="201">
        <f t="shared" si="9"/>
        <v>147.98797242657801</v>
      </c>
      <c r="L19" s="200">
        <f t="shared" si="4"/>
        <v>7.900100000000009</v>
      </c>
      <c r="M19" s="202">
        <f t="shared" si="5"/>
        <v>5.6393889514886886E-2</v>
      </c>
    </row>
    <row r="20" spans="2:13" x14ac:dyDescent="0.2">
      <c r="B20" s="105">
        <v>13</v>
      </c>
      <c r="C20" s="115">
        <f t="shared" si="10"/>
        <v>1200</v>
      </c>
      <c r="D20" s="106">
        <f t="shared" si="0"/>
        <v>18.12</v>
      </c>
      <c r="E20" s="107">
        <f t="shared" si="1"/>
        <v>120.79920000000001</v>
      </c>
      <c r="F20" s="107">
        <f t="shared" si="6"/>
        <v>12.256660828994198</v>
      </c>
      <c r="G20" s="108">
        <f t="shared" si="7"/>
        <v>151.17586082899422</v>
      </c>
      <c r="H20" s="97">
        <f t="shared" si="2"/>
        <v>27.79</v>
      </c>
      <c r="I20" s="107">
        <f t="shared" si="3"/>
        <v>118.86840000000001</v>
      </c>
      <c r="J20" s="107">
        <f t="shared" si="8"/>
        <v>12.256660828994198</v>
      </c>
      <c r="K20" s="98">
        <f t="shared" si="9"/>
        <v>158.9150608289942</v>
      </c>
      <c r="L20" s="97">
        <f t="shared" si="4"/>
        <v>7.7391999999999825</v>
      </c>
      <c r="M20" s="99">
        <f t="shared" si="5"/>
        <v>5.1193358235640168E-2</v>
      </c>
    </row>
    <row r="21" spans="2:13" x14ac:dyDescent="0.2">
      <c r="B21" s="105">
        <v>14</v>
      </c>
      <c r="C21" s="115">
        <f t="shared" si="10"/>
        <v>1300</v>
      </c>
      <c r="D21" s="106">
        <f t="shared" si="0"/>
        <v>18.12</v>
      </c>
      <c r="E21" s="107">
        <f t="shared" si="1"/>
        <v>130.86580000000001</v>
      </c>
      <c r="F21" s="107">
        <f t="shared" si="6"/>
        <v>13.278049231410382</v>
      </c>
      <c r="G21" s="108">
        <f t="shared" si="7"/>
        <v>162.2638492314104</v>
      </c>
      <c r="H21" s="97">
        <f t="shared" si="2"/>
        <v>27.79</v>
      </c>
      <c r="I21" s="107">
        <f t="shared" si="3"/>
        <v>128.7741</v>
      </c>
      <c r="J21" s="107">
        <f t="shared" si="8"/>
        <v>13.278049231410382</v>
      </c>
      <c r="K21" s="98">
        <f t="shared" si="9"/>
        <v>169.84214923141039</v>
      </c>
      <c r="L21" s="97">
        <f t="shared" si="4"/>
        <v>7.5782999999999845</v>
      </c>
      <c r="M21" s="99">
        <f t="shared" si="5"/>
        <v>4.6703563584223208E-2</v>
      </c>
    </row>
    <row r="22" spans="2:13" x14ac:dyDescent="0.2">
      <c r="B22" s="105">
        <v>15</v>
      </c>
      <c r="C22" s="115">
        <f t="shared" si="10"/>
        <v>1400</v>
      </c>
      <c r="D22" s="106">
        <f t="shared" si="0"/>
        <v>18.12</v>
      </c>
      <c r="E22" s="107">
        <f t="shared" si="1"/>
        <v>140.9324</v>
      </c>
      <c r="F22" s="107">
        <f t="shared" si="6"/>
        <v>14.299437633826564</v>
      </c>
      <c r="G22" s="108">
        <f t="shared" si="7"/>
        <v>173.35183763382656</v>
      </c>
      <c r="H22" s="97">
        <f t="shared" si="2"/>
        <v>27.79</v>
      </c>
      <c r="I22" s="107">
        <f t="shared" si="3"/>
        <v>138.6798</v>
      </c>
      <c r="J22" s="107">
        <f t="shared" si="8"/>
        <v>14.299437633826564</v>
      </c>
      <c r="K22" s="98">
        <f t="shared" si="9"/>
        <v>180.76923763382655</v>
      </c>
      <c r="L22" s="97">
        <f t="shared" si="4"/>
        <v>7.4173999999999864</v>
      </c>
      <c r="M22" s="99">
        <f t="shared" si="5"/>
        <v>4.2788124436660781E-2</v>
      </c>
    </row>
    <row r="23" spans="2:13" x14ac:dyDescent="0.2">
      <c r="B23" s="105">
        <v>16</v>
      </c>
      <c r="C23" s="115">
        <f t="shared" si="10"/>
        <v>1500</v>
      </c>
      <c r="D23" s="106">
        <f t="shared" si="0"/>
        <v>18.12</v>
      </c>
      <c r="E23" s="107">
        <f t="shared" si="1"/>
        <v>150.999</v>
      </c>
      <c r="F23" s="107">
        <f t="shared" si="6"/>
        <v>15.320826036242748</v>
      </c>
      <c r="G23" s="108">
        <f t="shared" si="7"/>
        <v>184.43982603624275</v>
      </c>
      <c r="H23" s="97">
        <f t="shared" si="2"/>
        <v>27.79</v>
      </c>
      <c r="I23" s="107">
        <f t="shared" si="3"/>
        <v>148.5855</v>
      </c>
      <c r="J23" s="107">
        <f t="shared" si="8"/>
        <v>15.320826036242748</v>
      </c>
      <c r="K23" s="98">
        <f t="shared" si="9"/>
        <v>191.69632603624274</v>
      </c>
      <c r="L23" s="97">
        <f t="shared" si="4"/>
        <v>7.2564999999999884</v>
      </c>
      <c r="M23" s="99">
        <f t="shared" si="5"/>
        <v>3.9343455022420558E-2</v>
      </c>
    </row>
    <row r="24" spans="2:13" x14ac:dyDescent="0.2">
      <c r="B24" s="105">
        <v>17</v>
      </c>
      <c r="C24" s="115">
        <f t="shared" si="10"/>
        <v>1600</v>
      </c>
      <c r="D24" s="106">
        <f t="shared" si="0"/>
        <v>18.12</v>
      </c>
      <c r="E24" s="107">
        <f t="shared" si="1"/>
        <v>161.06560000000002</v>
      </c>
      <c r="F24" s="107">
        <f t="shared" si="6"/>
        <v>16.342214438658932</v>
      </c>
      <c r="G24" s="108">
        <f t="shared" si="7"/>
        <v>195.52781443865896</v>
      </c>
      <c r="H24" s="97">
        <f t="shared" si="2"/>
        <v>27.79</v>
      </c>
      <c r="I24" s="107">
        <f t="shared" si="3"/>
        <v>158.49120000000002</v>
      </c>
      <c r="J24" s="107">
        <f t="shared" si="8"/>
        <v>16.342214438658932</v>
      </c>
      <c r="K24" s="98">
        <f t="shared" si="9"/>
        <v>202.62341443865895</v>
      </c>
      <c r="L24" s="97">
        <f t="shared" si="4"/>
        <v>7.0955999999999904</v>
      </c>
      <c r="M24" s="99">
        <f t="shared" si="5"/>
        <v>3.6289466132328828E-2</v>
      </c>
    </row>
    <row r="25" spans="2:13" x14ac:dyDescent="0.2">
      <c r="B25" s="105">
        <v>18</v>
      </c>
      <c r="C25" s="115">
        <f t="shared" si="10"/>
        <v>1700</v>
      </c>
      <c r="D25" s="106">
        <f t="shared" si="0"/>
        <v>18.12</v>
      </c>
      <c r="E25" s="107">
        <f t="shared" si="1"/>
        <v>171.13220000000001</v>
      </c>
      <c r="F25" s="107">
        <f t="shared" si="6"/>
        <v>17.363602841075114</v>
      </c>
      <c r="G25" s="108">
        <f t="shared" si="7"/>
        <v>206.61580284107512</v>
      </c>
      <c r="H25" s="97">
        <f t="shared" si="2"/>
        <v>27.79</v>
      </c>
      <c r="I25" s="107">
        <f t="shared" si="3"/>
        <v>168.39690000000002</v>
      </c>
      <c r="J25" s="107">
        <f t="shared" si="8"/>
        <v>17.363602841075114</v>
      </c>
      <c r="K25" s="98">
        <f t="shared" si="9"/>
        <v>213.55050284107512</v>
      </c>
      <c r="L25" s="97">
        <f t="shared" si="4"/>
        <v>6.9346999999999923</v>
      </c>
      <c r="M25" s="99">
        <f t="shared" si="5"/>
        <v>3.3563260431410606E-2</v>
      </c>
    </row>
    <row r="26" spans="2:13" x14ac:dyDescent="0.2">
      <c r="B26" s="105">
        <v>19</v>
      </c>
      <c r="C26" s="115">
        <f t="shared" si="10"/>
        <v>1800</v>
      </c>
      <c r="D26" s="106">
        <f t="shared" si="0"/>
        <v>18.12</v>
      </c>
      <c r="E26" s="107">
        <f t="shared" si="1"/>
        <v>181.19880000000001</v>
      </c>
      <c r="F26" s="107">
        <f t="shared" si="6"/>
        <v>18.384991243491296</v>
      </c>
      <c r="G26" s="108">
        <f t="shared" si="7"/>
        <v>217.70379124349131</v>
      </c>
      <c r="H26" s="97">
        <f t="shared" si="2"/>
        <v>27.79</v>
      </c>
      <c r="I26" s="107">
        <f t="shared" si="3"/>
        <v>178.30260000000001</v>
      </c>
      <c r="J26" s="107">
        <f t="shared" si="8"/>
        <v>18.384991243491296</v>
      </c>
      <c r="K26" s="98">
        <f t="shared" si="9"/>
        <v>224.4775912434913</v>
      </c>
      <c r="L26" s="97">
        <f t="shared" si="4"/>
        <v>6.7737999999999943</v>
      </c>
      <c r="M26" s="99">
        <f t="shared" si="5"/>
        <v>3.1114754416122326E-2</v>
      </c>
    </row>
    <row r="27" spans="2:13" x14ac:dyDescent="0.2">
      <c r="B27" s="105">
        <v>20</v>
      </c>
      <c r="C27" s="115">
        <f t="shared" si="10"/>
        <v>1900</v>
      </c>
      <c r="D27" s="106">
        <f t="shared" si="0"/>
        <v>18.12</v>
      </c>
      <c r="E27" s="107">
        <f t="shared" si="1"/>
        <v>191.2654</v>
      </c>
      <c r="F27" s="107">
        <f t="shared" si="6"/>
        <v>19.406379645907482</v>
      </c>
      <c r="G27" s="108">
        <f t="shared" si="7"/>
        <v>228.7917796459075</v>
      </c>
      <c r="H27" s="97">
        <f t="shared" si="2"/>
        <v>27.79</v>
      </c>
      <c r="I27" s="107">
        <f t="shared" si="3"/>
        <v>188.20830000000001</v>
      </c>
      <c r="J27" s="107">
        <f t="shared" si="8"/>
        <v>19.406379645907482</v>
      </c>
      <c r="K27" s="98">
        <f t="shared" si="9"/>
        <v>235.40467964590749</v>
      </c>
      <c r="L27" s="97">
        <f t="shared" si="4"/>
        <v>6.6128999999999962</v>
      </c>
      <c r="M27" s="99">
        <f t="shared" si="5"/>
        <v>2.8903573416118947E-2</v>
      </c>
    </row>
    <row r="28" spans="2:13" x14ac:dyDescent="0.2">
      <c r="B28" s="105">
        <v>21</v>
      </c>
      <c r="C28" s="115">
        <f t="shared" si="10"/>
        <v>2000</v>
      </c>
      <c r="D28" s="106">
        <f t="shared" si="0"/>
        <v>18.12</v>
      </c>
      <c r="E28" s="107">
        <f t="shared" si="1"/>
        <v>201.33200000000002</v>
      </c>
      <c r="F28" s="107">
        <f t="shared" si="6"/>
        <v>20.427768048323664</v>
      </c>
      <c r="G28" s="108">
        <f t="shared" si="7"/>
        <v>239.87976804832368</v>
      </c>
      <c r="H28" s="97">
        <f t="shared" si="2"/>
        <v>27.79</v>
      </c>
      <c r="I28" s="107">
        <f t="shared" si="3"/>
        <v>198.114</v>
      </c>
      <c r="J28" s="107">
        <f t="shared" si="8"/>
        <v>20.427768048323664</v>
      </c>
      <c r="K28" s="98">
        <f t="shared" si="9"/>
        <v>246.33176804832365</v>
      </c>
      <c r="L28" s="97">
        <f t="shared" si="4"/>
        <v>6.4519999999999698</v>
      </c>
      <c r="M28" s="99">
        <f t="shared" si="5"/>
        <v>2.6896807732031059E-2</v>
      </c>
    </row>
    <row r="29" spans="2:13" x14ac:dyDescent="0.2">
      <c r="B29" s="105">
        <v>22</v>
      </c>
      <c r="C29" s="115">
        <f>C28+100</f>
        <v>2100</v>
      </c>
      <c r="D29" s="106">
        <f t="shared" si="0"/>
        <v>18.12</v>
      </c>
      <c r="E29" s="107">
        <f t="shared" si="1"/>
        <v>211.39860000000002</v>
      </c>
      <c r="F29" s="107">
        <f t="shared" si="6"/>
        <v>21.449156450739846</v>
      </c>
      <c r="G29" s="108">
        <f t="shared" si="7"/>
        <v>250.96775645073987</v>
      </c>
      <c r="H29" s="97">
        <f t="shared" si="2"/>
        <v>27.79</v>
      </c>
      <c r="I29" s="107">
        <f t="shared" si="3"/>
        <v>208.0197</v>
      </c>
      <c r="J29" s="107">
        <f t="shared" si="8"/>
        <v>21.449156450739846</v>
      </c>
      <c r="K29" s="98">
        <f t="shared" si="9"/>
        <v>257.25885645073981</v>
      </c>
      <c r="L29" s="97">
        <f t="shared" si="4"/>
        <v>6.2910999999999433</v>
      </c>
      <c r="M29" s="99">
        <f t="shared" si="5"/>
        <v>2.5067363588735611E-2</v>
      </c>
    </row>
    <row r="30" spans="2:13" x14ac:dyDescent="0.2">
      <c r="B30" s="105">
        <v>23</v>
      </c>
      <c r="C30" s="115">
        <f t="shared" si="10"/>
        <v>2200</v>
      </c>
      <c r="D30" s="106">
        <f t="shared" si="0"/>
        <v>18.12</v>
      </c>
      <c r="E30" s="107">
        <f t="shared" si="1"/>
        <v>221.46520000000001</v>
      </c>
      <c r="F30" s="107">
        <f t="shared" si="6"/>
        <v>22.470544853156031</v>
      </c>
      <c r="G30" s="108">
        <f t="shared" si="7"/>
        <v>262.05574485315606</v>
      </c>
      <c r="H30" s="97">
        <f t="shared" si="2"/>
        <v>27.79</v>
      </c>
      <c r="I30" s="107">
        <f t="shared" si="3"/>
        <v>217.92540000000002</v>
      </c>
      <c r="J30" s="107">
        <f t="shared" si="8"/>
        <v>22.470544853156031</v>
      </c>
      <c r="K30" s="98">
        <f t="shared" si="9"/>
        <v>268.18594485315606</v>
      </c>
      <c r="L30" s="97">
        <f t="shared" si="4"/>
        <v>6.1302000000000021</v>
      </c>
      <c r="M30" s="99">
        <f t="shared" si="5"/>
        <v>2.3392732731103007E-2</v>
      </c>
    </row>
    <row r="31" spans="2:13" x14ac:dyDescent="0.2">
      <c r="B31" s="105">
        <v>24</v>
      </c>
      <c r="C31" s="115">
        <f t="shared" si="10"/>
        <v>2300</v>
      </c>
      <c r="D31" s="106">
        <f t="shared" si="0"/>
        <v>18.12</v>
      </c>
      <c r="E31" s="107">
        <f t="shared" si="1"/>
        <v>231.5318</v>
      </c>
      <c r="F31" s="107">
        <f t="shared" si="6"/>
        <v>23.491933255572214</v>
      </c>
      <c r="G31" s="108">
        <f t="shared" si="7"/>
        <v>273.14373325557222</v>
      </c>
      <c r="H31" s="97">
        <f t="shared" si="2"/>
        <v>27.79</v>
      </c>
      <c r="I31" s="107">
        <f t="shared" si="3"/>
        <v>227.83110000000002</v>
      </c>
      <c r="J31" s="107">
        <f t="shared" si="8"/>
        <v>23.491933255572214</v>
      </c>
      <c r="K31" s="98">
        <f t="shared" si="9"/>
        <v>279.11303325557225</v>
      </c>
      <c r="L31" s="97">
        <f t="shared" si="4"/>
        <v>5.9693000000000325</v>
      </c>
      <c r="M31" s="99">
        <f t="shared" si="5"/>
        <v>2.1854061701700261E-2</v>
      </c>
    </row>
    <row r="32" spans="2:13" x14ac:dyDescent="0.2">
      <c r="B32" s="105">
        <v>25</v>
      </c>
      <c r="C32" s="115">
        <f t="shared" si="10"/>
        <v>2400</v>
      </c>
      <c r="D32" s="106">
        <f t="shared" si="0"/>
        <v>18.12</v>
      </c>
      <c r="E32" s="107">
        <f t="shared" si="1"/>
        <v>241.59840000000003</v>
      </c>
      <c r="F32" s="107">
        <f t="shared" si="6"/>
        <v>24.513321657988396</v>
      </c>
      <c r="G32" s="108">
        <f t="shared" si="7"/>
        <v>284.23172165798843</v>
      </c>
      <c r="H32" s="97">
        <f t="shared" si="2"/>
        <v>27.79</v>
      </c>
      <c r="I32" s="107">
        <f t="shared" si="3"/>
        <v>237.73680000000002</v>
      </c>
      <c r="J32" s="107">
        <f t="shared" si="8"/>
        <v>24.513321657988396</v>
      </c>
      <c r="K32" s="98">
        <f t="shared" si="9"/>
        <v>290.04012165798844</v>
      </c>
      <c r="L32" s="97">
        <f t="shared" si="4"/>
        <v>5.808400000000006</v>
      </c>
      <c r="M32" s="99">
        <f t="shared" si="5"/>
        <v>2.0435438965497182E-2</v>
      </c>
    </row>
    <row r="33" spans="2:13" x14ac:dyDescent="0.2">
      <c r="B33" s="105">
        <v>26</v>
      </c>
      <c r="C33" s="115">
        <f t="shared" si="10"/>
        <v>2500</v>
      </c>
      <c r="D33" s="106">
        <f t="shared" si="0"/>
        <v>18.12</v>
      </c>
      <c r="E33" s="107">
        <f t="shared" si="1"/>
        <v>251.66500000000002</v>
      </c>
      <c r="F33" s="107">
        <f t="shared" si="6"/>
        <v>25.534710060404578</v>
      </c>
      <c r="G33" s="108">
        <f t="shared" si="7"/>
        <v>295.31971006040459</v>
      </c>
      <c r="H33" s="97">
        <f t="shared" si="2"/>
        <v>27.79</v>
      </c>
      <c r="I33" s="107">
        <f t="shared" si="3"/>
        <v>247.64250000000001</v>
      </c>
      <c r="J33" s="107">
        <f t="shared" si="8"/>
        <v>25.534710060404578</v>
      </c>
      <c r="K33" s="98">
        <f t="shared" si="9"/>
        <v>300.96721006040457</v>
      </c>
      <c r="L33" s="97">
        <f t="shared" si="4"/>
        <v>5.6474999999999795</v>
      </c>
      <c r="M33" s="99">
        <f t="shared" si="5"/>
        <v>1.9123342627029E-2</v>
      </c>
    </row>
    <row r="34" spans="2:13" x14ac:dyDescent="0.2">
      <c r="B34" s="105">
        <v>27</v>
      </c>
      <c r="C34" s="115">
        <f t="shared" si="10"/>
        <v>2600</v>
      </c>
      <c r="D34" s="106">
        <f t="shared" si="0"/>
        <v>18.12</v>
      </c>
      <c r="E34" s="107">
        <f t="shared" si="1"/>
        <v>261.73160000000001</v>
      </c>
      <c r="F34" s="107">
        <f t="shared" si="6"/>
        <v>26.556098462820763</v>
      </c>
      <c r="G34" s="108">
        <f t="shared" si="7"/>
        <v>306.4076984628208</v>
      </c>
      <c r="H34" s="97">
        <f t="shared" si="2"/>
        <v>27.79</v>
      </c>
      <c r="I34" s="107">
        <f t="shared" si="3"/>
        <v>257.54820000000001</v>
      </c>
      <c r="J34" s="107">
        <f t="shared" si="8"/>
        <v>26.556098462820763</v>
      </c>
      <c r="K34" s="98">
        <f t="shared" si="9"/>
        <v>311.89429846282081</v>
      </c>
      <c r="L34" s="97">
        <f t="shared" si="4"/>
        <v>5.4866000000000099</v>
      </c>
      <c r="M34" s="99">
        <f t="shared" si="5"/>
        <v>1.7906208060453638E-2</v>
      </c>
    </row>
    <row r="35" spans="2:13" x14ac:dyDescent="0.2">
      <c r="B35" s="105">
        <v>28</v>
      </c>
      <c r="C35" s="115">
        <f>C34+100</f>
        <v>2700</v>
      </c>
      <c r="D35" s="106">
        <f t="shared" si="0"/>
        <v>18.12</v>
      </c>
      <c r="E35" s="107">
        <f t="shared" si="1"/>
        <v>271.79820000000001</v>
      </c>
      <c r="F35" s="107">
        <f t="shared" si="6"/>
        <v>27.577486865236946</v>
      </c>
      <c r="G35" s="108">
        <f t="shared" si="7"/>
        <v>317.49568686523696</v>
      </c>
      <c r="H35" s="97">
        <f t="shared" si="2"/>
        <v>27.79</v>
      </c>
      <c r="I35" s="107">
        <f t="shared" si="3"/>
        <v>267.45390000000003</v>
      </c>
      <c r="J35" s="107">
        <f t="shared" si="8"/>
        <v>27.577486865236946</v>
      </c>
      <c r="K35" s="98">
        <f t="shared" si="9"/>
        <v>322.821386865237</v>
      </c>
      <c r="L35" s="97">
        <f t="shared" si="4"/>
        <v>5.3257000000000403</v>
      </c>
      <c r="M35" s="99">
        <f t="shared" si="5"/>
        <v>1.6774086138249076E-2</v>
      </c>
    </row>
    <row r="36" spans="2:13" x14ac:dyDescent="0.2">
      <c r="B36" s="105">
        <v>29</v>
      </c>
      <c r="C36" s="115">
        <f t="shared" si="10"/>
        <v>2800</v>
      </c>
      <c r="D36" s="106">
        <f t="shared" si="0"/>
        <v>18.12</v>
      </c>
      <c r="E36" s="107">
        <f t="shared" si="1"/>
        <v>281.8648</v>
      </c>
      <c r="F36" s="107">
        <f t="shared" si="6"/>
        <v>28.598875267653128</v>
      </c>
      <c r="G36" s="108">
        <f t="shared" si="7"/>
        <v>328.58367526765312</v>
      </c>
      <c r="H36" s="97">
        <f t="shared" si="2"/>
        <v>27.79</v>
      </c>
      <c r="I36" s="107">
        <f t="shared" si="3"/>
        <v>277.3596</v>
      </c>
      <c r="J36" s="107">
        <f t="shared" si="8"/>
        <v>28.598875267653128</v>
      </c>
      <c r="K36" s="98">
        <f t="shared" si="9"/>
        <v>333.74847526765313</v>
      </c>
      <c r="L36" s="97">
        <f t="shared" si="4"/>
        <v>5.1648000000000138</v>
      </c>
      <c r="M36" s="99">
        <f t="shared" si="5"/>
        <v>1.5718370657924325E-2</v>
      </c>
    </row>
    <row r="37" spans="2:13" x14ac:dyDescent="0.2">
      <c r="B37" s="105">
        <v>30</v>
      </c>
      <c r="C37" s="115">
        <f t="shared" si="10"/>
        <v>2900</v>
      </c>
      <c r="D37" s="106">
        <f t="shared" si="0"/>
        <v>18.12</v>
      </c>
      <c r="E37" s="107">
        <f t="shared" si="1"/>
        <v>291.9314</v>
      </c>
      <c r="F37" s="107">
        <f t="shared" si="6"/>
        <v>29.620263670069313</v>
      </c>
      <c r="G37" s="108">
        <f t="shared" si="7"/>
        <v>339.67166367006934</v>
      </c>
      <c r="H37" s="97">
        <f t="shared" si="2"/>
        <v>27.79</v>
      </c>
      <c r="I37" s="107">
        <f t="shared" si="3"/>
        <v>287.26530000000002</v>
      </c>
      <c r="J37" s="107">
        <f t="shared" si="8"/>
        <v>29.620263670069313</v>
      </c>
      <c r="K37" s="98">
        <f t="shared" si="9"/>
        <v>344.67556367006938</v>
      </c>
      <c r="L37" s="97">
        <f t="shared" si="4"/>
        <v>5.0039000000000442</v>
      </c>
      <c r="M37" s="99">
        <f t="shared" si="5"/>
        <v>1.4731579154805342E-2</v>
      </c>
    </row>
    <row r="38" spans="2:13" ht="13.5" thickBot="1" x14ac:dyDescent="0.25">
      <c r="B38" s="109">
        <v>31</v>
      </c>
      <c r="C38" s="116">
        <f>C37+100</f>
        <v>3000</v>
      </c>
      <c r="D38" s="110">
        <f t="shared" si="0"/>
        <v>18.12</v>
      </c>
      <c r="E38" s="111">
        <f t="shared" si="1"/>
        <v>301.99799999999999</v>
      </c>
      <c r="F38" s="111">
        <f t="shared" si="6"/>
        <v>30.641652072485495</v>
      </c>
      <c r="G38" s="112">
        <f t="shared" si="7"/>
        <v>350.75965207248549</v>
      </c>
      <c r="H38" s="100">
        <f t="shared" si="2"/>
        <v>27.79</v>
      </c>
      <c r="I38" s="111">
        <f t="shared" si="3"/>
        <v>297.17099999999999</v>
      </c>
      <c r="J38" s="111">
        <f t="shared" si="8"/>
        <v>30.641652072485495</v>
      </c>
      <c r="K38" s="101">
        <f t="shared" si="9"/>
        <v>355.60265207248551</v>
      </c>
      <c r="L38" s="100">
        <f t="shared" si="4"/>
        <v>4.8430000000000177</v>
      </c>
      <c r="M38" s="102">
        <f t="shared" si="5"/>
        <v>1.380717528765024E-2</v>
      </c>
    </row>
    <row r="39" spans="2:13" ht="14.25" thickTop="1" thickBot="1" x14ac:dyDescent="0.25">
      <c r="B39" s="203" t="s">
        <v>114</v>
      </c>
      <c r="C39" s="204">
        <f>'Billing Detail'!E17</f>
        <v>1052.6953164475401</v>
      </c>
      <c r="D39" s="205">
        <f t="shared" si="0"/>
        <v>18.12</v>
      </c>
      <c r="E39" s="206">
        <f t="shared" ref="E39" si="11">$E$7*C39</f>
        <v>105.97062672550808</v>
      </c>
      <c r="F39" s="206">
        <f t="shared" ref="F39" si="12">$F$7*C39</f>
        <v>10.752107874973515</v>
      </c>
      <c r="G39" s="207">
        <f t="shared" ref="G39" si="13">E39+D39+F39</f>
        <v>134.84273460048161</v>
      </c>
      <c r="H39" s="208">
        <f t="shared" si="2"/>
        <v>27.79</v>
      </c>
      <c r="I39" s="206">
        <f t="shared" ref="I39" si="14">$I$7*C39</f>
        <v>104.27683996134398</v>
      </c>
      <c r="J39" s="206">
        <f t="shared" ref="J39" si="15">$J$7*C39</f>
        <v>10.752107874973515</v>
      </c>
      <c r="K39" s="209">
        <f t="shared" ref="K39" si="16">H39+I39+J39</f>
        <v>142.81894783631751</v>
      </c>
      <c r="L39" s="208">
        <f t="shared" ref="L39" si="17">K39-G39</f>
        <v>7.9762132358358997</v>
      </c>
      <c r="M39" s="210">
        <f t="shared" ref="M39" si="18">L39/G39</f>
        <v>5.9151968843321065E-2</v>
      </c>
    </row>
    <row r="40" spans="2:13" ht="13.5" thickTop="1" x14ac:dyDescent="0.2"/>
  </sheetData>
  <mergeCells count="3">
    <mergeCell ref="D5:G5"/>
    <mergeCell ref="H5:K5"/>
    <mergeCell ref="L5:M5"/>
  </mergeCells>
  <printOptions horizontalCentered="1"/>
  <pageMargins left="1" right="0.75" top="0.75" bottom="0.75" header="0.3" footer="0.3"/>
  <pageSetup scale="93" orientation="landscape" r:id="rId1"/>
  <headerFooter>
    <oddFooter>&amp;RExhibit JW-9
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D2D1-0261-4B16-940C-DD9AB8DBD482}">
  <sheetPr>
    <tabColor rgb="FFFF9B9D"/>
  </sheetPr>
  <dimension ref="A1:N143"/>
  <sheetViews>
    <sheetView view="pageBreakPreview" zoomScaleNormal="85" zoomScaleSheetLayoutView="100" workbookViewId="0">
      <selection activeCell="J2" sqref="J2"/>
    </sheetView>
  </sheetViews>
  <sheetFormatPr defaultColWidth="8.85546875" defaultRowHeight="12.75" x14ac:dyDescent="0.2"/>
  <cols>
    <col min="1" max="1" width="1.7109375" style="2" customWidth="1"/>
    <col min="2" max="2" width="1.28515625" style="2" customWidth="1"/>
    <col min="3" max="3" width="8" style="13" customWidth="1"/>
    <col min="4" max="4" width="55.42578125" style="3" bestFit="1" customWidth="1"/>
    <col min="5" max="5" width="30.5703125" style="2" bestFit="1" customWidth="1"/>
    <col min="6" max="6" width="11.5703125" style="2" bestFit="1" customWidth="1"/>
    <col min="7" max="7" width="11" style="2" bestFit="1" customWidth="1"/>
    <col min="8" max="8" width="14.28515625" style="2" customWidth="1"/>
    <col min="9" max="9" width="22.5703125" style="70" customWidth="1"/>
    <col min="10" max="12" width="8.85546875" style="2"/>
    <col min="13" max="13" width="13.28515625" style="2" customWidth="1"/>
    <col min="14" max="14" width="17.7109375" style="2" customWidth="1"/>
    <col min="15" max="16384" width="8.85546875" style="2"/>
  </cols>
  <sheetData>
    <row r="1" spans="1:14" x14ac:dyDescent="0.2">
      <c r="A1" s="1" t="str">
        <f>Summary!A1</f>
        <v>FARMERS RECC</v>
      </c>
    </row>
    <row r="2" spans="1:14" x14ac:dyDescent="0.2">
      <c r="A2" s="1" t="s">
        <v>78</v>
      </c>
    </row>
    <row r="4" spans="1:14" x14ac:dyDescent="0.2">
      <c r="C4" s="22" t="s">
        <v>55</v>
      </c>
      <c r="D4" s="38"/>
      <c r="E4" s="21" t="s">
        <v>1</v>
      </c>
      <c r="F4" s="25" t="s">
        <v>26</v>
      </c>
      <c r="G4" s="25" t="s">
        <v>27</v>
      </c>
      <c r="H4" s="25" t="s">
        <v>80</v>
      </c>
    </row>
    <row r="5" spans="1:14" x14ac:dyDescent="0.2">
      <c r="C5" s="13">
        <f>'Billing Detail'!C7</f>
        <v>1</v>
      </c>
      <c r="D5" s="39" t="str">
        <f>'Billing Detail'!B7</f>
        <v>Schedule R - Residential Service</v>
      </c>
    </row>
    <row r="6" spans="1:14" x14ac:dyDescent="0.2">
      <c r="D6" s="39"/>
      <c r="E6" s="2" t="str">
        <f>'Billing Detail'!D8</f>
        <v>Customer Charge</v>
      </c>
      <c r="F6" s="23">
        <f>'Billing Detail'!I8</f>
        <v>18.12</v>
      </c>
      <c r="G6" s="23">
        <f>'Billing Detail'!K8</f>
        <v>27.79</v>
      </c>
      <c r="H6" s="23">
        <f>G6-F6</f>
        <v>9.6699999999999982</v>
      </c>
      <c r="I6" s="71">
        <f>H6/F6</f>
        <v>0.5336644591611478</v>
      </c>
      <c r="J6" s="4"/>
      <c r="N6" s="10"/>
    </row>
    <row r="7" spans="1:14" x14ac:dyDescent="0.2">
      <c r="D7" s="39"/>
      <c r="E7" s="2" t="str">
        <f>'Billing Detail'!D9</f>
        <v>Energy Charge per kWh</v>
      </c>
      <c r="F7" s="28">
        <f>'Billing Detail'!I9</f>
        <v>0.10066600000000001</v>
      </c>
      <c r="G7" s="28">
        <f>'Billing Detail'!K9</f>
        <v>9.9057000000000006E-2</v>
      </c>
      <c r="H7" s="28">
        <f>G7-F7</f>
        <v>-1.6089999999999993E-3</v>
      </c>
      <c r="I7" s="71">
        <f t="shared" ref="I7:I64" si="0">H7/F7</f>
        <v>-1.5983549559930851E-2</v>
      </c>
      <c r="J7" s="4"/>
      <c r="M7" s="51"/>
      <c r="N7" s="50"/>
    </row>
    <row r="8" spans="1:14" x14ac:dyDescent="0.2">
      <c r="C8" s="13">
        <f>'Billing Detail'!C19</f>
        <v>3</v>
      </c>
      <c r="D8" s="39" t="str">
        <f>'Billing Detail'!B19</f>
        <v>Schedule R - TOD Residential Service</v>
      </c>
      <c r="F8" s="24"/>
      <c r="G8" s="24"/>
      <c r="H8" s="24"/>
      <c r="I8" s="71"/>
      <c r="J8" s="4"/>
    </row>
    <row r="9" spans="1:14" x14ac:dyDescent="0.2">
      <c r="D9" s="39"/>
      <c r="E9" s="2" t="str">
        <f>'Billing Detail'!D20</f>
        <v>Customer Charge</v>
      </c>
      <c r="F9" s="23">
        <f>'Billing Detail'!I20</f>
        <v>23.97</v>
      </c>
      <c r="G9" s="23">
        <f>'Billing Detail'!K20</f>
        <v>27.79</v>
      </c>
      <c r="H9" s="23">
        <f t="shared" ref="H9:H64" si="1">G9-F9</f>
        <v>3.8200000000000003</v>
      </c>
      <c r="I9" s="71">
        <f t="shared" si="0"/>
        <v>0.15936587400917815</v>
      </c>
      <c r="J9" s="4"/>
    </row>
    <row r="10" spans="1:14" x14ac:dyDescent="0.2">
      <c r="D10" s="39"/>
      <c r="E10" s="2" t="str">
        <f>'Billing Detail'!D21</f>
        <v>Energy Charge - On Peak per kWh</v>
      </c>
      <c r="F10" s="28">
        <f>'Billing Detail'!I21</f>
        <v>0.122041</v>
      </c>
      <c r="G10" s="28">
        <f>'Billing Detail'!K21</f>
        <v>0.122041</v>
      </c>
      <c r="H10" s="28">
        <f t="shared" si="1"/>
        <v>0</v>
      </c>
      <c r="I10" s="71">
        <f t="shared" si="0"/>
        <v>0</v>
      </c>
      <c r="J10" s="4"/>
    </row>
    <row r="11" spans="1:14" x14ac:dyDescent="0.2">
      <c r="D11" s="39"/>
      <c r="E11" s="2" t="str">
        <f>'Billing Detail'!D22</f>
        <v>Energy Charge - Off Peak per kWh</v>
      </c>
      <c r="F11" s="28">
        <f>'Billing Detail'!I22</f>
        <v>7.3192999999999994E-2</v>
      </c>
      <c r="G11" s="28">
        <f>'Billing Detail'!K22</f>
        <v>7.3192999999999994E-2</v>
      </c>
      <c r="H11" s="28">
        <f t="shared" si="1"/>
        <v>0</v>
      </c>
      <c r="I11" s="71">
        <f t="shared" si="0"/>
        <v>0</v>
      </c>
      <c r="J11" s="4"/>
    </row>
    <row r="12" spans="1:14" x14ac:dyDescent="0.2">
      <c r="C12" s="13">
        <f>'Billing Detail'!C32</f>
        <v>20</v>
      </c>
      <c r="D12" s="39" t="str">
        <f>'Billing Detail'!B32</f>
        <v>Rate Schedule NM - Net Metering</v>
      </c>
      <c r="F12" s="23"/>
      <c r="G12" s="23"/>
      <c r="H12" s="23"/>
      <c r="I12" s="71"/>
      <c r="J12" s="4"/>
    </row>
    <row r="13" spans="1:14" x14ac:dyDescent="0.2">
      <c r="D13" s="39"/>
      <c r="E13" s="2" t="str">
        <f>'Billing Detail'!D33</f>
        <v>Customer Charge</v>
      </c>
      <c r="F13" s="23">
        <f>'Billing Detail'!I33</f>
        <v>18.12</v>
      </c>
      <c r="G13" s="23">
        <f>'Billing Detail'!K33</f>
        <v>27.79</v>
      </c>
      <c r="H13" s="23">
        <f t="shared" si="1"/>
        <v>9.6699999999999982</v>
      </c>
      <c r="I13" s="71">
        <f t="shared" si="0"/>
        <v>0.5336644591611478</v>
      </c>
      <c r="J13" s="4"/>
    </row>
    <row r="14" spans="1:14" x14ac:dyDescent="0.2">
      <c r="D14" s="39"/>
      <c r="E14" s="2" t="str">
        <f>'Billing Detail'!D34</f>
        <v>Energy Charge per kWh</v>
      </c>
      <c r="F14" s="28">
        <f>'Billing Detail'!I34</f>
        <v>0.10066600000000001</v>
      </c>
      <c r="G14" s="28">
        <f>'Billing Detail'!K34</f>
        <v>9.9057000000000006E-2</v>
      </c>
      <c r="H14" s="28">
        <f t="shared" si="1"/>
        <v>-1.6089999999999993E-3</v>
      </c>
      <c r="I14" s="71">
        <f t="shared" si="0"/>
        <v>-1.5983549559930851E-2</v>
      </c>
      <c r="J14" s="4"/>
    </row>
    <row r="15" spans="1:14" x14ac:dyDescent="0.2">
      <c r="C15" s="13">
        <f>'Billing Detail'!C44</f>
        <v>7</v>
      </c>
      <c r="D15" s="39" t="str">
        <f>'Billing Detail'!B44</f>
        <v>Schedule RM - Residential Off-Peak Marketing - ETS</v>
      </c>
      <c r="F15" s="24"/>
      <c r="G15" s="24"/>
      <c r="H15" s="24"/>
      <c r="I15" s="71"/>
      <c r="J15" s="4"/>
    </row>
    <row r="16" spans="1:14" x14ac:dyDescent="0.2">
      <c r="D16" s="39"/>
      <c r="E16" s="2" t="str">
        <f>'Billing Detail'!D46</f>
        <v>Energy Charge - Off Peak per kWh</v>
      </c>
      <c r="F16" s="28">
        <f>'Billing Detail'!I46</f>
        <v>6.5808000000000005E-2</v>
      </c>
      <c r="G16" s="28">
        <f>'Billing Detail'!K46</f>
        <v>7.3192999999999994E-2</v>
      </c>
      <c r="H16" s="28">
        <f t="shared" si="1"/>
        <v>7.3849999999999888E-3</v>
      </c>
      <c r="I16" s="71">
        <f t="shared" si="0"/>
        <v>0.11222039873571585</v>
      </c>
      <c r="J16" s="4"/>
    </row>
    <row r="17" spans="3:10" ht="13.5" hidden="1" customHeight="1" x14ac:dyDescent="0.2">
      <c r="C17" s="13">
        <f>'Billing Detail'!C290</f>
        <v>8</v>
      </c>
      <c r="D17" s="39" t="str">
        <f>'Billing Detail'!B290</f>
        <v>Schedule CM - Small Commercial Off-Peak Marketing - ETS</v>
      </c>
      <c r="F17" s="23"/>
      <c r="G17" s="23"/>
      <c r="H17" s="23"/>
      <c r="I17" s="71"/>
      <c r="J17" s="4"/>
    </row>
    <row r="18" spans="3:10" hidden="1" x14ac:dyDescent="0.2">
      <c r="D18" s="39"/>
      <c r="E18" s="2" t="str">
        <f>'Billing Detail'!D292</f>
        <v>Energy Charge - Off Peak per kWh</v>
      </c>
      <c r="F18" s="28">
        <f>'Billing Detail'!I292</f>
        <v>5.9837000000000001E-2</v>
      </c>
      <c r="G18" s="28">
        <f>'Billing Detail'!K292</f>
        <v>5.9837000000000001E-2</v>
      </c>
      <c r="H18" s="28">
        <f t="shared" ref="H18" si="2">G18-F18</f>
        <v>0</v>
      </c>
      <c r="I18" s="71">
        <f t="shared" ref="I18" si="3">H18/F18</f>
        <v>0</v>
      </c>
      <c r="J18" s="4"/>
    </row>
    <row r="19" spans="3:10" x14ac:dyDescent="0.2">
      <c r="C19" s="13">
        <f>'Billing Detail'!C56</f>
        <v>4</v>
      </c>
      <c r="D19" s="39" t="str">
        <f>'Billing Detail'!B56</f>
        <v>Schedule C - Commercial &amp; Industrial Service &lt;50kW</v>
      </c>
      <c r="F19" s="23"/>
      <c r="G19" s="23"/>
      <c r="H19" s="23"/>
      <c r="I19" s="71"/>
      <c r="J19" s="4"/>
    </row>
    <row r="20" spans="3:10" x14ac:dyDescent="0.2">
      <c r="D20" s="39"/>
      <c r="E20" s="2" t="str">
        <f>'Billing Detail'!D57</f>
        <v>Customer Charge</v>
      </c>
      <c r="F20" s="23">
        <f>'Billing Detail'!I57</f>
        <v>23.39</v>
      </c>
      <c r="G20" s="23">
        <f>'Billing Detail'!K57</f>
        <v>33.06</v>
      </c>
      <c r="H20" s="23">
        <f t="shared" si="1"/>
        <v>9.6700000000000017</v>
      </c>
      <c r="I20" s="71">
        <f t="shared" si="0"/>
        <v>0.4134245404018812</v>
      </c>
      <c r="J20" s="4"/>
    </row>
    <row r="21" spans="3:10" x14ac:dyDescent="0.2">
      <c r="D21" s="39"/>
      <c r="E21" s="2" t="str">
        <f>'Billing Detail'!D58</f>
        <v>Energy Charge per kWh</v>
      </c>
      <c r="F21" s="28">
        <f>'Billing Detail'!I58</f>
        <v>9.9582000000000004E-2</v>
      </c>
      <c r="G21" s="28">
        <f>'Billing Detail'!K58</f>
        <v>9.3618714706554029E-2</v>
      </c>
      <c r="H21" s="28">
        <f t="shared" si="1"/>
        <v>-5.9632852934459746E-3</v>
      </c>
      <c r="I21" s="71">
        <f t="shared" si="0"/>
        <v>-5.9883164562330282E-2</v>
      </c>
      <c r="J21" s="4"/>
    </row>
    <row r="22" spans="3:10" x14ac:dyDescent="0.2">
      <c r="C22" s="13">
        <f>'Billing Detail'!C68</f>
        <v>5</v>
      </c>
      <c r="D22" s="39" t="str">
        <f>'Billing Detail'!B68</f>
        <v>Schedule C - Commercial &amp; Industrial Service &gt;50kW</v>
      </c>
      <c r="F22" s="23"/>
      <c r="G22" s="23"/>
      <c r="H22" s="23"/>
      <c r="I22" s="71"/>
      <c r="J22" s="4"/>
    </row>
    <row r="23" spans="3:10" x14ac:dyDescent="0.2">
      <c r="D23" s="39"/>
      <c r="E23" s="2" t="str">
        <f>'Billing Detail'!D69</f>
        <v>Customer Charge</v>
      </c>
      <c r="F23" s="23">
        <f>'Billing Detail'!I69</f>
        <v>115.18</v>
      </c>
      <c r="G23" s="23">
        <f>'Billing Detail'!K69</f>
        <v>115.18</v>
      </c>
      <c r="H23" s="23">
        <f t="shared" si="1"/>
        <v>0</v>
      </c>
      <c r="I23" s="71">
        <f t="shared" si="0"/>
        <v>0</v>
      </c>
      <c r="J23" s="4"/>
    </row>
    <row r="24" spans="3:10" x14ac:dyDescent="0.2">
      <c r="D24" s="39"/>
      <c r="E24" s="2" t="str">
        <f>'Billing Detail'!D70</f>
        <v>Energy Charge per kWh</v>
      </c>
      <c r="F24" s="28">
        <f>'Billing Detail'!I70</f>
        <v>7.8539999999999999E-2</v>
      </c>
      <c r="G24" s="28">
        <f>'Billing Detail'!K70</f>
        <v>7.8539999999999999E-2</v>
      </c>
      <c r="H24" s="28">
        <f t="shared" si="1"/>
        <v>0</v>
      </c>
      <c r="I24" s="71">
        <f t="shared" si="0"/>
        <v>0</v>
      </c>
      <c r="J24" s="4"/>
    </row>
    <row r="25" spans="3:10" x14ac:dyDescent="0.2">
      <c r="D25" s="39"/>
      <c r="E25" s="2" t="str">
        <f>'Billing Detail'!D71</f>
        <v>Demand Charge per kW</v>
      </c>
      <c r="F25" s="23">
        <f>'Billing Detail'!I71</f>
        <v>8.66</v>
      </c>
      <c r="G25" s="23">
        <f>'Billing Detail'!K71</f>
        <v>8.66</v>
      </c>
      <c r="H25" s="23">
        <f t="shared" si="1"/>
        <v>0</v>
      </c>
      <c r="I25" s="71">
        <f t="shared" si="0"/>
        <v>0</v>
      </c>
      <c r="J25" s="4"/>
    </row>
    <row r="26" spans="3:10" x14ac:dyDescent="0.2">
      <c r="C26" s="13">
        <f>'Billing Detail'!C94</f>
        <v>10</v>
      </c>
      <c r="D26" s="39" t="str">
        <f>'Billing Detail'!B94</f>
        <v>Schedule E - Large Industrial Rate</v>
      </c>
      <c r="F26" s="23"/>
      <c r="G26" s="23"/>
      <c r="H26" s="23"/>
      <c r="I26" s="71"/>
      <c r="J26" s="4"/>
    </row>
    <row r="27" spans="3:10" x14ac:dyDescent="0.2">
      <c r="D27" s="39"/>
      <c r="E27" s="2" t="str">
        <f>'Billing Detail'!D95</f>
        <v>Customer Charge</v>
      </c>
      <c r="F27" s="23">
        <f>'Billing Detail'!I95</f>
        <v>1253.27</v>
      </c>
      <c r="G27" s="23">
        <f>'Billing Detail'!K95</f>
        <v>1253.27</v>
      </c>
      <c r="H27" s="23">
        <f t="shared" si="1"/>
        <v>0</v>
      </c>
      <c r="I27" s="71">
        <f t="shared" si="0"/>
        <v>0</v>
      </c>
      <c r="J27" s="4"/>
    </row>
    <row r="28" spans="3:10" x14ac:dyDescent="0.2">
      <c r="D28" s="39"/>
      <c r="E28" s="2" t="str">
        <f>'Billing Detail'!D96</f>
        <v>Demand Charge per kW</v>
      </c>
      <c r="F28" s="23">
        <f>'Billing Detail'!I96</f>
        <v>8.66</v>
      </c>
      <c r="G28" s="23">
        <f>'Billing Detail'!K96</f>
        <v>8.66</v>
      </c>
      <c r="H28" s="23">
        <f t="shared" si="1"/>
        <v>0</v>
      </c>
      <c r="I28" s="71">
        <f t="shared" si="0"/>
        <v>0</v>
      </c>
      <c r="J28" s="4"/>
    </row>
    <row r="29" spans="3:10" x14ac:dyDescent="0.2">
      <c r="D29" s="39"/>
      <c r="E29" s="2" t="str">
        <f>'Billing Detail'!D97</f>
        <v>Energy Charge per kWh</v>
      </c>
      <c r="F29" s="28">
        <f>'Billing Detail'!I97</f>
        <v>6.3881999999999994E-2</v>
      </c>
      <c r="G29" s="28">
        <f>'Billing Detail'!K97</f>
        <v>6.3881999999999994E-2</v>
      </c>
      <c r="H29" s="28">
        <f t="shared" si="1"/>
        <v>0</v>
      </c>
      <c r="I29" s="71">
        <f t="shared" si="0"/>
        <v>0</v>
      </c>
      <c r="J29" s="4"/>
    </row>
    <row r="30" spans="3:10" x14ac:dyDescent="0.2">
      <c r="C30" s="13">
        <f>'Billing Detail'!C107</f>
        <v>14</v>
      </c>
      <c r="D30" s="39" t="str">
        <f>'Billing Detail'!B107</f>
        <v xml:space="preserve">Schedule LPC-2 - Large Power </v>
      </c>
      <c r="E30" s="20"/>
      <c r="F30" s="23"/>
      <c r="G30" s="23"/>
      <c r="H30" s="23"/>
      <c r="I30" s="71"/>
      <c r="J30" s="4"/>
    </row>
    <row r="31" spans="3:10" x14ac:dyDescent="0.2">
      <c r="D31" s="39"/>
      <c r="E31" s="2" t="str">
        <f>'Billing Detail'!D108</f>
        <v>Customer Charge</v>
      </c>
      <c r="F31" s="23">
        <f>'Billing Detail'!I108</f>
        <v>1412.92</v>
      </c>
      <c r="G31" s="23">
        <f>'Billing Detail'!K108</f>
        <v>1412.92</v>
      </c>
      <c r="H31" s="23">
        <f t="shared" si="1"/>
        <v>0</v>
      </c>
      <c r="I31" s="71">
        <f t="shared" si="0"/>
        <v>0</v>
      </c>
      <c r="J31" s="4"/>
    </row>
    <row r="32" spans="3:10" x14ac:dyDescent="0.2">
      <c r="D32" s="39"/>
      <c r="E32" s="2" t="str">
        <f>'Billing Detail'!D109</f>
        <v>Demand Charge per kW</v>
      </c>
      <c r="F32" s="23">
        <f>'Billing Detail'!I109</f>
        <v>8.66</v>
      </c>
      <c r="G32" s="23">
        <f>'Billing Detail'!K109</f>
        <v>8.66</v>
      </c>
      <c r="H32" s="23">
        <f t="shared" si="1"/>
        <v>0</v>
      </c>
      <c r="I32" s="71">
        <f t="shared" si="0"/>
        <v>0</v>
      </c>
      <c r="J32" s="4"/>
    </row>
    <row r="33" spans="3:10" x14ac:dyDescent="0.2">
      <c r="D33" s="39"/>
      <c r="E33" s="2" t="str">
        <f>'Billing Detail'!D110</f>
        <v>Energy Charge per kWh</v>
      </c>
      <c r="F33" s="28">
        <f>'Billing Detail'!I110</f>
        <v>6.8527000000000005E-2</v>
      </c>
      <c r="G33" s="28">
        <f>'Billing Detail'!K110</f>
        <v>6.8527000000000005E-2</v>
      </c>
      <c r="H33" s="28">
        <f t="shared" si="1"/>
        <v>0</v>
      </c>
      <c r="I33" s="71">
        <f t="shared" si="0"/>
        <v>0</v>
      </c>
      <c r="J33" s="4"/>
    </row>
    <row r="34" spans="3:10" x14ac:dyDescent="0.2">
      <c r="C34" s="13">
        <f>'Billing Detail'!C120</f>
        <v>15</v>
      </c>
      <c r="D34" s="39" t="str">
        <f>'Billing Detail'!B120</f>
        <v>Schedule D - Large Commercial/Industrial Optional TOD Rate</v>
      </c>
      <c r="F34" s="23"/>
      <c r="G34" s="23"/>
      <c r="H34" s="23"/>
      <c r="I34" s="71"/>
      <c r="J34" s="4"/>
    </row>
    <row r="35" spans="3:10" x14ac:dyDescent="0.2">
      <c r="D35" s="39"/>
      <c r="E35" s="2" t="str">
        <f>'Billing Detail'!D121</f>
        <v>Customer Charge</v>
      </c>
      <c r="F35" s="11">
        <f>'Billing Detail'!I121</f>
        <v>115.18</v>
      </c>
      <c r="G35" s="11">
        <f>'Billing Detail'!K121</f>
        <v>115.18</v>
      </c>
      <c r="H35" s="11">
        <f t="shared" si="1"/>
        <v>0</v>
      </c>
      <c r="I35" s="71">
        <f t="shared" si="0"/>
        <v>0</v>
      </c>
      <c r="J35" s="4"/>
    </row>
    <row r="36" spans="3:10" x14ac:dyDescent="0.2">
      <c r="D36" s="39"/>
      <c r="E36" s="2" t="str">
        <f>'Billing Detail'!D122</f>
        <v>Demand Charge per kW</v>
      </c>
      <c r="F36" s="23">
        <f>'Billing Detail'!I122</f>
        <v>8.66</v>
      </c>
      <c r="G36" s="23">
        <f>'Billing Detail'!K122</f>
        <v>8.66</v>
      </c>
      <c r="H36" s="23">
        <f t="shared" si="1"/>
        <v>0</v>
      </c>
      <c r="I36" s="71">
        <f t="shared" si="0"/>
        <v>0</v>
      </c>
      <c r="J36" s="4"/>
    </row>
    <row r="37" spans="3:10" x14ac:dyDescent="0.2">
      <c r="D37" s="39"/>
      <c r="E37" s="2" t="str">
        <f>'Billing Detail'!D123</f>
        <v>Energy Charge per kWh</v>
      </c>
      <c r="F37" s="28">
        <f>'Billing Detail'!I123</f>
        <v>7.8547000000000006E-2</v>
      </c>
      <c r="G37" s="28">
        <f>'Billing Detail'!K123</f>
        <v>7.8547000000000006E-2</v>
      </c>
      <c r="H37" s="28">
        <f t="shared" si="1"/>
        <v>0</v>
      </c>
      <c r="I37" s="71">
        <f t="shared" si="0"/>
        <v>0</v>
      </c>
      <c r="J37" s="4"/>
    </row>
    <row r="38" spans="3:10" x14ac:dyDescent="0.2">
      <c r="C38" s="13">
        <f>'Billing Detail'!C147</f>
        <v>36</v>
      </c>
      <c r="D38" s="39" t="str">
        <f>'Billing Detail'!B147</f>
        <v>Schedule LPE-4  - Large Power TOD</v>
      </c>
      <c r="F38" s="23"/>
      <c r="G38" s="23"/>
      <c r="H38" s="23"/>
      <c r="I38" s="71"/>
      <c r="J38" s="4"/>
    </row>
    <row r="39" spans="3:10" x14ac:dyDescent="0.2">
      <c r="D39" s="39"/>
      <c r="E39" s="2" t="str">
        <f>'Billing Detail'!D148</f>
        <v>Customer Charge</v>
      </c>
      <c r="F39" s="23">
        <f>'Billing Detail'!I148</f>
        <v>3526.81</v>
      </c>
      <c r="G39" s="23">
        <f>'Billing Detail'!K148</f>
        <v>3526.81</v>
      </c>
      <c r="H39" s="23">
        <f t="shared" si="1"/>
        <v>0</v>
      </c>
      <c r="I39" s="71">
        <f t="shared" si="0"/>
        <v>0</v>
      </c>
      <c r="J39" s="4"/>
    </row>
    <row r="40" spans="3:10" x14ac:dyDescent="0.2">
      <c r="D40" s="39"/>
      <c r="E40" s="2" t="str">
        <f>'Billing Detail'!D149</f>
        <v>Demand Charge per kW</v>
      </c>
      <c r="F40" s="23">
        <f>'Billing Detail'!I149</f>
        <v>7.26</v>
      </c>
      <c r="G40" s="23">
        <f>'Billing Detail'!K149</f>
        <v>7.26</v>
      </c>
      <c r="H40" s="23">
        <f t="shared" si="1"/>
        <v>0</v>
      </c>
      <c r="I40" s="71">
        <f t="shared" si="0"/>
        <v>0</v>
      </c>
      <c r="J40" s="4"/>
    </row>
    <row r="41" spans="3:10" x14ac:dyDescent="0.2">
      <c r="D41" s="39"/>
      <c r="E41" s="2" t="str">
        <f>'Billing Detail'!D150</f>
        <v>Energy Charge - On Peak per kWh</v>
      </c>
      <c r="F41" s="28">
        <f>'Billing Detail'!I150</f>
        <v>7.5365000000000001E-2</v>
      </c>
      <c r="G41" s="28">
        <f>'Billing Detail'!K150</f>
        <v>7.5365000000000001E-2</v>
      </c>
      <c r="H41" s="28">
        <f t="shared" si="1"/>
        <v>0</v>
      </c>
      <c r="I41" s="71">
        <f t="shared" si="0"/>
        <v>0</v>
      </c>
      <c r="J41" s="4"/>
    </row>
    <row r="42" spans="3:10" x14ac:dyDescent="0.2">
      <c r="D42" s="39"/>
      <c r="E42" s="2" t="str">
        <f>'Billing Detail'!D151</f>
        <v>Energy Charge - Off Peak per kWh</v>
      </c>
      <c r="F42" s="28">
        <f>'Billing Detail'!I151</f>
        <v>6.6122E-2</v>
      </c>
      <c r="G42" s="28">
        <f>'Billing Detail'!K151</f>
        <v>6.6122E-2</v>
      </c>
      <c r="H42" s="28">
        <f t="shared" si="1"/>
        <v>0</v>
      </c>
      <c r="I42" s="71">
        <f t="shared" si="0"/>
        <v>0</v>
      </c>
      <c r="J42" s="4"/>
    </row>
    <row r="43" spans="3:10" x14ac:dyDescent="0.2">
      <c r="C43" s="13">
        <f>'Billing Detail'!C161</f>
        <v>50</v>
      </c>
      <c r="D43" s="39" t="str">
        <f>'Billing Detail'!B161</f>
        <v>Schedule C - TOD Commercial Service</v>
      </c>
      <c r="F43" s="23"/>
      <c r="G43" s="23"/>
      <c r="H43" s="23"/>
      <c r="I43" s="71"/>
      <c r="J43" s="4"/>
    </row>
    <row r="44" spans="3:10" x14ac:dyDescent="0.2">
      <c r="D44" s="39"/>
      <c r="E44" s="2" t="str">
        <f>'Billing Detail'!D162</f>
        <v>Customer Charge Single Phase</v>
      </c>
      <c r="F44" s="23">
        <f>'Billing Detail'!I162</f>
        <v>23.39</v>
      </c>
      <c r="G44" s="23">
        <f>'Billing Detail'!K162</f>
        <v>33.06</v>
      </c>
      <c r="H44" s="23">
        <f t="shared" si="1"/>
        <v>9.6700000000000017</v>
      </c>
      <c r="I44" s="71">
        <f t="shared" si="0"/>
        <v>0.4134245404018812</v>
      </c>
      <c r="J44" s="4"/>
    </row>
    <row r="45" spans="3:10" x14ac:dyDescent="0.2">
      <c r="D45" s="39"/>
      <c r="E45" s="2" t="str">
        <f>'Billing Detail'!D163</f>
        <v>Customer Charge Three Phase</v>
      </c>
      <c r="F45" s="23">
        <f>'Billing Detail'!I163</f>
        <v>115.18</v>
      </c>
      <c r="G45" s="23">
        <f>'Billing Detail'!K163</f>
        <v>115.18</v>
      </c>
      <c r="H45" s="23">
        <f t="shared" si="1"/>
        <v>0</v>
      </c>
      <c r="I45" s="71">
        <f t="shared" si="0"/>
        <v>0</v>
      </c>
      <c r="J45" s="4"/>
    </row>
    <row r="46" spans="3:10" x14ac:dyDescent="0.2">
      <c r="D46" s="39"/>
      <c r="E46" s="2" t="str">
        <f>'Billing Detail'!D164</f>
        <v>Energy Charge - On Peak per kWh</v>
      </c>
      <c r="F46" s="28">
        <f>'Billing Detail'!I164</f>
        <v>0.13664399999999999</v>
      </c>
      <c r="G46" s="28">
        <f>'Billing Detail'!K164</f>
        <v>0.13664399999999999</v>
      </c>
      <c r="H46" s="28">
        <f t="shared" si="1"/>
        <v>0</v>
      </c>
      <c r="I46" s="71">
        <f t="shared" si="0"/>
        <v>0</v>
      </c>
      <c r="J46" s="4"/>
    </row>
    <row r="47" spans="3:10" x14ac:dyDescent="0.2">
      <c r="D47" s="39"/>
      <c r="E47" s="2" t="str">
        <f>'Billing Detail'!D165</f>
        <v>Energy Charge - Off Peak per kWh</v>
      </c>
      <c r="F47" s="28">
        <f>'Billing Detail'!I165</f>
        <v>7.3192999999999994E-2</v>
      </c>
      <c r="G47" s="28">
        <f>'Billing Detail'!K165</f>
        <v>7.3192999999999994E-2</v>
      </c>
      <c r="H47" s="28">
        <f t="shared" si="1"/>
        <v>0</v>
      </c>
      <c r="I47" s="71">
        <f t="shared" si="0"/>
        <v>0</v>
      </c>
      <c r="J47" s="4"/>
    </row>
    <row r="48" spans="3:10" x14ac:dyDescent="0.2">
      <c r="C48" s="83" t="str">
        <f>'Billing Detail'!C175</f>
        <v>SL</v>
      </c>
      <c r="D48" s="39" t="str">
        <f>'Billing Detail'!B175</f>
        <v>Schedule SL -  Street Lighting Service</v>
      </c>
      <c r="F48" s="23"/>
      <c r="G48" s="23"/>
      <c r="H48" s="23"/>
      <c r="I48" s="71"/>
      <c r="J48" s="4"/>
    </row>
    <row r="49" spans="3:10" x14ac:dyDescent="0.2">
      <c r="D49" s="39"/>
      <c r="E49" s="2" t="str">
        <f>'Billing Detail'!D176</f>
        <v>Energy Charge per kWh</v>
      </c>
      <c r="F49" s="28">
        <f>'Billing Detail'!I176</f>
        <v>6.8542000000000006E-2</v>
      </c>
      <c r="G49" s="28">
        <f>'Billing Detail'!K176</f>
        <v>6.8542000000000006E-2</v>
      </c>
      <c r="H49" s="28">
        <f t="shared" ref="H49" si="4">G49-F49</f>
        <v>0</v>
      </c>
      <c r="I49" s="71">
        <f t="shared" ref="I49" si="5">H49/F49</f>
        <v>0</v>
      </c>
      <c r="J49" s="4"/>
    </row>
    <row r="50" spans="3:10" x14ac:dyDescent="0.2">
      <c r="C50" s="83" t="str">
        <f>'Billing Detail'!C185</f>
        <v>OL</v>
      </c>
      <c r="D50" s="39" t="str">
        <f>'Billing Detail'!B185</f>
        <v>Schedule OL - Outdoor Lighting Service</v>
      </c>
      <c r="F50" s="23"/>
      <c r="G50" s="23"/>
      <c r="H50" s="23"/>
      <c r="I50" s="71"/>
      <c r="J50" s="4"/>
    </row>
    <row r="51" spans="3:10" x14ac:dyDescent="0.2">
      <c r="D51" s="39"/>
      <c r="E51" s="2" t="str">
        <f>'Billing Detail'!D186</f>
        <v>Mercury Vapor 175 Watt</v>
      </c>
      <c r="F51" s="23">
        <f>'Billing Detail'!I186</f>
        <v>11.18</v>
      </c>
      <c r="G51" s="23">
        <f>'Billing Detail'!K186</f>
        <v>11.18</v>
      </c>
      <c r="H51" s="23">
        <f t="shared" si="1"/>
        <v>0</v>
      </c>
      <c r="I51" s="71">
        <f t="shared" si="0"/>
        <v>0</v>
      </c>
      <c r="J51" s="4"/>
    </row>
    <row r="52" spans="3:10" x14ac:dyDescent="0.2">
      <c r="E52" s="2" t="str">
        <f>'Billing Detail'!D187</f>
        <v>Mercury Vapor 175 Watt (shared)</v>
      </c>
      <c r="F52" s="23">
        <f>'Billing Detail'!I187</f>
        <v>4.28</v>
      </c>
      <c r="G52" s="23">
        <f>'Billing Detail'!K187</f>
        <v>4.28</v>
      </c>
      <c r="H52" s="23">
        <f t="shared" si="1"/>
        <v>0</v>
      </c>
      <c r="I52" s="71">
        <f t="shared" si="0"/>
        <v>0</v>
      </c>
      <c r="J52" s="4"/>
    </row>
    <row r="53" spans="3:10" x14ac:dyDescent="0.2">
      <c r="E53" s="2" t="str">
        <f>'Billing Detail'!D188</f>
        <v>Mercury Vapor 250 Watt</v>
      </c>
      <c r="F53" s="23">
        <f>'Billing Detail'!I188</f>
        <v>12.93</v>
      </c>
      <c r="G53" s="23">
        <f>'Billing Detail'!K188</f>
        <v>12.93</v>
      </c>
      <c r="H53" s="23">
        <f t="shared" si="1"/>
        <v>0</v>
      </c>
      <c r="I53" s="71">
        <f t="shared" si="0"/>
        <v>0</v>
      </c>
      <c r="J53" s="4"/>
    </row>
    <row r="54" spans="3:10" x14ac:dyDescent="0.2">
      <c r="E54" s="2" t="str">
        <f>'Billing Detail'!D189</f>
        <v>Mercury Vapor 400 Watt</v>
      </c>
      <c r="F54" s="23">
        <f>'Billing Detail'!I189</f>
        <v>19.73</v>
      </c>
      <c r="G54" s="23">
        <f>'Billing Detail'!K189</f>
        <v>19.73</v>
      </c>
      <c r="H54" s="23">
        <f t="shared" si="1"/>
        <v>0</v>
      </c>
      <c r="I54" s="71">
        <f t="shared" si="0"/>
        <v>0</v>
      </c>
      <c r="J54" s="4"/>
    </row>
    <row r="55" spans="3:10" x14ac:dyDescent="0.2">
      <c r="E55" s="2" t="str">
        <f>'Billing Detail'!D190</f>
        <v>Mercury Vapor 1000 Watt</v>
      </c>
      <c r="F55" s="23">
        <f>'Billing Detail'!I190</f>
        <v>35.83</v>
      </c>
      <c r="G55" s="23">
        <f>'Billing Detail'!K190</f>
        <v>35.83</v>
      </c>
      <c r="H55" s="23">
        <f t="shared" si="1"/>
        <v>0</v>
      </c>
      <c r="I55" s="71">
        <f t="shared" si="0"/>
        <v>0</v>
      </c>
      <c r="J55" s="4"/>
    </row>
    <row r="56" spans="3:10" x14ac:dyDescent="0.2">
      <c r="E56" s="2" t="str">
        <f>'Billing Detail'!D191</f>
        <v>Sodium Vapor 100 Watt</v>
      </c>
      <c r="F56" s="23">
        <f>'Billing Detail'!I191</f>
        <v>11.28</v>
      </c>
      <c r="G56" s="23">
        <f>'Billing Detail'!K191</f>
        <v>11.28</v>
      </c>
      <c r="H56" s="23">
        <f t="shared" si="1"/>
        <v>0</v>
      </c>
      <c r="I56" s="71">
        <f t="shared" si="0"/>
        <v>0</v>
      </c>
      <c r="J56" s="4"/>
    </row>
    <row r="57" spans="3:10" x14ac:dyDescent="0.2">
      <c r="E57" s="2" t="str">
        <f>'Billing Detail'!D192</f>
        <v>Sodium Vapor 150 Watt</v>
      </c>
      <c r="F57" s="23">
        <f>'Billing Detail'!I192</f>
        <v>13.3</v>
      </c>
      <c r="G57" s="23">
        <f>'Billing Detail'!K192</f>
        <v>13.3</v>
      </c>
      <c r="H57" s="23">
        <f t="shared" si="1"/>
        <v>0</v>
      </c>
      <c r="I57" s="71">
        <f t="shared" si="0"/>
        <v>0</v>
      </c>
      <c r="J57" s="4"/>
    </row>
    <row r="58" spans="3:10" x14ac:dyDescent="0.2">
      <c r="E58" s="2" t="str">
        <f>'Billing Detail'!D193</f>
        <v>Sodium Vapor 250 Watt</v>
      </c>
      <c r="F58" s="23">
        <f>'Billing Detail'!I193</f>
        <v>18.260000000000002</v>
      </c>
      <c r="G58" s="23">
        <f>'Billing Detail'!K193</f>
        <v>18.260000000000002</v>
      </c>
      <c r="H58" s="23">
        <f t="shared" si="1"/>
        <v>0</v>
      </c>
      <c r="I58" s="71">
        <f t="shared" si="0"/>
        <v>0</v>
      </c>
      <c r="J58" s="4"/>
    </row>
    <row r="59" spans="3:10" x14ac:dyDescent="0.2">
      <c r="E59" s="2" t="str">
        <f>'Billing Detail'!D194</f>
        <v>Sodium Vapor 400 Watt</v>
      </c>
      <c r="F59" s="23">
        <f>'Billing Detail'!I194</f>
        <v>23.82</v>
      </c>
      <c r="G59" s="23">
        <f>'Billing Detail'!K194</f>
        <v>23.82</v>
      </c>
      <c r="H59" s="23">
        <f t="shared" si="1"/>
        <v>0</v>
      </c>
      <c r="I59" s="71">
        <f t="shared" si="0"/>
        <v>0</v>
      </c>
      <c r="J59" s="4"/>
    </row>
    <row r="60" spans="3:10" x14ac:dyDescent="0.2">
      <c r="E60" s="2" t="str">
        <f>'Billing Detail'!D195</f>
        <v>Sodium Vapor 1000 Watt</v>
      </c>
      <c r="F60" s="23">
        <f>'Billing Detail'!I195</f>
        <v>51.85</v>
      </c>
      <c r="G60" s="23">
        <f>'Billing Detail'!K195</f>
        <v>51.85</v>
      </c>
      <c r="H60" s="23">
        <f t="shared" ref="H60" si="6">G60-F60</f>
        <v>0</v>
      </c>
      <c r="I60" s="71">
        <f t="shared" ref="I60" si="7">H60/F60</f>
        <v>0</v>
      </c>
      <c r="J60" s="4"/>
    </row>
    <row r="61" spans="3:10" x14ac:dyDescent="0.2">
      <c r="E61" s="2" t="str">
        <f>'Billing Detail'!D196</f>
        <v>LED Light 70 Watt</v>
      </c>
      <c r="F61" s="23">
        <f>'Billing Detail'!I196</f>
        <v>11.03</v>
      </c>
      <c r="G61" s="23">
        <f>'Billing Detail'!K196</f>
        <v>11.03</v>
      </c>
      <c r="H61" s="23">
        <f t="shared" si="1"/>
        <v>0</v>
      </c>
      <c r="I61" s="71">
        <f t="shared" si="0"/>
        <v>0</v>
      </c>
      <c r="J61" s="4"/>
    </row>
    <row r="62" spans="3:10" x14ac:dyDescent="0.2">
      <c r="E62" s="2" t="str">
        <f>'Billing Detail'!D197</f>
        <v>LED Light 105 Watt</v>
      </c>
      <c r="F62" s="23">
        <f>'Billing Detail'!I197</f>
        <v>16.95</v>
      </c>
      <c r="G62" s="23">
        <f>'Billing Detail'!K197</f>
        <v>16.95</v>
      </c>
      <c r="H62" s="23">
        <f t="shared" si="1"/>
        <v>0</v>
      </c>
      <c r="I62" s="71">
        <f t="shared" si="0"/>
        <v>0</v>
      </c>
      <c r="J62" s="4"/>
    </row>
    <row r="63" spans="3:10" x14ac:dyDescent="0.2">
      <c r="E63" s="2" t="str">
        <f>'Billing Detail'!D198</f>
        <v>LED Light 145 Watt</v>
      </c>
      <c r="F63" s="23">
        <f>'Billing Detail'!I198</f>
        <v>18.79</v>
      </c>
      <c r="G63" s="23">
        <f>'Billing Detail'!K198</f>
        <v>18.79</v>
      </c>
      <c r="H63" s="23">
        <f t="shared" si="1"/>
        <v>0</v>
      </c>
      <c r="I63" s="71">
        <f t="shared" si="0"/>
        <v>0</v>
      </c>
      <c r="J63" s="4"/>
    </row>
    <row r="64" spans="3:10" x14ac:dyDescent="0.2">
      <c r="E64" s="2" t="str">
        <f>'Billing Detail'!D199</f>
        <v>LED Flood Light 199 Watt</v>
      </c>
      <c r="F64" s="23">
        <f>'Billing Detail'!I199</f>
        <v>24.16</v>
      </c>
      <c r="G64" s="23">
        <f>'Billing Detail'!K199</f>
        <v>24.16</v>
      </c>
      <c r="H64" s="23">
        <f t="shared" si="1"/>
        <v>0</v>
      </c>
      <c r="I64" s="71">
        <f t="shared" si="0"/>
        <v>0</v>
      </c>
      <c r="J64" s="4"/>
    </row>
    <row r="65" spans="3:10" x14ac:dyDescent="0.2">
      <c r="C65" s="13" t="str">
        <f>'Billing Detail'!C293</f>
        <v>LPC-1</v>
      </c>
      <c r="D65" s="39" t="str">
        <f>'Billing Detail'!B293</f>
        <v xml:space="preserve">Schedule LPC-1 - Large Power </v>
      </c>
      <c r="F65" s="139"/>
      <c r="G65" s="139"/>
      <c r="H65" s="139"/>
      <c r="I65" s="140"/>
      <c r="J65" s="142"/>
    </row>
    <row r="66" spans="3:10" x14ac:dyDescent="0.2">
      <c r="D66" s="39"/>
      <c r="E66" s="2" t="str">
        <f>'Billing Detail'!D294</f>
        <v>Customer Charge</v>
      </c>
      <c r="F66" s="23">
        <f>'Billing Detail'!I294</f>
        <v>1051.81</v>
      </c>
      <c r="G66" s="23">
        <f>'Billing Detail'!K294</f>
        <v>1114.9186</v>
      </c>
      <c r="H66" s="23">
        <f t="shared" ref="H66" si="8">G66-F66</f>
        <v>63.108600000000024</v>
      </c>
      <c r="I66" s="71">
        <f t="shared" ref="I66" si="9">H66/F66</f>
        <v>6.0000000000000026E-2</v>
      </c>
      <c r="J66" s="4"/>
    </row>
    <row r="67" spans="3:10" x14ac:dyDescent="0.2">
      <c r="D67" s="39"/>
      <c r="E67" s="2" t="str">
        <f>'Billing Detail'!D295</f>
        <v>Demand Charge per kW</v>
      </c>
      <c r="F67" s="23">
        <f>'Billing Detail'!I295</f>
        <v>8.0399999999999991</v>
      </c>
      <c r="G67" s="23">
        <f>'Billing Detail'!K295</f>
        <v>8.66</v>
      </c>
      <c r="H67" s="23">
        <f t="shared" ref="H67:H88" si="10">G67-F67</f>
        <v>0.62000000000000099</v>
      </c>
      <c r="I67" s="71">
        <f t="shared" ref="I67:I88" si="11">H67/F67</f>
        <v>7.7114427860696652E-2</v>
      </c>
      <c r="J67" s="4"/>
    </row>
    <row r="68" spans="3:10" x14ac:dyDescent="0.2">
      <c r="D68" s="39"/>
      <c r="E68" s="2" t="str">
        <f>'Billing Detail'!D296</f>
        <v>Energy Charge per kWh</v>
      </c>
      <c r="F68" s="28">
        <f>'Billing Detail'!I296</f>
        <v>6.7403000000000005E-2</v>
      </c>
      <c r="G68" s="28">
        <f>'Billing Detail'!K296</f>
        <v>7.1447180000000013E-2</v>
      </c>
      <c r="H68" s="28">
        <f t="shared" si="10"/>
        <v>4.0441800000000083E-3</v>
      </c>
      <c r="I68" s="71">
        <f t="shared" si="11"/>
        <v>6.0000000000000123E-2</v>
      </c>
      <c r="J68" s="4"/>
    </row>
    <row r="69" spans="3:10" x14ac:dyDescent="0.2">
      <c r="C69" s="13" t="str">
        <f>'Billing Detail'!C297</f>
        <v>LPC-3</v>
      </c>
      <c r="D69" s="39" t="str">
        <f>'Billing Detail'!B297</f>
        <v xml:space="preserve">Schedule LPC-3 - Large Power </v>
      </c>
      <c r="F69" s="23"/>
      <c r="G69" s="23"/>
      <c r="H69" s="23"/>
      <c r="I69" s="71"/>
      <c r="J69" s="4"/>
    </row>
    <row r="70" spans="3:10" x14ac:dyDescent="0.2">
      <c r="D70" s="39"/>
      <c r="E70" s="2" t="str">
        <f>'Billing Detail'!D298</f>
        <v>Customer Charge</v>
      </c>
      <c r="F70" s="23">
        <f>'Billing Detail'!I298</f>
        <v>3040.53</v>
      </c>
      <c r="G70" s="23">
        <f>'Billing Detail'!K298</f>
        <v>3222.9618000000005</v>
      </c>
      <c r="H70" s="23">
        <f t="shared" si="10"/>
        <v>182.43180000000029</v>
      </c>
      <c r="I70" s="71">
        <f t="shared" si="11"/>
        <v>6.0000000000000095E-2</v>
      </c>
      <c r="J70" s="4"/>
    </row>
    <row r="71" spans="3:10" x14ac:dyDescent="0.2">
      <c r="D71" s="39"/>
      <c r="E71" s="2" t="str">
        <f>'Billing Detail'!D299</f>
        <v>Demand Charge per kW</v>
      </c>
      <c r="F71" s="23">
        <f>'Billing Detail'!I299</f>
        <v>8.0399999999999991</v>
      </c>
      <c r="G71" s="23">
        <f>'Billing Detail'!K299</f>
        <v>8.66</v>
      </c>
      <c r="H71" s="23">
        <f t="shared" si="10"/>
        <v>0.62000000000000099</v>
      </c>
      <c r="I71" s="71">
        <f t="shared" si="11"/>
        <v>7.7114427860696652E-2</v>
      </c>
      <c r="J71" s="4"/>
    </row>
    <row r="72" spans="3:10" x14ac:dyDescent="0.2">
      <c r="D72" s="39"/>
      <c r="E72" s="2" t="str">
        <f>'Billing Detail'!D300</f>
        <v>Energy Charge per kWh</v>
      </c>
      <c r="F72" s="28">
        <f>'Billing Detail'!I300</f>
        <v>6.3788999999999998E-2</v>
      </c>
      <c r="G72" s="28">
        <f>'Billing Detail'!K300</f>
        <v>6.7616339999999997E-2</v>
      </c>
      <c r="H72" s="28">
        <f t="shared" si="10"/>
        <v>3.8273399999999985E-3</v>
      </c>
      <c r="I72" s="71">
        <f t="shared" si="11"/>
        <v>5.9999999999999977E-2</v>
      </c>
      <c r="J72" s="4"/>
    </row>
    <row r="73" spans="3:10" x14ac:dyDescent="0.2">
      <c r="C73" s="13" t="str">
        <f>'Billing Detail'!C301</f>
        <v>LPC-4</v>
      </c>
      <c r="D73" s="39" t="str">
        <f>'Billing Detail'!B301</f>
        <v xml:space="preserve">Schedule LPC-4 - Large Power </v>
      </c>
      <c r="F73" s="23"/>
      <c r="G73" s="23"/>
      <c r="H73" s="23"/>
      <c r="I73" s="71"/>
      <c r="J73" s="4"/>
    </row>
    <row r="74" spans="3:10" x14ac:dyDescent="0.2">
      <c r="D74" s="39"/>
      <c r="E74" s="2" t="str">
        <f>'Billing Detail'!D302</f>
        <v>Customer Charge</v>
      </c>
      <c r="F74" s="23">
        <f>'Billing Detail'!I302</f>
        <v>3328.33</v>
      </c>
      <c r="G74" s="23">
        <f>'Billing Detail'!K302</f>
        <v>3528.0298000000003</v>
      </c>
      <c r="H74" s="23">
        <f t="shared" si="10"/>
        <v>199.69980000000032</v>
      </c>
      <c r="I74" s="71">
        <f t="shared" si="11"/>
        <v>6.0000000000000095E-2</v>
      </c>
      <c r="J74" s="4"/>
    </row>
    <row r="75" spans="3:10" x14ac:dyDescent="0.2">
      <c r="D75" s="39"/>
      <c r="E75" s="2" t="str">
        <f>'Billing Detail'!D303</f>
        <v>Demand Charge per kW</v>
      </c>
      <c r="F75" s="23">
        <f>'Billing Detail'!I303</f>
        <v>8.0399999999999991</v>
      </c>
      <c r="G75" s="23">
        <f>'Billing Detail'!K303</f>
        <v>8.66</v>
      </c>
      <c r="H75" s="23">
        <f t="shared" si="10"/>
        <v>0.62000000000000099</v>
      </c>
      <c r="I75" s="71">
        <f t="shared" si="11"/>
        <v>7.7114427860696652E-2</v>
      </c>
      <c r="J75" s="4"/>
    </row>
    <row r="76" spans="3:10" x14ac:dyDescent="0.2">
      <c r="D76" s="39"/>
      <c r="E76" s="2" t="str">
        <f>'Billing Detail'!D304</f>
        <v>Energy Charge per kWh</v>
      </c>
      <c r="F76" s="28">
        <f>'Billing Detail'!I304</f>
        <v>6.1206999999999998E-2</v>
      </c>
      <c r="G76" s="28">
        <f>'Billing Detail'!K304</f>
        <v>6.4879420000000007E-2</v>
      </c>
      <c r="H76" s="28">
        <f t="shared" si="10"/>
        <v>3.6724200000000096E-3</v>
      </c>
      <c r="I76" s="71">
        <f t="shared" si="11"/>
        <v>6.0000000000000157E-2</v>
      </c>
      <c r="J76" s="4"/>
    </row>
    <row r="77" spans="3:10" x14ac:dyDescent="0.2">
      <c r="C77" s="13" t="str">
        <f>'Billing Detail'!C305</f>
        <v>LPC-5</v>
      </c>
      <c r="D77" s="39" t="str">
        <f>'Billing Detail'!B305</f>
        <v xml:space="preserve">Schedule LPC-5 - Large Power </v>
      </c>
      <c r="F77" s="23"/>
      <c r="G77" s="23"/>
      <c r="H77" s="23"/>
      <c r="I77" s="71"/>
      <c r="J77" s="4"/>
    </row>
    <row r="78" spans="3:10" x14ac:dyDescent="0.2">
      <c r="D78" s="39"/>
      <c r="E78" s="2" t="str">
        <f>'Billing Detail'!D306</f>
        <v>Customer Charge</v>
      </c>
      <c r="F78" s="23">
        <f>'Billing Detail'!I306</f>
        <v>4659.66</v>
      </c>
      <c r="G78" s="23">
        <f>'Billing Detail'!K306</f>
        <v>4939.2395999999999</v>
      </c>
      <c r="H78" s="23">
        <f t="shared" si="10"/>
        <v>279.57960000000003</v>
      </c>
      <c r="I78" s="71">
        <f t="shared" si="11"/>
        <v>6.0000000000000005E-2</v>
      </c>
      <c r="J78" s="4"/>
    </row>
    <row r="79" spans="3:10" x14ac:dyDescent="0.2">
      <c r="D79" s="39"/>
      <c r="E79" s="2" t="str">
        <f>'Billing Detail'!D307</f>
        <v>Demand Charge per kW</v>
      </c>
      <c r="F79" s="23">
        <f>'Billing Detail'!I307</f>
        <v>8.0399999999999991</v>
      </c>
      <c r="G79" s="23">
        <f>'Billing Detail'!K307</f>
        <v>8.66</v>
      </c>
      <c r="H79" s="23">
        <f t="shared" si="10"/>
        <v>0.62000000000000099</v>
      </c>
      <c r="I79" s="71">
        <f t="shared" si="11"/>
        <v>7.7114427860696652E-2</v>
      </c>
      <c r="J79" s="4"/>
    </row>
    <row r="80" spans="3:10" x14ac:dyDescent="0.2">
      <c r="D80" s="39"/>
      <c r="E80" s="2" t="str">
        <f>'Billing Detail'!D308</f>
        <v>Energy Charge per kWh</v>
      </c>
      <c r="F80" s="28">
        <f>'Billing Detail'!I308</f>
        <v>5.8624999999999997E-2</v>
      </c>
      <c r="G80" s="28">
        <f>'Billing Detail'!K308</f>
        <v>6.2142499999999996E-2</v>
      </c>
      <c r="H80" s="28">
        <f t="shared" si="10"/>
        <v>3.5174999999999998E-3</v>
      </c>
      <c r="I80" s="71">
        <f t="shared" si="11"/>
        <v>0.06</v>
      </c>
      <c r="J80" s="4"/>
    </row>
    <row r="81" spans="3:10" x14ac:dyDescent="0.2">
      <c r="C81" s="13" t="str">
        <f>'Billing Detail'!C309</f>
        <v>LPE-1</v>
      </c>
      <c r="D81" s="39" t="str">
        <f>'Billing Detail'!B309</f>
        <v>Schedule LPE-1  - Large Power TOD</v>
      </c>
      <c r="F81" s="23"/>
      <c r="G81" s="23"/>
      <c r="H81" s="23"/>
      <c r="I81" s="71"/>
      <c r="J81" s="4"/>
    </row>
    <row r="82" spans="3:10" x14ac:dyDescent="0.2">
      <c r="D82" s="39"/>
      <c r="E82" s="2" t="str">
        <f>'Billing Detail'!D310</f>
        <v>Customer Charge</v>
      </c>
      <c r="F82" s="23">
        <f>'Billing Detail'!I310</f>
        <v>1051.81</v>
      </c>
      <c r="G82" s="23">
        <f>'Billing Detail'!K310</f>
        <v>1114.9186</v>
      </c>
      <c r="H82" s="23">
        <f t="shared" si="10"/>
        <v>63.108600000000024</v>
      </c>
      <c r="I82" s="71">
        <f t="shared" si="11"/>
        <v>6.0000000000000026E-2</v>
      </c>
      <c r="J82" s="4"/>
    </row>
    <row r="83" spans="3:10" x14ac:dyDescent="0.2">
      <c r="D83" s="39"/>
      <c r="E83" s="2" t="str">
        <f>'Billing Detail'!D311</f>
        <v>Demand Charge per kW</v>
      </c>
      <c r="F83" s="23">
        <f>'Billing Detail'!I311</f>
        <v>6.85</v>
      </c>
      <c r="G83" s="23">
        <f>'Billing Detail'!K311</f>
        <v>7.26</v>
      </c>
      <c r="H83" s="23">
        <f t="shared" si="10"/>
        <v>0.41000000000000014</v>
      </c>
      <c r="I83" s="71">
        <f t="shared" si="11"/>
        <v>5.9854014598540173E-2</v>
      </c>
      <c r="J83" s="4"/>
    </row>
    <row r="84" spans="3:10" x14ac:dyDescent="0.2">
      <c r="D84" s="39"/>
      <c r="E84" s="2" t="str">
        <f>'Billing Detail'!D312</f>
        <v>Energy Charge On Peak per kWh</v>
      </c>
      <c r="F84" s="28">
        <f>'Billing Detail'!I312</f>
        <v>7.7972E-2</v>
      </c>
      <c r="G84" s="28">
        <f>'Billing Detail'!K312</f>
        <v>8.2650319999999999E-2</v>
      </c>
      <c r="H84" s="28">
        <f t="shared" si="10"/>
        <v>4.6783199999999997E-3</v>
      </c>
      <c r="I84" s="71">
        <f t="shared" si="11"/>
        <v>0.06</v>
      </c>
      <c r="J84" s="4"/>
    </row>
    <row r="85" spans="3:10" x14ac:dyDescent="0.2">
      <c r="D85" s="39"/>
      <c r="E85" s="2" t="str">
        <f>'Billing Detail'!D313</f>
        <v>Energy Charge Off Peak per kWh</v>
      </c>
      <c r="F85" s="28">
        <f>'Billing Detail'!I313</f>
        <v>6.9278999999999993E-2</v>
      </c>
      <c r="G85" s="28">
        <f>'Billing Detail'!K313</f>
        <v>7.3435739999999999E-2</v>
      </c>
      <c r="H85" s="28">
        <f t="shared" si="10"/>
        <v>4.156740000000006E-3</v>
      </c>
      <c r="I85" s="71">
        <f t="shared" si="11"/>
        <v>6.0000000000000095E-2</v>
      </c>
      <c r="J85" s="4"/>
    </row>
    <row r="86" spans="3:10" x14ac:dyDescent="0.2">
      <c r="C86" s="13" t="str">
        <f>'Billing Detail'!C314</f>
        <v>LPE-2</v>
      </c>
      <c r="D86" s="39" t="str">
        <f>'Billing Detail'!B314</f>
        <v>Schedule LPE-2  - Large Power TOD</v>
      </c>
      <c r="F86" s="23"/>
      <c r="G86" s="23"/>
      <c r="H86" s="23"/>
      <c r="I86" s="71"/>
      <c r="J86" s="4"/>
    </row>
    <row r="87" spans="3:10" x14ac:dyDescent="0.2">
      <c r="D87" s="39"/>
      <c r="E87" s="2" t="str">
        <f>'Billing Detail'!D315</f>
        <v>Customer Charge</v>
      </c>
      <c r="F87" s="23">
        <f>'Billing Detail'!I315</f>
        <v>1333.4</v>
      </c>
      <c r="G87" s="23">
        <f>'Billing Detail'!K315</f>
        <v>1413.4040000000002</v>
      </c>
      <c r="H87" s="23">
        <f t="shared" si="10"/>
        <v>80.004000000000133</v>
      </c>
      <c r="I87" s="71">
        <f t="shared" si="11"/>
        <v>6.0000000000000095E-2</v>
      </c>
      <c r="J87" s="4"/>
    </row>
    <row r="88" spans="3:10" x14ac:dyDescent="0.2">
      <c r="D88" s="39"/>
      <c r="E88" s="2" t="str">
        <f>'Billing Detail'!D316</f>
        <v>Demand Charge per kW</v>
      </c>
      <c r="F88" s="23">
        <f>'Billing Detail'!I316</f>
        <v>6.85</v>
      </c>
      <c r="G88" s="23">
        <f>'Billing Detail'!K316</f>
        <v>7.26</v>
      </c>
      <c r="H88" s="23">
        <f t="shared" si="10"/>
        <v>0.41000000000000014</v>
      </c>
      <c r="I88" s="71">
        <f t="shared" si="11"/>
        <v>5.9854014598540173E-2</v>
      </c>
      <c r="J88" s="4"/>
    </row>
    <row r="89" spans="3:10" x14ac:dyDescent="0.2">
      <c r="D89" s="39"/>
      <c r="E89" s="2" t="str">
        <f>'Billing Detail'!D317</f>
        <v>Energy Charge On Peak per kWh</v>
      </c>
      <c r="F89" s="28">
        <f>'Billing Detail'!I317</f>
        <v>7.5911999999999993E-2</v>
      </c>
      <c r="G89" s="28">
        <f>'Billing Detail'!K317</f>
        <v>8.0466719999999992E-2</v>
      </c>
      <c r="H89" s="28">
        <f t="shared" ref="H89:H95" si="12">G89-F89</f>
        <v>4.5547199999999982E-3</v>
      </c>
      <c r="I89" s="71">
        <f t="shared" ref="I89:I95" si="13">H89/F89</f>
        <v>5.9999999999999984E-2</v>
      </c>
      <c r="J89" s="4"/>
    </row>
    <row r="90" spans="3:10" x14ac:dyDescent="0.2">
      <c r="D90" s="39"/>
      <c r="E90" s="2" t="str">
        <f>'Billing Detail'!D318</f>
        <v>Energy Charge Off Peak per kWh</v>
      </c>
      <c r="F90" s="28">
        <f>'Billing Detail'!I318</f>
        <v>6.7209000000000005E-2</v>
      </c>
      <c r="G90" s="28">
        <f>'Billing Detail'!K318</f>
        <v>7.1241540000000006E-2</v>
      </c>
      <c r="H90" s="28">
        <f t="shared" si="12"/>
        <v>4.0325400000000011E-3</v>
      </c>
      <c r="I90" s="71">
        <f t="shared" si="13"/>
        <v>6.0000000000000012E-2</v>
      </c>
      <c r="J90" s="4"/>
    </row>
    <row r="91" spans="3:10" x14ac:dyDescent="0.2">
      <c r="C91" s="13" t="str">
        <f>'Billing Detail'!C319</f>
        <v>LPE-3</v>
      </c>
      <c r="D91" s="39" t="str">
        <f>'Billing Detail'!B319</f>
        <v>Schedule LPE-3  - Large Power TOD</v>
      </c>
      <c r="F91" s="23"/>
      <c r="G91" s="23"/>
      <c r="H91" s="23"/>
      <c r="I91" s="71"/>
      <c r="J91" s="4"/>
    </row>
    <row r="92" spans="3:10" x14ac:dyDescent="0.2">
      <c r="D92" s="39"/>
      <c r="E92" s="2" t="str">
        <f>'Billing Detail'!D320</f>
        <v>Customer Charge</v>
      </c>
      <c r="F92" s="23">
        <f>'Billing Detail'!I320</f>
        <v>3040.53</v>
      </c>
      <c r="G92" s="23">
        <f>'Billing Detail'!K320</f>
        <v>3222.9618000000005</v>
      </c>
      <c r="H92" s="23">
        <f t="shared" si="12"/>
        <v>182.43180000000029</v>
      </c>
      <c r="I92" s="71">
        <f t="shared" si="13"/>
        <v>6.0000000000000095E-2</v>
      </c>
      <c r="J92" s="4"/>
    </row>
    <row r="93" spans="3:10" x14ac:dyDescent="0.2">
      <c r="D93" s="39"/>
      <c r="E93" s="2" t="str">
        <f>'Billing Detail'!D321</f>
        <v>Demand Charge per kW</v>
      </c>
      <c r="F93" s="23">
        <f>'Billing Detail'!I321</f>
        <v>6.85</v>
      </c>
      <c r="G93" s="23">
        <f>'Billing Detail'!K321</f>
        <v>7.26</v>
      </c>
      <c r="H93" s="23">
        <f t="shared" si="12"/>
        <v>0.41000000000000014</v>
      </c>
      <c r="I93" s="71">
        <f t="shared" si="13"/>
        <v>5.9854014598540173E-2</v>
      </c>
      <c r="J93" s="4"/>
    </row>
    <row r="94" spans="3:10" x14ac:dyDescent="0.2">
      <c r="D94" s="39"/>
      <c r="E94" s="2" t="str">
        <f>'Billing Detail'!D322</f>
        <v>Energy Charge On Peak per kWh</v>
      </c>
      <c r="F94" s="28">
        <f>'Billing Detail'!I322</f>
        <v>7.4367000000000003E-2</v>
      </c>
      <c r="G94" s="28">
        <f>'Billing Detail'!K322</f>
        <v>7.8829020000000014E-2</v>
      </c>
      <c r="H94" s="28">
        <f t="shared" si="12"/>
        <v>4.462020000000011E-3</v>
      </c>
      <c r="I94" s="71">
        <f t="shared" si="13"/>
        <v>6.0000000000000143E-2</v>
      </c>
      <c r="J94" s="4"/>
    </row>
    <row r="95" spans="3:10" x14ac:dyDescent="0.2">
      <c r="D95" s="39"/>
      <c r="E95" s="2" t="str">
        <f>'Billing Detail'!D323</f>
        <v>Energy Charge Off Peak per kWh</v>
      </c>
      <c r="F95" s="28">
        <f>'Billing Detail'!I323</f>
        <v>6.5656000000000006E-2</v>
      </c>
      <c r="G95" s="28">
        <f>'Billing Detail'!K323</f>
        <v>6.9595360000000009E-2</v>
      </c>
      <c r="H95" s="28">
        <f t="shared" si="12"/>
        <v>3.9393600000000029E-3</v>
      </c>
      <c r="I95" s="71">
        <f t="shared" si="13"/>
        <v>6.0000000000000039E-2</v>
      </c>
      <c r="J95" s="4"/>
    </row>
    <row r="96" spans="3:10" x14ac:dyDescent="0.2">
      <c r="C96" s="13" t="str">
        <f>'Billing Detail'!C324</f>
        <v>LPE-5</v>
      </c>
      <c r="D96" s="39" t="str">
        <f>'Billing Detail'!B324</f>
        <v>Schedule LPE-5  - Large Power TOD</v>
      </c>
      <c r="F96" s="23"/>
      <c r="G96" s="23"/>
      <c r="H96" s="23"/>
      <c r="I96" s="71"/>
      <c r="J96" s="4"/>
    </row>
    <row r="97" spans="3:10" x14ac:dyDescent="0.2">
      <c r="E97" s="2" t="str">
        <f>'Billing Detail'!D325</f>
        <v>Customer Charge</v>
      </c>
      <c r="F97" s="23">
        <f>'Billing Detail'!I325</f>
        <v>4659.66</v>
      </c>
      <c r="G97" s="23">
        <f>'Billing Detail'!K325</f>
        <v>4939.2395999999999</v>
      </c>
      <c r="H97" s="23">
        <f t="shared" ref="H97:H100" si="14">G97-F97</f>
        <v>279.57960000000003</v>
      </c>
      <c r="I97" s="71">
        <f t="shared" ref="I97:I100" si="15">H97/F97</f>
        <v>6.0000000000000005E-2</v>
      </c>
      <c r="J97" s="4"/>
    </row>
    <row r="98" spans="3:10" x14ac:dyDescent="0.2">
      <c r="E98" s="2" t="str">
        <f>'Billing Detail'!D326</f>
        <v>Demand Charge per kW</v>
      </c>
      <c r="F98" s="23">
        <f>'Billing Detail'!I326</f>
        <v>6.85</v>
      </c>
      <c r="G98" s="23">
        <f>'Billing Detail'!K326</f>
        <v>7.26</v>
      </c>
      <c r="H98" s="23">
        <f t="shared" si="14"/>
        <v>0.41000000000000014</v>
      </c>
      <c r="I98" s="71">
        <f t="shared" si="15"/>
        <v>5.9854014598540173E-2</v>
      </c>
      <c r="J98" s="4"/>
    </row>
    <row r="99" spans="3:10" x14ac:dyDescent="0.2">
      <c r="E99" s="2" t="str">
        <f>'Billing Detail'!D327</f>
        <v>Energy Charge On Peak per kWh</v>
      </c>
      <c r="F99" s="28">
        <f>'Billing Detail'!I327</f>
        <v>6.9214999999999999E-2</v>
      </c>
      <c r="G99" s="28">
        <f>'Billing Detail'!K327</f>
        <v>7.33679E-2</v>
      </c>
      <c r="H99" s="28">
        <f t="shared" si="14"/>
        <v>4.152900000000001E-3</v>
      </c>
      <c r="I99" s="71">
        <f t="shared" si="15"/>
        <v>6.0000000000000019E-2</v>
      </c>
      <c r="J99" s="4"/>
    </row>
    <row r="100" spans="3:10" x14ac:dyDescent="0.2">
      <c r="E100" s="2" t="str">
        <f>'Billing Detail'!D328</f>
        <v>Energy Charge Off Peak per kWh</v>
      </c>
      <c r="F100" s="28">
        <f>'Billing Detail'!I328</f>
        <v>6.0479999999999999E-2</v>
      </c>
      <c r="G100" s="28">
        <f>'Billing Detail'!K328</f>
        <v>6.4108800000000007E-2</v>
      </c>
      <c r="H100" s="28">
        <f t="shared" si="14"/>
        <v>3.6288000000000084E-3</v>
      </c>
      <c r="I100" s="71">
        <f t="shared" si="15"/>
        <v>6.0000000000000137E-2</v>
      </c>
      <c r="J100" s="4"/>
    </row>
    <row r="101" spans="3:10" x14ac:dyDescent="0.2">
      <c r="F101" s="23"/>
      <c r="G101" s="23"/>
      <c r="H101" s="23"/>
      <c r="I101" s="71"/>
      <c r="J101" s="4"/>
    </row>
    <row r="102" spans="3:10" x14ac:dyDescent="0.2">
      <c r="C102" s="3" t="s">
        <v>85</v>
      </c>
      <c r="F102" s="23"/>
      <c r="G102" s="23"/>
    </row>
    <row r="103" spans="3:10" x14ac:dyDescent="0.2">
      <c r="F103" s="23"/>
      <c r="G103" s="23"/>
    </row>
    <row r="104" spans="3:10" ht="41.45" customHeight="1" x14ac:dyDescent="0.2">
      <c r="C104" s="148" t="s">
        <v>47</v>
      </c>
      <c r="D104" s="148"/>
      <c r="E104" s="148"/>
      <c r="F104" s="148"/>
      <c r="G104" s="148"/>
    </row>
    <row r="105" spans="3:10" x14ac:dyDescent="0.2">
      <c r="F105" s="149" t="s">
        <v>48</v>
      </c>
      <c r="G105" s="149"/>
    </row>
    <row r="106" spans="3:10" x14ac:dyDescent="0.2">
      <c r="C106" s="40" t="s">
        <v>49</v>
      </c>
      <c r="D106" s="40"/>
      <c r="E106" s="29"/>
      <c r="F106" s="30" t="s">
        <v>50</v>
      </c>
      <c r="G106" s="30" t="s">
        <v>51</v>
      </c>
    </row>
    <row r="107" spans="3:10" x14ac:dyDescent="0.2">
      <c r="C107" s="33">
        <f>Summary!C6</f>
        <v>1</v>
      </c>
      <c r="D107" s="3" t="str">
        <f>Summary!B6</f>
        <v>Schedule R - Residential Service</v>
      </c>
      <c r="F107" s="31">
        <f>Summary!F6</f>
        <v>2356922.6612059996</v>
      </c>
      <c r="G107" s="32">
        <f>Summary!G6</f>
        <v>5.9150889919078277E-2</v>
      </c>
    </row>
    <row r="108" spans="3:10" x14ac:dyDescent="0.2">
      <c r="C108" s="33">
        <f>Summary!C7</f>
        <v>3</v>
      </c>
      <c r="D108" s="3" t="str">
        <f>Summary!B7</f>
        <v>Schedule R - TOD Residential Service</v>
      </c>
      <c r="F108" s="31">
        <f>Summary!F7</f>
        <v>45.840000000000146</v>
      </c>
      <c r="G108" s="32">
        <f>Summary!G7</f>
        <v>3.3409706264974741E-2</v>
      </c>
      <c r="H108" s="1"/>
    </row>
    <row r="109" spans="3:10" x14ac:dyDescent="0.2">
      <c r="C109" s="33">
        <f>Summary!C8</f>
        <v>20</v>
      </c>
      <c r="D109" s="3" t="str">
        <f>Summary!B8</f>
        <v>Rate Schedule NM - Net Metering</v>
      </c>
      <c r="F109" s="31">
        <f>Summary!F8</f>
        <v>7001.4629459999851</v>
      </c>
      <c r="G109" s="32">
        <f>Summary!G8</f>
        <v>3.6345127575638507E-2</v>
      </c>
      <c r="H109" s="1"/>
    </row>
    <row r="110" spans="3:10" x14ac:dyDescent="0.2">
      <c r="C110" s="33">
        <f>Summary!C9</f>
        <v>7</v>
      </c>
      <c r="D110" s="3" t="str">
        <f>Summary!B9</f>
        <v>Schedule RM - Residential Off-Peak Marketing - ETS</v>
      </c>
      <c r="F110" s="31">
        <f>Summary!F9</f>
        <v>1852.0324549999968</v>
      </c>
      <c r="G110" s="32">
        <f>Summary!G9</f>
        <v>0.10913988236123348</v>
      </c>
      <c r="H110" s="1"/>
    </row>
    <row r="111" spans="3:10" x14ac:dyDescent="0.2">
      <c r="C111" s="33">
        <f>Summary!C10</f>
        <v>4</v>
      </c>
      <c r="D111" s="3" t="str">
        <f>Summary!B10</f>
        <v>Schedule C - Commercial &amp; Industrial Service &lt;50kW</v>
      </c>
      <c r="F111" s="31">
        <f>Summary!F10</f>
        <v>0</v>
      </c>
      <c r="G111" s="32">
        <f>Summary!G10</f>
        <v>0</v>
      </c>
      <c r="H111" s="1"/>
    </row>
    <row r="112" spans="3:10" x14ac:dyDescent="0.2">
      <c r="C112" s="33">
        <f>Summary!C11</f>
        <v>5</v>
      </c>
      <c r="D112" s="3" t="str">
        <f>Summary!B11</f>
        <v>Schedule C - Commercial &amp; Industrial Service &gt;50kW</v>
      </c>
      <c r="F112" s="31">
        <f>Summary!F11</f>
        <v>0</v>
      </c>
      <c r="G112" s="32">
        <f>Summary!G11</f>
        <v>0</v>
      </c>
      <c r="H112" s="1"/>
    </row>
    <row r="113" spans="3:8" x14ac:dyDescent="0.2">
      <c r="C113" s="33">
        <f>Summary!C12</f>
        <v>9</v>
      </c>
      <c r="D113" s="3" t="str">
        <f>Summary!B12</f>
        <v>Schedule C - Commercial &amp; Industrial Service - Primary</v>
      </c>
      <c r="F113" s="31">
        <f>Summary!F12</f>
        <v>0</v>
      </c>
      <c r="G113" s="32">
        <f>Summary!G12</f>
        <v>0</v>
      </c>
      <c r="H113" s="1"/>
    </row>
    <row r="114" spans="3:8" x14ac:dyDescent="0.2">
      <c r="C114" s="33">
        <f>Summary!C13</f>
        <v>10</v>
      </c>
      <c r="D114" s="3" t="str">
        <f>Summary!B13</f>
        <v>Schedule E - Large Industrial Rate</v>
      </c>
      <c r="F114" s="31">
        <f>Summary!F13</f>
        <v>0</v>
      </c>
      <c r="G114" s="32">
        <f>Summary!G13</f>
        <v>0</v>
      </c>
      <c r="H114" s="1"/>
    </row>
    <row r="115" spans="3:8" x14ac:dyDescent="0.2">
      <c r="C115" s="33">
        <f>Summary!C14</f>
        <v>14</v>
      </c>
      <c r="D115" s="3" t="str">
        <f>Summary!B14</f>
        <v xml:space="preserve">Schedule LPC-2 - Large Power </v>
      </c>
      <c r="F115" s="31">
        <f>Summary!F14</f>
        <v>0</v>
      </c>
      <c r="G115" s="32">
        <f>Summary!G14</f>
        <v>0</v>
      </c>
      <c r="H115" s="1"/>
    </row>
    <row r="116" spans="3:8" x14ac:dyDescent="0.2">
      <c r="C116" s="33">
        <f>Summary!C15</f>
        <v>15</v>
      </c>
      <c r="D116" s="3" t="str">
        <f>Summary!B15</f>
        <v>Schedule D - Large Commercial/Industrial Optional TOD Rate</v>
      </c>
      <c r="F116" s="31">
        <f>Summary!F15</f>
        <v>0</v>
      </c>
      <c r="G116" s="32">
        <f>Summary!G15</f>
        <v>0</v>
      </c>
      <c r="H116" s="1"/>
    </row>
    <row r="117" spans="3:8" x14ac:dyDescent="0.2">
      <c r="C117" s="33">
        <f>Summary!C16</f>
        <v>24</v>
      </c>
      <c r="D117" s="3" t="str">
        <f>Summary!B16</f>
        <v>Schedule LPE-4  - Large Power TOD Interruptible 1500 Firm 200</v>
      </c>
      <c r="F117" s="31">
        <f>Summary!F16</f>
        <v>0</v>
      </c>
      <c r="G117" s="32">
        <f>Summary!G16</f>
        <v>0</v>
      </c>
      <c r="H117" s="1"/>
    </row>
    <row r="118" spans="3:8" x14ac:dyDescent="0.2">
      <c r="C118" s="33">
        <f>Summary!C17</f>
        <v>36</v>
      </c>
      <c r="D118" s="3" t="str">
        <f>Summary!B17</f>
        <v>Schedule LPE-4  - Large Power TOD</v>
      </c>
      <c r="F118" s="31">
        <f>Summary!F17</f>
        <v>0</v>
      </c>
      <c r="G118" s="32">
        <f>Summary!G17</f>
        <v>0</v>
      </c>
      <c r="H118" s="1"/>
    </row>
    <row r="119" spans="3:8" x14ac:dyDescent="0.2">
      <c r="C119" s="33">
        <f>Summary!C18</f>
        <v>50</v>
      </c>
      <c r="D119" s="3" t="str">
        <f>Summary!B18</f>
        <v>Schedule C - TOD Commercial Service</v>
      </c>
      <c r="F119" s="31">
        <f>Summary!F18</f>
        <v>0</v>
      </c>
      <c r="G119" s="32">
        <f>Summary!G18</f>
        <v>0</v>
      </c>
      <c r="H119" s="1"/>
    </row>
    <row r="120" spans="3:8" x14ac:dyDescent="0.2">
      <c r="C120" s="33" t="str">
        <f>Summary!C19</f>
        <v>SL</v>
      </c>
      <c r="D120" s="3" t="str">
        <f>Summary!B19</f>
        <v>Schedule SL -  Street Lighting Service</v>
      </c>
      <c r="F120" s="31">
        <f>Summary!F19</f>
        <v>0</v>
      </c>
      <c r="G120" s="32">
        <f>Summary!G19</f>
        <v>0</v>
      </c>
      <c r="H120" s="1"/>
    </row>
    <row r="121" spans="3:8" x14ac:dyDescent="0.2">
      <c r="C121" s="33" t="str">
        <f>Summary!C20</f>
        <v>OL</v>
      </c>
      <c r="D121" s="3" t="str">
        <f>Summary!B20</f>
        <v>Schedule OL - Outdoor Lighting Service</v>
      </c>
      <c r="F121" s="31">
        <f>Summary!F20</f>
        <v>0</v>
      </c>
      <c r="G121" s="32">
        <f>Summary!G20</f>
        <v>0</v>
      </c>
      <c r="H121" s="1"/>
    </row>
    <row r="122" spans="3:8" x14ac:dyDescent="0.2">
      <c r="C122" s="65"/>
      <c r="D122" s="63" t="s">
        <v>89</v>
      </c>
      <c r="E122" s="16"/>
      <c r="F122" s="135">
        <f>'Billing Detail'!M216</f>
        <v>2365821.9966070056</v>
      </c>
      <c r="G122" s="64">
        <f>'Billing Detail'!N216</f>
        <v>3.9357622393832482E-2</v>
      </c>
    </row>
    <row r="124" spans="3:8" ht="40.15" customHeight="1" x14ac:dyDescent="0.2">
      <c r="C124" s="148" t="s">
        <v>52</v>
      </c>
      <c r="D124" s="148"/>
      <c r="E124" s="148"/>
      <c r="F124" s="148"/>
      <c r="G124" s="148"/>
      <c r="H124" s="148"/>
    </row>
    <row r="125" spans="3:8" x14ac:dyDescent="0.2">
      <c r="E125" s="143" t="s">
        <v>13</v>
      </c>
      <c r="F125" s="149" t="s">
        <v>138</v>
      </c>
      <c r="G125" s="149"/>
    </row>
    <row r="126" spans="3:8" x14ac:dyDescent="0.2">
      <c r="C126" s="40" t="s">
        <v>49</v>
      </c>
      <c r="D126" s="41"/>
      <c r="E126" s="141" t="s">
        <v>53</v>
      </c>
      <c r="F126" s="30" t="s">
        <v>50</v>
      </c>
      <c r="G126" s="30" t="s">
        <v>51</v>
      </c>
    </row>
    <row r="127" spans="3:8" x14ac:dyDescent="0.2">
      <c r="C127" s="13">
        <f>Summary!C6</f>
        <v>1</v>
      </c>
      <c r="D127" s="42" t="str">
        <f>Summary!B6</f>
        <v>Schedule R - Residential Service</v>
      </c>
      <c r="E127" s="34">
        <f>'Billing Detail'!E17</f>
        <v>1052.6953164475401</v>
      </c>
      <c r="F127" s="23">
        <f>Summary!H6</f>
        <v>7.9927383443806548</v>
      </c>
      <c r="G127" s="4">
        <f>Summary!G6</f>
        <v>5.9150889919078277E-2</v>
      </c>
    </row>
    <row r="128" spans="3:8" x14ac:dyDescent="0.2">
      <c r="C128" s="13">
        <f>Summary!C7</f>
        <v>3</v>
      </c>
      <c r="D128" s="42" t="str">
        <f>Summary!B7</f>
        <v>Schedule R - TOD Residential Service</v>
      </c>
      <c r="E128" s="34">
        <f>'Billing Detail'!E30</f>
        <v>927.25</v>
      </c>
      <c r="F128" s="23">
        <f>Summary!H7</f>
        <v>3.8200000000000216</v>
      </c>
      <c r="G128" s="4">
        <f>Summary!G7</f>
        <v>3.3409706264974741E-2</v>
      </c>
    </row>
    <row r="129" spans="3:7" x14ac:dyDescent="0.2">
      <c r="C129" s="13">
        <f>Summary!C8</f>
        <v>20</v>
      </c>
      <c r="D129" s="42" t="str">
        <f>Summary!B8</f>
        <v>Rate Schedule NM - Net Metering</v>
      </c>
      <c r="E129" s="34">
        <f>'Billing Detail'!E42</f>
        <v>1704.966735966736</v>
      </c>
      <c r="F129" s="23">
        <f>Summary!H8</f>
        <v>7.2780280103949906</v>
      </c>
      <c r="G129" s="4">
        <f>Summary!G8</f>
        <v>3.6345127575638507E-2</v>
      </c>
    </row>
    <row r="130" spans="3:7" x14ac:dyDescent="0.2">
      <c r="C130" s="13">
        <f>Summary!C9</f>
        <v>7</v>
      </c>
      <c r="D130" s="42" t="str">
        <f>Summary!B9</f>
        <v>Schedule RM - Residential Off-Peak Marketing - ETS</v>
      </c>
      <c r="E130" s="34">
        <f>'Billing Detail'!E54</f>
        <v>267.9308943089431</v>
      </c>
      <c r="F130" s="23">
        <f>Summary!H9</f>
        <v>1.8821468038617866</v>
      </c>
      <c r="G130" s="4">
        <f>Summary!G9</f>
        <v>0.10913988236123348</v>
      </c>
    </row>
    <row r="131" spans="3:7" x14ac:dyDescent="0.2">
      <c r="C131" s="13">
        <f>Summary!C10</f>
        <v>4</v>
      </c>
      <c r="D131" s="42" t="str">
        <f>Summary!B10</f>
        <v>Schedule C - Commercial &amp; Industrial Service &lt;50kW</v>
      </c>
      <c r="E131" s="34">
        <f>'Billing Detail'!E66</f>
        <v>1621.8062585418729</v>
      </c>
      <c r="F131" s="23">
        <f>Summary!H10</f>
        <v>0</v>
      </c>
      <c r="G131" s="4">
        <f>Summary!G10</f>
        <v>0</v>
      </c>
    </row>
    <row r="132" spans="3:7" x14ac:dyDescent="0.2">
      <c r="C132" s="13">
        <f>Summary!C11</f>
        <v>5</v>
      </c>
      <c r="D132" s="42" t="str">
        <f>Summary!B11</f>
        <v>Schedule C - Commercial &amp; Industrial Service &gt;50kW</v>
      </c>
      <c r="E132" s="34">
        <f>'Billing Detail'!E79</f>
        <v>44554.147899159667</v>
      </c>
      <c r="F132" s="23">
        <f>Summary!H11</f>
        <v>0</v>
      </c>
      <c r="G132" s="4">
        <f>Summary!G11</f>
        <v>0</v>
      </c>
    </row>
    <row r="133" spans="3:7" x14ac:dyDescent="0.2">
      <c r="C133" s="13">
        <f>Summary!C12</f>
        <v>9</v>
      </c>
      <c r="D133" s="42" t="str">
        <f>Summary!B12</f>
        <v>Schedule C - Commercial &amp; Industrial Service - Primary</v>
      </c>
      <c r="E133" s="34">
        <f>'Billing Detail'!E92</f>
        <v>506351.75</v>
      </c>
      <c r="F133" s="23">
        <f>Summary!H12</f>
        <v>0</v>
      </c>
      <c r="G133" s="4">
        <f>Summary!G12</f>
        <v>0</v>
      </c>
    </row>
    <row r="134" spans="3:7" x14ac:dyDescent="0.2">
      <c r="C134" s="13">
        <f>Summary!C13</f>
        <v>10</v>
      </c>
      <c r="D134" s="42" t="str">
        <f>Summary!B13</f>
        <v>Schedule E - Large Industrial Rate</v>
      </c>
      <c r="E134" s="34">
        <f>'Billing Detail'!E105</f>
        <v>5427.6000000000013</v>
      </c>
      <c r="F134" s="23">
        <f>Summary!H13</f>
        <v>0</v>
      </c>
      <c r="G134" s="4">
        <f>Summary!G13</f>
        <v>0</v>
      </c>
    </row>
    <row r="135" spans="3:7" x14ac:dyDescent="0.2">
      <c r="C135" s="13">
        <f>Summary!C14</f>
        <v>14</v>
      </c>
      <c r="D135" s="42" t="str">
        <f>Summary!B14</f>
        <v xml:space="preserve">Schedule LPC-2 - Large Power </v>
      </c>
      <c r="E135" s="34">
        <f>'Billing Detail'!E118</f>
        <v>695050</v>
      </c>
      <c r="F135" s="23">
        <f>Summary!H14</f>
        <v>0</v>
      </c>
      <c r="G135" s="4">
        <f>Summary!G14</f>
        <v>0</v>
      </c>
    </row>
    <row r="136" spans="3:7" x14ac:dyDescent="0.2">
      <c r="C136" s="13">
        <f>Summary!C15</f>
        <v>15</v>
      </c>
      <c r="D136" s="42" t="str">
        <f>Summary!B15</f>
        <v>Schedule D - Large Commercial/Industrial Optional TOD Rate</v>
      </c>
      <c r="E136" s="34">
        <f>'Billing Detail'!E131</f>
        <v>15945.916666666666</v>
      </c>
      <c r="F136" s="23">
        <f>Summary!H15</f>
        <v>0</v>
      </c>
      <c r="G136" s="4">
        <f>Summary!G15</f>
        <v>0</v>
      </c>
    </row>
    <row r="137" spans="3:7" x14ac:dyDescent="0.2">
      <c r="C137" s="13">
        <f>Summary!C16</f>
        <v>24</v>
      </c>
      <c r="D137" s="42" t="str">
        <f>Summary!B16</f>
        <v>Schedule LPE-4  - Large Power TOD Interruptible 1500 Firm 200</v>
      </c>
      <c r="E137" s="34">
        <f>'Billing Detail'!E146</f>
        <v>2776828.7142857146</v>
      </c>
      <c r="F137" s="23">
        <f>Summary!H16</f>
        <v>0</v>
      </c>
      <c r="G137" s="4">
        <f>Summary!G16</f>
        <v>0</v>
      </c>
    </row>
    <row r="138" spans="3:7" x14ac:dyDescent="0.2">
      <c r="C138" s="13">
        <f>Summary!C17</f>
        <v>36</v>
      </c>
      <c r="D138" s="42" t="str">
        <f>Summary!B17</f>
        <v>Schedule LPE-4  - Large Power TOD</v>
      </c>
      <c r="E138" s="34">
        <v>0</v>
      </c>
      <c r="F138" s="23">
        <f>Summary!H17</f>
        <v>0</v>
      </c>
      <c r="G138" s="4">
        <f>Summary!G17</f>
        <v>0</v>
      </c>
    </row>
    <row r="139" spans="3:7" x14ac:dyDescent="0.2">
      <c r="C139" s="13">
        <f>Summary!C18</f>
        <v>50</v>
      </c>
      <c r="D139" s="42" t="str">
        <f>Summary!B18</f>
        <v>Schedule C - TOD Commercial Service</v>
      </c>
      <c r="E139" s="34">
        <f>'Billing Detail'!E173</f>
        <v>7094.6835443037971</v>
      </c>
      <c r="F139" s="23">
        <f>Summary!H18</f>
        <v>0</v>
      </c>
      <c r="G139" s="4">
        <f>Summary!G18</f>
        <v>0</v>
      </c>
    </row>
    <row r="140" spans="3:7" x14ac:dyDescent="0.2">
      <c r="C140" s="13" t="str">
        <f>Summary!C19</f>
        <v>SL</v>
      </c>
      <c r="D140" s="42" t="str">
        <f>Summary!B19</f>
        <v>Schedule SL -  Street Lighting Service</v>
      </c>
      <c r="E140" s="35" t="s">
        <v>54</v>
      </c>
      <c r="F140" s="36" t="str">
        <f>Summary!H19</f>
        <v>NA</v>
      </c>
      <c r="G140" s="4">
        <f>Summary!G19</f>
        <v>0</v>
      </c>
    </row>
    <row r="141" spans="3:7" x14ac:dyDescent="0.2">
      <c r="C141" s="13" t="str">
        <f>Summary!C20</f>
        <v>OL</v>
      </c>
      <c r="D141" s="42" t="str">
        <f>Summary!B20</f>
        <v>Schedule OL - Outdoor Lighting Service</v>
      </c>
      <c r="E141" s="35" t="s">
        <v>54</v>
      </c>
      <c r="F141" s="36" t="str">
        <f>Summary!H20</f>
        <v>NA</v>
      </c>
      <c r="G141" s="4">
        <f>Summary!G20</f>
        <v>0</v>
      </c>
    </row>
    <row r="142" spans="3:7" x14ac:dyDescent="0.2">
      <c r="D142" s="42"/>
      <c r="E142" s="34"/>
      <c r="F142" s="23"/>
      <c r="G142" s="4"/>
    </row>
    <row r="143" spans="3:7" x14ac:dyDescent="0.2">
      <c r="D143" s="42"/>
      <c r="E143" s="34"/>
      <c r="F143" s="23"/>
      <c r="G143" s="4"/>
    </row>
  </sheetData>
  <mergeCells count="4">
    <mergeCell ref="C104:G104"/>
    <mergeCell ref="F105:G105"/>
    <mergeCell ref="C124:H124"/>
    <mergeCell ref="F125:G125"/>
  </mergeCells>
  <printOptions horizontalCentered="1"/>
  <pageMargins left="0.7" right="0.7" top="0.75" bottom="0.75" header="0.3" footer="0.3"/>
  <pageSetup paperSize="9" scale="59" fitToHeight="2" orientation="portrait" r:id="rId1"/>
  <headerFooter>
    <oddHeader>&amp;R&amp;"Arial,Bold"&amp;10Exhibit 2
Page &amp;P of &amp;N</oddHeader>
  </headerFooter>
  <rowBreaks count="1" manualBreakCount="1">
    <brk id="10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Summary</vt:lpstr>
      <vt:lpstr>Billing Detail</vt:lpstr>
      <vt:lpstr>Incr-R</vt:lpstr>
      <vt:lpstr>Notice Table</vt:lpstr>
      <vt:lpstr>'Billing Detail'!Print_Area</vt:lpstr>
      <vt:lpstr>'Incr-R'!Print_Area</vt:lpstr>
      <vt:lpstr>'Notice Table'!Print_Area</vt:lpstr>
      <vt:lpstr>Summary!Print_Area</vt:lpstr>
      <vt:lpstr>'Billing Detail'!Print_Titles</vt:lpstr>
      <vt:lpstr>'Incr-R'!Print_Titles</vt:lpstr>
      <vt:lpstr>'Notice Table'!Print_Titles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2025-04-29T14:41:47Z</cp:lastPrinted>
  <dcterms:created xsi:type="dcterms:W3CDTF">2021-02-09T02:13:44Z</dcterms:created>
  <dcterms:modified xsi:type="dcterms:W3CDTF">2025-04-29T14:44:02Z</dcterms:modified>
</cp:coreProperties>
</file>