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U:\2025 Rate Case\For Allyson\"/>
    </mc:Choice>
  </mc:AlternateContent>
  <xr:revisionPtr revIDLastSave="0" documentId="13_ncr:1_{02F68BAC-21F3-4C25-B433-99C04C9CC07D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atios" sheetId="1" r:id="rId1"/>
  </sheets>
  <definedNames>
    <definedName name="_xlnm.Print_Area" localSheetId="0">Ratios!$A$1:$K$47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" l="1"/>
  <c r="J40" i="1"/>
  <c r="I40" i="1"/>
  <c r="H40" i="1"/>
  <c r="D17" i="1"/>
  <c r="J8" i="1" l="1"/>
  <c r="K8" i="1"/>
  <c r="D9" i="1"/>
  <c r="J38" i="1"/>
  <c r="J39" i="1" s="1"/>
  <c r="K38" i="1"/>
  <c r="K39" i="1" s="1"/>
  <c r="D25" i="1" l="1"/>
  <c r="D26" i="1" s="1"/>
  <c r="D16" i="1"/>
  <c r="D8" i="1" l="1"/>
  <c r="I38" i="1"/>
  <c r="I39" i="1" s="1"/>
  <c r="H38" i="1"/>
  <c r="H39" i="1" s="1"/>
  <c r="F38" i="1"/>
  <c r="F39" i="1" s="1"/>
  <c r="F40" i="1" s="1"/>
  <c r="D38" i="1"/>
  <c r="D39" i="1" s="1"/>
  <c r="D40" i="1" s="1"/>
  <c r="H16" i="1" l="1"/>
  <c r="F25" i="1" l="1"/>
  <c r="H25" i="1"/>
  <c r="I25" i="1"/>
  <c r="K26" i="1" s="1"/>
  <c r="J25" i="1"/>
  <c r="K25" i="1"/>
  <c r="K16" i="1"/>
  <c r="F16" i="1"/>
  <c r="I16" i="1"/>
  <c r="J16" i="1"/>
  <c r="F17" i="1" l="1"/>
  <c r="H17" i="1"/>
  <c r="I17" i="1"/>
  <c r="I26" i="1"/>
  <c r="F26" i="1"/>
  <c r="K17" i="1"/>
  <c r="H26" i="1"/>
  <c r="J26" i="1"/>
  <c r="J17" i="1"/>
  <c r="F8" i="1"/>
  <c r="H8" i="1"/>
  <c r="I8" i="1"/>
  <c r="K9" i="1" s="1"/>
  <c r="I9" i="1" l="1"/>
  <c r="F9" i="1"/>
  <c r="H9" i="1"/>
  <c r="J9" i="1"/>
</calcChain>
</file>

<file path=xl/sharedStrings.xml><?xml version="1.0" encoding="utf-8"?>
<sst xmlns="http://schemas.openxmlformats.org/spreadsheetml/2006/main" count="87" uniqueCount="73">
  <si>
    <t>A</t>
  </si>
  <si>
    <t>B</t>
  </si>
  <si>
    <t>C</t>
  </si>
  <si>
    <t>Interest on Long-Term Debt</t>
  </si>
  <si>
    <t>Net Margins</t>
  </si>
  <si>
    <t>D</t>
  </si>
  <si>
    <t>E</t>
  </si>
  <si>
    <t>G</t>
  </si>
  <si>
    <t>H</t>
  </si>
  <si>
    <t>Depreciation</t>
  </si>
  <si>
    <t>Debt Service</t>
  </si>
  <si>
    <t>OTIER (A + D)/A</t>
  </si>
  <si>
    <t>Patronage Capital &amp; Operating Margins</t>
  </si>
  <si>
    <t>F</t>
  </si>
  <si>
    <t>DSC (A + B + F)/G</t>
  </si>
  <si>
    <t>Source: Financial &amp; Operating Report Electric Distribution</t>
  </si>
  <si>
    <t>Part A. (b) Line 16</t>
  </si>
  <si>
    <t>Part A. (b) Line 29</t>
  </si>
  <si>
    <t>Part A. (b) Line 21</t>
  </si>
  <si>
    <t>Part A. (b) Line 13</t>
  </si>
  <si>
    <t>Part N. (d) Total</t>
  </si>
  <si>
    <t>TIER (2 of 3 Year Average High)</t>
  </si>
  <si>
    <t>OTIER (2 of 3 Year Average High)</t>
  </si>
  <si>
    <t>DSC (2 of 3 Year Average High)</t>
  </si>
  <si>
    <t>*</t>
  </si>
  <si>
    <t>**</t>
  </si>
  <si>
    <t>^</t>
  </si>
  <si>
    <t>"</t>
  </si>
  <si>
    <t>""</t>
  </si>
  <si>
    <t>G&amp;T Capital Credits</t>
  </si>
  <si>
    <t>Other Capital Credits</t>
  </si>
  <si>
    <t>Total Pat Cap (Cash)</t>
  </si>
  <si>
    <t>I</t>
  </si>
  <si>
    <t>Part A. (b) Line 26</t>
  </si>
  <si>
    <t>Part A. (b) Line 27</t>
  </si>
  <si>
    <t>Total - Sum</t>
  </si>
  <si>
    <t>PY - Invest in Assoc Org - Pat Cap</t>
  </si>
  <si>
    <t>(CY - Invest in Assoc Org - Pat Cap)</t>
  </si>
  <si>
    <t>J</t>
  </si>
  <si>
    <t>K</t>
  </si>
  <si>
    <t>Non Operating Margins Interest</t>
  </si>
  <si>
    <t>Part A. (b) Line 22</t>
  </si>
  <si>
    <t>MDSC (A + D + F + I + J)/G</t>
  </si>
  <si>
    <r>
      <t xml:space="preserve">Part C. Line 8 - </t>
    </r>
    <r>
      <rPr>
        <i/>
        <sz val="11"/>
        <color theme="1"/>
        <rFont val="Calibri"/>
        <family val="2"/>
        <scheme val="minor"/>
      </rPr>
      <t>Prior Year</t>
    </r>
  </si>
  <si>
    <r>
      <t xml:space="preserve">Part C. Line 8 - </t>
    </r>
    <r>
      <rPr>
        <i/>
        <sz val="11"/>
        <color theme="1"/>
        <rFont val="Calibri"/>
        <family val="2"/>
        <scheme val="minor"/>
      </rPr>
      <t>Current Year</t>
    </r>
  </si>
  <si>
    <t>MDSC (2 of 3 Year Average High)</t>
  </si>
  <si>
    <t>!</t>
  </si>
  <si>
    <t>***</t>
  </si>
  <si>
    <t>MDSC is a measurement of a system's ability to generate sufficient operating funds to cover</t>
  </si>
  <si>
    <t>The CFC loan contract requires a MDSC of 1.35 for the best two of the last three years.</t>
  </si>
  <si>
    <t>its cash requirements, but adjusted to eliminate non-cash amounts that are included in margins.</t>
  </si>
  <si>
    <t xml:space="preserve">TIER (A + B)/A </t>
  </si>
  <si>
    <t>Page 1 of 1</t>
  </si>
  <si>
    <t>Times Interest Earnings Ratio ("TIER")</t>
  </si>
  <si>
    <t>Operating TIER ("OTIER")</t>
  </si>
  <si>
    <t>Debt Service Coverage ("DSC")</t>
  </si>
  <si>
    <t>Ratios</t>
  </si>
  <si>
    <r>
      <t>Modified DSC ("MDSC")</t>
    </r>
    <r>
      <rPr>
        <b/>
        <sz val="14"/>
        <color rgb="FFFF0000"/>
        <rFont val="Calibri"/>
        <family val="2"/>
        <scheme val="minor"/>
      </rPr>
      <t xml:space="preserve"> ***</t>
    </r>
  </si>
  <si>
    <t>Blue Grass Energy Cooperative Corporation</t>
  </si>
  <si>
    <t>Witness: Lauren Logan</t>
  </si>
  <si>
    <t>TEST YEAR  2024</t>
  </si>
  <si>
    <t>The application for Blue Grass Energy also refers to modified debt service coverage ("MDSC").</t>
  </si>
  <si>
    <t>2018 and 2019 TIER used to calculate the "2 of 3 year average high".</t>
  </si>
  <si>
    <t>2018 and 2020 TIER used to calculate the "2 of 3 year average high".</t>
  </si>
  <si>
    <t>2017 and 2018 OTIER used to calculate the "2 of 3 year average high".</t>
  </si>
  <si>
    <t>^^</t>
  </si>
  <si>
    <t>2018 and 2020 OTIER used to calculatre the "2 of 3 year average high".</t>
  </si>
  <si>
    <t>2018 and 2019 DSC used to calculate the "2 of 3 year average high".</t>
  </si>
  <si>
    <t>2018 and 2020 DSC used to calculate the "2 of 3 year average high".</t>
  </si>
  <si>
    <t>2018 and 2019 MDSC used to calculate the "2 of 3 year average high".</t>
  </si>
  <si>
    <t>!!</t>
  </si>
  <si>
    <t>2018 and 2020 MDSC used to calculate the "2 of 3 year average high".</t>
  </si>
  <si>
    <t>Exhibit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</si>
</sst>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0" fillId="0" borderId="0" xfId="1" applyFont="1"/>
    <xf numFmtId="0" fontId="3" fillId="0" borderId="0" xfId="0" applyFont="1"/>
    <xf numFmtId="165" fontId="0" fillId="0" borderId="0" xfId="1" applyNumberFormat="1" applyFont="1"/>
    <xf numFmtId="43" fontId="2" fillId="0" borderId="0" xfId="1" applyFont="1"/>
    <xf numFmtId="0" fontId="2" fillId="0" borderId="1" xfId="0" applyFont="1" applyBorder="1" applyAlignment="1">
      <alignment horizontal="center" wrapText="1"/>
    </xf>
    <xf numFmtId="165" fontId="0" fillId="0" borderId="0" xfId="1" applyNumberFormat="1" applyFont="1" applyFill="1"/>
    <xf numFmtId="0" fontId="0" fillId="2" borderId="0" xfId="0" applyFill="1"/>
    <xf numFmtId="2" fontId="0" fillId="0" borderId="0" xfId="0" applyNumberFormat="1"/>
    <xf numFmtId="164" fontId="0" fillId="0" borderId="0" xfId="2" applyNumberFormat="1" applyFont="1" applyFill="1" applyBorder="1"/>
    <xf numFmtId="43" fontId="0" fillId="2" borderId="0" xfId="1" applyFont="1" applyFill="1" applyBorder="1"/>
    <xf numFmtId="43" fontId="0" fillId="2" borderId="0" xfId="1" applyFont="1" applyFill="1"/>
    <xf numFmtId="43" fontId="5" fillId="2" borderId="0" xfId="1" applyFont="1" applyFill="1" applyAlignment="1">
      <alignment horizontal="left"/>
    </xf>
    <xf numFmtId="0" fontId="6" fillId="0" borderId="0" xfId="0" applyFont="1" applyAlignment="1">
      <alignment horizontal="right"/>
    </xf>
    <xf numFmtId="2" fontId="6" fillId="0" borderId="0" xfId="0" applyNumberFormat="1" applyFont="1"/>
    <xf numFmtId="165" fontId="0" fillId="0" borderId="1" xfId="1" applyNumberFormat="1" applyFont="1" applyBorder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5" fontId="1" fillId="0" borderId="0" xfId="1" applyNumberFormat="1" applyFont="1" applyBorder="1" applyAlignment="1">
      <alignment horizontal="center"/>
    </xf>
    <xf numFmtId="165" fontId="1" fillId="0" borderId="0" xfId="1" applyNumberFormat="1" applyFont="1"/>
    <xf numFmtId="0" fontId="0" fillId="0" borderId="0" xfId="0" quotePrefix="1" applyAlignment="1">
      <alignment horizontal="left" indent="1"/>
    </xf>
    <xf numFmtId="0" fontId="8" fillId="0" borderId="0" xfId="0" applyFont="1"/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3" fontId="0" fillId="0" borderId="0" xfId="0" applyNumberFormat="1"/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165" fontId="1" fillId="0" borderId="0" xfId="1" applyNumberFormat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7"/>
  <sheetViews>
    <sheetView tabSelected="1" topLeftCell="A16" zoomScaleNormal="100" workbookViewId="0">
      <selection activeCell="C14" sqref="C14"/>
    </sheetView>
  </sheetViews>
  <sheetFormatPr defaultRowHeight="15" x14ac:dyDescent="0.25"/>
  <cols>
    <col min="2" max="2" width="36" bestFit="1" customWidth="1"/>
    <col min="3" max="3" width="29.28515625" customWidth="1"/>
    <col min="4" max="4" width="12.28515625" bestFit="1" customWidth="1"/>
    <col min="5" max="5" width="2.85546875" customWidth="1"/>
    <col min="6" max="6" width="14.5703125" customWidth="1"/>
    <col min="7" max="7" width="4.28515625" customWidth="1"/>
    <col min="8" max="8" width="12.5703125" customWidth="1"/>
    <col min="9" max="9" width="13" customWidth="1"/>
    <col min="10" max="11" width="13.28515625" customWidth="1"/>
    <col min="12" max="12" width="14.28515625" bestFit="1" customWidth="1"/>
    <col min="13" max="14" width="15" bestFit="1" customWidth="1"/>
  </cols>
  <sheetData>
    <row r="1" spans="1:14" ht="15.75" x14ac:dyDescent="0.25">
      <c r="A1" s="5" t="s">
        <v>58</v>
      </c>
      <c r="B1" s="1"/>
      <c r="C1" s="1"/>
      <c r="K1" s="26" t="s">
        <v>59</v>
      </c>
    </row>
    <row r="2" spans="1:14" ht="15.75" x14ac:dyDescent="0.25">
      <c r="A2" s="5" t="s">
        <v>72</v>
      </c>
      <c r="B2" s="1"/>
      <c r="C2" s="1"/>
      <c r="K2" s="26" t="s">
        <v>52</v>
      </c>
    </row>
    <row r="3" spans="1:14" ht="15.75" x14ac:dyDescent="0.25">
      <c r="A3" s="5" t="s">
        <v>56</v>
      </c>
      <c r="B3" s="1"/>
      <c r="C3" s="1"/>
    </row>
    <row r="4" spans="1:14" x14ac:dyDescent="0.25">
      <c r="D4" s="3"/>
      <c r="E4" s="3"/>
      <c r="F4" s="3"/>
      <c r="G4" s="3"/>
      <c r="I4" s="3"/>
      <c r="K4" s="3"/>
    </row>
    <row r="5" spans="1:14" ht="37.5" x14ac:dyDescent="0.25">
      <c r="B5" s="29" t="s">
        <v>53</v>
      </c>
      <c r="C5" s="8" t="s">
        <v>15</v>
      </c>
      <c r="D5" s="2">
        <v>2019</v>
      </c>
      <c r="E5" s="2"/>
      <c r="F5" s="2">
        <v>2020</v>
      </c>
      <c r="G5" s="2"/>
      <c r="H5" s="2">
        <v>2021</v>
      </c>
      <c r="I5" s="2">
        <v>2022</v>
      </c>
      <c r="J5" s="2">
        <v>2023</v>
      </c>
      <c r="K5" s="8" t="s">
        <v>60</v>
      </c>
      <c r="M5" s="3"/>
      <c r="N5" s="3"/>
    </row>
    <row r="6" spans="1:14" x14ac:dyDescent="0.25">
      <c r="A6" s="3" t="s">
        <v>0</v>
      </c>
      <c r="B6" t="s">
        <v>3</v>
      </c>
      <c r="C6" t="s">
        <v>16</v>
      </c>
      <c r="D6" s="6">
        <v>3629863</v>
      </c>
      <c r="E6" s="6"/>
      <c r="F6" s="6">
        <v>3216313</v>
      </c>
      <c r="G6" s="6"/>
      <c r="H6" s="6">
        <v>3006793</v>
      </c>
      <c r="I6" s="6">
        <v>3010548</v>
      </c>
      <c r="J6" s="6">
        <v>2989562</v>
      </c>
      <c r="K6" s="6">
        <v>3252736</v>
      </c>
      <c r="M6" s="4"/>
      <c r="N6" s="6"/>
    </row>
    <row r="7" spans="1:14" x14ac:dyDescent="0.25">
      <c r="A7" s="3" t="s">
        <v>1</v>
      </c>
      <c r="B7" t="s">
        <v>4</v>
      </c>
      <c r="C7" t="s">
        <v>17</v>
      </c>
      <c r="D7" s="6">
        <v>9327222</v>
      </c>
      <c r="E7" s="6"/>
      <c r="F7" s="6">
        <v>7908507</v>
      </c>
      <c r="G7" s="6"/>
      <c r="H7" s="6">
        <v>6099774</v>
      </c>
      <c r="I7" s="6">
        <v>7467696</v>
      </c>
      <c r="J7" s="6">
        <v>4513040</v>
      </c>
      <c r="K7" s="6">
        <v>1774333</v>
      </c>
      <c r="M7" s="4"/>
      <c r="N7" s="6"/>
    </row>
    <row r="8" spans="1:14" s="1" customFormat="1" x14ac:dyDescent="0.25">
      <c r="A8" s="3" t="s">
        <v>2</v>
      </c>
      <c r="B8" s="1" t="s">
        <v>51</v>
      </c>
      <c r="D8" s="7">
        <f>+(D6+D7)/D6</f>
        <v>3.5695796232529986</v>
      </c>
      <c r="E8" s="7"/>
      <c r="F8" s="7">
        <f t="shared" ref="F8:I8" si="0">+(F6+F7)/F6</f>
        <v>3.4588735611241814</v>
      </c>
      <c r="G8" s="7"/>
      <c r="H8" s="7">
        <f t="shared" si="0"/>
        <v>3.0286644275146308</v>
      </c>
      <c r="I8" s="7">
        <f t="shared" si="0"/>
        <v>3.4805105249941208</v>
      </c>
      <c r="J8" s="7">
        <f>+(J6+J7)/J6</f>
        <v>2.5095990650135369</v>
      </c>
      <c r="K8" s="7">
        <f>+(K6+K7)/K6</f>
        <v>1.5454893972335904</v>
      </c>
      <c r="M8" s="7"/>
    </row>
    <row r="9" spans="1:14" x14ac:dyDescent="0.25">
      <c r="A9" s="3"/>
      <c r="B9" s="10" t="s">
        <v>21</v>
      </c>
      <c r="C9" s="10"/>
      <c r="D9" s="14">
        <f>AVERAGE(3.57,4.63)</f>
        <v>4.0999999999999996</v>
      </c>
      <c r="E9" s="15" t="s">
        <v>24</v>
      </c>
      <c r="F9" s="14">
        <f>AVERAGE(F8,4.63)</f>
        <v>4.0444367805620907</v>
      </c>
      <c r="G9" s="15" t="s">
        <v>25</v>
      </c>
      <c r="H9" s="14">
        <f>AVERAGE(F8,D8)</f>
        <v>3.51422659218859</v>
      </c>
      <c r="I9" s="14">
        <f>AVERAGE(F8,I8)</f>
        <v>3.4696920430591511</v>
      </c>
      <c r="J9" s="14">
        <f>AVERAGE(H8,I8)</f>
        <v>3.2545874762543758</v>
      </c>
      <c r="K9" s="13">
        <f>AVERAGE(J8,I8)</f>
        <v>2.9950547950038287</v>
      </c>
    </row>
    <row r="10" spans="1:14" x14ac:dyDescent="0.25">
      <c r="A10" s="3"/>
      <c r="E10" s="16" t="s">
        <v>24</v>
      </c>
      <c r="F10" s="17" t="s">
        <v>62</v>
      </c>
      <c r="G10" s="11"/>
      <c r="H10" s="11"/>
      <c r="I10" s="11"/>
      <c r="J10" s="11"/>
      <c r="K10" s="12"/>
    </row>
    <row r="11" spans="1:14" x14ac:dyDescent="0.25">
      <c r="A11" s="3"/>
      <c r="E11" s="16" t="s">
        <v>25</v>
      </c>
      <c r="F11" s="17" t="s">
        <v>63</v>
      </c>
      <c r="I11" s="11"/>
      <c r="J11" s="11"/>
      <c r="K11" s="12"/>
    </row>
    <row r="12" spans="1:14" x14ac:dyDescent="0.25">
      <c r="A12" s="3"/>
      <c r="C12" s="16"/>
      <c r="D12" s="17"/>
      <c r="E12" s="11"/>
      <c r="F12" s="11"/>
      <c r="G12" s="11"/>
      <c r="H12" s="11"/>
      <c r="I12" s="11"/>
      <c r="J12" s="11"/>
      <c r="K12" s="12"/>
    </row>
    <row r="13" spans="1:14" x14ac:dyDescent="0.25">
      <c r="D13" s="3"/>
      <c r="E13" s="3"/>
      <c r="F13" s="3"/>
      <c r="G13" s="3"/>
      <c r="I13" s="3"/>
      <c r="K13" s="3"/>
    </row>
    <row r="14" spans="1:14" ht="30.75" x14ac:dyDescent="0.3">
      <c r="B14" s="28" t="s">
        <v>54</v>
      </c>
      <c r="C14" s="8" t="s">
        <v>15</v>
      </c>
      <c r="D14" s="2">
        <v>2019</v>
      </c>
      <c r="E14" s="2"/>
      <c r="F14" s="2">
        <v>2020</v>
      </c>
      <c r="G14" s="2"/>
      <c r="H14" s="2">
        <v>2021</v>
      </c>
      <c r="I14" s="2">
        <v>2022</v>
      </c>
      <c r="J14" s="2">
        <v>2023</v>
      </c>
      <c r="K14" s="8" t="s">
        <v>60</v>
      </c>
    </row>
    <row r="15" spans="1:14" x14ac:dyDescent="0.25">
      <c r="A15" s="3" t="s">
        <v>5</v>
      </c>
      <c r="B15" t="s">
        <v>12</v>
      </c>
      <c r="C15" t="s">
        <v>18</v>
      </c>
      <c r="D15" s="6">
        <v>3030056</v>
      </c>
      <c r="E15" s="6"/>
      <c r="F15" s="6">
        <v>3719288</v>
      </c>
      <c r="G15" s="6"/>
      <c r="H15" s="6">
        <v>4388619</v>
      </c>
      <c r="I15" s="6">
        <v>3140470</v>
      </c>
      <c r="J15" s="6">
        <v>1514458</v>
      </c>
      <c r="K15" s="6">
        <v>12754</v>
      </c>
      <c r="M15" s="6"/>
      <c r="N15" s="6"/>
    </row>
    <row r="16" spans="1:14" s="1" customFormat="1" x14ac:dyDescent="0.25">
      <c r="A16" s="3" t="s">
        <v>6</v>
      </c>
      <c r="B16" s="1" t="s">
        <v>11</v>
      </c>
      <c r="D16" s="7">
        <f>+(D15+D6)/D6</f>
        <v>1.8347576754274197</v>
      </c>
      <c r="E16" s="7"/>
      <c r="F16" s="7">
        <f>+(F15+F6)/F6</f>
        <v>2.156382478944058</v>
      </c>
      <c r="G16" s="7"/>
      <c r="H16" s="7">
        <f>+(H15+H6)/H6</f>
        <v>2.4595680514089264</v>
      </c>
      <c r="I16" s="7">
        <f>+(I15+I6)/I6</f>
        <v>2.0431555982498866</v>
      </c>
      <c r="J16" s="7">
        <f>+(J15+J6)/J6</f>
        <v>1.5065819006262455</v>
      </c>
      <c r="K16" s="7">
        <f>+(K15+K6)/K6</f>
        <v>1.0039210068078073</v>
      </c>
    </row>
    <row r="17" spans="1:14" x14ac:dyDescent="0.25">
      <c r="B17" s="10" t="s">
        <v>22</v>
      </c>
      <c r="C17" s="10"/>
      <c r="D17" s="14">
        <f>AVERAGE(2.06,3.03)</f>
        <v>2.5449999999999999</v>
      </c>
      <c r="E17" s="15" t="s">
        <v>26</v>
      </c>
      <c r="F17" s="14">
        <f>AVERAGE(F16,3.03)</f>
        <v>2.5931912394720289</v>
      </c>
      <c r="G17" s="15" t="s">
        <v>65</v>
      </c>
      <c r="H17" s="14">
        <f>AVERAGE(F16,H16)</f>
        <v>2.3079752651764922</v>
      </c>
      <c r="I17" s="14">
        <f>AVERAGE(F16,H16)</f>
        <v>2.3079752651764922</v>
      </c>
      <c r="J17" s="14">
        <f>AVERAGE(H16,I16)</f>
        <v>2.2513618248294067</v>
      </c>
      <c r="K17" s="13">
        <f>AVERAGE(I16,J16)</f>
        <v>1.7748687494380659</v>
      </c>
    </row>
    <row r="18" spans="1:14" x14ac:dyDescent="0.25">
      <c r="E18" s="16" t="s">
        <v>26</v>
      </c>
      <c r="F18" s="17" t="s">
        <v>64</v>
      </c>
      <c r="G18" s="3"/>
      <c r="I18" s="3"/>
      <c r="K18" s="27"/>
    </row>
    <row r="19" spans="1:14" x14ac:dyDescent="0.25">
      <c r="D19" s="3"/>
      <c r="E19" s="16" t="s">
        <v>65</v>
      </c>
      <c r="F19" s="17" t="s">
        <v>66</v>
      </c>
      <c r="G19" s="3"/>
      <c r="I19" s="3"/>
    </row>
    <row r="20" spans="1:14" x14ac:dyDescent="0.25">
      <c r="D20" s="3"/>
      <c r="E20" s="16"/>
      <c r="F20" s="17"/>
      <c r="G20" s="3"/>
      <c r="I20" s="3"/>
    </row>
    <row r="21" spans="1:14" x14ac:dyDescent="0.25">
      <c r="D21" s="3"/>
      <c r="E21" s="3"/>
      <c r="F21" s="3"/>
      <c r="G21" s="3"/>
      <c r="I21" s="3"/>
      <c r="K21" s="3"/>
    </row>
    <row r="22" spans="1:14" ht="37.5" x14ac:dyDescent="0.3">
      <c r="B22" s="28" t="s">
        <v>55</v>
      </c>
      <c r="C22" s="8" t="s">
        <v>15</v>
      </c>
      <c r="D22" s="2">
        <v>2019</v>
      </c>
      <c r="E22" s="2"/>
      <c r="F22" s="2">
        <v>2020</v>
      </c>
      <c r="G22" s="2"/>
      <c r="H22" s="2">
        <v>2021</v>
      </c>
      <c r="I22" s="2">
        <v>2022</v>
      </c>
      <c r="J22" s="2">
        <v>2023</v>
      </c>
      <c r="K22" s="8" t="s">
        <v>60</v>
      </c>
    </row>
    <row r="23" spans="1:14" x14ac:dyDescent="0.25">
      <c r="A23" s="3" t="s">
        <v>13</v>
      </c>
      <c r="B23" t="s">
        <v>9</v>
      </c>
      <c r="C23" t="s">
        <v>19</v>
      </c>
      <c r="D23" s="6">
        <v>10185029</v>
      </c>
      <c r="E23" s="6"/>
      <c r="F23" s="6">
        <v>10477845</v>
      </c>
      <c r="G23" s="6"/>
      <c r="H23" s="6">
        <v>10994539</v>
      </c>
      <c r="I23" s="6">
        <v>11461029</v>
      </c>
      <c r="J23" s="6">
        <v>12144517</v>
      </c>
      <c r="K23" s="6">
        <v>12787114</v>
      </c>
      <c r="M23" s="6"/>
      <c r="N23" s="6"/>
    </row>
    <row r="24" spans="1:14" x14ac:dyDescent="0.25">
      <c r="A24" s="3" t="s">
        <v>7</v>
      </c>
      <c r="B24" t="s">
        <v>10</v>
      </c>
      <c r="C24" t="s">
        <v>20</v>
      </c>
      <c r="D24" s="9">
        <v>10317095</v>
      </c>
      <c r="E24" s="9"/>
      <c r="F24" s="6">
        <v>8761470</v>
      </c>
      <c r="G24" s="6"/>
      <c r="H24" s="6">
        <v>7707018</v>
      </c>
      <c r="I24" s="6">
        <v>9242054</v>
      </c>
      <c r="J24" s="6">
        <v>9383059</v>
      </c>
      <c r="K24" s="6">
        <v>9773998</v>
      </c>
      <c r="M24" s="6"/>
      <c r="N24" s="6"/>
    </row>
    <row r="25" spans="1:14" s="1" customFormat="1" x14ac:dyDescent="0.25">
      <c r="A25" s="3" t="s">
        <v>8</v>
      </c>
      <c r="B25" s="1" t="s">
        <v>14</v>
      </c>
      <c r="D25" s="7">
        <f>+(D6+D7+D23)/D24</f>
        <v>2.243084317823961</v>
      </c>
      <c r="E25" s="7"/>
      <c r="F25" s="7">
        <f>+(F6+F7+F23)/F24</f>
        <v>2.4656438930909994</v>
      </c>
      <c r="G25" s="7"/>
      <c r="H25" s="7">
        <f>+(H6+H7+H23)/H24</f>
        <v>2.6081560987660857</v>
      </c>
      <c r="I25" s="7">
        <f>+(I6+I7+I23)/I24</f>
        <v>2.3738525007536202</v>
      </c>
      <c r="J25" s="7">
        <f>+(J6+J7+J23)/J24</f>
        <v>2.0938927273078001</v>
      </c>
      <c r="K25" s="7">
        <f>+(K6+K7+K23)/K24</f>
        <v>1.8226096424410974</v>
      </c>
    </row>
    <row r="26" spans="1:14" x14ac:dyDescent="0.25">
      <c r="B26" s="10" t="s">
        <v>23</v>
      </c>
      <c r="C26" s="10"/>
      <c r="D26" s="14">
        <f>AVERAGE(D25, 2.74)</f>
        <v>2.4915421589119804</v>
      </c>
      <c r="E26" s="15" t="s">
        <v>27</v>
      </c>
      <c r="F26" s="14">
        <f>AVERAGE(2.74,F25)</f>
        <v>2.6028219465454998</v>
      </c>
      <c r="G26" s="15" t="s">
        <v>28</v>
      </c>
      <c r="H26" s="14">
        <f>AVERAGE(H25,F25)</f>
        <v>2.5368999959285423</v>
      </c>
      <c r="I26" s="14">
        <f>AVERAGE(F25,H25)</f>
        <v>2.5368999959285423</v>
      </c>
      <c r="J26" s="14">
        <f>AVERAGE(H25,I25)</f>
        <v>2.4910042997598527</v>
      </c>
      <c r="K26" s="13">
        <f>AVERAGE(I25,J25)</f>
        <v>2.2338726140307101</v>
      </c>
    </row>
    <row r="27" spans="1:14" x14ac:dyDescent="0.25">
      <c r="E27" s="16" t="s">
        <v>27</v>
      </c>
      <c r="F27" s="17" t="s">
        <v>67</v>
      </c>
    </row>
    <row r="28" spans="1:14" x14ac:dyDescent="0.25">
      <c r="E28" s="16" t="s">
        <v>28</v>
      </c>
      <c r="F28" s="17" t="s">
        <v>68</v>
      </c>
    </row>
    <row r="29" spans="1:14" x14ac:dyDescent="0.25">
      <c r="B29" s="19"/>
      <c r="D29" s="4"/>
      <c r="E29" s="4"/>
    </row>
    <row r="30" spans="1:14" x14ac:dyDescent="0.25">
      <c r="B30" s="19"/>
      <c r="D30" s="3"/>
      <c r="E30" s="3"/>
      <c r="F30" s="3"/>
      <c r="G30" s="3"/>
      <c r="I30" s="3"/>
      <c r="K30" s="3"/>
    </row>
    <row r="31" spans="1:14" ht="30.75" x14ac:dyDescent="0.3">
      <c r="B31" s="24" t="s">
        <v>57</v>
      </c>
      <c r="C31" s="8" t="s">
        <v>15</v>
      </c>
      <c r="D31" s="2">
        <v>2019</v>
      </c>
      <c r="E31" s="2"/>
      <c r="F31" s="2">
        <v>2020</v>
      </c>
      <c r="G31" s="2"/>
      <c r="H31" s="2">
        <v>2021</v>
      </c>
      <c r="I31" s="2">
        <v>2022</v>
      </c>
      <c r="J31" s="2">
        <v>2023</v>
      </c>
      <c r="K31" s="8" t="s">
        <v>60</v>
      </c>
      <c r="M31" s="3"/>
      <c r="N31" s="3"/>
    </row>
    <row r="32" spans="1:14" x14ac:dyDescent="0.25">
      <c r="A32" s="3" t="s">
        <v>32</v>
      </c>
      <c r="B32" s="19" t="s">
        <v>40</v>
      </c>
      <c r="C32" t="s">
        <v>41</v>
      </c>
      <c r="D32" s="21">
        <v>1068494</v>
      </c>
      <c r="E32" s="21"/>
      <c r="F32" s="9">
        <v>645356</v>
      </c>
      <c r="G32" s="21"/>
      <c r="H32" s="9">
        <v>196385</v>
      </c>
      <c r="I32" s="9">
        <v>-60709</v>
      </c>
      <c r="J32" s="9">
        <v>415081</v>
      </c>
      <c r="K32" s="9">
        <v>194032</v>
      </c>
      <c r="L32" s="22"/>
      <c r="M32" s="22"/>
      <c r="N32" s="22"/>
    </row>
    <row r="33" spans="1:14" x14ac:dyDescent="0.25">
      <c r="A33" s="3"/>
      <c r="B33" s="19"/>
      <c r="D33" s="21"/>
      <c r="E33" s="21"/>
      <c r="F33" s="21"/>
      <c r="G33" s="21"/>
      <c r="H33" s="21"/>
      <c r="I33" s="21"/>
      <c r="J33" s="21"/>
      <c r="K33" s="21"/>
      <c r="L33" s="22"/>
    </row>
    <row r="34" spans="1:14" x14ac:dyDescent="0.25">
      <c r="B34" s="20" t="s">
        <v>36</v>
      </c>
      <c r="C34" s="20" t="s">
        <v>43</v>
      </c>
      <c r="D34" s="22">
        <v>74018749</v>
      </c>
      <c r="E34" s="22"/>
      <c r="F34" s="22">
        <v>79009201</v>
      </c>
      <c r="G34" s="22"/>
      <c r="H34" s="22">
        <v>81827370</v>
      </c>
      <c r="I34" s="22">
        <v>83081545</v>
      </c>
      <c r="J34" s="22">
        <v>85360108</v>
      </c>
      <c r="K34" s="30">
        <v>87696020</v>
      </c>
      <c r="L34" s="22"/>
    </row>
    <row r="35" spans="1:14" x14ac:dyDescent="0.25">
      <c r="B35" s="20" t="s">
        <v>29</v>
      </c>
      <c r="C35" s="20" t="s">
        <v>33</v>
      </c>
      <c r="D35" s="6">
        <v>5186647</v>
      </c>
      <c r="E35" s="6"/>
      <c r="F35" s="6">
        <v>3310976</v>
      </c>
      <c r="G35" s="6"/>
      <c r="H35" s="6">
        <v>1143322</v>
      </c>
      <c r="I35" s="6">
        <v>4056700</v>
      </c>
      <c r="J35" s="6">
        <v>2078489</v>
      </c>
      <c r="K35" s="6">
        <v>772944</v>
      </c>
      <c r="L35" s="6"/>
      <c r="M35" s="6"/>
      <c r="N35" s="6"/>
    </row>
    <row r="36" spans="1:14" x14ac:dyDescent="0.25">
      <c r="B36" s="20" t="s">
        <v>30</v>
      </c>
      <c r="C36" s="20" t="s">
        <v>34</v>
      </c>
      <c r="D36" s="6">
        <v>85880</v>
      </c>
      <c r="E36" s="6"/>
      <c r="F36" s="6">
        <v>140040</v>
      </c>
      <c r="G36" s="6"/>
      <c r="H36" s="6">
        <v>246606</v>
      </c>
      <c r="I36" s="6">
        <v>258468</v>
      </c>
      <c r="J36" s="6">
        <v>424742</v>
      </c>
      <c r="K36" s="6">
        <v>689870</v>
      </c>
      <c r="L36" s="6"/>
      <c r="M36" s="6"/>
      <c r="N36" s="6"/>
    </row>
    <row r="37" spans="1:14" x14ac:dyDescent="0.25">
      <c r="B37" s="23" t="s">
        <v>37</v>
      </c>
      <c r="C37" s="20" t="s">
        <v>44</v>
      </c>
      <c r="D37" s="18">
        <v>-79009201</v>
      </c>
      <c r="E37" s="6"/>
      <c r="F37" s="18">
        <v>-81827370</v>
      </c>
      <c r="G37" s="6"/>
      <c r="H37" s="18">
        <v>-83081545</v>
      </c>
      <c r="I37" s="18">
        <v>-85360108</v>
      </c>
      <c r="J37" s="18">
        <v>-87696020</v>
      </c>
      <c r="K37" s="18">
        <v>-88940717</v>
      </c>
      <c r="L37" s="6"/>
      <c r="M37" s="6"/>
      <c r="N37" s="6"/>
    </row>
    <row r="38" spans="1:14" x14ac:dyDescent="0.25">
      <c r="A38" s="3" t="s">
        <v>38</v>
      </c>
      <c r="B38" s="19" t="s">
        <v>31</v>
      </c>
      <c r="C38" t="s">
        <v>35</v>
      </c>
      <c r="D38" s="6">
        <f>SUM(D34:D37)</f>
        <v>282075</v>
      </c>
      <c r="E38" s="6"/>
      <c r="F38" s="6">
        <f>SUM(F34:F37)</f>
        <v>632847</v>
      </c>
      <c r="G38" s="6"/>
      <c r="H38" s="6">
        <f>SUM(H34:H37)</f>
        <v>135753</v>
      </c>
      <c r="I38" s="6">
        <f>SUM(I34:I37)</f>
        <v>2036605</v>
      </c>
      <c r="J38" s="6">
        <f>SUM(J34:J37)</f>
        <v>167319</v>
      </c>
      <c r="K38" s="6">
        <f>SUM(K34:K37)</f>
        <v>218117</v>
      </c>
      <c r="L38" s="6"/>
      <c r="M38" s="6"/>
      <c r="N38" s="6"/>
    </row>
    <row r="39" spans="1:14" s="1" customFormat="1" x14ac:dyDescent="0.25">
      <c r="A39" s="3" t="s">
        <v>39</v>
      </c>
      <c r="B39" s="1" t="s">
        <v>42</v>
      </c>
      <c r="D39" s="7">
        <f>(D6+D15+D23+D32+D38)/D24</f>
        <v>1.7636279398415931</v>
      </c>
      <c r="E39" s="7"/>
      <c r="F39" s="7">
        <f>(F6+F15+F23+F32+F38)/F24</f>
        <v>2.1333918851516924</v>
      </c>
      <c r="G39" s="7"/>
      <c r="H39" s="7">
        <f>(H6+H15+H23+H32+H38)/H24</f>
        <v>2.429226063829097</v>
      </c>
      <c r="I39" s="7">
        <f>(I6+I15+I23+I32+I38)/I24</f>
        <v>2.1194361123620356</v>
      </c>
      <c r="J39" s="7">
        <f>(J6+J15+J23+J32+J38)/J24</f>
        <v>1.8363880052336876</v>
      </c>
      <c r="K39" s="7">
        <f>(K6+K15+K23+K32+K38)/K24</f>
        <v>1.6845463852151392</v>
      </c>
      <c r="M39" s="7"/>
      <c r="N39" s="7"/>
    </row>
    <row r="40" spans="1:14" x14ac:dyDescent="0.25">
      <c r="B40" s="10" t="s">
        <v>45</v>
      </c>
      <c r="C40" s="10"/>
      <c r="D40" s="14">
        <f>AVERAGE(D39,2.25)</f>
        <v>2.0068139699207963</v>
      </c>
      <c r="E40" s="15" t="s">
        <v>46</v>
      </c>
      <c r="F40" s="14">
        <f>AVERAGE(2.25,F39)</f>
        <v>2.191695942575846</v>
      </c>
      <c r="G40" s="15" t="s">
        <v>70</v>
      </c>
      <c r="H40" s="14">
        <f>AVERAGE(F39,H39)</f>
        <v>2.2813089744903947</v>
      </c>
      <c r="I40" s="14">
        <f>AVERAGE(H39,F39)</f>
        <v>2.2813089744903947</v>
      </c>
      <c r="J40" s="14">
        <f>AVERAGE(H39,I39)</f>
        <v>2.2743310880955665</v>
      </c>
      <c r="K40" s="13">
        <f>AVERAGE(J39,I39)</f>
        <v>1.9779120587978616</v>
      </c>
    </row>
    <row r="41" spans="1:14" x14ac:dyDescent="0.25">
      <c r="E41" s="16" t="s">
        <v>46</v>
      </c>
      <c r="F41" s="17" t="s">
        <v>69</v>
      </c>
    </row>
    <row r="42" spans="1:14" x14ac:dyDescent="0.25">
      <c r="E42" s="16" t="s">
        <v>70</v>
      </c>
      <c r="F42" s="17" t="s">
        <v>71</v>
      </c>
    </row>
    <row r="44" spans="1:14" x14ac:dyDescent="0.25">
      <c r="A44" s="25" t="s">
        <v>47</v>
      </c>
      <c r="B44" t="s">
        <v>61</v>
      </c>
    </row>
    <row r="45" spans="1:14" x14ac:dyDescent="0.25">
      <c r="B45" t="s">
        <v>48</v>
      </c>
    </row>
    <row r="46" spans="1:14" x14ac:dyDescent="0.25">
      <c r="B46" t="s">
        <v>50</v>
      </c>
    </row>
    <row r="47" spans="1:14" x14ac:dyDescent="0.25">
      <c r="B47" t="s">
        <v>49</v>
      </c>
    </row>
  </sheetData>
  <pageMargins left="0.7" right="0.7" top="0.75" bottom="0.7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Ratios</vt:lpstr>
      <vt:lpstr>Ratios!Print_Area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Williams</dc:creator>
  <cp:lastModifiedBy>Lauren Logan</cp:lastModifiedBy>
  <cp:lastPrinted>2023-07-19T18:39:00Z</cp:lastPrinted>
  <dcterms:created xsi:type="dcterms:W3CDTF">2019-03-14T13:36:19Z</dcterms:created>
  <dcterms:modified xsi:type="dcterms:W3CDTF">2025-04-02T15:03:06Z</dcterms:modified>
</cp:coreProperties>
</file>