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lue Grass/2024 COS and Rates Case 2025-00xxx/COS and Rates/"/>
    </mc:Choice>
  </mc:AlternateContent>
  <xr:revisionPtr revIDLastSave="251" documentId="8_{1838FADE-03AE-4B85-B9F3-84CF79B38192}" xr6:coauthVersionLast="47" xr6:coauthVersionMax="47" xr10:uidLastSave="{5134AFA1-679E-4E92-9106-91FC9DB88047}"/>
  <bookViews>
    <workbookView xWindow="-120" yWindow="-120" windowWidth="29040" windowHeight="15720" tabRatio="701" firstSheet="5" activeTab="17" xr2:uid="{00000000-000D-0000-FFFF-FFFF00000000}"/>
  </bookViews>
  <sheets>
    <sheet name="RevReq" sheetId="35" r:id="rId1"/>
    <sheet name="Adj List" sheetId="48" r:id="rId2"/>
    <sheet name="Adj BS" sheetId="50" r:id="rId3"/>
    <sheet name="Adj IS" sheetId="36" r:id="rId4"/>
    <sheet name="1.01 FAC" sheetId="6" r:id="rId5"/>
    <sheet name="1.02 ES" sheetId="17" r:id="rId6"/>
    <sheet name="1.03 RC" sheetId="28" r:id="rId7"/>
    <sheet name="1.04 CUST" sheetId="33" r:id="rId8"/>
    <sheet name="1.05 GTCC" sheetId="31" r:id="rId9"/>
    <sheet name="1.06 Retirement" sheetId="56" r:id="rId10"/>
    <sheet name="1.07 Depr" sheetId="39" r:id="rId11"/>
    <sheet name="1.08 AdsDonat" sheetId="59" r:id="rId12"/>
    <sheet name="1.09 Dir" sheetId="55" r:id="rId13"/>
    <sheet name="1.10 Life Insur" sheetId="58" r:id="rId14"/>
    <sheet name="1.11 Int" sheetId="60" r:id="rId15"/>
    <sheet name="1.12 Wages" sheetId="61" r:id="rId16"/>
    <sheet name="1.13 PayrTx" sheetId="62" r:id="rId17"/>
    <sheet name="1.14 Prof" sheetId="63" r:id="rId18"/>
  </sheets>
  <definedNames>
    <definedName name="_xlnm.Print_Area" localSheetId="4">'1.01 FAC'!$A$1:$H$34</definedName>
    <definedName name="_xlnm.Print_Area" localSheetId="5">'1.02 ES'!$A$1:$H$34</definedName>
    <definedName name="_xlnm.Print_Area" localSheetId="6">'1.03 RC'!$A$1:$E$26</definedName>
    <definedName name="_xlnm.Print_Area" localSheetId="7">'1.04 CUST'!$A$1:$P$62</definedName>
    <definedName name="_xlnm.Print_Area" localSheetId="8">'1.05 GTCC'!$A$1:$F$21</definedName>
    <definedName name="_xlnm.Print_Area" localSheetId="9">'1.06 Retirement'!$A$1:$G$39</definedName>
    <definedName name="_xlnm.Print_Area" localSheetId="10">'1.07 Depr'!$A$1:$J$62</definedName>
    <definedName name="_xlnm.Print_Area" localSheetId="11">'1.08 AdsDonat'!$A$1:$F$27</definedName>
    <definedName name="_xlnm.Print_Area" localSheetId="12">'1.09 Dir'!$A$1:$K$32</definedName>
    <definedName name="_xlnm.Print_Area" localSheetId="13">'1.10 Life Insur'!$A$1:$L$145</definedName>
    <definedName name="_xlnm.Print_Area" localSheetId="14">'1.11 Int'!$A$1:$F$50</definedName>
    <definedName name="_xlnm.Print_Area" localSheetId="15">'1.12 Wages'!$A$1:$Z$145</definedName>
    <definedName name="_xlnm.Print_Area" localSheetId="16">'1.13 PayrTx'!$A$1:$O$150</definedName>
    <definedName name="_xlnm.Print_Area" localSheetId="17">'1.14 Prof'!$A$1:$K$125</definedName>
    <definedName name="_xlnm.Print_Area" localSheetId="2">'Adj BS'!$A$1:$F$68</definedName>
    <definedName name="_xlnm.Print_Area" localSheetId="3">'Adj IS'!$A$1:$U$42</definedName>
    <definedName name="_xlnm.Print_Area" localSheetId="1">'Adj List'!$A$1:$G$26</definedName>
    <definedName name="_xlnm.Print_Area" localSheetId="0">RevReq!$A$1:$F$58</definedName>
    <definedName name="_xlnm.Print_Titles" localSheetId="7">'1.04 CUST'!$1:$11</definedName>
    <definedName name="_xlnm.Print_Titles" localSheetId="11">'1.08 AdsDonat'!$1:$7</definedName>
    <definedName name="_xlnm.Print_Titles" localSheetId="13">'1.10 Life Insur'!$1:$11</definedName>
    <definedName name="_xlnm.Print_Titles" localSheetId="15">'1.12 Wages'!$1:$11</definedName>
    <definedName name="_xlnm.Print_Titles" localSheetId="16">'1.13 PayrTx'!$1:$12</definedName>
    <definedName name="_xlnm.Print_Titles" localSheetId="17">'1.14 Prof'!$1:$9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56" l="1"/>
  <c r="A19" i="56"/>
  <c r="A20" i="56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132" i="62"/>
  <c r="A133" i="62" s="1"/>
  <c r="A134" i="62" s="1"/>
  <c r="A135" i="62" s="1"/>
  <c r="A136" i="62" s="1"/>
  <c r="A137" i="62" s="1"/>
  <c r="A138" i="62" s="1"/>
  <c r="A139" i="62" s="1"/>
  <c r="A140" i="62" s="1"/>
  <c r="A141" i="62" s="1"/>
  <c r="A142" i="62" s="1"/>
  <c r="A143" i="62" s="1"/>
  <c r="A144" i="62" s="1"/>
  <c r="A145" i="62" s="1"/>
  <c r="A146" i="62" s="1"/>
  <c r="A147" i="62" s="1"/>
  <c r="A148" i="62" s="1"/>
  <c r="A149" i="62" s="1"/>
  <c r="B6" i="63"/>
  <c r="B4" i="63"/>
  <c r="B3" i="63"/>
  <c r="A6" i="56"/>
  <c r="E7" i="48"/>
  <c r="D7" i="48"/>
  <c r="E6" i="48"/>
  <c r="D6" i="48"/>
  <c r="E37" i="56"/>
  <c r="E34" i="56"/>
  <c r="E13" i="56"/>
  <c r="E17" i="56" s="1"/>
  <c r="E11" i="48" s="1"/>
  <c r="A13" i="56"/>
  <c r="A14" i="56" s="1"/>
  <c r="A15" i="56" s="1"/>
  <c r="A16" i="56" s="1"/>
  <c r="A17" i="56" s="1"/>
  <c r="E39" i="56" l="1"/>
  <c r="F32" i="56" s="1"/>
  <c r="G32" i="56" s="1"/>
  <c r="F33" i="56" l="1"/>
  <c r="G33" i="56" s="1"/>
  <c r="F31" i="56"/>
  <c r="G31" i="56" s="1"/>
  <c r="F36" i="56"/>
  <c r="F29" i="56"/>
  <c r="G29" i="56" s="1"/>
  <c r="F30" i="56"/>
  <c r="G30" i="56" s="1"/>
  <c r="F37" i="56"/>
  <c r="G36" i="56"/>
  <c r="G37" i="56" s="1"/>
  <c r="F34" i="56" l="1"/>
  <c r="F39" i="56" s="1"/>
  <c r="G34" i="56"/>
  <c r="A12" i="55" l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11" i="55"/>
  <c r="K14" i="55"/>
  <c r="F25" i="17" l="1"/>
  <c r="A13" i="17"/>
  <c r="A14" i="17"/>
  <c r="A15" i="17"/>
  <c r="A16" i="17"/>
  <c r="A17" i="17"/>
  <c r="A18" i="17"/>
  <c r="A19" i="17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12" i="17"/>
  <c r="A13" i="6"/>
  <c r="A14" i="6"/>
  <c r="A15" i="6"/>
  <c r="A16" i="6"/>
  <c r="A17" i="6"/>
  <c r="A18" i="6"/>
  <c r="A19" i="6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12" i="6"/>
  <c r="F25" i="6"/>
  <c r="F22" i="59" l="1"/>
  <c r="A5" i="33" l="1"/>
  <c r="A4" i="33"/>
  <c r="A130" i="58" l="1"/>
  <c r="A131" i="58" s="1"/>
  <c r="A132" i="58" s="1"/>
  <c r="A133" i="58" s="1"/>
  <c r="A134" i="58" s="1"/>
  <c r="A135" i="58" s="1"/>
  <c r="A136" i="58" s="1"/>
  <c r="A137" i="58" s="1"/>
  <c r="A138" i="58" s="1"/>
  <c r="A139" i="58" s="1"/>
  <c r="A140" i="58" s="1"/>
  <c r="A141" i="58" s="1"/>
  <c r="A142" i="58" s="1"/>
  <c r="A143" i="58" s="1"/>
  <c r="A144" i="58" s="1"/>
  <c r="A145" i="58" s="1"/>
  <c r="H46" i="33"/>
  <c r="A15" i="33"/>
  <c r="A16" i="33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14" i="33"/>
  <c r="K58" i="33"/>
  <c r="K60" i="33" s="1"/>
  <c r="J58" i="33"/>
  <c r="J60" i="33" s="1"/>
  <c r="O39" i="33" s="1"/>
  <c r="I58" i="33"/>
  <c r="I60" i="33" s="1"/>
  <c r="G25" i="33"/>
  <c r="G27" i="33" s="1"/>
  <c r="H25" i="33"/>
  <c r="H27" i="33" s="1"/>
  <c r="I25" i="33"/>
  <c r="I27" i="33" s="1"/>
  <c r="J25" i="33"/>
  <c r="J27" i="33" s="1"/>
  <c r="K25" i="33"/>
  <c r="L25" i="33"/>
  <c r="L27" i="33" s="1"/>
  <c r="M25" i="33"/>
  <c r="M27" i="33" s="1"/>
  <c r="N25" i="33"/>
  <c r="N27" i="33" s="1"/>
  <c r="O25" i="33"/>
  <c r="O27" i="33" s="1"/>
  <c r="K27" i="33"/>
  <c r="K30" i="33"/>
  <c r="G35" i="33"/>
  <c r="H35" i="33"/>
  <c r="I35" i="33"/>
  <c r="J35" i="33"/>
  <c r="K35" i="33"/>
  <c r="L35" i="33"/>
  <c r="M35" i="33"/>
  <c r="N35" i="33"/>
  <c r="O35" i="33"/>
  <c r="N39" i="33" l="1"/>
  <c r="M39" i="33"/>
  <c r="L39" i="33"/>
  <c r="F39" i="33"/>
  <c r="H39" i="33"/>
  <c r="K39" i="33"/>
  <c r="I39" i="33"/>
  <c r="G39" i="33"/>
  <c r="J39" i="33"/>
  <c r="K31" i="33"/>
  <c r="K36" i="33" s="1"/>
  <c r="L30" i="33"/>
  <c r="L31" i="33" s="1"/>
  <c r="L36" i="33"/>
  <c r="O30" i="33"/>
  <c r="O31" i="33" s="1"/>
  <c r="O36" i="33" s="1"/>
  <c r="N30" i="33"/>
  <c r="N31" i="33" s="1"/>
  <c r="M30" i="33"/>
  <c r="M31" i="33" s="1"/>
  <c r="J30" i="33"/>
  <c r="J31" i="33" s="1"/>
  <c r="H30" i="33"/>
  <c r="H31" i="33" s="1"/>
  <c r="H36" i="33" s="1"/>
  <c r="G30" i="33"/>
  <c r="G31" i="33" s="1"/>
  <c r="I30" i="33"/>
  <c r="I31" i="33" s="1"/>
  <c r="I36" i="33" s="1"/>
  <c r="N36" i="33" l="1"/>
  <c r="J36" i="33"/>
  <c r="G36" i="33"/>
  <c r="M36" i="33"/>
  <c r="K123" i="63" l="1"/>
  <c r="E19" i="48" s="1"/>
  <c r="G58" i="33"/>
  <c r="G60" i="33" s="1"/>
  <c r="F35" i="33"/>
  <c r="F25" i="33"/>
  <c r="F30" i="33" s="1"/>
  <c r="C14" i="33"/>
  <c r="C15" i="33" s="1"/>
  <c r="C16" i="33" s="1"/>
  <c r="C17" i="33" s="1"/>
  <c r="C18" i="33" s="1"/>
  <c r="C19" i="33" s="1"/>
  <c r="C20" i="33" s="1"/>
  <c r="C21" i="33" s="1"/>
  <c r="C22" i="33" s="1"/>
  <c r="C23" i="33" s="1"/>
  <c r="C24" i="33" s="1"/>
  <c r="G40" i="33" l="1"/>
  <c r="G42" i="33" s="1"/>
  <c r="F27" i="33"/>
  <c r="F31" i="33" s="1"/>
  <c r="P31" i="33" s="1"/>
  <c r="H40" i="33" l="1"/>
  <c r="H42" i="33" s="1"/>
  <c r="F36" i="33"/>
  <c r="P36" i="33" s="1"/>
  <c r="F40" i="33"/>
  <c r="F42" i="33" s="1"/>
  <c r="E16" i="48"/>
  <c r="F41" i="60"/>
  <c r="C40" i="60"/>
  <c r="C42" i="60" s="1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A11" i="60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A44" i="60" s="1"/>
  <c r="A45" i="60" s="1"/>
  <c r="A46" i="60" s="1"/>
  <c r="A47" i="60" s="1"/>
  <c r="A48" i="60" s="1"/>
  <c r="F10" i="60"/>
  <c r="I143" i="58"/>
  <c r="I140" i="58"/>
  <c r="L113" i="58"/>
  <c r="L118" i="58"/>
  <c r="L119" i="58"/>
  <c r="L120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27" i="58"/>
  <c r="K28" i="58"/>
  <c r="K29" i="58"/>
  <c r="K30" i="58"/>
  <c r="K31" i="58"/>
  <c r="K32" i="58"/>
  <c r="K33" i="58"/>
  <c r="K34" i="58"/>
  <c r="K35" i="58"/>
  <c r="K36" i="58"/>
  <c r="K37" i="58"/>
  <c r="K38" i="58"/>
  <c r="K39" i="58"/>
  <c r="K40" i="58"/>
  <c r="K41" i="58"/>
  <c r="K42" i="58"/>
  <c r="K43" i="58"/>
  <c r="K44" i="58"/>
  <c r="K45" i="58"/>
  <c r="K46" i="58"/>
  <c r="K47" i="58"/>
  <c r="K48" i="58"/>
  <c r="K49" i="58"/>
  <c r="K50" i="58"/>
  <c r="K51" i="58"/>
  <c r="K52" i="58"/>
  <c r="K53" i="58"/>
  <c r="K54" i="58"/>
  <c r="K55" i="58"/>
  <c r="K56" i="58"/>
  <c r="K57" i="58"/>
  <c r="K58" i="58"/>
  <c r="K59" i="58"/>
  <c r="K60" i="58"/>
  <c r="K61" i="58"/>
  <c r="K62" i="58"/>
  <c r="K63" i="58"/>
  <c r="K64" i="58"/>
  <c r="K65" i="58"/>
  <c r="K66" i="58"/>
  <c r="K67" i="58"/>
  <c r="K68" i="58"/>
  <c r="K69" i="58"/>
  <c r="K70" i="58"/>
  <c r="K71" i="58"/>
  <c r="K72" i="58"/>
  <c r="K73" i="58"/>
  <c r="K74" i="58"/>
  <c r="K75" i="58"/>
  <c r="K76" i="58"/>
  <c r="K77" i="58"/>
  <c r="K78" i="58"/>
  <c r="K79" i="58"/>
  <c r="K80" i="58"/>
  <c r="K81" i="58"/>
  <c r="K82" i="58"/>
  <c r="K83" i="58"/>
  <c r="K84" i="58"/>
  <c r="K85" i="58"/>
  <c r="K86" i="58"/>
  <c r="K87" i="58"/>
  <c r="K88" i="58"/>
  <c r="K89" i="58"/>
  <c r="K90" i="58"/>
  <c r="K91" i="58"/>
  <c r="K92" i="58"/>
  <c r="K93" i="58"/>
  <c r="K94" i="58"/>
  <c r="K95" i="58"/>
  <c r="K96" i="58"/>
  <c r="K97" i="58"/>
  <c r="K98" i="58"/>
  <c r="K99" i="58"/>
  <c r="K100" i="58"/>
  <c r="K101" i="58"/>
  <c r="K102" i="58"/>
  <c r="K103" i="58"/>
  <c r="K104" i="58"/>
  <c r="K105" i="58"/>
  <c r="K106" i="58"/>
  <c r="K107" i="58"/>
  <c r="K108" i="58"/>
  <c r="K109" i="58"/>
  <c r="K110" i="58"/>
  <c r="K111" i="58"/>
  <c r="K112" i="58"/>
  <c r="K113" i="58"/>
  <c r="K114" i="58"/>
  <c r="K115" i="58"/>
  <c r="K116" i="58"/>
  <c r="K117" i="58"/>
  <c r="K118" i="58"/>
  <c r="K119" i="58"/>
  <c r="K120" i="58"/>
  <c r="K12" i="58"/>
  <c r="F13" i="58"/>
  <c r="G13" i="58" s="1"/>
  <c r="F14" i="58"/>
  <c r="G14" i="58" s="1"/>
  <c r="H14" i="58"/>
  <c r="F15" i="58"/>
  <c r="G15" i="58" s="1"/>
  <c r="F16" i="58"/>
  <c r="G16" i="58" s="1"/>
  <c r="F17" i="58"/>
  <c r="G17" i="58" s="1"/>
  <c r="F18" i="58"/>
  <c r="G18" i="58" s="1"/>
  <c r="F19" i="58"/>
  <c r="H19" i="58" s="1"/>
  <c r="G19" i="58"/>
  <c r="F20" i="58"/>
  <c r="G20" i="58" s="1"/>
  <c r="F21" i="58"/>
  <c r="H21" i="58" s="1"/>
  <c r="G21" i="58"/>
  <c r="F22" i="58"/>
  <c r="G22" i="58" s="1"/>
  <c r="H22" i="58"/>
  <c r="F23" i="58"/>
  <c r="H23" i="58" s="1"/>
  <c r="G23" i="58"/>
  <c r="F24" i="58"/>
  <c r="G24" i="58" s="1"/>
  <c r="F25" i="58"/>
  <c r="G25" i="58" s="1"/>
  <c r="F26" i="58"/>
  <c r="G26" i="58" s="1"/>
  <c r="H26" i="58"/>
  <c r="F27" i="58"/>
  <c r="G27" i="58"/>
  <c r="H27" i="58"/>
  <c r="F28" i="58"/>
  <c r="G28" i="58" s="1"/>
  <c r="F29" i="58"/>
  <c r="G29" i="58" s="1"/>
  <c r="F30" i="58"/>
  <c r="G30" i="58" s="1"/>
  <c r="F31" i="58"/>
  <c r="G31" i="58" s="1"/>
  <c r="F32" i="58"/>
  <c r="G32" i="58" s="1"/>
  <c r="F33" i="58"/>
  <c r="G33" i="58" s="1"/>
  <c r="H33" i="58"/>
  <c r="F34" i="58"/>
  <c r="G34" i="58" s="1"/>
  <c r="F35" i="58"/>
  <c r="H35" i="58" s="1"/>
  <c r="F36" i="58"/>
  <c r="G36" i="58" s="1"/>
  <c r="F37" i="58"/>
  <c r="H37" i="58" s="1"/>
  <c r="F38" i="58"/>
  <c r="G38" i="58" s="1"/>
  <c r="H38" i="58"/>
  <c r="F39" i="58"/>
  <c r="G39" i="58" s="1"/>
  <c r="F40" i="58"/>
  <c r="G40" i="58" s="1"/>
  <c r="F41" i="58"/>
  <c r="G41" i="58"/>
  <c r="H41" i="58"/>
  <c r="F42" i="58"/>
  <c r="G42" i="58" s="1"/>
  <c r="H42" i="58"/>
  <c r="F43" i="58"/>
  <c r="G43" i="58"/>
  <c r="H43" i="58"/>
  <c r="F44" i="58"/>
  <c r="G44" i="58" s="1"/>
  <c r="H44" i="58"/>
  <c r="F45" i="58"/>
  <c r="G45" i="58" s="1"/>
  <c r="F46" i="58"/>
  <c r="G46" i="58" s="1"/>
  <c r="F47" i="58"/>
  <c r="G47" i="58" s="1"/>
  <c r="F48" i="58"/>
  <c r="G48" i="58" s="1"/>
  <c r="F49" i="58"/>
  <c r="G49" i="58" s="1"/>
  <c r="H49" i="58"/>
  <c r="F50" i="58"/>
  <c r="G50" i="58" s="1"/>
  <c r="F51" i="58"/>
  <c r="H51" i="58" s="1"/>
  <c r="F52" i="58"/>
  <c r="G52" i="58" s="1"/>
  <c r="F53" i="58"/>
  <c r="H53" i="58" s="1"/>
  <c r="G53" i="58"/>
  <c r="F54" i="58"/>
  <c r="G54" i="58" s="1"/>
  <c r="F55" i="58"/>
  <c r="G55" i="58"/>
  <c r="H55" i="58"/>
  <c r="F56" i="58"/>
  <c r="G56" i="58" s="1"/>
  <c r="H56" i="58"/>
  <c r="F57" i="58"/>
  <c r="H57" i="58" s="1"/>
  <c r="G57" i="58"/>
  <c r="F58" i="58"/>
  <c r="G58" i="58" s="1"/>
  <c r="H58" i="58"/>
  <c r="F59" i="58"/>
  <c r="G59" i="58"/>
  <c r="H59" i="58"/>
  <c r="F60" i="58"/>
  <c r="G60" i="58" s="1"/>
  <c r="H60" i="58"/>
  <c r="F61" i="58"/>
  <c r="G61" i="58" s="1"/>
  <c r="F62" i="58"/>
  <c r="G62" i="58" s="1"/>
  <c r="H62" i="58"/>
  <c r="F63" i="58"/>
  <c r="G63" i="58" s="1"/>
  <c r="F64" i="58"/>
  <c r="G64" i="58" s="1"/>
  <c r="F65" i="58"/>
  <c r="G65" i="58" s="1"/>
  <c r="H65" i="58"/>
  <c r="F66" i="58"/>
  <c r="G66" i="58" s="1"/>
  <c r="F67" i="58"/>
  <c r="H67" i="58" s="1"/>
  <c r="F68" i="58"/>
  <c r="G68" i="58" s="1"/>
  <c r="F69" i="58"/>
  <c r="H69" i="58" s="1"/>
  <c r="G69" i="58"/>
  <c r="F70" i="58"/>
  <c r="G70" i="58" s="1"/>
  <c r="F71" i="58"/>
  <c r="G71" i="58" s="1"/>
  <c r="F72" i="58"/>
  <c r="G72" i="58" s="1"/>
  <c r="F73" i="58"/>
  <c r="H73" i="58" s="1"/>
  <c r="G73" i="58"/>
  <c r="F74" i="58"/>
  <c r="G74" i="58" s="1"/>
  <c r="F75" i="58"/>
  <c r="H75" i="58" s="1"/>
  <c r="G75" i="58"/>
  <c r="F76" i="58"/>
  <c r="G76" i="58" s="1"/>
  <c r="H76" i="58"/>
  <c r="F77" i="58"/>
  <c r="G77" i="58" s="1"/>
  <c r="F78" i="58"/>
  <c r="G78" i="58" s="1"/>
  <c r="F79" i="58"/>
  <c r="G79" i="58" s="1"/>
  <c r="F80" i="58"/>
  <c r="G80" i="58" s="1"/>
  <c r="F81" i="58"/>
  <c r="G81" i="58" s="1"/>
  <c r="H81" i="58"/>
  <c r="F82" i="58"/>
  <c r="G82" i="58" s="1"/>
  <c r="F83" i="58"/>
  <c r="H83" i="58" s="1"/>
  <c r="F84" i="58"/>
  <c r="G84" i="58" s="1"/>
  <c r="F85" i="58"/>
  <c r="H85" i="58" s="1"/>
  <c r="G85" i="58"/>
  <c r="F86" i="58"/>
  <c r="G86" i="58" s="1"/>
  <c r="F87" i="58"/>
  <c r="H87" i="58" s="1"/>
  <c r="F88" i="58"/>
  <c r="G88" i="58" s="1"/>
  <c r="F89" i="58"/>
  <c r="G89" i="58"/>
  <c r="H89" i="58"/>
  <c r="F90" i="58"/>
  <c r="G90" i="58" s="1"/>
  <c r="H90" i="58"/>
  <c r="F91" i="58"/>
  <c r="G91" i="58" s="1"/>
  <c r="F92" i="58"/>
  <c r="G92" i="58" s="1"/>
  <c r="H92" i="58"/>
  <c r="F93" i="58"/>
  <c r="G93" i="58" s="1"/>
  <c r="F94" i="58"/>
  <c r="G94" i="58" s="1"/>
  <c r="F95" i="58"/>
  <c r="G95" i="58" s="1"/>
  <c r="F96" i="58"/>
  <c r="G96" i="58" s="1"/>
  <c r="F97" i="58"/>
  <c r="G97" i="58" s="1"/>
  <c r="H97" i="58"/>
  <c r="F98" i="58"/>
  <c r="G98" i="58" s="1"/>
  <c r="F99" i="58"/>
  <c r="H99" i="58" s="1"/>
  <c r="G99" i="58"/>
  <c r="F100" i="58"/>
  <c r="G100" i="58" s="1"/>
  <c r="F101" i="58"/>
  <c r="H101" i="58" s="1"/>
  <c r="F102" i="58"/>
  <c r="G102" i="58" s="1"/>
  <c r="F103" i="58"/>
  <c r="G103" i="58" s="1"/>
  <c r="F104" i="58"/>
  <c r="G104" i="58" s="1"/>
  <c r="H104" i="58"/>
  <c r="F105" i="58"/>
  <c r="G105" i="58" s="1"/>
  <c r="F106" i="58"/>
  <c r="G106" i="58" s="1"/>
  <c r="F107" i="58"/>
  <c r="G107" i="58"/>
  <c r="H107" i="58"/>
  <c r="F108" i="58"/>
  <c r="G108" i="58" s="1"/>
  <c r="F109" i="58"/>
  <c r="G109" i="58" s="1"/>
  <c r="F110" i="58"/>
  <c r="G110" i="58" s="1"/>
  <c r="H110" i="58"/>
  <c r="F111" i="58"/>
  <c r="G111" i="58" s="1"/>
  <c r="F112" i="58"/>
  <c r="G112" i="58" s="1"/>
  <c r="F113" i="58"/>
  <c r="G113" i="58" s="1"/>
  <c r="H113" i="58"/>
  <c r="F114" i="58"/>
  <c r="G114" i="58" s="1"/>
  <c r="F115" i="58"/>
  <c r="H115" i="58" s="1"/>
  <c r="G115" i="58"/>
  <c r="F116" i="58"/>
  <c r="G116" i="58" s="1"/>
  <c r="F117" i="58"/>
  <c r="H117" i="58" s="1"/>
  <c r="G117" i="58"/>
  <c r="F118" i="58"/>
  <c r="G118" i="58" s="1"/>
  <c r="F119" i="58"/>
  <c r="G119" i="58" s="1"/>
  <c r="F120" i="58"/>
  <c r="G120" i="58" s="1"/>
  <c r="D121" i="58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52" i="62"/>
  <c r="E53" i="62"/>
  <c r="E54" i="62"/>
  <c r="E55" i="62"/>
  <c r="E56" i="62"/>
  <c r="E57" i="62"/>
  <c r="E58" i="62"/>
  <c r="E59" i="62"/>
  <c r="E60" i="62"/>
  <c r="E61" i="62"/>
  <c r="E62" i="62"/>
  <c r="E63" i="62"/>
  <c r="E64" i="62"/>
  <c r="E65" i="62"/>
  <c r="E66" i="62"/>
  <c r="E67" i="62"/>
  <c r="E68" i="62"/>
  <c r="E69" i="62"/>
  <c r="E70" i="62"/>
  <c r="E71" i="62"/>
  <c r="E72" i="62"/>
  <c r="E73" i="62"/>
  <c r="E74" i="62"/>
  <c r="E75" i="62"/>
  <c r="E76" i="62"/>
  <c r="E77" i="62"/>
  <c r="E78" i="62"/>
  <c r="E79" i="62"/>
  <c r="E80" i="62"/>
  <c r="E81" i="62"/>
  <c r="E82" i="62"/>
  <c r="E83" i="62"/>
  <c r="E84" i="62"/>
  <c r="E85" i="62"/>
  <c r="E86" i="62"/>
  <c r="E87" i="62"/>
  <c r="E88" i="62"/>
  <c r="E89" i="62"/>
  <c r="E90" i="62"/>
  <c r="E91" i="62"/>
  <c r="E92" i="62"/>
  <c r="E93" i="62"/>
  <c r="E94" i="62"/>
  <c r="E95" i="62"/>
  <c r="E96" i="62"/>
  <c r="E97" i="62"/>
  <c r="E98" i="62"/>
  <c r="E99" i="62"/>
  <c r="E100" i="62"/>
  <c r="E101" i="62"/>
  <c r="E102" i="62"/>
  <c r="E103" i="62"/>
  <c r="E104" i="62"/>
  <c r="E105" i="62"/>
  <c r="E106" i="62"/>
  <c r="E107" i="62"/>
  <c r="E108" i="62"/>
  <c r="E109" i="62"/>
  <c r="E110" i="62"/>
  <c r="E111" i="62"/>
  <c r="E112" i="62"/>
  <c r="E113" i="62"/>
  <c r="E114" i="62"/>
  <c r="E115" i="62"/>
  <c r="E116" i="62"/>
  <c r="E117" i="62"/>
  <c r="E118" i="62"/>
  <c r="E119" i="62"/>
  <c r="E120" i="62"/>
  <c r="E121" i="62"/>
  <c r="E122" i="62"/>
  <c r="P145" i="61"/>
  <c r="C23" i="55"/>
  <c r="D23" i="55"/>
  <c r="E23" i="55"/>
  <c r="F23" i="55"/>
  <c r="G23" i="55"/>
  <c r="H23" i="55"/>
  <c r="I23" i="55"/>
  <c r="J23" i="55"/>
  <c r="K11" i="55"/>
  <c r="K12" i="55"/>
  <c r="K13" i="55"/>
  <c r="K15" i="55"/>
  <c r="K16" i="55"/>
  <c r="K17" i="55"/>
  <c r="K18" i="55"/>
  <c r="K19" i="55"/>
  <c r="K20" i="55"/>
  <c r="K21" i="55"/>
  <c r="K22" i="55"/>
  <c r="K10" i="55"/>
  <c r="F20" i="59"/>
  <c r="J44" i="39"/>
  <c r="G59" i="39"/>
  <c r="G53" i="39"/>
  <c r="G54" i="39"/>
  <c r="G55" i="39"/>
  <c r="G56" i="39"/>
  <c r="G52" i="39"/>
  <c r="J43" i="39"/>
  <c r="I43" i="39"/>
  <c r="H43" i="39"/>
  <c r="F43" i="39"/>
  <c r="E43" i="39"/>
  <c r="A43" i="39"/>
  <c r="A45" i="39"/>
  <c r="I117" i="58" l="1"/>
  <c r="L117" i="58" s="1"/>
  <c r="H102" i="58"/>
  <c r="H71" i="58"/>
  <c r="G67" i="58"/>
  <c r="H24" i="58"/>
  <c r="H91" i="58"/>
  <c r="H88" i="58"/>
  <c r="H78" i="58"/>
  <c r="H74" i="58"/>
  <c r="H54" i="58"/>
  <c r="G37" i="58"/>
  <c r="K121" i="58"/>
  <c r="I125" i="58" s="1"/>
  <c r="H120" i="58"/>
  <c r="H105" i="58"/>
  <c r="G101" i="58"/>
  <c r="G83" i="58"/>
  <c r="H40" i="58"/>
  <c r="I115" i="58"/>
  <c r="L115" i="58" s="1"/>
  <c r="G87" i="58"/>
  <c r="H70" i="58"/>
  <c r="H30" i="58"/>
  <c r="H108" i="58"/>
  <c r="H94" i="58"/>
  <c r="H39" i="58"/>
  <c r="G35" i="58"/>
  <c r="H118" i="58"/>
  <c r="H86" i="58"/>
  <c r="H46" i="58"/>
  <c r="H25" i="58"/>
  <c r="H72" i="58"/>
  <c r="G51" i="58"/>
  <c r="H28" i="58"/>
  <c r="H17" i="58"/>
  <c r="H111" i="58"/>
  <c r="H79" i="58"/>
  <c r="H63" i="58"/>
  <c r="H47" i="58"/>
  <c r="H31" i="58"/>
  <c r="H15" i="58"/>
  <c r="H95" i="58"/>
  <c r="H114" i="58"/>
  <c r="I114" i="58" s="1"/>
  <c r="L114" i="58" s="1"/>
  <c r="H98" i="58"/>
  <c r="H82" i="58"/>
  <c r="H66" i="58"/>
  <c r="H50" i="58"/>
  <c r="H34" i="58"/>
  <c r="H18" i="58"/>
  <c r="H119" i="58"/>
  <c r="H116" i="58"/>
  <c r="I116" i="58" s="1"/>
  <c r="L116" i="58" s="1"/>
  <c r="H103" i="58"/>
  <c r="H100" i="58"/>
  <c r="H84" i="58"/>
  <c r="H68" i="58"/>
  <c r="H52" i="58"/>
  <c r="H36" i="58"/>
  <c r="H20" i="58"/>
  <c r="H109" i="58"/>
  <c r="H106" i="58"/>
  <c r="H93" i="58"/>
  <c r="H77" i="58"/>
  <c r="H61" i="58"/>
  <c r="H45" i="58"/>
  <c r="H29" i="58"/>
  <c r="H13" i="58"/>
  <c r="H112" i="58"/>
  <c r="I112" i="58" s="1"/>
  <c r="L112" i="58" s="1"/>
  <c r="H96" i="58"/>
  <c r="H80" i="58"/>
  <c r="H64" i="58"/>
  <c r="H48" i="58"/>
  <c r="H32" i="58"/>
  <c r="H16" i="58"/>
  <c r="I145" i="58"/>
  <c r="I40" i="33"/>
  <c r="I42" i="33" s="1"/>
  <c r="F48" i="33"/>
  <c r="F40" i="60"/>
  <c r="F42" i="60" s="1"/>
  <c r="F46" i="60" s="1"/>
  <c r="F48" i="60" s="1"/>
  <c r="K142" i="58"/>
  <c r="K138" i="58"/>
  <c r="K136" i="58"/>
  <c r="K139" i="58"/>
  <c r="K137" i="58"/>
  <c r="K135" i="58"/>
  <c r="J40" i="33" l="1"/>
  <c r="J42" i="33" s="1"/>
  <c r="F50" i="33"/>
  <c r="K140" i="58"/>
  <c r="K143" i="58"/>
  <c r="D9" i="48"/>
  <c r="K145" i="58" l="1"/>
  <c r="K40" i="33"/>
  <c r="K42" i="33" s="1"/>
  <c r="L40" i="33" l="1"/>
  <c r="L42" i="33" s="1"/>
  <c r="M40" i="33" l="1"/>
  <c r="M42" i="33" s="1"/>
  <c r="K143" i="61"/>
  <c r="K140" i="61"/>
  <c r="W125" i="61"/>
  <c r="O125" i="61"/>
  <c r="N125" i="61"/>
  <c r="M125" i="61"/>
  <c r="L125" i="61"/>
  <c r="J125" i="61"/>
  <c r="I125" i="61"/>
  <c r="H125" i="61"/>
  <c r="U120" i="61"/>
  <c r="T120" i="61"/>
  <c r="U119" i="61"/>
  <c r="T119" i="61"/>
  <c r="U118" i="61"/>
  <c r="T118" i="61"/>
  <c r="X118" i="61" s="1"/>
  <c r="Z118" i="61" s="1"/>
  <c r="U117" i="61"/>
  <c r="X117" i="61" s="1"/>
  <c r="Z117" i="61" s="1"/>
  <c r="T117" i="61"/>
  <c r="U116" i="61"/>
  <c r="T116" i="61"/>
  <c r="U115" i="61"/>
  <c r="T115" i="61"/>
  <c r="U114" i="61"/>
  <c r="T114" i="61"/>
  <c r="U113" i="61"/>
  <c r="T113" i="61"/>
  <c r="X113" i="61" s="1"/>
  <c r="Z113" i="61" s="1"/>
  <c r="U112" i="61"/>
  <c r="T112" i="61"/>
  <c r="U111" i="61"/>
  <c r="X111" i="61" s="1"/>
  <c r="Z111" i="61" s="1"/>
  <c r="T111" i="61"/>
  <c r="U110" i="61"/>
  <c r="T110" i="61"/>
  <c r="X110" i="61" s="1"/>
  <c r="Z110" i="61" s="1"/>
  <c r="U109" i="61"/>
  <c r="T109" i="61"/>
  <c r="P109" i="61"/>
  <c r="U108" i="61"/>
  <c r="X108" i="61" s="1"/>
  <c r="T108" i="61"/>
  <c r="P108" i="61"/>
  <c r="U107" i="61"/>
  <c r="T107" i="61"/>
  <c r="X107" i="61" s="1"/>
  <c r="Z107" i="61" s="1"/>
  <c r="P107" i="61"/>
  <c r="U106" i="61"/>
  <c r="T106" i="61"/>
  <c r="P106" i="61"/>
  <c r="U105" i="61"/>
  <c r="T105" i="61"/>
  <c r="P105" i="61"/>
  <c r="U104" i="61"/>
  <c r="X104" i="61" s="1"/>
  <c r="T104" i="61"/>
  <c r="P104" i="61"/>
  <c r="U103" i="61"/>
  <c r="T103" i="61"/>
  <c r="X103" i="61" s="1"/>
  <c r="Z103" i="61" s="1"/>
  <c r="P103" i="61"/>
  <c r="U102" i="61"/>
  <c r="T102" i="61"/>
  <c r="P102" i="61"/>
  <c r="U101" i="61"/>
  <c r="T101" i="61"/>
  <c r="P101" i="61"/>
  <c r="U100" i="61"/>
  <c r="X100" i="61" s="1"/>
  <c r="T100" i="61"/>
  <c r="P100" i="61"/>
  <c r="U99" i="61"/>
  <c r="T99" i="61"/>
  <c r="X99" i="61" s="1"/>
  <c r="Z99" i="61" s="1"/>
  <c r="P99" i="61"/>
  <c r="U98" i="61"/>
  <c r="T98" i="61"/>
  <c r="P98" i="61"/>
  <c r="U97" i="61"/>
  <c r="T97" i="61"/>
  <c r="P97" i="61"/>
  <c r="U96" i="61"/>
  <c r="X96" i="61" s="1"/>
  <c r="T96" i="61"/>
  <c r="P96" i="61"/>
  <c r="U95" i="61"/>
  <c r="T95" i="61"/>
  <c r="X95" i="61" s="1"/>
  <c r="Z95" i="61" s="1"/>
  <c r="P95" i="61"/>
  <c r="U94" i="61"/>
  <c r="T94" i="61"/>
  <c r="P94" i="61"/>
  <c r="U93" i="61"/>
  <c r="T93" i="61"/>
  <c r="P93" i="61"/>
  <c r="U92" i="61"/>
  <c r="X92" i="61" s="1"/>
  <c r="T92" i="61"/>
  <c r="P92" i="61"/>
  <c r="U91" i="61"/>
  <c r="T91" i="61"/>
  <c r="X91" i="61" s="1"/>
  <c r="Z91" i="61" s="1"/>
  <c r="P91" i="61"/>
  <c r="U90" i="61"/>
  <c r="T90" i="61"/>
  <c r="P90" i="61"/>
  <c r="U89" i="61"/>
  <c r="T89" i="61"/>
  <c r="P89" i="61"/>
  <c r="U88" i="61"/>
  <c r="X88" i="61" s="1"/>
  <c r="T88" i="61"/>
  <c r="P88" i="61"/>
  <c r="U87" i="61"/>
  <c r="T87" i="61"/>
  <c r="X87" i="61" s="1"/>
  <c r="Z87" i="61" s="1"/>
  <c r="P87" i="61"/>
  <c r="U86" i="61"/>
  <c r="T86" i="61"/>
  <c r="P86" i="61"/>
  <c r="U85" i="61"/>
  <c r="T85" i="61"/>
  <c r="X85" i="61" s="1"/>
  <c r="Z85" i="61" s="1"/>
  <c r="P85" i="61"/>
  <c r="U84" i="61"/>
  <c r="T84" i="61"/>
  <c r="P84" i="61"/>
  <c r="U83" i="61"/>
  <c r="T83" i="61"/>
  <c r="X83" i="61" s="1"/>
  <c r="Z83" i="61" s="1"/>
  <c r="P83" i="61"/>
  <c r="U82" i="61"/>
  <c r="T82" i="61"/>
  <c r="P82" i="61"/>
  <c r="U81" i="61"/>
  <c r="T81" i="61"/>
  <c r="X81" i="61" s="1"/>
  <c r="Z81" i="61" s="1"/>
  <c r="P81" i="61"/>
  <c r="U80" i="61"/>
  <c r="X80" i="61" s="1"/>
  <c r="T80" i="61"/>
  <c r="P80" i="61"/>
  <c r="U79" i="61"/>
  <c r="T79" i="61"/>
  <c r="X79" i="61" s="1"/>
  <c r="Z79" i="61" s="1"/>
  <c r="P79" i="61"/>
  <c r="U78" i="61"/>
  <c r="T78" i="61"/>
  <c r="P78" i="61"/>
  <c r="U77" i="61"/>
  <c r="T77" i="61"/>
  <c r="X77" i="61" s="1"/>
  <c r="Z77" i="61" s="1"/>
  <c r="P77" i="61"/>
  <c r="U76" i="61"/>
  <c r="T76" i="61"/>
  <c r="P76" i="61"/>
  <c r="U75" i="61"/>
  <c r="T75" i="61"/>
  <c r="X75" i="61" s="1"/>
  <c r="Z75" i="61" s="1"/>
  <c r="P75" i="61"/>
  <c r="U74" i="61"/>
  <c r="T74" i="61"/>
  <c r="P74" i="61"/>
  <c r="U73" i="61"/>
  <c r="T73" i="61"/>
  <c r="X73" i="61" s="1"/>
  <c r="Z73" i="61" s="1"/>
  <c r="P73" i="61"/>
  <c r="U72" i="61"/>
  <c r="T72" i="61"/>
  <c r="P72" i="61"/>
  <c r="U71" i="61"/>
  <c r="T71" i="61"/>
  <c r="X71" i="61" s="1"/>
  <c r="Z71" i="61" s="1"/>
  <c r="P71" i="61"/>
  <c r="U70" i="61"/>
  <c r="T70" i="61"/>
  <c r="P70" i="61"/>
  <c r="U69" i="61"/>
  <c r="T69" i="61"/>
  <c r="X69" i="61" s="1"/>
  <c r="Z69" i="61" s="1"/>
  <c r="P69" i="61"/>
  <c r="U68" i="61"/>
  <c r="T68" i="61"/>
  <c r="P68" i="61"/>
  <c r="U67" i="61"/>
  <c r="T67" i="61"/>
  <c r="X67" i="61" s="1"/>
  <c r="Z67" i="61" s="1"/>
  <c r="P67" i="61"/>
  <c r="U66" i="61"/>
  <c r="T66" i="61"/>
  <c r="P66" i="61"/>
  <c r="U65" i="61"/>
  <c r="T65" i="61"/>
  <c r="X65" i="61" s="1"/>
  <c r="Z65" i="61" s="1"/>
  <c r="P65" i="61"/>
  <c r="U64" i="61"/>
  <c r="T64" i="61"/>
  <c r="P64" i="61"/>
  <c r="U63" i="61"/>
  <c r="T63" i="61"/>
  <c r="X63" i="61" s="1"/>
  <c r="Z63" i="61" s="1"/>
  <c r="P63" i="61"/>
  <c r="U62" i="61"/>
  <c r="T62" i="61"/>
  <c r="P62" i="61"/>
  <c r="U61" i="61"/>
  <c r="T61" i="61"/>
  <c r="X61" i="61" s="1"/>
  <c r="Z61" i="61" s="1"/>
  <c r="P61" i="61"/>
  <c r="V60" i="61"/>
  <c r="U60" i="61"/>
  <c r="T60" i="61"/>
  <c r="X60" i="61" s="1"/>
  <c r="Z60" i="61" s="1"/>
  <c r="P60" i="61"/>
  <c r="V59" i="61"/>
  <c r="U59" i="61"/>
  <c r="T59" i="61"/>
  <c r="X59" i="61" s="1"/>
  <c r="Z59" i="61" s="1"/>
  <c r="P59" i="61"/>
  <c r="V58" i="61"/>
  <c r="U58" i="61"/>
  <c r="T58" i="61"/>
  <c r="X58" i="61" s="1"/>
  <c r="Z58" i="61" s="1"/>
  <c r="P58" i="61"/>
  <c r="V57" i="61"/>
  <c r="U57" i="61"/>
  <c r="X57" i="61" s="1"/>
  <c r="Z57" i="61" s="1"/>
  <c r="T57" i="61"/>
  <c r="P57" i="61"/>
  <c r="V56" i="61"/>
  <c r="U56" i="61"/>
  <c r="T56" i="61"/>
  <c r="P56" i="61"/>
  <c r="V55" i="61"/>
  <c r="U55" i="61"/>
  <c r="T55" i="61"/>
  <c r="P55" i="61"/>
  <c r="V54" i="61"/>
  <c r="U54" i="61"/>
  <c r="T54" i="61"/>
  <c r="P54" i="61"/>
  <c r="V53" i="61"/>
  <c r="U53" i="61"/>
  <c r="X53" i="61" s="1"/>
  <c r="T53" i="61"/>
  <c r="P53" i="61"/>
  <c r="V52" i="61"/>
  <c r="U52" i="61"/>
  <c r="T52" i="61"/>
  <c r="P52" i="61"/>
  <c r="U51" i="61"/>
  <c r="T51" i="61"/>
  <c r="X51" i="61" s="1"/>
  <c r="Z51" i="61" s="1"/>
  <c r="P51" i="61"/>
  <c r="V50" i="61"/>
  <c r="U50" i="61"/>
  <c r="X50" i="61" s="1"/>
  <c r="Z50" i="61" s="1"/>
  <c r="T50" i="61"/>
  <c r="P50" i="61"/>
  <c r="V49" i="61"/>
  <c r="U49" i="61"/>
  <c r="T49" i="61"/>
  <c r="P49" i="61"/>
  <c r="V48" i="61"/>
  <c r="U48" i="61"/>
  <c r="T48" i="61"/>
  <c r="P48" i="61"/>
  <c r="V47" i="61"/>
  <c r="U47" i="61"/>
  <c r="T47" i="61"/>
  <c r="P47" i="61"/>
  <c r="V46" i="61"/>
  <c r="U46" i="61"/>
  <c r="X46" i="61" s="1"/>
  <c r="T46" i="61"/>
  <c r="P46" i="61"/>
  <c r="V45" i="61"/>
  <c r="U45" i="61"/>
  <c r="T45" i="61"/>
  <c r="P45" i="61"/>
  <c r="V44" i="61"/>
  <c r="U44" i="61"/>
  <c r="T44" i="61"/>
  <c r="P44" i="61"/>
  <c r="V43" i="61"/>
  <c r="U43" i="61"/>
  <c r="X43" i="61" s="1"/>
  <c r="Z43" i="61" s="1"/>
  <c r="T43" i="61"/>
  <c r="P43" i="61"/>
  <c r="V42" i="61"/>
  <c r="U42" i="61"/>
  <c r="T42" i="61"/>
  <c r="X42" i="61" s="1"/>
  <c r="Z42" i="61" s="1"/>
  <c r="P42" i="61"/>
  <c r="V41" i="61"/>
  <c r="U41" i="61"/>
  <c r="T41" i="61"/>
  <c r="X41" i="61" s="1"/>
  <c r="Z41" i="61" s="1"/>
  <c r="P41" i="61"/>
  <c r="V40" i="61"/>
  <c r="U40" i="61"/>
  <c r="T40" i="61"/>
  <c r="X40" i="61" s="1"/>
  <c r="Z40" i="61" s="1"/>
  <c r="P40" i="61"/>
  <c r="V39" i="61"/>
  <c r="U39" i="61"/>
  <c r="T39" i="61"/>
  <c r="X39" i="61" s="1"/>
  <c r="Z39" i="61" s="1"/>
  <c r="P39" i="61"/>
  <c r="V38" i="61"/>
  <c r="U38" i="61"/>
  <c r="T38" i="61"/>
  <c r="P38" i="61"/>
  <c r="V37" i="61"/>
  <c r="U37" i="61"/>
  <c r="T37" i="61"/>
  <c r="X37" i="61" s="1"/>
  <c r="Z37" i="61" s="1"/>
  <c r="P37" i="61"/>
  <c r="V36" i="61"/>
  <c r="U36" i="61"/>
  <c r="T36" i="61"/>
  <c r="P36" i="61"/>
  <c r="Z35" i="61"/>
  <c r="V35" i="61"/>
  <c r="U35" i="61"/>
  <c r="T35" i="61"/>
  <c r="X35" i="61" s="1"/>
  <c r="P35" i="61"/>
  <c r="V34" i="61"/>
  <c r="U34" i="61"/>
  <c r="X34" i="61" s="1"/>
  <c r="Z34" i="61" s="1"/>
  <c r="T34" i="61"/>
  <c r="P34" i="61"/>
  <c r="V33" i="61"/>
  <c r="U33" i="61"/>
  <c r="T33" i="61"/>
  <c r="P33" i="61"/>
  <c r="V32" i="61"/>
  <c r="U32" i="61"/>
  <c r="T32" i="61"/>
  <c r="P32" i="61"/>
  <c r="V31" i="61"/>
  <c r="U31" i="61"/>
  <c r="T31" i="61"/>
  <c r="P31" i="61"/>
  <c r="V30" i="61"/>
  <c r="U30" i="61"/>
  <c r="X30" i="61" s="1"/>
  <c r="T30" i="61"/>
  <c r="P30" i="61"/>
  <c r="V29" i="61"/>
  <c r="U29" i="61"/>
  <c r="T29" i="61"/>
  <c r="P29" i="61"/>
  <c r="V28" i="61"/>
  <c r="U28" i="61"/>
  <c r="X28" i="61" s="1"/>
  <c r="T28" i="61"/>
  <c r="P28" i="61"/>
  <c r="V27" i="61"/>
  <c r="U27" i="61"/>
  <c r="X27" i="61" s="1"/>
  <c r="Z27" i="61" s="1"/>
  <c r="T27" i="61"/>
  <c r="P27" i="61"/>
  <c r="U26" i="61"/>
  <c r="T26" i="61"/>
  <c r="X26" i="61" s="1"/>
  <c r="Z26" i="61" s="1"/>
  <c r="P26" i="61"/>
  <c r="V25" i="61"/>
  <c r="U25" i="61"/>
  <c r="T25" i="61"/>
  <c r="P25" i="61"/>
  <c r="U24" i="61"/>
  <c r="T24" i="61"/>
  <c r="X24" i="61" s="1"/>
  <c r="Z24" i="61" s="1"/>
  <c r="P24" i="61"/>
  <c r="U23" i="61"/>
  <c r="X23" i="61" s="1"/>
  <c r="T23" i="61"/>
  <c r="P23" i="61"/>
  <c r="V22" i="61"/>
  <c r="U22" i="61"/>
  <c r="X22" i="61" s="1"/>
  <c r="Z22" i="61" s="1"/>
  <c r="T22" i="61"/>
  <c r="P22" i="61"/>
  <c r="V21" i="61"/>
  <c r="U21" i="61"/>
  <c r="T21" i="61"/>
  <c r="X21" i="61" s="1"/>
  <c r="Z21" i="61" s="1"/>
  <c r="P21" i="61"/>
  <c r="V20" i="61"/>
  <c r="U20" i="61"/>
  <c r="T20" i="61"/>
  <c r="X20" i="61" s="1"/>
  <c r="Z20" i="61" s="1"/>
  <c r="P20" i="61"/>
  <c r="V19" i="61"/>
  <c r="U19" i="61"/>
  <c r="T19" i="61"/>
  <c r="X19" i="61" s="1"/>
  <c r="Z19" i="61" s="1"/>
  <c r="P19" i="61"/>
  <c r="V18" i="61"/>
  <c r="U18" i="61"/>
  <c r="T18" i="61"/>
  <c r="X18" i="61" s="1"/>
  <c r="Z18" i="61" s="1"/>
  <c r="P18" i="61"/>
  <c r="U17" i="61"/>
  <c r="T17" i="61"/>
  <c r="P17" i="61"/>
  <c r="U16" i="61"/>
  <c r="T16" i="61"/>
  <c r="X16" i="61" s="1"/>
  <c r="Z16" i="61" s="1"/>
  <c r="P16" i="61"/>
  <c r="U15" i="61"/>
  <c r="X15" i="61" s="1"/>
  <c r="T15" i="61"/>
  <c r="P15" i="61"/>
  <c r="U14" i="61"/>
  <c r="T14" i="61"/>
  <c r="X14" i="61" s="1"/>
  <c r="Z14" i="61" s="1"/>
  <c r="P14" i="61"/>
  <c r="U13" i="61"/>
  <c r="T13" i="61"/>
  <c r="P13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A53" i="61" s="1"/>
  <c r="A54" i="61" s="1"/>
  <c r="A55" i="61" s="1"/>
  <c r="A56" i="61" s="1"/>
  <c r="A57" i="61" s="1"/>
  <c r="A58" i="61" s="1"/>
  <c r="A59" i="61" s="1"/>
  <c r="A60" i="61" s="1"/>
  <c r="U12" i="61"/>
  <c r="T12" i="61"/>
  <c r="P12" i="61"/>
  <c r="O40" i="33" l="1"/>
  <c r="O42" i="33" s="1"/>
  <c r="N40" i="33"/>
  <c r="N42" i="33" s="1"/>
  <c r="P42" i="33" s="1"/>
  <c r="Z46" i="61"/>
  <c r="Z53" i="61"/>
  <c r="P125" i="61"/>
  <c r="U125" i="61"/>
  <c r="Z15" i="61"/>
  <c r="V125" i="61"/>
  <c r="Z23" i="61"/>
  <c r="Z28" i="61"/>
  <c r="Z30" i="61"/>
  <c r="Z80" i="61"/>
  <c r="Z88" i="61"/>
  <c r="Z92" i="61"/>
  <c r="Z96" i="61"/>
  <c r="Z100" i="61"/>
  <c r="Z104" i="61"/>
  <c r="Z108" i="61"/>
  <c r="X12" i="61"/>
  <c r="X13" i="61"/>
  <c r="Z13" i="61" s="1"/>
  <c r="X17" i="61"/>
  <c r="Z17" i="61" s="1"/>
  <c r="X25" i="61"/>
  <c r="Z25" i="61" s="1"/>
  <c r="X29" i="61"/>
  <c r="Z29" i="61" s="1"/>
  <c r="X31" i="61"/>
  <c r="Z31" i="61" s="1"/>
  <c r="X32" i="61"/>
  <c r="Z32" i="61" s="1"/>
  <c r="X33" i="61"/>
  <c r="Z33" i="61" s="1"/>
  <c r="X36" i="61"/>
  <c r="Z36" i="61" s="1"/>
  <c r="X38" i="61"/>
  <c r="Z38" i="61" s="1"/>
  <c r="X44" i="61"/>
  <c r="Z44" i="61" s="1"/>
  <c r="X45" i="61"/>
  <c r="Z45" i="61" s="1"/>
  <c r="X47" i="61"/>
  <c r="Z47" i="61" s="1"/>
  <c r="X48" i="61"/>
  <c r="Z48" i="61" s="1"/>
  <c r="X49" i="61"/>
  <c r="Z49" i="61" s="1"/>
  <c r="X52" i="61"/>
  <c r="Z52" i="61" s="1"/>
  <c r="X54" i="61"/>
  <c r="Z54" i="61" s="1"/>
  <c r="X55" i="61"/>
  <c r="Z55" i="61" s="1"/>
  <c r="X56" i="61"/>
  <c r="Z56" i="61" s="1"/>
  <c r="X62" i="61"/>
  <c r="Z62" i="61" s="1"/>
  <c r="X64" i="61"/>
  <c r="Z64" i="61" s="1"/>
  <c r="X66" i="61"/>
  <c r="Z66" i="61" s="1"/>
  <c r="X68" i="61"/>
  <c r="Z68" i="61" s="1"/>
  <c r="X70" i="61"/>
  <c r="Z70" i="61" s="1"/>
  <c r="X72" i="61"/>
  <c r="Z72" i="61" s="1"/>
  <c r="X74" i="61"/>
  <c r="Z74" i="61" s="1"/>
  <c r="X76" i="61"/>
  <c r="Z76" i="61" s="1"/>
  <c r="X78" i="61"/>
  <c r="Z78" i="61" s="1"/>
  <c r="X82" i="61"/>
  <c r="Z82" i="61" s="1"/>
  <c r="X84" i="61"/>
  <c r="Z84" i="61" s="1"/>
  <c r="X86" i="61"/>
  <c r="Z86" i="61" s="1"/>
  <c r="X89" i="61"/>
  <c r="Z89" i="61" s="1"/>
  <c r="X90" i="61"/>
  <c r="Z90" i="61" s="1"/>
  <c r="X93" i="61"/>
  <c r="Z93" i="61" s="1"/>
  <c r="X94" i="61"/>
  <c r="Z94" i="61" s="1"/>
  <c r="X97" i="61"/>
  <c r="Z97" i="61" s="1"/>
  <c r="X98" i="61"/>
  <c r="Z98" i="61" s="1"/>
  <c r="X101" i="61"/>
  <c r="Z101" i="61" s="1"/>
  <c r="X102" i="61"/>
  <c r="Z102" i="61" s="1"/>
  <c r="X105" i="61"/>
  <c r="Z105" i="61" s="1"/>
  <c r="X106" i="61"/>
  <c r="Z106" i="61" s="1"/>
  <c r="X109" i="61"/>
  <c r="Z109" i="61" s="1"/>
  <c r="X112" i="61"/>
  <c r="Z112" i="61" s="1"/>
  <c r="X114" i="61"/>
  <c r="Z114" i="61" s="1"/>
  <c r="X115" i="61"/>
  <c r="Z115" i="61" s="1"/>
  <c r="X116" i="61"/>
  <c r="Z116" i="61" s="1"/>
  <c r="X119" i="61"/>
  <c r="Z119" i="61" s="1"/>
  <c r="K145" i="61"/>
  <c r="A125" i="61"/>
  <c r="A126" i="61" s="1"/>
  <c r="A127" i="61" s="1"/>
  <c r="A135" i="61" s="1"/>
  <c r="A136" i="61" s="1"/>
  <c r="A137" i="61" s="1"/>
  <c r="A138" i="61" s="1"/>
  <c r="A139" i="61" s="1"/>
  <c r="A140" i="61" s="1"/>
  <c r="A142" i="61" s="1"/>
  <c r="A145" i="61" s="1"/>
  <c r="A61" i="61"/>
  <c r="A62" i="61" s="1"/>
  <c r="A63" i="61" s="1"/>
  <c r="A64" i="61" s="1"/>
  <c r="A65" i="61" s="1"/>
  <c r="A66" i="61" s="1"/>
  <c r="A67" i="61" s="1"/>
  <c r="A68" i="61" s="1"/>
  <c r="A69" i="61" s="1"/>
  <c r="A70" i="61" s="1"/>
  <c r="A71" i="61" s="1"/>
  <c r="A72" i="61" s="1"/>
  <c r="A73" i="61" s="1"/>
  <c r="A74" i="61" s="1"/>
  <c r="A75" i="61" s="1"/>
  <c r="A76" i="61" s="1"/>
  <c r="A77" i="61" s="1"/>
  <c r="A78" i="61" s="1"/>
  <c r="A79" i="61" s="1"/>
  <c r="A80" i="61" s="1"/>
  <c r="A81" i="61" s="1"/>
  <c r="A82" i="61" s="1"/>
  <c r="A83" i="61" s="1"/>
  <c r="A84" i="61" s="1"/>
  <c r="A85" i="61" s="1"/>
  <c r="A86" i="61" s="1"/>
  <c r="A87" i="61" s="1"/>
  <c r="A88" i="61" s="1"/>
  <c r="A89" i="61" s="1"/>
  <c r="A90" i="61" s="1"/>
  <c r="A91" i="61" s="1"/>
  <c r="A92" i="61" s="1"/>
  <c r="A93" i="61" s="1"/>
  <c r="A94" i="61" s="1"/>
  <c r="A95" i="61" s="1"/>
  <c r="A96" i="61" s="1"/>
  <c r="A97" i="61" s="1"/>
  <c r="A98" i="61" s="1"/>
  <c r="A99" i="61" s="1"/>
  <c r="A100" i="61" s="1"/>
  <c r="A101" i="61" s="1"/>
  <c r="A102" i="61" s="1"/>
  <c r="A103" i="61" s="1"/>
  <c r="A104" i="61" s="1"/>
  <c r="A105" i="61" s="1"/>
  <c r="A106" i="61" s="1"/>
  <c r="A107" i="61" s="1"/>
  <c r="A108" i="61" s="1"/>
  <c r="A109" i="61" s="1"/>
  <c r="A110" i="61" s="1"/>
  <c r="A111" i="61" s="1"/>
  <c r="A112" i="61" s="1"/>
  <c r="A113" i="61" s="1"/>
  <c r="A114" i="61" s="1"/>
  <c r="A115" i="61" s="1"/>
  <c r="A116" i="61" s="1"/>
  <c r="A117" i="61" s="1"/>
  <c r="A118" i="61" s="1"/>
  <c r="A119" i="61" s="1"/>
  <c r="Z12" i="61"/>
  <c r="X125" i="61"/>
  <c r="T125" i="61"/>
  <c r="P40" i="33" l="1"/>
  <c r="G48" i="33" s="1"/>
  <c r="H48" i="33" s="1"/>
  <c r="H50" i="33" s="1"/>
  <c r="Z125" i="61"/>
  <c r="Z127" i="61" s="1"/>
  <c r="M138" i="61"/>
  <c r="P138" i="61" s="1"/>
  <c r="M135" i="61"/>
  <c r="P135" i="61" s="1"/>
  <c r="M137" i="61"/>
  <c r="P137" i="61" s="1"/>
  <c r="M142" i="61"/>
  <c r="P142" i="61" s="1"/>
  <c r="M139" i="61"/>
  <c r="P139" i="61" s="1"/>
  <c r="M136" i="61"/>
  <c r="P136" i="61" s="1"/>
  <c r="G50" i="33" l="1"/>
  <c r="E9" i="48"/>
  <c r="D14" i="35" s="1"/>
  <c r="M143" i="61"/>
  <c r="P140" i="61"/>
  <c r="P143" i="61"/>
  <c r="M140" i="61"/>
  <c r="M145" i="61" l="1"/>
  <c r="D10" i="50" l="1"/>
  <c r="F12" i="31"/>
  <c r="I108" i="58" l="1"/>
  <c r="L108" i="58" s="1"/>
  <c r="I109" i="58"/>
  <c r="L109" i="58" s="1"/>
  <c r="I110" i="58"/>
  <c r="L110" i="58" s="1"/>
  <c r="E56" i="39" l="1"/>
  <c r="E55" i="39"/>
  <c r="E53" i="39"/>
  <c r="E52" i="39"/>
  <c r="I17" i="39"/>
  <c r="I16" i="39"/>
  <c r="I12" i="39"/>
  <c r="E17" i="39"/>
  <c r="E16" i="39"/>
  <c r="E12" i="39"/>
  <c r="D88" i="62" l="1"/>
  <c r="D89" i="62"/>
  <c r="D90" i="62"/>
  <c r="D91" i="62"/>
  <c r="D92" i="62"/>
  <c r="F92" i="62"/>
  <c r="I92" i="62" s="1"/>
  <c r="J92" i="62" s="1"/>
  <c r="D93" i="62"/>
  <c r="D94" i="62"/>
  <c r="D95" i="62"/>
  <c r="D96" i="62"/>
  <c r="D97" i="62"/>
  <c r="D98" i="62"/>
  <c r="D99" i="62"/>
  <c r="D100" i="62"/>
  <c r="D101" i="62"/>
  <c r="D102" i="62"/>
  <c r="F102" i="62"/>
  <c r="M102" i="62" s="1"/>
  <c r="N102" i="62" s="1"/>
  <c r="D103" i="62"/>
  <c r="D104" i="62"/>
  <c r="D105" i="62"/>
  <c r="D106" i="62"/>
  <c r="D107" i="62"/>
  <c r="D108" i="62"/>
  <c r="F108" i="62"/>
  <c r="I108" i="62" s="1"/>
  <c r="J108" i="62" s="1"/>
  <c r="D109" i="62"/>
  <c r="D110" i="62"/>
  <c r="D111" i="62"/>
  <c r="D112" i="62"/>
  <c r="D113" i="62"/>
  <c r="D114" i="62"/>
  <c r="D115" i="62"/>
  <c r="D116" i="62"/>
  <c r="D117" i="62"/>
  <c r="D118" i="62"/>
  <c r="D119" i="62"/>
  <c r="D120" i="62"/>
  <c r="D121" i="62"/>
  <c r="D122" i="62"/>
  <c r="D123" i="62"/>
  <c r="E123" i="62"/>
  <c r="D65" i="62"/>
  <c r="D66" i="62"/>
  <c r="D67" i="62"/>
  <c r="D68" i="62"/>
  <c r="D69" i="62"/>
  <c r="D70" i="62"/>
  <c r="D71" i="62"/>
  <c r="D72" i="62"/>
  <c r="D73" i="62"/>
  <c r="D74" i="62"/>
  <c r="F74" i="62"/>
  <c r="I74" i="62" s="1"/>
  <c r="J74" i="62" s="1"/>
  <c r="D75" i="62"/>
  <c r="D76" i="62"/>
  <c r="F76" i="62"/>
  <c r="I76" i="62" s="1"/>
  <c r="J76" i="62" s="1"/>
  <c r="M76" i="62"/>
  <c r="N76" i="62" s="1"/>
  <c r="D77" i="62"/>
  <c r="D78" i="62"/>
  <c r="D79" i="62"/>
  <c r="D80" i="62"/>
  <c r="D81" i="62"/>
  <c r="D82" i="62"/>
  <c r="D83" i="62"/>
  <c r="D84" i="62"/>
  <c r="F84" i="62"/>
  <c r="I84" i="62" s="1"/>
  <c r="J84" i="62" s="1"/>
  <c r="D85" i="62"/>
  <c r="D86" i="62"/>
  <c r="D87" i="62"/>
  <c r="F87" i="62"/>
  <c r="G87" i="62" s="1"/>
  <c r="H87" i="62" s="1"/>
  <c r="M87" i="62"/>
  <c r="N87" i="62" s="1"/>
  <c r="F68" i="62"/>
  <c r="F72" i="62"/>
  <c r="F78" i="62"/>
  <c r="F82" i="62"/>
  <c r="A13" i="58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A78" i="58" s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A91" i="58" s="1"/>
  <c r="A92" i="58" s="1"/>
  <c r="A93" i="58" s="1"/>
  <c r="A94" i="58" s="1"/>
  <c r="A95" i="58" s="1"/>
  <c r="A96" i="58" s="1"/>
  <c r="A97" i="58" s="1"/>
  <c r="A98" i="58" s="1"/>
  <c r="A99" i="58" s="1"/>
  <c r="A100" i="58" s="1"/>
  <c r="A101" i="58" s="1"/>
  <c r="A102" i="58" s="1"/>
  <c r="A103" i="58" s="1"/>
  <c r="A104" i="58" s="1"/>
  <c r="A105" i="58" s="1"/>
  <c r="A106" i="58" s="1"/>
  <c r="A107" i="58" s="1"/>
  <c r="A108" i="58" s="1"/>
  <c r="A109" i="58" s="1"/>
  <c r="A110" i="58" s="1"/>
  <c r="A111" i="58" s="1"/>
  <c r="F12" i="58"/>
  <c r="H12" i="58" s="1"/>
  <c r="A112" i="58" l="1"/>
  <c r="A113" i="58" s="1"/>
  <c r="A114" i="58" s="1"/>
  <c r="A115" i="58" s="1"/>
  <c r="A116" i="58" s="1"/>
  <c r="A117" i="58" s="1"/>
  <c r="A118" i="58" s="1"/>
  <c r="I87" i="62"/>
  <c r="J87" i="62" s="1"/>
  <c r="M74" i="62"/>
  <c r="N74" i="62" s="1"/>
  <c r="K87" i="62"/>
  <c r="L87" i="62" s="1"/>
  <c r="M108" i="62"/>
  <c r="N108" i="62" s="1"/>
  <c r="I102" i="62"/>
  <c r="J102" i="62" s="1"/>
  <c r="M92" i="62"/>
  <c r="N92" i="62" s="1"/>
  <c r="M84" i="62"/>
  <c r="N84" i="62" s="1"/>
  <c r="F95" i="62"/>
  <c r="F75" i="62"/>
  <c r="F120" i="62"/>
  <c r="F118" i="62"/>
  <c r="F116" i="62"/>
  <c r="F114" i="62"/>
  <c r="F113" i="62"/>
  <c r="G113" i="62" s="1"/>
  <c r="H113" i="62" s="1"/>
  <c r="F112" i="62"/>
  <c r="I82" i="62"/>
  <c r="J82" i="62" s="1"/>
  <c r="M82" i="62"/>
  <c r="N82" i="62" s="1"/>
  <c r="M78" i="62"/>
  <c r="N78" i="62" s="1"/>
  <c r="I78" i="62"/>
  <c r="J78" i="62" s="1"/>
  <c r="I72" i="62"/>
  <c r="J72" i="62" s="1"/>
  <c r="M72" i="62"/>
  <c r="N72" i="62" s="1"/>
  <c r="M68" i="62"/>
  <c r="N68" i="62" s="1"/>
  <c r="I68" i="62"/>
  <c r="J68" i="62" s="1"/>
  <c r="F122" i="62"/>
  <c r="G122" i="62" s="1"/>
  <c r="H122" i="62" s="1"/>
  <c r="F110" i="62"/>
  <c r="G110" i="62" s="1"/>
  <c r="H110" i="62" s="1"/>
  <c r="F107" i="62"/>
  <c r="F105" i="62"/>
  <c r="F103" i="62"/>
  <c r="F100" i="62"/>
  <c r="F98" i="62"/>
  <c r="F96" i="62"/>
  <c r="F94" i="62"/>
  <c r="F91" i="62"/>
  <c r="F89" i="62"/>
  <c r="F83" i="62"/>
  <c r="F81" i="62"/>
  <c r="F79" i="62"/>
  <c r="F77" i="62"/>
  <c r="F73" i="62"/>
  <c r="F71" i="62"/>
  <c r="F69" i="62"/>
  <c r="F67" i="62"/>
  <c r="F65" i="62"/>
  <c r="F123" i="62"/>
  <c r="G123" i="62" s="1"/>
  <c r="H123" i="62" s="1"/>
  <c r="F109" i="62"/>
  <c r="F99" i="62"/>
  <c r="F90" i="62"/>
  <c r="F104" i="62"/>
  <c r="F85" i="62"/>
  <c r="F86" i="62"/>
  <c r="G84" i="62"/>
  <c r="H84" i="62" s="1"/>
  <c r="K84" i="62"/>
  <c r="L84" i="62" s="1"/>
  <c r="O84" i="62" s="1"/>
  <c r="G82" i="62"/>
  <c r="H82" i="62" s="1"/>
  <c r="K82" i="62"/>
  <c r="L82" i="62" s="1"/>
  <c r="F80" i="62"/>
  <c r="G78" i="62"/>
  <c r="H78" i="62" s="1"/>
  <c r="K78" i="62"/>
  <c r="L78" i="62" s="1"/>
  <c r="G76" i="62"/>
  <c r="H76" i="62" s="1"/>
  <c r="O76" i="62" s="1"/>
  <c r="K76" i="62"/>
  <c r="L76" i="62" s="1"/>
  <c r="G74" i="62"/>
  <c r="H74" i="62" s="1"/>
  <c r="K74" i="62"/>
  <c r="L74" i="62" s="1"/>
  <c r="G72" i="62"/>
  <c r="H72" i="62" s="1"/>
  <c r="K72" i="62"/>
  <c r="L72" i="62" s="1"/>
  <c r="F70" i="62"/>
  <c r="G68" i="62"/>
  <c r="H68" i="62" s="1"/>
  <c r="K68" i="62"/>
  <c r="L68" i="62" s="1"/>
  <c r="F66" i="62"/>
  <c r="F101" i="62"/>
  <c r="F97" i="62"/>
  <c r="F93" i="62"/>
  <c r="F111" i="62"/>
  <c r="G111" i="62" s="1"/>
  <c r="H111" i="62" s="1"/>
  <c r="G108" i="62"/>
  <c r="H108" i="62" s="1"/>
  <c r="K108" i="62"/>
  <c r="L108" i="62" s="1"/>
  <c r="F106" i="62"/>
  <c r="G102" i="62"/>
  <c r="H102" i="62" s="1"/>
  <c r="K102" i="62"/>
  <c r="L102" i="62" s="1"/>
  <c r="O102" i="62" s="1"/>
  <c r="G92" i="62"/>
  <c r="H92" i="62" s="1"/>
  <c r="K92" i="62"/>
  <c r="L92" i="62" s="1"/>
  <c r="F88" i="62"/>
  <c r="I75" i="58"/>
  <c r="L75" i="58" s="1"/>
  <c r="I91" i="58"/>
  <c r="L91" i="58" s="1"/>
  <c r="I14" i="58"/>
  <c r="L14" i="58" s="1"/>
  <c r="I15" i="58"/>
  <c r="L15" i="58" s="1"/>
  <c r="I17" i="58"/>
  <c r="L17" i="58" s="1"/>
  <c r="I18" i="58"/>
  <c r="L18" i="58" s="1"/>
  <c r="I19" i="58"/>
  <c r="L19" i="58" s="1"/>
  <c r="I20" i="58"/>
  <c r="L20" i="58" s="1"/>
  <c r="I21" i="58"/>
  <c r="L21" i="58" s="1"/>
  <c r="I22" i="58"/>
  <c r="L22" i="58" s="1"/>
  <c r="I23" i="58"/>
  <c r="L23" i="58" s="1"/>
  <c r="I24" i="58"/>
  <c r="L24" i="58" s="1"/>
  <c r="I25" i="58"/>
  <c r="L25" i="58" s="1"/>
  <c r="I26" i="58"/>
  <c r="L26" i="58" s="1"/>
  <c r="I27" i="58"/>
  <c r="L27" i="58" s="1"/>
  <c r="I28" i="58"/>
  <c r="L28" i="58" s="1"/>
  <c r="I29" i="58"/>
  <c r="L29" i="58" s="1"/>
  <c r="I30" i="58"/>
  <c r="L30" i="58" s="1"/>
  <c r="I31" i="58"/>
  <c r="L31" i="58" s="1"/>
  <c r="I32" i="58"/>
  <c r="L32" i="58" s="1"/>
  <c r="I33" i="58"/>
  <c r="L33" i="58" s="1"/>
  <c r="I34" i="58"/>
  <c r="L34" i="58" s="1"/>
  <c r="I35" i="58"/>
  <c r="L35" i="58" s="1"/>
  <c r="I36" i="58"/>
  <c r="L36" i="58" s="1"/>
  <c r="I37" i="58"/>
  <c r="L37" i="58" s="1"/>
  <c r="I38" i="58"/>
  <c r="L38" i="58" s="1"/>
  <c r="I39" i="58"/>
  <c r="L39" i="58" s="1"/>
  <c r="I40" i="58"/>
  <c r="L40" i="58" s="1"/>
  <c r="I41" i="58"/>
  <c r="L41" i="58" s="1"/>
  <c r="I42" i="58"/>
  <c r="L42" i="58" s="1"/>
  <c r="I43" i="58"/>
  <c r="L43" i="58" s="1"/>
  <c r="I44" i="58"/>
  <c r="L44" i="58" s="1"/>
  <c r="I45" i="58"/>
  <c r="L45" i="58" s="1"/>
  <c r="I46" i="58"/>
  <c r="L46" i="58" s="1"/>
  <c r="I47" i="58"/>
  <c r="L47" i="58" s="1"/>
  <c r="I48" i="58"/>
  <c r="L48" i="58" s="1"/>
  <c r="I49" i="58"/>
  <c r="L49" i="58" s="1"/>
  <c r="I50" i="58"/>
  <c r="L50" i="58" s="1"/>
  <c r="I51" i="58"/>
  <c r="L51" i="58" s="1"/>
  <c r="I52" i="58"/>
  <c r="L52" i="58" s="1"/>
  <c r="I53" i="58"/>
  <c r="L53" i="58" s="1"/>
  <c r="I54" i="58"/>
  <c r="L54" i="58" s="1"/>
  <c r="I55" i="58"/>
  <c r="L55" i="58" s="1"/>
  <c r="I56" i="58"/>
  <c r="L56" i="58" s="1"/>
  <c r="I57" i="58"/>
  <c r="L57" i="58" s="1"/>
  <c r="I58" i="58"/>
  <c r="L58" i="58" s="1"/>
  <c r="I59" i="58"/>
  <c r="L59" i="58" s="1"/>
  <c r="I60" i="58"/>
  <c r="L60" i="58" s="1"/>
  <c r="I61" i="58"/>
  <c r="L61" i="58" s="1"/>
  <c r="I62" i="58"/>
  <c r="L62" i="58" s="1"/>
  <c r="I63" i="58"/>
  <c r="L63" i="58" s="1"/>
  <c r="I64" i="58"/>
  <c r="L64" i="58" s="1"/>
  <c r="I65" i="58"/>
  <c r="L65" i="58" s="1"/>
  <c r="I66" i="58"/>
  <c r="L66" i="58" s="1"/>
  <c r="I67" i="58"/>
  <c r="L67" i="58" s="1"/>
  <c r="I83" i="58"/>
  <c r="L83" i="58" s="1"/>
  <c r="I99" i="58"/>
  <c r="L99" i="58" s="1"/>
  <c r="G12" i="58"/>
  <c r="I12" i="58" s="1"/>
  <c r="I71" i="58"/>
  <c r="L71" i="58" s="1"/>
  <c r="I79" i="58"/>
  <c r="L79" i="58" s="1"/>
  <c r="I87" i="58"/>
  <c r="L87" i="58" s="1"/>
  <c r="I95" i="58"/>
  <c r="L95" i="58" s="1"/>
  <c r="I103" i="58"/>
  <c r="L103" i="58" s="1"/>
  <c r="I106" i="58"/>
  <c r="L106" i="58" s="1"/>
  <c r="I13" i="58"/>
  <c r="L13" i="58" s="1"/>
  <c r="I16" i="58"/>
  <c r="L16" i="58" s="1"/>
  <c r="I69" i="58"/>
  <c r="L69" i="58" s="1"/>
  <c r="I73" i="58"/>
  <c r="L73" i="58" s="1"/>
  <c r="I77" i="58"/>
  <c r="L77" i="58" s="1"/>
  <c r="I81" i="58"/>
  <c r="L81" i="58" s="1"/>
  <c r="I85" i="58"/>
  <c r="L85" i="58" s="1"/>
  <c r="I89" i="58"/>
  <c r="L89" i="58" s="1"/>
  <c r="I93" i="58"/>
  <c r="L93" i="58" s="1"/>
  <c r="I97" i="58"/>
  <c r="L97" i="58" s="1"/>
  <c r="I101" i="58"/>
  <c r="L101" i="58" s="1"/>
  <c r="I105" i="58"/>
  <c r="L105" i="58" s="1"/>
  <c r="I107" i="58"/>
  <c r="L107" i="58" s="1"/>
  <c r="O87" i="62"/>
  <c r="I68" i="58"/>
  <c r="L68" i="58" s="1"/>
  <c r="I70" i="58"/>
  <c r="L70" i="58" s="1"/>
  <c r="I72" i="58"/>
  <c r="L72" i="58" s="1"/>
  <c r="I74" i="58"/>
  <c r="L74" i="58" s="1"/>
  <c r="I76" i="58"/>
  <c r="L76" i="58" s="1"/>
  <c r="I78" i="58"/>
  <c r="L78" i="58" s="1"/>
  <c r="I80" i="58"/>
  <c r="L80" i="58" s="1"/>
  <c r="I82" i="58"/>
  <c r="L82" i="58" s="1"/>
  <c r="I84" i="58"/>
  <c r="L84" i="58" s="1"/>
  <c r="I86" i="58"/>
  <c r="L86" i="58" s="1"/>
  <c r="I88" i="58"/>
  <c r="L88" i="58" s="1"/>
  <c r="I90" i="58"/>
  <c r="L90" i="58" s="1"/>
  <c r="I92" i="58"/>
  <c r="L92" i="58" s="1"/>
  <c r="I94" i="58"/>
  <c r="L94" i="58" s="1"/>
  <c r="I96" i="58"/>
  <c r="L96" i="58" s="1"/>
  <c r="I98" i="58"/>
  <c r="L98" i="58" s="1"/>
  <c r="I100" i="58"/>
  <c r="L100" i="58" s="1"/>
  <c r="I102" i="58"/>
  <c r="L102" i="58" s="1"/>
  <c r="I104" i="58"/>
  <c r="L104" i="58" s="1"/>
  <c r="I111" i="58"/>
  <c r="L111" i="58" s="1"/>
  <c r="H28" i="39"/>
  <c r="J28" i="39" s="1"/>
  <c r="H29" i="39"/>
  <c r="J29" i="39" s="1"/>
  <c r="H30" i="39"/>
  <c r="J30" i="39" s="1"/>
  <c r="H31" i="39"/>
  <c r="J31" i="39" s="1"/>
  <c r="H32" i="39"/>
  <c r="J32" i="39" s="1"/>
  <c r="H33" i="39"/>
  <c r="J33" i="39" s="1"/>
  <c r="H34" i="39"/>
  <c r="J34" i="39" s="1"/>
  <c r="H41" i="39"/>
  <c r="J41" i="39" s="1"/>
  <c r="H42" i="39"/>
  <c r="J42" i="39" s="1"/>
  <c r="H19" i="39"/>
  <c r="J19" i="39" s="1"/>
  <c r="H21" i="39"/>
  <c r="J21" i="39" s="1"/>
  <c r="I22" i="39"/>
  <c r="F22" i="39"/>
  <c r="A3" i="39"/>
  <c r="I121" i="58" l="1"/>
  <c r="L12" i="58"/>
  <c r="L121" i="58" s="1"/>
  <c r="I123" i="58" s="1"/>
  <c r="A119" i="58"/>
  <c r="A120" i="58" s="1"/>
  <c r="A121" i="58" s="1"/>
  <c r="A122" i="58" s="1"/>
  <c r="A123" i="58" s="1"/>
  <c r="A124" i="58" s="1"/>
  <c r="A125" i="58" s="1"/>
  <c r="A126" i="58" s="1"/>
  <c r="A127" i="58" s="1"/>
  <c r="A128" i="58" s="1"/>
  <c r="A129" i="58" s="1"/>
  <c r="K122" i="62"/>
  <c r="L122" i="62" s="1"/>
  <c r="O74" i="62"/>
  <c r="M123" i="62"/>
  <c r="N123" i="62" s="1"/>
  <c r="O92" i="62"/>
  <c r="O108" i="62"/>
  <c r="I113" i="62"/>
  <c r="J113" i="62" s="1"/>
  <c r="O72" i="62"/>
  <c r="F117" i="62"/>
  <c r="G117" i="62" s="1"/>
  <c r="H117" i="62" s="1"/>
  <c r="O68" i="62"/>
  <c r="F121" i="62"/>
  <c r="G121" i="62" s="1"/>
  <c r="H121" i="62" s="1"/>
  <c r="M113" i="62"/>
  <c r="N113" i="62" s="1"/>
  <c r="K121" i="62"/>
  <c r="L121" i="62" s="1"/>
  <c r="I123" i="62"/>
  <c r="J123" i="62" s="1"/>
  <c r="F115" i="62"/>
  <c r="G115" i="62" s="1"/>
  <c r="H115" i="62" s="1"/>
  <c r="F119" i="62"/>
  <c r="G119" i="62" s="1"/>
  <c r="H119" i="62" s="1"/>
  <c r="K111" i="62"/>
  <c r="L111" i="62" s="1"/>
  <c r="K113" i="62"/>
  <c r="L113" i="62" s="1"/>
  <c r="I122" i="62"/>
  <c r="J122" i="62" s="1"/>
  <c r="M122" i="62"/>
  <c r="N122" i="62" s="1"/>
  <c r="K123" i="62"/>
  <c r="L123" i="62" s="1"/>
  <c r="G112" i="62"/>
  <c r="H112" i="62" s="1"/>
  <c r="M112" i="62"/>
  <c r="N112" i="62" s="1"/>
  <c r="I112" i="62"/>
  <c r="J112" i="62" s="1"/>
  <c r="K112" i="62"/>
  <c r="L112" i="62" s="1"/>
  <c r="G114" i="62"/>
  <c r="H114" i="62" s="1"/>
  <c r="M114" i="62"/>
  <c r="N114" i="62" s="1"/>
  <c r="I114" i="62"/>
  <c r="J114" i="62" s="1"/>
  <c r="K114" i="62"/>
  <c r="L114" i="62" s="1"/>
  <c r="G116" i="62"/>
  <c r="H116" i="62" s="1"/>
  <c r="M116" i="62"/>
  <c r="N116" i="62" s="1"/>
  <c r="I116" i="62"/>
  <c r="J116" i="62" s="1"/>
  <c r="K116" i="62"/>
  <c r="L116" i="62" s="1"/>
  <c r="G118" i="62"/>
  <c r="H118" i="62" s="1"/>
  <c r="M118" i="62"/>
  <c r="N118" i="62" s="1"/>
  <c r="I118" i="62"/>
  <c r="J118" i="62" s="1"/>
  <c r="K118" i="62"/>
  <c r="L118" i="62" s="1"/>
  <c r="G120" i="62"/>
  <c r="H120" i="62" s="1"/>
  <c r="M120" i="62"/>
  <c r="N120" i="62" s="1"/>
  <c r="I120" i="62"/>
  <c r="J120" i="62" s="1"/>
  <c r="K120" i="62"/>
  <c r="L120" i="62" s="1"/>
  <c r="M110" i="62"/>
  <c r="N110" i="62" s="1"/>
  <c r="I110" i="62"/>
  <c r="J110" i="62" s="1"/>
  <c r="I111" i="62"/>
  <c r="J111" i="62" s="1"/>
  <c r="M111" i="62"/>
  <c r="N111" i="62" s="1"/>
  <c r="O78" i="62"/>
  <c r="O82" i="62"/>
  <c r="G88" i="62"/>
  <c r="H88" i="62" s="1"/>
  <c r="K88" i="62"/>
  <c r="L88" i="62" s="1"/>
  <c r="M88" i="62"/>
  <c r="N88" i="62" s="1"/>
  <c r="I88" i="62"/>
  <c r="J88" i="62" s="1"/>
  <c r="G70" i="62"/>
  <c r="H70" i="62" s="1"/>
  <c r="K70" i="62"/>
  <c r="L70" i="62" s="1"/>
  <c r="M70" i="62"/>
  <c r="N70" i="62" s="1"/>
  <c r="I70" i="62"/>
  <c r="J70" i="62" s="1"/>
  <c r="G86" i="62"/>
  <c r="H86" i="62" s="1"/>
  <c r="K86" i="62"/>
  <c r="L86" i="62" s="1"/>
  <c r="M86" i="62"/>
  <c r="N86" i="62" s="1"/>
  <c r="I86" i="62"/>
  <c r="J86" i="62" s="1"/>
  <c r="I85" i="62"/>
  <c r="J85" i="62" s="1"/>
  <c r="M85" i="62"/>
  <c r="N85" i="62" s="1"/>
  <c r="K85" i="62"/>
  <c r="L85" i="62" s="1"/>
  <c r="G85" i="62"/>
  <c r="H85" i="62" s="1"/>
  <c r="G104" i="62"/>
  <c r="H104" i="62" s="1"/>
  <c r="K104" i="62"/>
  <c r="L104" i="62" s="1"/>
  <c r="M104" i="62"/>
  <c r="N104" i="62" s="1"/>
  <c r="I104" i="62"/>
  <c r="J104" i="62" s="1"/>
  <c r="G90" i="62"/>
  <c r="H90" i="62" s="1"/>
  <c r="K90" i="62"/>
  <c r="L90" i="62" s="1"/>
  <c r="M90" i="62"/>
  <c r="N90" i="62" s="1"/>
  <c r="I90" i="62"/>
  <c r="J90" i="62" s="1"/>
  <c r="I99" i="62"/>
  <c r="J99" i="62" s="1"/>
  <c r="M99" i="62"/>
  <c r="N99" i="62" s="1"/>
  <c r="K99" i="62"/>
  <c r="L99" i="62" s="1"/>
  <c r="G99" i="62"/>
  <c r="H99" i="62" s="1"/>
  <c r="I109" i="62"/>
  <c r="J109" i="62" s="1"/>
  <c r="K109" i="62"/>
  <c r="L109" i="62" s="1"/>
  <c r="M109" i="62"/>
  <c r="N109" i="62" s="1"/>
  <c r="G109" i="62"/>
  <c r="H109" i="62" s="1"/>
  <c r="I75" i="62"/>
  <c r="J75" i="62" s="1"/>
  <c r="M75" i="62"/>
  <c r="N75" i="62" s="1"/>
  <c r="K75" i="62"/>
  <c r="L75" i="62" s="1"/>
  <c r="G75" i="62"/>
  <c r="H75" i="62" s="1"/>
  <c r="I95" i="62"/>
  <c r="J95" i="62" s="1"/>
  <c r="M95" i="62"/>
  <c r="N95" i="62" s="1"/>
  <c r="K95" i="62"/>
  <c r="L95" i="62" s="1"/>
  <c r="G95" i="62"/>
  <c r="H95" i="62" s="1"/>
  <c r="I89" i="62"/>
  <c r="J89" i="62" s="1"/>
  <c r="M89" i="62"/>
  <c r="N89" i="62" s="1"/>
  <c r="K89" i="62"/>
  <c r="L89" i="62" s="1"/>
  <c r="G89" i="62"/>
  <c r="H89" i="62" s="1"/>
  <c r="I91" i="62"/>
  <c r="J91" i="62" s="1"/>
  <c r="M91" i="62"/>
  <c r="N91" i="62" s="1"/>
  <c r="K91" i="62"/>
  <c r="L91" i="62" s="1"/>
  <c r="G91" i="62"/>
  <c r="H91" i="62" s="1"/>
  <c r="G94" i="62"/>
  <c r="H94" i="62" s="1"/>
  <c r="K94" i="62"/>
  <c r="L94" i="62" s="1"/>
  <c r="M94" i="62"/>
  <c r="N94" i="62" s="1"/>
  <c r="I94" i="62"/>
  <c r="J94" i="62" s="1"/>
  <c r="G96" i="62"/>
  <c r="H96" i="62" s="1"/>
  <c r="K96" i="62"/>
  <c r="L96" i="62" s="1"/>
  <c r="M96" i="62"/>
  <c r="N96" i="62" s="1"/>
  <c r="I96" i="62"/>
  <c r="J96" i="62" s="1"/>
  <c r="G98" i="62"/>
  <c r="H98" i="62" s="1"/>
  <c r="K98" i="62"/>
  <c r="L98" i="62" s="1"/>
  <c r="M98" i="62"/>
  <c r="N98" i="62" s="1"/>
  <c r="I98" i="62"/>
  <c r="J98" i="62" s="1"/>
  <c r="G100" i="62"/>
  <c r="H100" i="62" s="1"/>
  <c r="K100" i="62"/>
  <c r="L100" i="62" s="1"/>
  <c r="M100" i="62"/>
  <c r="N100" i="62" s="1"/>
  <c r="I100" i="62"/>
  <c r="J100" i="62" s="1"/>
  <c r="I103" i="62"/>
  <c r="J103" i="62" s="1"/>
  <c r="M103" i="62"/>
  <c r="N103" i="62" s="1"/>
  <c r="K103" i="62"/>
  <c r="L103" i="62" s="1"/>
  <c r="G103" i="62"/>
  <c r="H103" i="62" s="1"/>
  <c r="I105" i="62"/>
  <c r="J105" i="62" s="1"/>
  <c r="M105" i="62"/>
  <c r="N105" i="62" s="1"/>
  <c r="K105" i="62"/>
  <c r="L105" i="62" s="1"/>
  <c r="G105" i="62"/>
  <c r="H105" i="62" s="1"/>
  <c r="I107" i="62"/>
  <c r="J107" i="62" s="1"/>
  <c r="M107" i="62"/>
  <c r="N107" i="62" s="1"/>
  <c r="K107" i="62"/>
  <c r="L107" i="62" s="1"/>
  <c r="G107" i="62"/>
  <c r="H107" i="62" s="1"/>
  <c r="K110" i="62"/>
  <c r="L110" i="62" s="1"/>
  <c r="G106" i="62"/>
  <c r="H106" i="62" s="1"/>
  <c r="K106" i="62"/>
  <c r="L106" i="62" s="1"/>
  <c r="M106" i="62"/>
  <c r="N106" i="62" s="1"/>
  <c r="I106" i="62"/>
  <c r="J106" i="62" s="1"/>
  <c r="I93" i="62"/>
  <c r="J93" i="62" s="1"/>
  <c r="M93" i="62"/>
  <c r="N93" i="62" s="1"/>
  <c r="K93" i="62"/>
  <c r="L93" i="62" s="1"/>
  <c r="G93" i="62"/>
  <c r="H93" i="62" s="1"/>
  <c r="I97" i="62"/>
  <c r="J97" i="62" s="1"/>
  <c r="M97" i="62"/>
  <c r="N97" i="62" s="1"/>
  <c r="K97" i="62"/>
  <c r="L97" i="62" s="1"/>
  <c r="G97" i="62"/>
  <c r="H97" i="62" s="1"/>
  <c r="I101" i="62"/>
  <c r="J101" i="62" s="1"/>
  <c r="M101" i="62"/>
  <c r="N101" i="62" s="1"/>
  <c r="K101" i="62"/>
  <c r="L101" i="62" s="1"/>
  <c r="G101" i="62"/>
  <c r="H101" i="62" s="1"/>
  <c r="G66" i="62"/>
  <c r="H66" i="62" s="1"/>
  <c r="K66" i="62"/>
  <c r="L66" i="62" s="1"/>
  <c r="M66" i="62"/>
  <c r="N66" i="62" s="1"/>
  <c r="I66" i="62"/>
  <c r="J66" i="62" s="1"/>
  <c r="G80" i="62"/>
  <c r="H80" i="62" s="1"/>
  <c r="K80" i="62"/>
  <c r="L80" i="62" s="1"/>
  <c r="M80" i="62"/>
  <c r="N80" i="62" s="1"/>
  <c r="I80" i="62"/>
  <c r="J80" i="62" s="1"/>
  <c r="I65" i="62"/>
  <c r="J65" i="62" s="1"/>
  <c r="M65" i="62"/>
  <c r="N65" i="62" s="1"/>
  <c r="K65" i="62"/>
  <c r="L65" i="62" s="1"/>
  <c r="G65" i="62"/>
  <c r="H65" i="62" s="1"/>
  <c r="I67" i="62"/>
  <c r="J67" i="62" s="1"/>
  <c r="M67" i="62"/>
  <c r="N67" i="62" s="1"/>
  <c r="K67" i="62"/>
  <c r="L67" i="62" s="1"/>
  <c r="G67" i="62"/>
  <c r="H67" i="62" s="1"/>
  <c r="I69" i="62"/>
  <c r="J69" i="62" s="1"/>
  <c r="M69" i="62"/>
  <c r="N69" i="62" s="1"/>
  <c r="K69" i="62"/>
  <c r="L69" i="62" s="1"/>
  <c r="G69" i="62"/>
  <c r="H69" i="62" s="1"/>
  <c r="I71" i="62"/>
  <c r="J71" i="62" s="1"/>
  <c r="M71" i="62"/>
  <c r="N71" i="62" s="1"/>
  <c r="K71" i="62"/>
  <c r="L71" i="62" s="1"/>
  <c r="G71" i="62"/>
  <c r="H71" i="62" s="1"/>
  <c r="I73" i="62"/>
  <c r="J73" i="62" s="1"/>
  <c r="M73" i="62"/>
  <c r="N73" i="62" s="1"/>
  <c r="K73" i="62"/>
  <c r="L73" i="62" s="1"/>
  <c r="G73" i="62"/>
  <c r="H73" i="62" s="1"/>
  <c r="I77" i="62"/>
  <c r="J77" i="62" s="1"/>
  <c r="M77" i="62"/>
  <c r="N77" i="62" s="1"/>
  <c r="K77" i="62"/>
  <c r="L77" i="62" s="1"/>
  <c r="G77" i="62"/>
  <c r="H77" i="62" s="1"/>
  <c r="I79" i="62"/>
  <c r="J79" i="62" s="1"/>
  <c r="M79" i="62"/>
  <c r="N79" i="62" s="1"/>
  <c r="K79" i="62"/>
  <c r="L79" i="62" s="1"/>
  <c r="G79" i="62"/>
  <c r="H79" i="62" s="1"/>
  <c r="I81" i="62"/>
  <c r="J81" i="62" s="1"/>
  <c r="M81" i="62"/>
  <c r="N81" i="62" s="1"/>
  <c r="K81" i="62"/>
  <c r="L81" i="62" s="1"/>
  <c r="G81" i="62"/>
  <c r="H81" i="62" s="1"/>
  <c r="I83" i="62"/>
  <c r="J83" i="62" s="1"/>
  <c r="M83" i="62"/>
  <c r="N83" i="62" s="1"/>
  <c r="K83" i="62"/>
  <c r="L83" i="62" s="1"/>
  <c r="G83" i="62"/>
  <c r="H83" i="62" s="1"/>
  <c r="E22" i="39"/>
  <c r="I121" i="62" l="1"/>
  <c r="J121" i="62" s="1"/>
  <c r="M121" i="62"/>
  <c r="N121" i="62" s="1"/>
  <c r="O121" i="62" s="1"/>
  <c r="M115" i="62"/>
  <c r="N115" i="62" s="1"/>
  <c r="O113" i="62"/>
  <c r="M117" i="62"/>
  <c r="N117" i="62" s="1"/>
  <c r="K119" i="62"/>
  <c r="L119" i="62" s="1"/>
  <c r="K115" i="62"/>
  <c r="L115" i="62" s="1"/>
  <c r="O112" i="62"/>
  <c r="I119" i="62"/>
  <c r="J119" i="62" s="1"/>
  <c r="I117" i="62"/>
  <c r="J117" i="62" s="1"/>
  <c r="K117" i="62"/>
  <c r="L117" i="62" s="1"/>
  <c r="M119" i="62"/>
  <c r="N119" i="62" s="1"/>
  <c r="O120" i="62"/>
  <c r="O118" i="62"/>
  <c r="O116" i="62"/>
  <c r="O114" i="62"/>
  <c r="O123" i="62"/>
  <c r="O122" i="62"/>
  <c r="O110" i="62"/>
  <c r="O100" i="62"/>
  <c r="O98" i="62"/>
  <c r="O96" i="62"/>
  <c r="O94" i="62"/>
  <c r="O90" i="62"/>
  <c r="O104" i="62"/>
  <c r="O88" i="62"/>
  <c r="I115" i="62"/>
  <c r="J115" i="62" s="1"/>
  <c r="O111" i="62"/>
  <c r="O83" i="62"/>
  <c r="O81" i="62"/>
  <c r="O79" i="62"/>
  <c r="O77" i="62"/>
  <c r="O73" i="62"/>
  <c r="O71" i="62"/>
  <c r="O69" i="62"/>
  <c r="O67" i="62"/>
  <c r="O65" i="62"/>
  <c r="O101" i="62"/>
  <c r="O97" i="62"/>
  <c r="O93" i="62"/>
  <c r="O86" i="62"/>
  <c r="O70" i="62"/>
  <c r="O80" i="62"/>
  <c r="O66" i="62"/>
  <c r="O106" i="62"/>
  <c r="O107" i="62"/>
  <c r="O105" i="62"/>
  <c r="O103" i="62"/>
  <c r="O91" i="62"/>
  <c r="O89" i="62"/>
  <c r="O95" i="62"/>
  <c r="O75" i="62"/>
  <c r="O109" i="62"/>
  <c r="O99" i="62"/>
  <c r="O85" i="62"/>
  <c r="Q6" i="36"/>
  <c r="O117" i="62" l="1"/>
  <c r="O115" i="62"/>
  <c r="O119" i="62"/>
  <c r="Q23" i="36"/>
  <c r="E41" i="35"/>
  <c r="E37" i="35"/>
  <c r="E35" i="35"/>
  <c r="E34" i="35"/>
  <c r="E33" i="35"/>
  <c r="E27" i="35"/>
  <c r="E26" i="35"/>
  <c r="E24" i="35"/>
  <c r="E19" i="35"/>
  <c r="E18" i="35"/>
  <c r="E17" i="35"/>
  <c r="E16" i="35"/>
  <c r="E15" i="35"/>
  <c r="E10" i="35"/>
  <c r="F51" i="35"/>
  <c r="E51" i="35"/>
  <c r="F46" i="35"/>
  <c r="E46" i="35"/>
  <c r="B19" i="48" l="1"/>
  <c r="B18" i="48"/>
  <c r="B17" i="48"/>
  <c r="B16" i="48"/>
  <c r="P6" i="36"/>
  <c r="O6" i="36"/>
  <c r="N6" i="36"/>
  <c r="M6" i="36"/>
  <c r="H147" i="62"/>
  <c r="H144" i="62"/>
  <c r="O127" i="62"/>
  <c r="D64" i="62"/>
  <c r="D63" i="62"/>
  <c r="D62" i="62"/>
  <c r="D61" i="62"/>
  <c r="D60" i="62"/>
  <c r="D59" i="62"/>
  <c r="D58" i="62"/>
  <c r="D57" i="62"/>
  <c r="D56" i="62"/>
  <c r="D55" i="62"/>
  <c r="D54" i="62"/>
  <c r="D53" i="62"/>
  <c r="D52" i="62"/>
  <c r="D51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D34" i="62"/>
  <c r="D33" i="62"/>
  <c r="D32" i="62"/>
  <c r="D31" i="62"/>
  <c r="D30" i="62"/>
  <c r="D29" i="62"/>
  <c r="D28" i="62"/>
  <c r="D27" i="62"/>
  <c r="D26" i="62"/>
  <c r="D25" i="62"/>
  <c r="D24" i="62"/>
  <c r="D23" i="62"/>
  <c r="D22" i="62"/>
  <c r="D21" i="62"/>
  <c r="D20" i="62"/>
  <c r="D19" i="62"/>
  <c r="D18" i="62"/>
  <c r="D17" i="62"/>
  <c r="A17" i="62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D16" i="62"/>
  <c r="C16" i="62"/>
  <c r="G11" i="62"/>
  <c r="H11" i="62" s="1"/>
  <c r="I11" i="62" s="1"/>
  <c r="J11" i="62" s="1"/>
  <c r="K11" i="62" s="1"/>
  <c r="L11" i="62" s="1"/>
  <c r="M11" i="62" s="1"/>
  <c r="N11" i="62" s="1"/>
  <c r="O11" i="62" s="1"/>
  <c r="D11" i="62"/>
  <c r="E11" i="62" s="1"/>
  <c r="C17" i="62"/>
  <c r="D10" i="61"/>
  <c r="F10" i="61" s="1"/>
  <c r="H10" i="61" s="1"/>
  <c r="I10" i="61" s="1"/>
  <c r="J10" i="61" s="1"/>
  <c r="L10" i="61" s="1"/>
  <c r="M10" i="61" s="1"/>
  <c r="N10" i="61" s="1"/>
  <c r="O10" i="61" s="1"/>
  <c r="P10" i="61" s="1"/>
  <c r="R10" i="61" s="1"/>
  <c r="T10" i="61" s="1"/>
  <c r="U10" i="61" s="1"/>
  <c r="V10" i="61" s="1"/>
  <c r="W10" i="61" s="1"/>
  <c r="X10" i="61" s="1"/>
  <c r="Z10" i="61" s="1"/>
  <c r="A125" i="62" l="1"/>
  <c r="A126" i="62" s="1"/>
  <c r="A127" i="62" s="1"/>
  <c r="A128" i="62" s="1"/>
  <c r="A129" i="62" s="1"/>
  <c r="A130" i="62" s="1"/>
  <c r="A131" i="62" s="1"/>
  <c r="A65" i="62"/>
  <c r="A66" i="62" s="1"/>
  <c r="A67" i="62" s="1"/>
  <c r="A68" i="62" s="1"/>
  <c r="A69" i="62" s="1"/>
  <c r="A70" i="62" s="1"/>
  <c r="A71" i="62" s="1"/>
  <c r="A72" i="62" s="1"/>
  <c r="A73" i="62" s="1"/>
  <c r="A74" i="62" s="1"/>
  <c r="A75" i="62" s="1"/>
  <c r="A76" i="62" s="1"/>
  <c r="A77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7" i="62" s="1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A112" i="62" s="1"/>
  <c r="A113" i="62" s="1"/>
  <c r="A114" i="62" s="1"/>
  <c r="A115" i="62" s="1"/>
  <c r="A116" i="62" s="1"/>
  <c r="A117" i="62" s="1"/>
  <c r="A118" i="62" s="1"/>
  <c r="A119" i="62" s="1"/>
  <c r="A120" i="62" s="1"/>
  <c r="A121" i="62" s="1"/>
  <c r="A122" i="62" s="1"/>
  <c r="A123" i="62" s="1"/>
  <c r="A124" i="62" s="1"/>
  <c r="F31" i="62"/>
  <c r="F35" i="62"/>
  <c r="F39" i="62"/>
  <c r="F41" i="62"/>
  <c r="F45" i="62"/>
  <c r="M45" i="62" s="1"/>
  <c r="N45" i="62" s="1"/>
  <c r="F51" i="62"/>
  <c r="F17" i="62"/>
  <c r="F18" i="62"/>
  <c r="G18" i="62" s="1"/>
  <c r="H18" i="62" s="1"/>
  <c r="F20" i="62"/>
  <c r="K20" i="62" s="1"/>
  <c r="L20" i="62" s="1"/>
  <c r="F22" i="62"/>
  <c r="I22" i="62" s="1"/>
  <c r="J22" i="62" s="1"/>
  <c r="F30" i="62"/>
  <c r="I30" i="62" s="1"/>
  <c r="J30" i="62" s="1"/>
  <c r="F34" i="62"/>
  <c r="F36" i="62"/>
  <c r="F38" i="62"/>
  <c r="K38" i="62" s="1"/>
  <c r="L38" i="62" s="1"/>
  <c r="F46" i="62"/>
  <c r="I46" i="62" s="1"/>
  <c r="J46" i="62" s="1"/>
  <c r="F52" i="62"/>
  <c r="F54" i="62"/>
  <c r="I54" i="62" s="1"/>
  <c r="J54" i="62" s="1"/>
  <c r="F62" i="62"/>
  <c r="M62" i="62" s="1"/>
  <c r="N62" i="62" s="1"/>
  <c r="F64" i="62"/>
  <c r="K64" i="62" s="1"/>
  <c r="L64" i="62" s="1"/>
  <c r="F25" i="62"/>
  <c r="F27" i="62"/>
  <c r="F21" i="62"/>
  <c r="K21" i="62" s="1"/>
  <c r="L21" i="62" s="1"/>
  <c r="F29" i="62"/>
  <c r="K29" i="62" s="1"/>
  <c r="L29" i="62" s="1"/>
  <c r="F26" i="62"/>
  <c r="F60" i="62"/>
  <c r="F63" i="62"/>
  <c r="F56" i="62"/>
  <c r="F44" i="62"/>
  <c r="P23" i="36"/>
  <c r="K62" i="62" l="1"/>
  <c r="L62" i="62" s="1"/>
  <c r="F57" i="62"/>
  <c r="I57" i="62" s="1"/>
  <c r="J57" i="62" s="1"/>
  <c r="G46" i="62"/>
  <c r="H46" i="62" s="1"/>
  <c r="F61" i="62"/>
  <c r="I61" i="62" s="1"/>
  <c r="J61" i="62" s="1"/>
  <c r="G62" i="62"/>
  <c r="H62" i="62" s="1"/>
  <c r="K46" i="62"/>
  <c r="L46" i="62" s="1"/>
  <c r="K18" i="62"/>
  <c r="L18" i="62" s="1"/>
  <c r="I29" i="62"/>
  <c r="J29" i="62" s="1"/>
  <c r="K30" i="62"/>
  <c r="L30" i="62" s="1"/>
  <c r="I18" i="62"/>
  <c r="J18" i="62" s="1"/>
  <c r="I62" i="62"/>
  <c r="J62" i="62" s="1"/>
  <c r="M46" i="62"/>
  <c r="N46" i="62" s="1"/>
  <c r="K45" i="62"/>
  <c r="L45" i="62" s="1"/>
  <c r="M30" i="62"/>
  <c r="N30" i="62" s="1"/>
  <c r="G30" i="62"/>
  <c r="H30" i="62" s="1"/>
  <c r="F33" i="62"/>
  <c r="K33" i="62" s="1"/>
  <c r="L33" i="62" s="1"/>
  <c r="F47" i="62"/>
  <c r="M47" i="62" s="1"/>
  <c r="N47" i="62" s="1"/>
  <c r="M18" i="62"/>
  <c r="N18" i="62" s="1"/>
  <c r="M29" i="62"/>
  <c r="N29" i="62" s="1"/>
  <c r="F43" i="62"/>
  <c r="I43" i="62" s="1"/>
  <c r="J43" i="62" s="1"/>
  <c r="M64" i="62"/>
  <c r="N64" i="62" s="1"/>
  <c r="F42" i="62"/>
  <c r="G42" i="62" s="1"/>
  <c r="H42" i="62" s="1"/>
  <c r="F48" i="62"/>
  <c r="G48" i="62" s="1"/>
  <c r="H48" i="62" s="1"/>
  <c r="F23" i="62"/>
  <c r="G23" i="62" s="1"/>
  <c r="H23" i="62" s="1"/>
  <c r="F59" i="62"/>
  <c r="M59" i="62" s="1"/>
  <c r="N59" i="62" s="1"/>
  <c r="M22" i="62"/>
  <c r="N22" i="62" s="1"/>
  <c r="K54" i="62"/>
  <c r="L54" i="62" s="1"/>
  <c r="G22" i="62"/>
  <c r="H22" i="62" s="1"/>
  <c r="G38" i="62"/>
  <c r="H38" i="62" s="1"/>
  <c r="I38" i="62"/>
  <c r="J38" i="62" s="1"/>
  <c r="F40" i="62"/>
  <c r="G40" i="62" s="1"/>
  <c r="H40" i="62" s="1"/>
  <c r="F19" i="62"/>
  <c r="M19" i="62" s="1"/>
  <c r="N19" i="62" s="1"/>
  <c r="G21" i="62"/>
  <c r="H21" i="62" s="1"/>
  <c r="F28" i="62"/>
  <c r="M28" i="62" s="1"/>
  <c r="N28" i="62" s="1"/>
  <c r="F53" i="62"/>
  <c r="G53" i="62" s="1"/>
  <c r="H53" i="62" s="1"/>
  <c r="G54" i="62"/>
  <c r="H54" i="62" s="1"/>
  <c r="G45" i="62"/>
  <c r="H45" i="62" s="1"/>
  <c r="G20" i="62"/>
  <c r="H20" i="62" s="1"/>
  <c r="I64" i="62"/>
  <c r="J64" i="62" s="1"/>
  <c r="M38" i="62"/>
  <c r="N38" i="62" s="1"/>
  <c r="F55" i="62"/>
  <c r="I55" i="62" s="1"/>
  <c r="J55" i="62" s="1"/>
  <c r="F58" i="62"/>
  <c r="K58" i="62" s="1"/>
  <c r="L58" i="62" s="1"/>
  <c r="I53" i="62"/>
  <c r="J53" i="62" s="1"/>
  <c r="F49" i="62"/>
  <c r="K49" i="62" s="1"/>
  <c r="L49" i="62" s="1"/>
  <c r="F32" i="62"/>
  <c r="I32" i="62" s="1"/>
  <c r="J32" i="62" s="1"/>
  <c r="I21" i="62"/>
  <c r="J21" i="62" s="1"/>
  <c r="F50" i="62"/>
  <c r="M50" i="62" s="1"/>
  <c r="N50" i="62" s="1"/>
  <c r="F37" i="62"/>
  <c r="M37" i="62" s="1"/>
  <c r="N37" i="62" s="1"/>
  <c r="K22" i="62"/>
  <c r="L22" i="62" s="1"/>
  <c r="M54" i="62"/>
  <c r="N54" i="62" s="1"/>
  <c r="I45" i="62"/>
  <c r="J45" i="62" s="1"/>
  <c r="M20" i="62"/>
  <c r="N20" i="62" s="1"/>
  <c r="I20" i="62"/>
  <c r="J20" i="62" s="1"/>
  <c r="G64" i="62"/>
  <c r="H64" i="62" s="1"/>
  <c r="M21" i="62"/>
  <c r="N21" i="62" s="1"/>
  <c r="G29" i="62"/>
  <c r="H29" i="62" s="1"/>
  <c r="F24" i="62"/>
  <c r="M44" i="62"/>
  <c r="N44" i="62" s="1"/>
  <c r="K44" i="62"/>
  <c r="L44" i="62" s="1"/>
  <c r="I44" i="62"/>
  <c r="J44" i="62" s="1"/>
  <c r="G44" i="62"/>
  <c r="H44" i="62" s="1"/>
  <c r="G34" i="62"/>
  <c r="H34" i="62" s="1"/>
  <c r="M34" i="62"/>
  <c r="N34" i="62" s="1"/>
  <c r="K34" i="62"/>
  <c r="L34" i="62" s="1"/>
  <c r="I34" i="62"/>
  <c r="J34" i="62" s="1"/>
  <c r="I26" i="62"/>
  <c r="J26" i="62" s="1"/>
  <c r="G26" i="62"/>
  <c r="H26" i="62" s="1"/>
  <c r="M26" i="62"/>
  <c r="N26" i="62" s="1"/>
  <c r="K26" i="62"/>
  <c r="L26" i="62" s="1"/>
  <c r="I31" i="62"/>
  <c r="J31" i="62" s="1"/>
  <c r="G31" i="62"/>
  <c r="H31" i="62" s="1"/>
  <c r="M31" i="62"/>
  <c r="N31" i="62" s="1"/>
  <c r="K31" i="62"/>
  <c r="L31" i="62" s="1"/>
  <c r="C18" i="62"/>
  <c r="G25" i="62"/>
  <c r="H25" i="62" s="1"/>
  <c r="M25" i="62"/>
  <c r="N25" i="62" s="1"/>
  <c r="K25" i="62"/>
  <c r="L25" i="62" s="1"/>
  <c r="I25" i="62"/>
  <c r="J25" i="62" s="1"/>
  <c r="K35" i="62"/>
  <c r="L35" i="62" s="1"/>
  <c r="I35" i="62"/>
  <c r="J35" i="62" s="1"/>
  <c r="G35" i="62"/>
  <c r="H35" i="62" s="1"/>
  <c r="M35" i="62"/>
  <c r="N35" i="62" s="1"/>
  <c r="G36" i="62"/>
  <c r="H36" i="62" s="1"/>
  <c r="M36" i="62"/>
  <c r="N36" i="62" s="1"/>
  <c r="K36" i="62"/>
  <c r="L36" i="62" s="1"/>
  <c r="I36" i="62"/>
  <c r="J36" i="62" s="1"/>
  <c r="M56" i="62"/>
  <c r="N56" i="62" s="1"/>
  <c r="K56" i="62"/>
  <c r="L56" i="62" s="1"/>
  <c r="I56" i="62"/>
  <c r="J56" i="62" s="1"/>
  <c r="G56" i="62"/>
  <c r="H56" i="62" s="1"/>
  <c r="G51" i="62"/>
  <c r="H51" i="62" s="1"/>
  <c r="M51" i="62"/>
  <c r="N51" i="62" s="1"/>
  <c r="K51" i="62"/>
  <c r="L51" i="62" s="1"/>
  <c r="I51" i="62"/>
  <c r="J51" i="62" s="1"/>
  <c r="I63" i="62"/>
  <c r="J63" i="62" s="1"/>
  <c r="G63" i="62"/>
  <c r="H63" i="62" s="1"/>
  <c r="M63" i="62"/>
  <c r="N63" i="62" s="1"/>
  <c r="K63" i="62"/>
  <c r="L63" i="62" s="1"/>
  <c r="I17" i="62"/>
  <c r="J17" i="62" s="1"/>
  <c r="M17" i="62"/>
  <c r="N17" i="62" s="1"/>
  <c r="G17" i="62"/>
  <c r="H17" i="62" s="1"/>
  <c r="K17" i="62"/>
  <c r="L17" i="62" s="1"/>
  <c r="I60" i="62"/>
  <c r="J60" i="62" s="1"/>
  <c r="G60" i="62"/>
  <c r="H60" i="62" s="1"/>
  <c r="M60" i="62"/>
  <c r="N60" i="62" s="1"/>
  <c r="K60" i="62"/>
  <c r="L60" i="62" s="1"/>
  <c r="M27" i="62"/>
  <c r="N27" i="62" s="1"/>
  <c r="K27" i="62"/>
  <c r="L27" i="62" s="1"/>
  <c r="I27" i="62"/>
  <c r="J27" i="62" s="1"/>
  <c r="G27" i="62"/>
  <c r="H27" i="62" s="1"/>
  <c r="K52" i="62"/>
  <c r="L52" i="62" s="1"/>
  <c r="I52" i="62"/>
  <c r="J52" i="62" s="1"/>
  <c r="G52" i="62"/>
  <c r="H52" i="62" s="1"/>
  <c r="M52" i="62"/>
  <c r="N52" i="62" s="1"/>
  <c r="F16" i="62"/>
  <c r="G39" i="62"/>
  <c r="H39" i="62" s="1"/>
  <c r="M39" i="62"/>
  <c r="N39" i="62" s="1"/>
  <c r="K39" i="62"/>
  <c r="L39" i="62" s="1"/>
  <c r="I39" i="62"/>
  <c r="J39" i="62" s="1"/>
  <c r="K41" i="62"/>
  <c r="L41" i="62" s="1"/>
  <c r="I41" i="62"/>
  <c r="J41" i="62" s="1"/>
  <c r="G41" i="62"/>
  <c r="H41" i="62" s="1"/>
  <c r="M41" i="62"/>
  <c r="N41" i="62" s="1"/>
  <c r="O54" i="62" l="1"/>
  <c r="O22" i="62"/>
  <c r="K57" i="62"/>
  <c r="L57" i="62" s="1"/>
  <c r="O46" i="62"/>
  <c r="G57" i="62"/>
  <c r="H57" i="62" s="1"/>
  <c r="F125" i="62"/>
  <c r="M57" i="62"/>
  <c r="N57" i="62" s="1"/>
  <c r="O62" i="62"/>
  <c r="G61" i="62"/>
  <c r="H61" i="62" s="1"/>
  <c r="K61" i="62"/>
  <c r="L61" i="62" s="1"/>
  <c r="M61" i="62"/>
  <c r="N61" i="62" s="1"/>
  <c r="G43" i="62"/>
  <c r="H43" i="62" s="1"/>
  <c r="I33" i="62"/>
  <c r="J33" i="62" s="1"/>
  <c r="G47" i="62"/>
  <c r="H47" i="62" s="1"/>
  <c r="O18" i="62"/>
  <c r="M33" i="62"/>
  <c r="N33" i="62" s="1"/>
  <c r="K43" i="62"/>
  <c r="L43" i="62" s="1"/>
  <c r="K47" i="62"/>
  <c r="L47" i="62" s="1"/>
  <c r="O30" i="62"/>
  <c r="G33" i="62"/>
  <c r="H33" i="62" s="1"/>
  <c r="M43" i="62"/>
  <c r="N43" i="62" s="1"/>
  <c r="I47" i="62"/>
  <c r="J47" i="62" s="1"/>
  <c r="O29" i="62"/>
  <c r="G19" i="62"/>
  <c r="H19" i="62" s="1"/>
  <c r="I40" i="62"/>
  <c r="J40" i="62" s="1"/>
  <c r="I48" i="62"/>
  <c r="J48" i="62" s="1"/>
  <c r="K32" i="62"/>
  <c r="L32" i="62" s="1"/>
  <c r="M42" i="62"/>
  <c r="N42" i="62" s="1"/>
  <c r="G28" i="62"/>
  <c r="H28" i="62" s="1"/>
  <c r="O45" i="62"/>
  <c r="O38" i="62"/>
  <c r="K19" i="62"/>
  <c r="L19" i="62" s="1"/>
  <c r="M48" i="62"/>
  <c r="N48" i="62" s="1"/>
  <c r="K50" i="62"/>
  <c r="L50" i="62" s="1"/>
  <c r="I19" i="62"/>
  <c r="J19" i="62" s="1"/>
  <c r="K48" i="62"/>
  <c r="L48" i="62" s="1"/>
  <c r="G50" i="62"/>
  <c r="H50" i="62" s="1"/>
  <c r="G32" i="62"/>
  <c r="H32" i="62" s="1"/>
  <c r="M23" i="62"/>
  <c r="N23" i="62" s="1"/>
  <c r="G59" i="62"/>
  <c r="H59" i="62" s="1"/>
  <c r="M58" i="62"/>
  <c r="N58" i="62" s="1"/>
  <c r="I23" i="62"/>
  <c r="J23" i="62" s="1"/>
  <c r="K59" i="62"/>
  <c r="L59" i="62" s="1"/>
  <c r="K55" i="62"/>
  <c r="L55" i="62" s="1"/>
  <c r="M49" i="62"/>
  <c r="N49" i="62" s="1"/>
  <c r="I42" i="62"/>
  <c r="J42" i="62" s="1"/>
  <c r="K23" i="62"/>
  <c r="L23" i="62" s="1"/>
  <c r="M40" i="62"/>
  <c r="N40" i="62" s="1"/>
  <c r="I59" i="62"/>
  <c r="J59" i="62" s="1"/>
  <c r="G55" i="62"/>
  <c r="H55" i="62" s="1"/>
  <c r="I49" i="62"/>
  <c r="J49" i="62" s="1"/>
  <c r="I58" i="62"/>
  <c r="J58" i="62" s="1"/>
  <c r="K42" i="62"/>
  <c r="L42" i="62" s="1"/>
  <c r="I28" i="62"/>
  <c r="J28" i="62" s="1"/>
  <c r="K40" i="62"/>
  <c r="L40" i="62" s="1"/>
  <c r="M55" i="62"/>
  <c r="N55" i="62" s="1"/>
  <c r="G49" i="62"/>
  <c r="H49" i="62" s="1"/>
  <c r="G58" i="62"/>
  <c r="H58" i="62" s="1"/>
  <c r="K28" i="62"/>
  <c r="L28" i="62" s="1"/>
  <c r="O21" i="62"/>
  <c r="O20" i="62"/>
  <c r="K53" i="62"/>
  <c r="L53" i="62" s="1"/>
  <c r="M53" i="62"/>
  <c r="N53" i="62" s="1"/>
  <c r="I50" i="62"/>
  <c r="J50" i="62" s="1"/>
  <c r="M32" i="62"/>
  <c r="N32" i="62" s="1"/>
  <c r="O64" i="62"/>
  <c r="I37" i="62"/>
  <c r="J37" i="62" s="1"/>
  <c r="K37" i="62"/>
  <c r="L37" i="62" s="1"/>
  <c r="G37" i="62"/>
  <c r="H37" i="62" s="1"/>
  <c r="O52" i="62"/>
  <c r="O17" i="62"/>
  <c r="O56" i="62"/>
  <c r="O31" i="62"/>
  <c r="O34" i="62"/>
  <c r="O44" i="62"/>
  <c r="M16" i="62"/>
  <c r="I16" i="62"/>
  <c r="G16" i="62"/>
  <c r="K16" i="62"/>
  <c r="O27" i="62"/>
  <c r="O35" i="62"/>
  <c r="O39" i="62"/>
  <c r="C19" i="62"/>
  <c r="O26" i="62"/>
  <c r="O63" i="62"/>
  <c r="O51" i="62"/>
  <c r="O41" i="62"/>
  <c r="O60" i="62"/>
  <c r="O36" i="62"/>
  <c r="O25" i="62"/>
  <c r="K24" i="62"/>
  <c r="L24" i="62" s="1"/>
  <c r="I24" i="62"/>
  <c r="J24" i="62" s="1"/>
  <c r="G24" i="62"/>
  <c r="H24" i="62" s="1"/>
  <c r="M24" i="62"/>
  <c r="N24" i="62" s="1"/>
  <c r="O57" i="62" l="1"/>
  <c r="O47" i="62"/>
  <c r="O58" i="62"/>
  <c r="O49" i="62"/>
  <c r="O43" i="62"/>
  <c r="G125" i="62"/>
  <c r="O61" i="62"/>
  <c r="K125" i="62"/>
  <c r="I125" i="62"/>
  <c r="M125" i="62"/>
  <c r="O33" i="62"/>
  <c r="O48" i="62"/>
  <c r="O32" i="62"/>
  <c r="O42" i="62"/>
  <c r="O50" i="62"/>
  <c r="O19" i="62"/>
  <c r="O59" i="62"/>
  <c r="O53" i="62"/>
  <c r="O28" i="62"/>
  <c r="O40" i="62"/>
  <c r="O23" i="62"/>
  <c r="O55" i="62"/>
  <c r="O37" i="62"/>
  <c r="O24" i="62"/>
  <c r="L16" i="62"/>
  <c r="C20" i="62"/>
  <c r="H16" i="62"/>
  <c r="H125" i="62" s="1"/>
  <c r="J16" i="62"/>
  <c r="N16" i="62"/>
  <c r="J125" i="62" l="1"/>
  <c r="J129" i="62" s="1"/>
  <c r="J131" i="62" s="1"/>
  <c r="L125" i="62"/>
  <c r="L129" i="62" s="1"/>
  <c r="L131" i="62" s="1"/>
  <c r="N125" i="62"/>
  <c r="N129" i="62" s="1"/>
  <c r="N131" i="62" s="1"/>
  <c r="E17" i="48"/>
  <c r="N23" i="36" s="1"/>
  <c r="C21" i="62"/>
  <c r="H129" i="62"/>
  <c r="O16" i="62"/>
  <c r="O125" i="62" s="1"/>
  <c r="H131" i="62" l="1"/>
  <c r="O129" i="62"/>
  <c r="O131" i="62" s="1"/>
  <c r="C22" i="62"/>
  <c r="C23" i="62" l="1"/>
  <c r="I143" i="62"/>
  <c r="I142" i="62"/>
  <c r="I141" i="62"/>
  <c r="I140" i="62"/>
  <c r="I139" i="62"/>
  <c r="I146" i="62"/>
  <c r="I144" i="62" l="1"/>
  <c r="E18" i="48" s="1"/>
  <c r="O23" i="36" s="1"/>
  <c r="I147" i="62"/>
  <c r="C24" i="62"/>
  <c r="I149" i="62" l="1"/>
  <c r="C25" i="62"/>
  <c r="C26" i="62" l="1"/>
  <c r="C27" i="62" l="1"/>
  <c r="C28" i="62" l="1"/>
  <c r="C29" i="62" l="1"/>
  <c r="C30" i="62" l="1"/>
  <c r="C31" i="62" l="1"/>
  <c r="C32" i="62" l="1"/>
  <c r="C33" i="62" l="1"/>
  <c r="C34" i="62" l="1"/>
  <c r="C35" i="62" l="1"/>
  <c r="C36" i="62" l="1"/>
  <c r="C37" i="62" l="1"/>
  <c r="C38" i="62" l="1"/>
  <c r="C39" i="62" l="1"/>
  <c r="C40" i="62" l="1"/>
  <c r="C41" i="62" l="1"/>
  <c r="G19" i="48"/>
  <c r="G18" i="48"/>
  <c r="G17" i="48"/>
  <c r="M28" i="36" l="1"/>
  <c r="D25" i="35"/>
  <c r="E25" i="35" s="1"/>
  <c r="G16" i="48"/>
  <c r="C42" i="62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F43" i="50"/>
  <c r="A3" i="56"/>
  <c r="C4" i="58"/>
  <c r="C5" i="58"/>
  <c r="A4" i="56"/>
  <c r="A4" i="28"/>
  <c r="A5" i="17"/>
  <c r="C43" i="62" l="1"/>
  <c r="C44" i="62" l="1"/>
  <c r="C45" i="62" l="1"/>
  <c r="A13" i="59"/>
  <c r="A14" i="59" s="1"/>
  <c r="A15" i="59" s="1"/>
  <c r="A22" i="59" s="1"/>
  <c r="A23" i="59" s="1"/>
  <c r="A24" i="59" s="1"/>
  <c r="A4" i="59"/>
  <c r="A3" i="59"/>
  <c r="F24" i="59"/>
  <c r="E13" i="48" s="1"/>
  <c r="C46" i="62" l="1"/>
  <c r="C47" i="62" l="1"/>
  <c r="C48" i="62" l="1"/>
  <c r="C49" i="62" l="1"/>
  <c r="I127" i="58" l="1"/>
  <c r="I129" i="58" s="1"/>
  <c r="L145" i="58" s="1"/>
  <c r="C50" i="62"/>
  <c r="L139" i="58" l="1"/>
  <c r="L138" i="58"/>
  <c r="L136" i="58"/>
  <c r="L135" i="58"/>
  <c r="L137" i="58"/>
  <c r="L142" i="58"/>
  <c r="L143" i="58" s="1"/>
  <c r="C51" i="62"/>
  <c r="L140" i="58" l="1"/>
  <c r="E15" i="48" s="1"/>
  <c r="C52" i="62"/>
  <c r="C53" i="62" l="1"/>
  <c r="K23" i="55" l="1"/>
  <c r="K28" i="55" s="1"/>
  <c r="K30" i="55" s="1"/>
  <c r="C54" i="62"/>
  <c r="E14" i="48" l="1"/>
  <c r="C55" i="62"/>
  <c r="A12" i="39"/>
  <c r="A13" i="39" s="1"/>
  <c r="A14" i="39" s="1"/>
  <c r="A15" i="39" s="1"/>
  <c r="A16" i="39" s="1"/>
  <c r="A17" i="39" s="1"/>
  <c r="A18" i="39" s="1"/>
  <c r="I36" i="39"/>
  <c r="A19" i="39" l="1"/>
  <c r="I37" i="39"/>
  <c r="C56" i="62"/>
  <c r="A20" i="39" l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4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C57" i="62"/>
  <c r="C58" i="62" l="1"/>
  <c r="C59" i="62" l="1"/>
  <c r="A4" i="39"/>
  <c r="C60" i="62" l="1"/>
  <c r="F61" i="50"/>
  <c r="F63" i="50"/>
  <c r="F19" i="50"/>
  <c r="F17" i="50"/>
  <c r="E21" i="50"/>
  <c r="D21" i="50"/>
  <c r="F14" i="50"/>
  <c r="E12" i="50"/>
  <c r="C61" i="62" l="1"/>
  <c r="L6" i="36"/>
  <c r="K6" i="36"/>
  <c r="J6" i="36"/>
  <c r="I6" i="36"/>
  <c r="H6" i="36"/>
  <c r="G6" i="36"/>
  <c r="F6" i="36"/>
  <c r="E6" i="36"/>
  <c r="D6" i="36"/>
  <c r="C6" i="36"/>
  <c r="U18" i="36"/>
  <c r="U19" i="36"/>
  <c r="U20" i="36"/>
  <c r="U21" i="36"/>
  <c r="U22" i="36"/>
  <c r="F41" i="35"/>
  <c r="C62" i="62" l="1"/>
  <c r="E57" i="39"/>
  <c r="E62" i="39" s="1"/>
  <c r="H40" i="39"/>
  <c r="F36" i="39"/>
  <c r="E36" i="39"/>
  <c r="H35" i="39"/>
  <c r="J35" i="39" s="1"/>
  <c r="H27" i="39"/>
  <c r="J27" i="39" s="1"/>
  <c r="H26" i="39"/>
  <c r="J26" i="39" s="1"/>
  <c r="H20" i="39"/>
  <c r="J20" i="39" s="1"/>
  <c r="H18" i="39"/>
  <c r="J18" i="39" s="1"/>
  <c r="H17" i="39"/>
  <c r="J17" i="39" s="1"/>
  <c r="H16" i="39"/>
  <c r="J16" i="39" s="1"/>
  <c r="H15" i="39"/>
  <c r="J15" i="39" s="1"/>
  <c r="H14" i="39"/>
  <c r="J14" i="39" s="1"/>
  <c r="H13" i="39"/>
  <c r="J13" i="39" s="1"/>
  <c r="H12" i="39"/>
  <c r="J40" i="39" l="1"/>
  <c r="J12" i="39"/>
  <c r="J22" i="39" s="1"/>
  <c r="H22" i="39"/>
  <c r="J36" i="39"/>
  <c r="F59" i="39"/>
  <c r="F53" i="39"/>
  <c r="F54" i="39"/>
  <c r="F56" i="39"/>
  <c r="F55" i="39"/>
  <c r="F52" i="39"/>
  <c r="C63" i="62"/>
  <c r="F37" i="39"/>
  <c r="E37" i="39"/>
  <c r="H36" i="39"/>
  <c r="C65" i="62" l="1"/>
  <c r="F57" i="39"/>
  <c r="F60" i="39" s="1"/>
  <c r="F62" i="39" s="1"/>
  <c r="J37" i="39"/>
  <c r="C64" i="62"/>
  <c r="C125" i="62" s="1"/>
  <c r="H37" i="39"/>
  <c r="C66" i="62" l="1"/>
  <c r="K23" i="36"/>
  <c r="C67" i="62" l="1"/>
  <c r="F15" i="35"/>
  <c r="F16" i="35"/>
  <c r="F17" i="35"/>
  <c r="F18" i="35"/>
  <c r="F19" i="35"/>
  <c r="F24" i="35"/>
  <c r="F26" i="35"/>
  <c r="F27" i="35"/>
  <c r="F33" i="35"/>
  <c r="F34" i="35"/>
  <c r="F35" i="35"/>
  <c r="F37" i="35"/>
  <c r="C68" i="62" l="1"/>
  <c r="F25" i="35"/>
  <c r="C69" i="62" l="1"/>
  <c r="F47" i="35"/>
  <c r="H11" i="36"/>
  <c r="F10" i="35"/>
  <c r="B1" i="36"/>
  <c r="A1" i="50"/>
  <c r="F14" i="31"/>
  <c r="A4" i="31"/>
  <c r="A3" i="31"/>
  <c r="A3" i="28"/>
  <c r="A4" i="17"/>
  <c r="A5" i="6"/>
  <c r="A4" i="6"/>
  <c r="C70" i="62" l="1"/>
  <c r="E47" i="35"/>
  <c r="C71" i="62" l="1"/>
  <c r="C13" i="17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13" i="6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A1" i="48"/>
  <c r="C72" i="62" l="1"/>
  <c r="C52" i="35"/>
  <c r="C47" i="35"/>
  <c r="C73" i="62" l="1"/>
  <c r="C21" i="35"/>
  <c r="C74" i="62" l="1"/>
  <c r="F67" i="50"/>
  <c r="F66" i="50"/>
  <c r="F62" i="50"/>
  <c r="F60" i="50"/>
  <c r="F59" i="50"/>
  <c r="F58" i="50"/>
  <c r="F56" i="50"/>
  <c r="F53" i="50"/>
  <c r="F52" i="50"/>
  <c r="F51" i="50"/>
  <c r="F50" i="50"/>
  <c r="F49" i="50"/>
  <c r="F46" i="50"/>
  <c r="F45" i="50"/>
  <c r="F44" i="50"/>
  <c r="F42" i="50"/>
  <c r="F41" i="50"/>
  <c r="F36" i="50"/>
  <c r="F35" i="50"/>
  <c r="F32" i="50"/>
  <c r="F31" i="50"/>
  <c r="F30" i="50"/>
  <c r="F29" i="50"/>
  <c r="F28" i="50"/>
  <c r="F27" i="50"/>
  <c r="F26" i="50"/>
  <c r="F25" i="50"/>
  <c r="F24" i="50"/>
  <c r="F23" i="50"/>
  <c r="F20" i="50"/>
  <c r="F18" i="50"/>
  <c r="F16" i="50"/>
  <c r="F15" i="50"/>
  <c r="F11" i="50"/>
  <c r="F9" i="50"/>
  <c r="F8" i="50"/>
  <c r="E64" i="50"/>
  <c r="E54" i="50"/>
  <c r="E47" i="50"/>
  <c r="E33" i="50"/>
  <c r="E38" i="50" s="1"/>
  <c r="D64" i="50"/>
  <c r="D54" i="50"/>
  <c r="D47" i="50"/>
  <c r="D33" i="50"/>
  <c r="C75" i="62" l="1"/>
  <c r="E68" i="50"/>
  <c r="F21" i="50"/>
  <c r="D68" i="50"/>
  <c r="F64" i="50"/>
  <c r="F54" i="50"/>
  <c r="F47" i="50"/>
  <c r="F33" i="50"/>
  <c r="D12" i="50"/>
  <c r="C76" i="62" l="1"/>
  <c r="D38" i="50"/>
  <c r="F10" i="50"/>
  <c r="F68" i="50"/>
  <c r="C77" i="62" l="1"/>
  <c r="F12" i="50"/>
  <c r="F38" i="50" s="1"/>
  <c r="A8" i="50"/>
  <c r="D6" i="50"/>
  <c r="E6" i="50" s="1"/>
  <c r="C7" i="35"/>
  <c r="C78" i="62" l="1"/>
  <c r="D5" i="48"/>
  <c r="E5" i="48" s="1"/>
  <c r="F5" i="48" s="1"/>
  <c r="G5" i="48" s="1"/>
  <c r="B15" i="48"/>
  <c r="B14" i="48"/>
  <c r="B13" i="48"/>
  <c r="B12" i="48"/>
  <c r="B11" i="48"/>
  <c r="B10" i="48"/>
  <c r="B9" i="48"/>
  <c r="B8" i="48"/>
  <c r="B7" i="48"/>
  <c r="C79" i="62" l="1"/>
  <c r="H23" i="36"/>
  <c r="C80" i="62" l="1"/>
  <c r="U39" i="36"/>
  <c r="U37" i="36"/>
  <c r="U35" i="36"/>
  <c r="U30" i="36"/>
  <c r="U29" i="36"/>
  <c r="C81" i="62" l="1"/>
  <c r="T44" i="36"/>
  <c r="T40" i="36"/>
  <c r="T24" i="36"/>
  <c r="T31" i="36" s="1"/>
  <c r="C82" i="62" l="1"/>
  <c r="T45" i="36"/>
  <c r="T47" i="36" s="1"/>
  <c r="T33" i="36"/>
  <c r="T42" i="36" s="1"/>
  <c r="C83" i="62" l="1"/>
  <c r="T48" i="36"/>
  <c r="C84" i="62" l="1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C85" i="62" l="1"/>
  <c r="U27" i="36"/>
  <c r="C86" i="62" l="1"/>
  <c r="L28" i="36"/>
  <c r="C87" i="62" l="1"/>
  <c r="U28" i="36"/>
  <c r="C88" i="62" l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C89" i="62" l="1"/>
  <c r="E13" i="28"/>
  <c r="C90" i="62" l="1"/>
  <c r="R40" i="36"/>
  <c r="S40" i="36"/>
  <c r="Q40" i="36"/>
  <c r="P40" i="36"/>
  <c r="N40" i="36"/>
  <c r="M40" i="36"/>
  <c r="M46" i="36" s="1"/>
  <c r="L40" i="36"/>
  <c r="L46" i="36" s="1"/>
  <c r="K40" i="36"/>
  <c r="K46" i="36" s="1"/>
  <c r="J40" i="36"/>
  <c r="J46" i="36" s="1"/>
  <c r="I40" i="36"/>
  <c r="I46" i="36" s="1"/>
  <c r="H40" i="36"/>
  <c r="H46" i="36" s="1"/>
  <c r="F40" i="36"/>
  <c r="F46" i="36" s="1"/>
  <c r="E40" i="36"/>
  <c r="E46" i="36" s="1"/>
  <c r="D40" i="36"/>
  <c r="D46" i="36" s="1"/>
  <c r="C40" i="36"/>
  <c r="C46" i="36" s="1"/>
  <c r="P24" i="36"/>
  <c r="P31" i="36" s="1"/>
  <c r="O24" i="36"/>
  <c r="O31" i="36" s="1"/>
  <c r="L24" i="36"/>
  <c r="L31" i="36" s="1"/>
  <c r="L45" i="36" s="1"/>
  <c r="K24" i="36"/>
  <c r="K31" i="36" s="1"/>
  <c r="K45" i="36" s="1"/>
  <c r="H24" i="36"/>
  <c r="H31" i="36" s="1"/>
  <c r="H45" i="36" s="1"/>
  <c r="G24" i="36"/>
  <c r="G31" i="36" s="1"/>
  <c r="G45" i="36" s="1"/>
  <c r="P12" i="36"/>
  <c r="O12" i="36"/>
  <c r="N12" i="36"/>
  <c r="M12" i="36"/>
  <c r="L12" i="36"/>
  <c r="K12" i="36"/>
  <c r="J12" i="36"/>
  <c r="I12" i="36"/>
  <c r="H12" i="36"/>
  <c r="G12" i="36"/>
  <c r="E12" i="36"/>
  <c r="A8" i="36"/>
  <c r="A9" i="36" s="1"/>
  <c r="A10" i="36" s="1"/>
  <c r="A11" i="36" s="1"/>
  <c r="A12" i="36" s="1"/>
  <c r="A13" i="36" s="1"/>
  <c r="A14" i="36" s="1"/>
  <c r="C91" i="62" l="1"/>
  <c r="G44" i="36"/>
  <c r="K44" i="36"/>
  <c r="K47" i="36" s="1"/>
  <c r="H44" i="36"/>
  <c r="H47" i="36" s="1"/>
  <c r="L44" i="36"/>
  <c r="L47" i="36" s="1"/>
  <c r="E44" i="36"/>
  <c r="I44" i="36"/>
  <c r="M44" i="36"/>
  <c r="P45" i="36"/>
  <c r="O44" i="36"/>
  <c r="J44" i="36"/>
  <c r="N44" i="36"/>
  <c r="G15" i="48"/>
  <c r="P44" i="36"/>
  <c r="H33" i="36"/>
  <c r="H42" i="36" s="1"/>
  <c r="L33" i="36"/>
  <c r="L42" i="36" s="1"/>
  <c r="P33" i="36"/>
  <c r="P42" i="36" s="1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G33" i="36"/>
  <c r="K33" i="36"/>
  <c r="K42" i="36" s="1"/>
  <c r="O33" i="36"/>
  <c r="C92" i="62" l="1"/>
  <c r="H48" i="36"/>
  <c r="G14" i="48"/>
  <c r="G11" i="48"/>
  <c r="L48" i="36"/>
  <c r="P47" i="36"/>
  <c r="P48" i="36" s="1"/>
  <c r="K48" i="36"/>
  <c r="A34" i="36"/>
  <c r="A35" i="36" s="1"/>
  <c r="A37" i="36" s="1"/>
  <c r="A38" i="36" s="1"/>
  <c r="A39" i="36" s="1"/>
  <c r="A40" i="36" s="1"/>
  <c r="A41" i="36" s="1"/>
  <c r="A42" i="36" s="1"/>
  <c r="C93" i="62" l="1"/>
  <c r="C29" i="35"/>
  <c r="C94" i="62" l="1"/>
  <c r="C53" i="35"/>
  <c r="C48" i="35"/>
  <c r="C31" i="35"/>
  <c r="C42" i="35" l="1"/>
  <c r="C95" i="62"/>
  <c r="C39" i="35"/>
  <c r="C96" i="62" l="1"/>
  <c r="C49" i="35"/>
  <c r="C54" i="35"/>
  <c r="C44" i="35"/>
  <c r="C43" i="35"/>
  <c r="C97" i="62" l="1"/>
  <c r="C98" i="62" l="1"/>
  <c r="C99" i="62" l="1"/>
  <c r="E15" i="28"/>
  <c r="E17" i="28" s="1"/>
  <c r="E21" i="28" s="1"/>
  <c r="E23" i="28" s="1"/>
  <c r="C100" i="62" l="1"/>
  <c r="E8" i="48"/>
  <c r="M24" i="36"/>
  <c r="M31" i="36" s="1"/>
  <c r="F18" i="31"/>
  <c r="G8" i="48" l="1"/>
  <c r="D20" i="35"/>
  <c r="E20" i="35" s="1"/>
  <c r="C101" i="62"/>
  <c r="E23" i="36"/>
  <c r="F15" i="36"/>
  <c r="M45" i="36"/>
  <c r="M47" i="36" s="1"/>
  <c r="E24" i="36"/>
  <c r="E31" i="36" s="1"/>
  <c r="F10" i="48"/>
  <c r="S24" i="36"/>
  <c r="S31" i="36" s="1"/>
  <c r="N24" i="36"/>
  <c r="N31" i="36" s="1"/>
  <c r="M33" i="36"/>
  <c r="M42" i="36" s="1"/>
  <c r="I24" i="36"/>
  <c r="C102" i="62" l="1"/>
  <c r="U11" i="36"/>
  <c r="U16" i="36"/>
  <c r="F9" i="36"/>
  <c r="G9" i="48"/>
  <c r="U15" i="36"/>
  <c r="F24" i="36"/>
  <c r="F31" i="36" s="1"/>
  <c r="F45" i="36" s="1"/>
  <c r="J23" i="36"/>
  <c r="F20" i="35"/>
  <c r="G10" i="48"/>
  <c r="G38" i="36"/>
  <c r="D36" i="35"/>
  <c r="E36" i="35" s="1"/>
  <c r="E45" i="36"/>
  <c r="E47" i="36" s="1"/>
  <c r="E33" i="36"/>
  <c r="E42" i="36" s="1"/>
  <c r="G13" i="48"/>
  <c r="S45" i="36"/>
  <c r="S12" i="36"/>
  <c r="N45" i="36"/>
  <c r="N47" i="36" s="1"/>
  <c r="N33" i="36"/>
  <c r="N42" i="36" s="1"/>
  <c r="M48" i="36"/>
  <c r="O40" i="36"/>
  <c r="O45" i="36" s="1"/>
  <c r="C103" i="62" l="1"/>
  <c r="U9" i="36"/>
  <c r="F12" i="36"/>
  <c r="G40" i="36"/>
  <c r="U40" i="36" s="1"/>
  <c r="U38" i="36"/>
  <c r="E48" i="36"/>
  <c r="F36" i="35"/>
  <c r="F52" i="35" s="1"/>
  <c r="F32" i="48"/>
  <c r="J24" i="36"/>
  <c r="J31" i="36" s="1"/>
  <c r="U23" i="36"/>
  <c r="S44" i="36"/>
  <c r="S47" i="36" s="1"/>
  <c r="S33" i="36"/>
  <c r="S42" i="36" s="1"/>
  <c r="N48" i="36"/>
  <c r="O42" i="36"/>
  <c r="O47" i="36"/>
  <c r="C104" i="62" l="1"/>
  <c r="F33" i="36"/>
  <c r="F42" i="36" s="1"/>
  <c r="F44" i="36"/>
  <c r="F47" i="36" s="1"/>
  <c r="F35" i="48"/>
  <c r="J45" i="36"/>
  <c r="J47" i="36" s="1"/>
  <c r="J33" i="36"/>
  <c r="J42" i="36" s="1"/>
  <c r="G46" i="36"/>
  <c r="G42" i="36"/>
  <c r="F26" i="48"/>
  <c r="W40" i="36" s="1"/>
  <c r="S48" i="36"/>
  <c r="O48" i="36"/>
  <c r="C105" i="62" l="1"/>
  <c r="F36" i="48"/>
  <c r="F33" i="48"/>
  <c r="F48" i="36"/>
  <c r="J48" i="36"/>
  <c r="U46" i="36"/>
  <c r="W46" i="36" s="1"/>
  <c r="G47" i="36"/>
  <c r="G48" i="36" s="1"/>
  <c r="E52" i="35"/>
  <c r="C106" i="62" l="1"/>
  <c r="H25" i="17"/>
  <c r="H27" i="17" s="1"/>
  <c r="H31" i="17" s="1"/>
  <c r="F27" i="17"/>
  <c r="F31" i="17" s="1"/>
  <c r="H25" i="6"/>
  <c r="F27" i="6"/>
  <c r="F31" i="6" s="1"/>
  <c r="I31" i="17" l="1"/>
  <c r="H27" i="6"/>
  <c r="H31" i="6" s="1"/>
  <c r="I25" i="6"/>
  <c r="C107" i="62"/>
  <c r="C17" i="36"/>
  <c r="C24" i="36" s="1"/>
  <c r="C31" i="36" s="1"/>
  <c r="C45" i="36" s="1"/>
  <c r="E14" i="35"/>
  <c r="C10" i="36"/>
  <c r="C12" i="36" s="1"/>
  <c r="R12" i="36"/>
  <c r="D10" i="36"/>
  <c r="D12" i="36" s="1"/>
  <c r="D44" i="36" s="1"/>
  <c r="R24" i="36"/>
  <c r="R31" i="36" s="1"/>
  <c r="R33" i="36" s="1"/>
  <c r="R42" i="36" s="1"/>
  <c r="R44" i="36"/>
  <c r="Q24" i="36"/>
  <c r="Q12" i="36"/>
  <c r="C108" i="62" l="1"/>
  <c r="G6" i="48"/>
  <c r="U10" i="36"/>
  <c r="C44" i="36"/>
  <c r="C47" i="36" s="1"/>
  <c r="C33" i="36"/>
  <c r="C42" i="36" s="1"/>
  <c r="D17" i="36"/>
  <c r="R45" i="36"/>
  <c r="G7" i="48"/>
  <c r="R47" i="36"/>
  <c r="R48" i="36" s="1"/>
  <c r="Q31" i="36"/>
  <c r="Q33" i="36" s="1"/>
  <c r="U12" i="36"/>
  <c r="Q44" i="36"/>
  <c r="C109" i="62" l="1"/>
  <c r="C48" i="36"/>
  <c r="D35" i="48"/>
  <c r="F14" i="35"/>
  <c r="F21" i="35" s="1"/>
  <c r="D21" i="35"/>
  <c r="D24" i="36"/>
  <c r="U17" i="36"/>
  <c r="U44" i="36"/>
  <c r="D26" i="48"/>
  <c r="Q42" i="36"/>
  <c r="Q45" i="36"/>
  <c r="D9" i="35" l="1"/>
  <c r="C110" i="62"/>
  <c r="D36" i="48"/>
  <c r="W44" i="36"/>
  <c r="D31" i="36"/>
  <c r="U24" i="36"/>
  <c r="W12" i="36"/>
  <c r="Q47" i="36"/>
  <c r="E9" i="35" l="1"/>
  <c r="D11" i="35"/>
  <c r="C111" i="62"/>
  <c r="D45" i="36"/>
  <c r="D33" i="36"/>
  <c r="Q48" i="36"/>
  <c r="D32" i="48" l="1"/>
  <c r="D33" i="48" s="1"/>
  <c r="E11" i="35"/>
  <c r="C112" i="62"/>
  <c r="D42" i="36"/>
  <c r="D47" i="36"/>
  <c r="E21" i="35"/>
  <c r="C113" i="62" l="1"/>
  <c r="D48" i="36"/>
  <c r="C114" i="62" l="1"/>
  <c r="B6" i="48"/>
  <c r="C115" i="62" l="1"/>
  <c r="C116" i="62" l="1"/>
  <c r="C117" i="62" l="1"/>
  <c r="C118" i="62" l="1"/>
  <c r="C119" i="62" l="1"/>
  <c r="C120" i="62" l="1"/>
  <c r="C121" i="62" l="1"/>
  <c r="C122" i="62" l="1"/>
  <c r="C123" i="62"/>
  <c r="J46" i="39"/>
  <c r="G60" i="39"/>
  <c r="E12" i="48" l="1"/>
  <c r="E26" i="48" s="1"/>
  <c r="G57" i="39"/>
  <c r="G62" i="39" s="1"/>
  <c r="G12" i="48"/>
  <c r="G26" i="48" s="1"/>
  <c r="D23" i="35"/>
  <c r="I26" i="36"/>
  <c r="E46" i="48" l="1"/>
  <c r="I31" i="36"/>
  <c r="U26" i="36"/>
  <c r="E23" i="35"/>
  <c r="D29" i="35"/>
  <c r="E29" i="35" l="1"/>
  <c r="F23" i="35"/>
  <c r="F29" i="35" s="1"/>
  <c r="D31" i="35"/>
  <c r="E32" i="48"/>
  <c r="E33" i="48" s="1"/>
  <c r="I45" i="36"/>
  <c r="U31" i="36"/>
  <c r="I33" i="36"/>
  <c r="D39" i="35" l="1"/>
  <c r="I42" i="36"/>
  <c r="U42" i="36" s="1"/>
  <c r="U33" i="36"/>
  <c r="U45" i="36"/>
  <c r="W45" i="36" s="1"/>
  <c r="I47" i="36"/>
  <c r="E35" i="48"/>
  <c r="E36" i="48" s="1"/>
  <c r="W31" i="36"/>
  <c r="F48" i="35"/>
  <c r="F53" i="35"/>
  <c r="E48" i="35"/>
  <c r="E53" i="35"/>
  <c r="E31" i="35"/>
  <c r="G32" i="48" l="1"/>
  <c r="G33" i="48" s="1"/>
  <c r="U47" i="36"/>
  <c r="I48" i="36"/>
  <c r="E42" i="35"/>
  <c r="E39" i="35"/>
  <c r="G35" i="48"/>
  <c r="G36" i="48" s="1"/>
  <c r="W42" i="36"/>
  <c r="E44" i="35" l="1"/>
  <c r="E43" i="35"/>
  <c r="E49" i="35"/>
  <c r="E54" i="35"/>
  <c r="E57" i="35" s="1"/>
  <c r="E58" i="35" s="1"/>
  <c r="W47" i="36"/>
  <c r="U48" i="36"/>
  <c r="F9" i="35" l="1"/>
  <c r="F11" i="35" s="1"/>
  <c r="F57" i="35" l="1"/>
  <c r="F58" i="35" s="1"/>
  <c r="F31" i="35"/>
  <c r="F39" i="35" l="1"/>
  <c r="F42" i="35"/>
  <c r="F43" i="35" l="1"/>
  <c r="F44" i="35"/>
  <c r="F54" i="35"/>
  <c r="F4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Frasure</author>
  </authors>
  <commentList>
    <comment ref="E14" authorId="0" shapeId="0" xr:uid="{1A447FB2-C61A-4C36-9D6D-D8C22BAC35A4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43" authorId="0" shapeId="0" xr:uid="{38FA3FF1-DDDA-4655-839F-F27B093BD013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45" authorId="0" shapeId="0" xr:uid="{29A1E9A3-4A1D-44A3-91F0-ABDDDF0FC7B6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<sst xmlns="http://schemas.openxmlformats.org/spreadsheetml/2006/main" count="1233" uniqueCount="597">
  <si>
    <t>Line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</si>
  <si>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</si>
  <si>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</si>
  <si>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</si>
  <si>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</si>
  <si>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</si>
  <si>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</si>
  <si>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</si>
  <si>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</si>
  <si>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</si>
  <si>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</si>
  <si>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</si>
  <si>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</si>
  <si>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</si>
  <si>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</si>
  <si>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Adjustment</t>
  </si>
  <si>
    <t>Year</t>
  </si>
  <si>
    <t>Month</t>
  </si>
  <si>
    <t>(1)</t>
  </si>
  <si>
    <t>(3)</t>
  </si>
  <si>
    <t>(2)</t>
  </si>
  <si>
    <t>#</t>
  </si>
  <si>
    <t>Subtotal</t>
  </si>
  <si>
    <t>Revenue</t>
  </si>
  <si>
    <t>Expense</t>
  </si>
  <si>
    <t>(4)</t>
  </si>
  <si>
    <t>Reference Schedule:  1.02</t>
  </si>
  <si>
    <t>Reference Schedule:  1.01</t>
  </si>
  <si>
    <t>Reference Schedule:  1.08</t>
  </si>
  <si>
    <t>Depreciation</t>
  </si>
  <si>
    <t>Rate Case Expenses</t>
  </si>
  <si>
    <t>G&amp;T Capital Credits</t>
  </si>
  <si>
    <t xml:space="preserve">Revenue </t>
  </si>
  <si>
    <t>Total Cost of Electric Service</t>
  </si>
  <si>
    <t>Non-Operating Margins - Interest</t>
  </si>
  <si>
    <t>Non-Operating Margins - Other</t>
  </si>
  <si>
    <t>Test Year Amount</t>
  </si>
  <si>
    <t>Pro Forma Year Amount</t>
  </si>
  <si>
    <t>This adjustment removes the FAC revenues and expenses from the test period.</t>
  </si>
  <si>
    <t>This adjustment removes the Envionmental Surcharge revenues and expenses from the test period.</t>
  </si>
  <si>
    <t>Item</t>
  </si>
  <si>
    <t>Account</t>
  </si>
  <si>
    <t>Total Amount</t>
  </si>
  <si>
    <t>Amortization Period (Years)</t>
  </si>
  <si>
    <t>Total</t>
  </si>
  <si>
    <t>Annual Amortization Amount</t>
  </si>
  <si>
    <t>This adjustment estimates the rate case costs amortized over a 3 year period, consistent with standard Commission practice.</t>
  </si>
  <si>
    <t>This adjustment removes the G&amp;T Capital Credits from the test period, consistent with Commission practice.</t>
  </si>
  <si>
    <t>East Kentucky Power Cooperative</t>
  </si>
  <si>
    <t>Year-End Customers</t>
  </si>
  <si>
    <t>(5)</t>
  </si>
  <si>
    <t>(6)</t>
  </si>
  <si>
    <t>(7)</t>
  </si>
  <si>
    <t>(8)</t>
  </si>
  <si>
    <t>Average</t>
  </si>
  <si>
    <t>Total kWh</t>
  </si>
  <si>
    <t>Average kWh</t>
  </si>
  <si>
    <t>Year-End kWh Adjustment</t>
  </si>
  <si>
    <t>Current Base Rate Revenue</t>
  </si>
  <si>
    <t>Average Revenue per kWh</t>
  </si>
  <si>
    <t>Year End Revenue Adj</t>
  </si>
  <si>
    <t>Revenue Adjustment</t>
  </si>
  <si>
    <t>Expense Adjustment</t>
  </si>
  <si>
    <t>Year End Expense Adj</t>
  </si>
  <si>
    <t>Total Purchased Power Expense</t>
  </si>
  <si>
    <t>Less Environmental Surcharge</t>
  </si>
  <si>
    <t>Less Fuel Adjustment Clause</t>
  </si>
  <si>
    <t>Adjusted Purchased Power Expense</t>
  </si>
  <si>
    <t>Total Purchased Power kWh</t>
  </si>
  <si>
    <t>End of Period Increase over Avg</t>
  </si>
  <si>
    <t>For Expense Adjustment:</t>
  </si>
  <si>
    <t>Less DLC &amp; Green Power Charges</t>
  </si>
  <si>
    <t>Avg Adj Purchase Exp per kWh</t>
  </si>
  <si>
    <t>Net Rev</t>
  </si>
  <si>
    <t>Interest on LTD</t>
  </si>
  <si>
    <t>TIER</t>
  </si>
  <si>
    <t>GTCC</t>
  </si>
  <si>
    <t>Operating Revenues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</si>
  <si>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</si>
  <si>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</si>
  <si>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</si>
  <si>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</si>
  <si>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</si>
  <si>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</si>
  <si>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</si>
  <si>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</si>
  <si>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</si>
  <si>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</si>
  <si>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</si>
  <si>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- Other</t>
  </si>
  <si>
    <t>Other Deductions</t>
  </si>
  <si>
    <t>Utility Operating Margins</t>
  </si>
  <si>
    <t>Other Capital Credits</t>
  </si>
  <si>
    <t>Net Margins</t>
  </si>
  <si>
    <t>TIER excluding GTCC</t>
  </si>
  <si>
    <t>OTIER</t>
  </si>
  <si>
    <t>Rate</t>
  </si>
  <si>
    <t>Operating Revenues:</t>
  </si>
  <si>
    <t xml:space="preserve">        FAC &amp; ES</t>
  </si>
  <si>
    <t>Services</t>
  </si>
  <si>
    <t>Total Revenues</t>
  </si>
  <si>
    <t xml:space="preserve">        Base Rates</t>
  </si>
  <si>
    <t xml:space="preserve">    Total Operating Expenses</t>
  </si>
  <si>
    <t>Total Non-Operating Margins</t>
  </si>
  <si>
    <t>Interest on Long Term Debt</t>
  </si>
  <si>
    <t>Interest Expense - Other</t>
  </si>
  <si>
    <t>Base Rates</t>
  </si>
  <si>
    <t>FAC &amp; ES</t>
  </si>
  <si>
    <t>Other Electric Revenue</t>
  </si>
  <si>
    <t>Distribution - Operations</t>
  </si>
  <si>
    <t>Distribution - Maintenance</t>
  </si>
  <si>
    <t>Consumer Accounts</t>
  </si>
  <si>
    <t>Sales</t>
  </si>
  <si>
    <t>Administrative and General</t>
  </si>
  <si>
    <t>Consulting - Catalyst Consulting LLC</t>
  </si>
  <si>
    <t>Actual Test Yr</t>
  </si>
  <si>
    <t>Pro Forma Test Yr</t>
  </si>
  <si>
    <t>Expense Adj</t>
  </si>
  <si>
    <t>Revenue Adj</t>
  </si>
  <si>
    <t>Net Adj</t>
  </si>
  <si>
    <t>Check</t>
  </si>
  <si>
    <t>Reference Schedule:  1.05</t>
  </si>
  <si>
    <t>Reference Schedule:  1.04</t>
  </si>
  <si>
    <t>Reference Schedule:  1.03</t>
  </si>
  <si>
    <t>Reference Schedule:  1.09</t>
  </si>
  <si>
    <t>Environmental Surcharge</t>
  </si>
  <si>
    <t>Stores</t>
  </si>
  <si>
    <t>Transportation</t>
  </si>
  <si>
    <t>Meters</t>
  </si>
  <si>
    <t>Administrative &amp; General</t>
  </si>
  <si>
    <t>580-589</t>
  </si>
  <si>
    <t>Operations</t>
  </si>
  <si>
    <t>590-598</t>
  </si>
  <si>
    <t>Maintenance</t>
  </si>
  <si>
    <t>901-905</t>
  </si>
  <si>
    <t>920-935</t>
  </si>
  <si>
    <t>Pro Forma Adj</t>
  </si>
  <si>
    <t>A</t>
  </si>
  <si>
    <t>B</t>
  </si>
  <si>
    <t>Alloc</t>
  </si>
  <si>
    <t>Labor $</t>
  </si>
  <si>
    <t>Test Yr Ending Bal</t>
  </si>
  <si>
    <t>Normalized Expense</t>
  </si>
  <si>
    <t>Test Year Expense</t>
  </si>
  <si>
    <t>Acct #</t>
  </si>
  <si>
    <t>Fully Depr Items</t>
  </si>
  <si>
    <t>Distribution Plant</t>
  </si>
  <si>
    <t>Station equipment</t>
  </si>
  <si>
    <t>Poles, towers &amp; fixtures</t>
  </si>
  <si>
    <t>Overhead conductors &amp; devices</t>
  </si>
  <si>
    <t>Underground conductor &amp; devices</t>
  </si>
  <si>
    <t>Line transformers</t>
  </si>
  <si>
    <t>Installations on customer premises</t>
  </si>
  <si>
    <t>Land</t>
  </si>
  <si>
    <t>Structures and improvements</t>
  </si>
  <si>
    <t>Office furn and eqt</t>
  </si>
  <si>
    <t>Tools, shop and garage</t>
  </si>
  <si>
    <t>Communications</t>
  </si>
  <si>
    <t>Miscellaneous</t>
  </si>
  <si>
    <t>General Plant</t>
  </si>
  <si>
    <t>Transporation Charged to Clearing</t>
  </si>
  <si>
    <t>Allocation of Clearing to O&amp;M</t>
  </si>
  <si>
    <t>Depr $</t>
  </si>
  <si>
    <t>Distribution &amp; General Subtotal</t>
  </si>
  <si>
    <t>Total Operating Revenue</t>
  </si>
  <si>
    <t>Total Sales of Electric Energy</t>
  </si>
  <si>
    <t>Cash Receipts from Lenders</t>
  </si>
  <si>
    <t>Pro Forma Amount</t>
  </si>
  <si>
    <t>Donations, Promotional Advertising, &amp; Dues</t>
  </si>
  <si>
    <t>Variance</t>
  </si>
  <si>
    <t>Summary of Pro Forma Adjustments</t>
  </si>
  <si>
    <t>Fuel Adjustment Clause</t>
  </si>
  <si>
    <t>Non-Operating Income</t>
  </si>
  <si>
    <t>Net Margin</t>
  </si>
  <si>
    <t>This adjustment adjusts the test year expenses and revenues to reflect the number of customers at the end of the test year.</t>
  </si>
  <si>
    <t>Reference Schedule</t>
  </si>
  <si>
    <t>Summary of Adjustments to Test Year Statement of Operations</t>
  </si>
  <si>
    <t>Summary of Adjustments to Test Year Balance Sheet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</si>
  <si>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</si>
  <si>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</si>
  <si>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</si>
  <si>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</si>
  <si>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</si>
  <si>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</si>
  <si>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</si>
  <si>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</si>
  <si>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</si>
  <si>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</si>
  <si>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</si>
  <si>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</si>
  <si>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</si>
  <si>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</si>
  <si>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</si>
  <si>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Other (Net)</t>
  </si>
  <si>
    <t>Accts Receivable - Sales Energy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</si>
  <si>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</si>
  <si>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</si>
  <si>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</si>
  <si>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</si>
  <si>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</si>
  <si>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</si>
  <si>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</si>
  <si>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</si>
  <si>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</si>
  <si>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</si>
  <si>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</si>
  <si>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</si>
  <si>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</si>
  <si>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</si>
  <si>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</si>
  <si>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</si>
  <si>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</si>
  <si>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</si>
  <si>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</si>
  <si>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</si>
  <si>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</si>
  <si>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</si>
  <si>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</si>
  <si>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</si>
  <si>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</si>
  <si>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</si>
  <si>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</si>
  <si>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</si>
  <si>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</si>
  <si>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</si>
  <si>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Pro Forma Adjs</t>
  </si>
  <si>
    <t>Statement of Operations &amp; Revenue Requirement</t>
  </si>
  <si>
    <t>Income(Loss) from Equity Investments</t>
  </si>
  <si>
    <t>29a</t>
  </si>
  <si>
    <t>Income(Loss) from Equity Invstmts</t>
  </si>
  <si>
    <t>Target TIER</t>
  </si>
  <si>
    <t>Margins at Target TIER</t>
  </si>
  <si>
    <t>Revenue Requirement</t>
  </si>
  <si>
    <t>Revenue Deficiency (Excess)</t>
  </si>
  <si>
    <t>Target OTIER</t>
  </si>
  <si>
    <t>Margins at Target OTIER</t>
  </si>
  <si>
    <t>Life Insurance Premiums</t>
  </si>
  <si>
    <t>Depreciation Expense Normalization</t>
  </si>
  <si>
    <t>Actual Test Year</t>
  </si>
  <si>
    <t>Directors Expense</t>
  </si>
  <si>
    <t>Year-End Customer Normalization</t>
  </si>
  <si>
    <t>This adjustment removes charitable donations, promotional advertising expenses, and other applicable items from the revenue requirement consistent with standard Commission practices.</t>
  </si>
  <si>
    <t>A+B</t>
  </si>
  <si>
    <t>Balance Sheet Accounts</t>
  </si>
  <si>
    <t>This adjustment normalizes depreciation expenses by replacing test year actual expenses with test year end balances, less any fully depreciated items, at approved depreciation rates.</t>
  </si>
  <si>
    <t>907-912</t>
  </si>
  <si>
    <t>Capital</t>
  </si>
  <si>
    <t>Pro Forma Adjustments</t>
  </si>
  <si>
    <t>Checks</t>
  </si>
  <si>
    <t>Sum from Rev Req page</t>
  </si>
  <si>
    <t>Sum from Adj IS page</t>
  </si>
  <si>
    <t>Var from Adj List</t>
  </si>
  <si>
    <t>Non Oper Adj</t>
  </si>
  <si>
    <t xml:space="preserve">Reference Schedule &gt;     </t>
  </si>
  <si>
    <t xml:space="preserve">Item  &gt;     </t>
  </si>
  <si>
    <t>Proposed Rates</t>
  </si>
  <si>
    <t>Increase $</t>
  </si>
  <si>
    <t>Increase %</t>
  </si>
  <si>
    <t>Investment in Subsidiary Companies</t>
  </si>
  <si>
    <t>Investment in Economic Development Projects</t>
  </si>
  <si>
    <t>Special Funds</t>
  </si>
  <si>
    <t>Current Maturities LTD</t>
  </si>
  <si>
    <t>Current Maturities LTD - Econ Dev</t>
  </si>
  <si>
    <t>Reference Schedule:  1.07</t>
  </si>
  <si>
    <t>Power Operated Equipment</t>
  </si>
  <si>
    <t>Tools &amp; Work Equipment - small</t>
  </si>
  <si>
    <t>Laboratory Equipment</t>
  </si>
  <si>
    <t>Directors Expenses</t>
  </si>
  <si>
    <t>This adjustment removes certain Director expenses consistent with recent Commission orders and standard Commission practices.</t>
  </si>
  <si>
    <t>Employee</t>
  </si>
  <si>
    <t>C</t>
  </si>
  <si>
    <t>D</t>
  </si>
  <si>
    <t>E</t>
  </si>
  <si>
    <t>F</t>
  </si>
  <si>
    <t>G</t>
  </si>
  <si>
    <t>Donations, Advertising &amp; Dues</t>
  </si>
  <si>
    <t>Life Insurance</t>
  </si>
  <si>
    <t>(D * 2)</t>
  </si>
  <si>
    <t>((F-E)/F)*B</t>
  </si>
  <si>
    <t>Empl #</t>
  </si>
  <si>
    <t>Total Premium</t>
  </si>
  <si>
    <t>Lesser of $50k or Salary</t>
  </si>
  <si>
    <t>Amount to Exclude</t>
  </si>
  <si>
    <t>Allowed Total</t>
  </si>
  <si>
    <t>This adjustment removes Life insurance premiums for coverage above the lesser of an employee's annual salary or $50,000 from the test period.</t>
  </si>
  <si>
    <t>Reference Schedule:  1.06</t>
  </si>
  <si>
    <t>Reference Schedule:  1.10</t>
  </si>
  <si>
    <t>Annual Meeting</t>
  </si>
  <si>
    <t>Membership Dues</t>
  </si>
  <si>
    <t>Operating Margins - Prior Years</t>
  </si>
  <si>
    <t>Wages &amp; Salaries</t>
  </si>
  <si>
    <t>Payroll Taxes</t>
  </si>
  <si>
    <t>Professional Services</t>
  </si>
  <si>
    <t>Lender</t>
  </si>
  <si>
    <t>ID</t>
  </si>
  <si>
    <t>Interest</t>
  </si>
  <si>
    <t>FFB</t>
  </si>
  <si>
    <t>CFC</t>
  </si>
  <si>
    <t>Hours Worked</t>
  </si>
  <si>
    <t>Actual Test Year Wages</t>
  </si>
  <si>
    <t>Current Wage Rate</t>
  </si>
  <si>
    <t>Pro Forma Wages at 2,080 Hours</t>
  </si>
  <si>
    <t>Pro Forma Adjustment</t>
  </si>
  <si>
    <t>Count</t>
  </si>
  <si>
    <t>Actual ID</t>
  </si>
  <si>
    <t>Note</t>
  </si>
  <si>
    <t>Regular</t>
  </si>
  <si>
    <t>Overtime</t>
  </si>
  <si>
    <t>Vac P.Out</t>
  </si>
  <si>
    <t>Other</t>
  </si>
  <si>
    <t>&lt; Hide &gt;</t>
  </si>
  <si>
    <t>Total Expensed + Capitalized</t>
  </si>
  <si>
    <t>NOTES:</t>
  </si>
  <si>
    <t>- No longer employed</t>
  </si>
  <si>
    <t>This adjustment normalizes wages and salaries to account for changes due to wage increases, promotions, retirements, terminations, or new hires for standard year of 2,080 hours.</t>
  </si>
  <si>
    <t>Labor Expense Summary</t>
  </si>
  <si>
    <t>907-910</t>
  </si>
  <si>
    <t xml:space="preserve">Expense Adjustment &gt; </t>
  </si>
  <si>
    <t>*</t>
  </si>
  <si>
    <t>101-120</t>
  </si>
  <si>
    <t>Social Security</t>
  </si>
  <si>
    <t>Medicare</t>
  </si>
  <si>
    <t>Federal Unemployment</t>
  </si>
  <si>
    <t>State Unemployment</t>
  </si>
  <si>
    <t>Normalized</t>
  </si>
  <si>
    <t>Up To</t>
  </si>
  <si>
    <t>At</t>
  </si>
  <si>
    <t>All</t>
  </si>
  <si>
    <t>(6)+(8)+</t>
  </si>
  <si>
    <t>Wages</t>
  </si>
  <si>
    <t>(10)+(12)</t>
  </si>
  <si>
    <t>Employee ID</t>
  </si>
  <si>
    <t>Total Difference</t>
  </si>
  <si>
    <t xml:space="preserve">A - </t>
  </si>
  <si>
    <t>No longer employed</t>
  </si>
  <si>
    <t>B -</t>
  </si>
  <si>
    <t>This adjustment normalizes test year payroll taxes for FICA, Medicare, FUTA and SUTA based on most recent effective rates.</t>
  </si>
  <si>
    <t>Allocation to Accounts</t>
  </si>
  <si>
    <t>Reference Schedule:  1.12</t>
  </si>
  <si>
    <t>Reference Schedule:  1.13</t>
  </si>
  <si>
    <t>Interest Expense</t>
  </si>
  <si>
    <t>Legal - Honaker Law Office</t>
  </si>
  <si>
    <t>BLUE GRASS ENERGY</t>
  </si>
  <si>
    <t>Smith</t>
  </si>
  <si>
    <t>Street Lighting</t>
  </si>
  <si>
    <t>Meters, AMR</t>
  </si>
  <si>
    <t>Office Computer Equipment</t>
  </si>
  <si>
    <t>Fritz</t>
  </si>
  <si>
    <t>Hughes</t>
  </si>
  <si>
    <t>Keller</t>
  </si>
  <si>
    <t>Moneyhon</t>
  </si>
  <si>
    <t>Tucker</t>
  </si>
  <si>
    <t>Cobb</t>
  </si>
  <si>
    <t>Young</t>
  </si>
  <si>
    <t>9010-001</t>
  </si>
  <si>
    <t>9011-001</t>
  </si>
  <si>
    <t>9011-002</t>
  </si>
  <si>
    <t>9020-001</t>
  </si>
  <si>
    <t>9021-001</t>
  </si>
  <si>
    <t>9035-001</t>
  </si>
  <si>
    <t>9036-001</t>
  </si>
  <si>
    <t>9040-001</t>
  </si>
  <si>
    <t>9041-001</t>
  </si>
  <si>
    <t>2-1</t>
  </si>
  <si>
    <t>2-2</t>
  </si>
  <si>
    <t>2-3</t>
  </si>
  <si>
    <t>1-1</t>
  </si>
  <si>
    <t>1-2</t>
  </si>
  <si>
    <t>1-3</t>
  </si>
  <si>
    <t>1-4</t>
  </si>
  <si>
    <t>2-4</t>
  </si>
  <si>
    <t>1-5</t>
  </si>
  <si>
    <t>2-5</t>
  </si>
  <si>
    <t>2-6</t>
  </si>
  <si>
    <t>4-1</t>
  </si>
  <si>
    <t>4-3</t>
  </si>
  <si>
    <t>4-4</t>
  </si>
  <si>
    <t>4-5</t>
  </si>
  <si>
    <t>4-6</t>
  </si>
  <si>
    <t>5-2</t>
  </si>
  <si>
    <t>5-3</t>
  </si>
  <si>
    <t>5-4</t>
  </si>
  <si>
    <t>6-1</t>
  </si>
  <si>
    <t>6-2</t>
  </si>
  <si>
    <t>Coverage - 3x Salary</t>
  </si>
  <si>
    <t>Blue Grass Energy</t>
  </si>
  <si>
    <t>2% 401K Contribution for R&amp;S Participants</t>
  </si>
  <si>
    <t>For the 12 Months Ended Dec 31, 2024</t>
  </si>
  <si>
    <t>For the 12 Months Ended December 31, 2024</t>
  </si>
  <si>
    <t>Blue Grass Energy Cooperative Corporation</t>
  </si>
  <si>
    <t>Legislative Conference- Per Diem Mileage</t>
  </si>
  <si>
    <t>EKPC Annual Meeting- Per Diem Mileage</t>
  </si>
  <si>
    <t>KEC Annual Meeting- Per Diem</t>
  </si>
  <si>
    <t>NRECA Regional Meeting- Per Diem</t>
  </si>
  <si>
    <t>Farm Banquet- Per Diem Mileage</t>
  </si>
  <si>
    <t>Chamber Meeting- Per Diem and Mileage</t>
  </si>
  <si>
    <t>Ending 2024 Rate</t>
  </si>
  <si>
    <t>Donations/ Sponsorships</t>
  </si>
  <si>
    <t>KY Living</t>
  </si>
  <si>
    <t>Gift Expense</t>
  </si>
  <si>
    <t>CFC Financial Workshop- Per Diem</t>
  </si>
  <si>
    <t>NRECA Power Exchange- Per Diem</t>
  </si>
  <si>
    <t>CFC Forum- Per Diem</t>
  </si>
  <si>
    <t>NRECA Summer School- Per Diem</t>
  </si>
  <si>
    <t>NRECA Director's Conference- Refunded</t>
  </si>
  <si>
    <t>NRECA Power Exchange- Refunded</t>
  </si>
  <si>
    <t>- Hired after 2024</t>
  </si>
  <si>
    <t>Balance Sheet/Clearing Accounts</t>
  </si>
  <si>
    <t>Balance Sheet/Clearing Accts</t>
  </si>
  <si>
    <t>Hired after 2024</t>
  </si>
  <si>
    <t xml:space="preserve">*93,689.77 of 401k match for R&amp;S participants. </t>
  </si>
  <si>
    <t>Months Employed</t>
  </si>
  <si>
    <t>Expense Based on Months Employed</t>
  </si>
  <si>
    <t>Ending 2024 Salary</t>
  </si>
  <si>
    <t>Excluded base on Number of Months Employed</t>
  </si>
  <si>
    <t>For the 12 Months Ended Dec 31,2024</t>
  </si>
  <si>
    <t>Note #</t>
  </si>
  <si>
    <t>Oustanding Principal 12/31/2024</t>
  </si>
  <si>
    <t>LTD per Form 7</t>
  </si>
  <si>
    <t>Advance - 2025</t>
  </si>
  <si>
    <t>Adjustment - Account 427</t>
  </si>
  <si>
    <t>This adjustment normalizes the interest on Interest Expense from test year to recent amounts.</t>
  </si>
  <si>
    <t>GS-1</t>
  </si>
  <si>
    <t>SC-1</t>
  </si>
  <si>
    <t>LP-1</t>
  </si>
  <si>
    <t>LP-2</t>
  </si>
  <si>
    <t>ACCOUNT</t>
  </si>
  <si>
    <t>R-ACCT</t>
  </si>
  <si>
    <t>DATE</t>
  </si>
  <si>
    <t>DEBIT</t>
  </si>
  <si>
    <t>CREDIT</t>
  </si>
  <si>
    <t>DESCRIPTION</t>
  </si>
  <si>
    <t>SOURCE</t>
  </si>
  <si>
    <t>VENDOR NAME</t>
  </si>
  <si>
    <t>Remove</t>
  </si>
  <si>
    <t>01/01/24</t>
  </si>
  <si>
    <t>BALANCE FORWARD</t>
  </si>
  <si>
    <t>Balance Forward</t>
  </si>
  <si>
    <t>01/17/24</t>
  </si>
  <si>
    <t>CONSULTING SVCS</t>
  </si>
  <si>
    <t>MERCER CONSULTING GROUP INC</t>
  </si>
  <si>
    <t>01/31/24</t>
  </si>
  <si>
    <t>JAN 2024 PROFESSIONAL SVCS</t>
  </si>
  <si>
    <t>RANSDELL ROACH &amp; ROYSE PLLC</t>
  </si>
  <si>
    <t>BACKGROUND CHECKS</t>
  </si>
  <si>
    <t>STERLING INFOSYSTEMS INC</t>
  </si>
  <si>
    <t>ANNUAL MAINT FEE</t>
  </si>
  <si>
    <t>02/01/24</t>
  </si>
  <si>
    <t>PREP OF AFFIRMATIVE ACTION PLANS</t>
  </si>
  <si>
    <t>OUTSOLVE LLC</t>
  </si>
  <si>
    <t>ANNUAL PAY EQUITY REPORTS</t>
  </si>
  <si>
    <t>RECLASS PROF SVCS-IT</t>
  </si>
  <si>
    <t>Journal Entries</t>
  </si>
  <si>
    <t>Reverse Over Accrued 12/23 GDS</t>
  </si>
  <si>
    <t>02/22/24</t>
  </si>
  <si>
    <t>SECTIONALIZING STUDY</t>
  </si>
  <si>
    <t>GDS ASSOCIATES INC</t>
  </si>
  <si>
    <t>02/29/24</t>
  </si>
  <si>
    <t>FEB 2024 PROFESSIONAL SVCS</t>
  </si>
  <si>
    <t>03/20/24</t>
  </si>
  <si>
    <t>03/31/24</t>
  </si>
  <si>
    <t>MARCH 2024 PROFESSIONAL SVCS</t>
  </si>
  <si>
    <t>BACKGROUND CHECK</t>
  </si>
  <si>
    <t>04/01/24</t>
  </si>
  <si>
    <t>10317 ATTACHMENT MANAGEMENT</t>
  </si>
  <si>
    <t>MCLEAN ENGINEERING CO INC</t>
  </si>
  <si>
    <t>OUTSIDE SERVICES-ENGINEERING</t>
  </si>
  <si>
    <t>10383 PERMITTING-CINCINNATI BELL</t>
  </si>
  <si>
    <t>10514 POLE ATTACHMENT INV &amp; TEST</t>
  </si>
  <si>
    <t>04/04/24</t>
  </si>
  <si>
    <t>PROFESSIONAL SVCS</t>
  </si>
  <si>
    <t>INTANDEM LLC</t>
  </si>
  <si>
    <t>04/10/24</t>
  </si>
  <si>
    <t>PRO SERVICES-LEVEL 4</t>
  </si>
  <si>
    <t>STELLAROPS LLC</t>
  </si>
  <si>
    <t>04/15/24</t>
  </si>
  <si>
    <t>PREP 2023 FORM 990/FEDERAL SCH</t>
  </si>
  <si>
    <t>JONES NALE &amp; MATTINGLY PLC</t>
  </si>
  <si>
    <t>04/18/24</t>
  </si>
  <si>
    <t>NRECA/COMPENSATION SURVEY</t>
  </si>
  <si>
    <t>RURAL COOP CREDIT UNION</t>
  </si>
  <si>
    <t>04/30/24</t>
  </si>
  <si>
    <t>APRIL 2024 PROFESSIONAL SVCS</t>
  </si>
  <si>
    <t>05/20/24</t>
  </si>
  <si>
    <t>EEO-COMPONENT 1 REPORTS</t>
  </si>
  <si>
    <t>05/26/24</t>
  </si>
  <si>
    <t>KYBRD END LAND SURV</t>
  </si>
  <si>
    <t>AMERICAN EXPRESS</t>
  </si>
  <si>
    <t>05/31/24</t>
  </si>
  <si>
    <t>MAY 2024 PROFESSIONAL SVCS</t>
  </si>
  <si>
    <t>06/07/24</t>
  </si>
  <si>
    <t>AAVI</t>
  </si>
  <si>
    <t>06/11/24</t>
  </si>
  <si>
    <t>06/30/24</t>
  </si>
  <si>
    <t>SUMMARY OF SERVICES</t>
  </si>
  <si>
    <t>HR ENTERPRISE INC</t>
  </si>
  <si>
    <t>07/01/24</t>
  </si>
  <si>
    <t>JUNE 2024 PROFESSIONAL SVCS</t>
  </si>
  <si>
    <t>FORM 990 PROGRESS BILLING 2024</t>
  </si>
  <si>
    <t>07/30/24</t>
  </si>
  <si>
    <t>07/31/24</t>
  </si>
  <si>
    <t>JULY 2024 PROFESSIONAL SVCS</t>
  </si>
  <si>
    <t>08/01/24</t>
  </si>
  <si>
    <t>ELECTRIC RATE CONSULTING</t>
  </si>
  <si>
    <t>JOHN WOLFRAM</t>
  </si>
  <si>
    <t>10727 GRANT PROJECTS</t>
  </si>
  <si>
    <t>10727 FPB GRANT PROJECTS</t>
  </si>
  <si>
    <t>08/06/24</t>
  </si>
  <si>
    <t>PROP OF VETS 4212 REPORTS</t>
  </si>
  <si>
    <t>08/07/24</t>
  </si>
  <si>
    <t>HONAKER LAW OFFICE PLLC</t>
  </si>
  <si>
    <t>08/08/24</t>
  </si>
  <si>
    <t>WORK ORDER INSPECTION</t>
  </si>
  <si>
    <t>08/14/24</t>
  </si>
  <si>
    <t>MO TEXTING 8/16-9/15</t>
  </si>
  <si>
    <t>JOBMATCH LLC DBA</t>
  </si>
  <si>
    <t>MO TEXTING 7/16/24-8/15/24</t>
  </si>
  <si>
    <t>08/19/24</t>
  </si>
  <si>
    <t>APPLICANT PRO</t>
  </si>
  <si>
    <t>08/22/24</t>
  </si>
  <si>
    <t>LODGING/KEC ANNUAL MTG-ROYSE</t>
  </si>
  <si>
    <t>08/31/24</t>
  </si>
  <si>
    <t>AUG 2024 PROFESSIONAL SVCS</t>
  </si>
  <si>
    <t>AUDIT FINANCIAL STATEMENTS</t>
  </si>
  <si>
    <t>PREP POST RETIREMENT BENEFITS</t>
  </si>
  <si>
    <t>LESS PROGRESS APPLIED</t>
  </si>
  <si>
    <t>09/01/24</t>
  </si>
  <si>
    <t>Joint Use Contr. Invoices Fix</t>
  </si>
  <si>
    <t>09/09/24</t>
  </si>
  <si>
    <t>09/18/24</t>
  </si>
  <si>
    <t>KY SEC OF STATE SEDC/ANTHONY</t>
  </si>
  <si>
    <t>09/19/24</t>
  </si>
  <si>
    <t>DEED RESEARCH/SET STAKES/LEGAL D</t>
  </si>
  <si>
    <t>ABACUS ENGINEERING</t>
  </si>
  <si>
    <t>09/26/24</t>
  </si>
  <si>
    <t>Veh #530 Rad Combs</t>
  </si>
  <si>
    <t>09/30/24</t>
  </si>
  <si>
    <t>SEPT 2024 PROFESSIONAL SVCS</t>
  </si>
  <si>
    <t>10/01/24</t>
  </si>
  <si>
    <t>Reclass Sec. of State Fee</t>
  </si>
  <si>
    <t>Reclass Truck Transp Fee</t>
  </si>
  <si>
    <t>10/06/24</t>
  </si>
  <si>
    <t>APPLICANTPRO ANNUAL 11/24-11/25</t>
  </si>
  <si>
    <t>10/15/24</t>
  </si>
  <si>
    <t>PROGRES BILLING SINGLE AUDIT '24</t>
  </si>
  <si>
    <t>10/30/24</t>
  </si>
  <si>
    <t>Legal Work for Southland Job</t>
  </si>
  <si>
    <t>10/31/24</t>
  </si>
  <si>
    <t>OCT 2024 PROFESSIONAL SVCS</t>
  </si>
  <si>
    <t>11/01/24</t>
  </si>
  <si>
    <t>10590 PERMITTING/KY WIRED</t>
  </si>
  <si>
    <t>Mclean Inv BGE to Pay</t>
  </si>
  <si>
    <t>Inv. Adj Joint Use BGE to Pay</t>
  </si>
  <si>
    <t>Windstream Permit Inv BGE pay</t>
  </si>
  <si>
    <t>11/08/24</t>
  </si>
  <si>
    <t>11/30/24</t>
  </si>
  <si>
    <t>NOV 2024 PROFESSIONAL SVCS</t>
  </si>
  <si>
    <t>12/01/24</t>
  </si>
  <si>
    <t>12/10/24</t>
  </si>
  <si>
    <t>12/27/24</t>
  </si>
  <si>
    <t>KAEC ATTORNEY MTG/ROYSE</t>
  </si>
  <si>
    <t>KENTUCKY ASSN OF ELECT COOPS</t>
  </si>
  <si>
    <t>12/31/24</t>
  </si>
  <si>
    <t>DEC 2024 PROFESSIONAL SVCS</t>
  </si>
  <si>
    <t>POLE ATTACHMENT INVENTORY COST S</t>
  </si>
  <si>
    <t>Accounts Receivable</t>
  </si>
  <si>
    <t>GS-2</t>
  </si>
  <si>
    <t>GS-3</t>
  </si>
  <si>
    <t>SC-2</t>
  </si>
  <si>
    <t>B-1</t>
  </si>
  <si>
    <t>B-2</t>
  </si>
  <si>
    <t>G-1</t>
  </si>
  <si>
    <t>Total Test Year</t>
  </si>
  <si>
    <t>Rate B</t>
  </si>
  <si>
    <t>Rate G</t>
  </si>
  <si>
    <t>Rate E2</t>
  </si>
  <si>
    <t>(9)</t>
  </si>
  <si>
    <t>(10)</t>
  </si>
  <si>
    <t>(11)</t>
  </si>
  <si>
    <t>(12)</t>
  </si>
  <si>
    <t>(13)</t>
  </si>
  <si>
    <t>Net Revenue Adjustment</t>
  </si>
  <si>
    <t>Ending Bal</t>
  </si>
  <si>
    <t>Beginning Bal</t>
  </si>
  <si>
    <t>Ending Balance</t>
  </si>
  <si>
    <t>Beginning Balance</t>
  </si>
  <si>
    <t>Retirement Plans</t>
  </si>
  <si>
    <t>NRECA Director's Conference- Per Diem</t>
  </si>
  <si>
    <t>This adjustment removes the contribution made for the least generous plans for employer retirement contributions for employees participating in multiple benefit packages from the revenue requirement consistent with Commission regulation.</t>
  </si>
  <si>
    <t>H</t>
  </si>
  <si>
    <t>I</t>
  </si>
  <si>
    <t>J</t>
  </si>
  <si>
    <t>Reference Schedule: 1.14</t>
  </si>
  <si>
    <t>This adjustment removes non-recurring outside services expenses consistent with Commission precedent.</t>
  </si>
  <si>
    <t>Pro Forma Test Year</t>
  </si>
  <si>
    <t>Reference Schedule:  1.11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</si>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</sst>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0.0%"/>
    <numFmt numFmtId="169" formatCode="\(#\)"/>
    <numFmt numFmtId="170" formatCode="m/d/yy;@"/>
    <numFmt numFmtId="171" formatCode="0.000%"/>
    <numFmt numFmtId="172" formatCode="###,###,###,###.00"/>
    <numFmt numFmtId="173" formatCode="###.00"/>
    <numFmt numFmtId="174" formatCode="############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sz val="12"/>
      <name val="P-TIMES"/>
    </font>
    <font>
      <sz val="11"/>
      <name val="P-TIMES"/>
    </font>
    <font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0000CC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/>
  </cellStyleXfs>
  <cellXfs count="3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/>
    <xf numFmtId="0" fontId="4" fillId="0" borderId="0" xfId="3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0" xfId="1" applyNumberFormat="1" applyFont="1"/>
    <xf numFmtId="0" fontId="5" fillId="0" borderId="0" xfId="0" applyFont="1" applyAlignment="1">
      <alignment horizontal="left"/>
    </xf>
    <xf numFmtId="0" fontId="5" fillId="0" borderId="3" xfId="0" applyFont="1" applyBorder="1"/>
    <xf numFmtId="164" fontId="5" fillId="0" borderId="3" xfId="1" applyNumberFormat="1" applyFont="1" applyBorder="1"/>
    <xf numFmtId="164" fontId="5" fillId="0" borderId="0" xfId="1" applyNumberFormat="1" applyFont="1" applyBorder="1"/>
    <xf numFmtId="164" fontId="5" fillId="0" borderId="0" xfId="1" applyNumberFormat="1" applyFont="1" applyFill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2" xfId="1" applyNumberFormat="1" applyFont="1" applyBorder="1"/>
    <xf numFmtId="165" fontId="5" fillId="0" borderId="0" xfId="2" applyNumberFormat="1" applyFont="1"/>
    <xf numFmtId="165" fontId="5" fillId="0" borderId="0" xfId="2" applyNumberFormat="1" applyFont="1" applyFill="1"/>
    <xf numFmtId="43" fontId="5" fillId="0" borderId="0" xfId="2" applyFont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5" fontId="5" fillId="0" borderId="0" xfId="2" applyNumberFormat="1" applyFont="1" applyBorder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164" fontId="5" fillId="0" borderId="3" xfId="1" applyNumberFormat="1" applyFont="1" applyFill="1" applyBorder="1"/>
    <xf numFmtId="165" fontId="2" fillId="0" borderId="0" xfId="2" applyNumberFormat="1" applyFont="1" applyFill="1"/>
    <xf numFmtId="168" fontId="2" fillId="0" borderId="0" xfId="5" applyNumberFormat="1" applyFont="1" applyBorder="1" applyProtection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9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168" fontId="2" fillId="0" borderId="2" xfId="5" applyNumberFormat="1" applyFont="1" applyBorder="1" applyProtection="1"/>
    <xf numFmtId="0" fontId="13" fillId="0" borderId="0" xfId="0" applyFont="1" applyAlignment="1">
      <alignment horizontal="right" wrapText="1"/>
    </xf>
    <xf numFmtId="41" fontId="2" fillId="0" borderId="0" xfId="0" applyNumberFormat="1" applyFont="1"/>
    <xf numFmtId="37" fontId="7" fillId="0" borderId="0" xfId="4" applyNumberFormat="1" applyFont="1"/>
    <xf numFmtId="165" fontId="2" fillId="0" borderId="2" xfId="2" applyNumberFormat="1" applyFont="1" applyFill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5" fontId="2" fillId="0" borderId="3" xfId="2" applyNumberFormat="1" applyFon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0" xfId="4" applyFont="1"/>
    <xf numFmtId="0" fontId="11" fillId="0" borderId="0" xfId="4" applyFont="1"/>
    <xf numFmtId="0" fontId="7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2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0" xfId="4" applyFont="1"/>
    <xf numFmtId="165" fontId="7" fillId="0" borderId="0" xfId="2" applyNumberFormat="1" applyFont="1" applyFill="1"/>
    <xf numFmtId="37" fontId="7" fillId="0" borderId="1" xfId="4" applyNumberFormat="1" applyFont="1" applyBorder="1"/>
    <xf numFmtId="0" fontId="7" fillId="0" borderId="5" xfId="4" applyFont="1" applyBorder="1"/>
    <xf numFmtId="37" fontId="7" fillId="0" borderId="5" xfId="4" applyNumberFormat="1" applyFont="1" applyBorder="1"/>
    <xf numFmtId="37" fontId="7" fillId="0" borderId="0" xfId="4" applyNumberFormat="1" applyFont="1" applyAlignment="1">
      <alignment horizontal="right"/>
    </xf>
    <xf numFmtId="0" fontId="7" fillId="0" borderId="6" xfId="4" applyFont="1" applyBorder="1"/>
    <xf numFmtId="37" fontId="7" fillId="0" borderId="6" xfId="4" applyNumberFormat="1" applyFont="1" applyBorder="1"/>
    <xf numFmtId="0" fontId="18" fillId="0" borderId="0" xfId="4" applyFont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8" fontId="2" fillId="0" borderId="0" xfId="5" applyNumberFormat="1" applyFont="1" applyFill="1" applyBorder="1" applyProtection="1"/>
    <xf numFmtId="168" fontId="2" fillId="0" borderId="3" xfId="5" applyNumberFormat="1" applyFont="1" applyFill="1" applyBorder="1" applyProtection="1"/>
    <xf numFmtId="0" fontId="14" fillId="0" borderId="1" xfId="0" applyFont="1" applyBorder="1" applyAlignment="1">
      <alignment horizontal="center"/>
    </xf>
    <xf numFmtId="169" fontId="14" fillId="0" borderId="1" xfId="0" quotePrefix="1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/>
    <xf numFmtId="165" fontId="2" fillId="0" borderId="0" xfId="2" applyNumberFormat="1" applyFont="1" applyProtection="1"/>
    <xf numFmtId="0" fontId="19" fillId="0" borderId="0" xfId="0" applyFont="1" applyAlignment="1">
      <alignment horizontal="left"/>
    </xf>
    <xf numFmtId="0" fontId="19" fillId="0" borderId="0" xfId="0" applyFont="1"/>
    <xf numFmtId="165" fontId="4" fillId="0" borderId="0" xfId="2" applyNumberFormat="1" applyFont="1" applyFill="1" applyAlignment="1"/>
    <xf numFmtId="165" fontId="4" fillId="0" borderId="0" xfId="2" applyNumberFormat="1" applyFont="1" applyFill="1" applyAlignment="1">
      <alignment horizontal="center"/>
    </xf>
    <xf numFmtId="165" fontId="2" fillId="0" borderId="3" xfId="2" applyNumberFormat="1" applyFont="1" applyBorder="1" applyProtection="1"/>
    <xf numFmtId="165" fontId="0" fillId="0" borderId="0" xfId="2" applyNumberFormat="1" applyFont="1" applyFill="1"/>
    <xf numFmtId="165" fontId="2" fillId="0" borderId="0" xfId="2" applyNumberFormat="1" applyFont="1" applyBorder="1" applyProtection="1"/>
    <xf numFmtId="165" fontId="2" fillId="0" borderId="2" xfId="2" applyNumberFormat="1" applyFont="1" applyBorder="1" applyProtection="1"/>
    <xf numFmtId="0" fontId="14" fillId="0" borderId="0" xfId="0" applyFont="1"/>
    <xf numFmtId="165" fontId="20" fillId="0" borderId="0" xfId="0" applyNumberFormat="1" applyFont="1"/>
    <xf numFmtId="165" fontId="2" fillId="0" borderId="8" xfId="2" applyNumberFormat="1" applyFont="1" applyFill="1" applyBorder="1"/>
    <xf numFmtId="43" fontId="2" fillId="0" borderId="0" xfId="2" applyFont="1" applyFill="1"/>
    <xf numFmtId="0" fontId="20" fillId="0" borderId="0" xfId="0" applyFont="1"/>
    <xf numFmtId="165" fontId="2" fillId="0" borderId="0" xfId="2" applyNumberFormat="1" applyFont="1" applyFill="1" applyBorder="1"/>
    <xf numFmtId="0" fontId="21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43" fontId="2" fillId="0" borderId="0" xfId="2" applyFont="1" applyBorder="1" applyAlignment="1" applyProtection="1">
      <alignment horizontal="left"/>
    </xf>
    <xf numFmtId="43" fontId="2" fillId="0" borderId="0" xfId="2" applyFont="1" applyBorder="1" applyAlignment="1" applyProtection="1">
      <alignment horizontal="center"/>
    </xf>
    <xf numFmtId="43" fontId="2" fillId="0" borderId="8" xfId="2" applyFont="1" applyBorder="1" applyAlignment="1" applyProtection="1">
      <alignment horizontal="left"/>
    </xf>
    <xf numFmtId="0" fontId="2" fillId="0" borderId="8" xfId="0" applyFont="1" applyBorder="1"/>
    <xf numFmtId="41" fontId="2" fillId="0" borderId="8" xfId="0" applyNumberFormat="1" applyFont="1" applyBorder="1"/>
    <xf numFmtId="165" fontId="2" fillId="0" borderId="0" xfId="2" applyNumberFormat="1" applyFont="1" applyFill="1" applyAlignment="1">
      <alignment horizontal="right"/>
    </xf>
    <xf numFmtId="43" fontId="2" fillId="2" borderId="0" xfId="2" applyFont="1" applyFill="1"/>
    <xf numFmtId="165" fontId="2" fillId="2" borderId="0" xfId="2" applyNumberFormat="1" applyFont="1" applyFill="1"/>
    <xf numFmtId="0" fontId="7" fillId="0" borderId="1" xfId="4" applyFont="1" applyBorder="1" applyAlignment="1">
      <alignment horizontal="right" vertical="center"/>
    </xf>
    <xf numFmtId="37" fontId="5" fillId="0" borderId="0" xfId="0" applyNumberFormat="1" applyFont="1"/>
    <xf numFmtId="10" fontId="2" fillId="0" borderId="0" xfId="0" applyNumberFormat="1" applyFont="1"/>
    <xf numFmtId="164" fontId="2" fillId="0" borderId="0" xfId="1" applyNumberFormat="1" applyFont="1" applyFill="1" applyBorder="1"/>
    <xf numFmtId="43" fontId="20" fillId="0" borderId="0" xfId="2" applyFont="1" applyFill="1"/>
    <xf numFmtId="0" fontId="22" fillId="0" borderId="0" xfId="0" applyFont="1"/>
    <xf numFmtId="0" fontId="13" fillId="0" borderId="0" xfId="0" applyFont="1"/>
    <xf numFmtId="43" fontId="20" fillId="0" borderId="0" xfId="0" applyNumberFormat="1" applyFont="1"/>
    <xf numFmtId="0" fontId="20" fillId="0" borderId="0" xfId="0" applyFont="1" applyAlignment="1">
      <alignment horizontal="center"/>
    </xf>
    <xf numFmtId="165" fontId="2" fillId="2" borderId="0" xfId="0" applyNumberFormat="1" applyFont="1" applyFill="1"/>
    <xf numFmtId="0" fontId="2" fillId="2" borderId="0" xfId="0" applyFont="1" applyFill="1"/>
    <xf numFmtId="165" fontId="2" fillId="0" borderId="3" xfId="2" applyNumberFormat="1" applyFont="1" applyBorder="1"/>
    <xf numFmtId="165" fontId="2" fillId="0" borderId="0" xfId="2" applyNumberFormat="1" applyFont="1" applyBorder="1"/>
    <xf numFmtId="164" fontId="2" fillId="0" borderId="0" xfId="1" applyNumberFormat="1" applyFont="1" applyBorder="1"/>
    <xf numFmtId="165" fontId="2" fillId="0" borderId="0" xfId="0" applyNumberFormat="1" applyFont="1"/>
    <xf numFmtId="164" fontId="2" fillId="0" borderId="0" xfId="1" applyNumberFormat="1" applyFont="1"/>
    <xf numFmtId="166" fontId="2" fillId="0" borderId="0" xfId="1" applyNumberFormat="1" applyFont="1" applyBorder="1"/>
    <xf numFmtId="167" fontId="2" fillId="0" borderId="0" xfId="2" applyNumberFormat="1" applyFont="1" applyBorder="1"/>
    <xf numFmtId="164" fontId="2" fillId="0" borderId="4" xfId="1" applyNumberFormat="1" applyFont="1" applyBorder="1"/>
    <xf numFmtId="0" fontId="2" fillId="0" borderId="4" xfId="0" applyFont="1" applyBorder="1"/>
    <xf numFmtId="164" fontId="14" fillId="0" borderId="1" xfId="1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2" xfId="1" applyNumberFormat="1" applyFont="1" applyBorder="1"/>
    <xf numFmtId="0" fontId="14" fillId="0" borderId="1" xfId="0" applyFont="1" applyBorder="1"/>
    <xf numFmtId="0" fontId="14" fillId="0" borderId="0" xfId="3" applyFont="1" applyAlignment="1">
      <alignment horizontal="right"/>
    </xf>
    <xf numFmtId="0" fontId="2" fillId="0" borderId="0" xfId="3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10" fontId="2" fillId="0" borderId="0" xfId="5" applyNumberFormat="1" applyFont="1"/>
    <xf numFmtId="0" fontId="2" fillId="0" borderId="3" xfId="0" applyFont="1" applyBorder="1" applyAlignment="1">
      <alignment horizontal="right"/>
    </xf>
    <xf numFmtId="41" fontId="2" fillId="0" borderId="3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41" fontId="14" fillId="0" borderId="2" xfId="0" applyNumberFormat="1" applyFont="1" applyBorder="1"/>
    <xf numFmtId="0" fontId="5" fillId="0" borderId="0" xfId="0" applyFont="1" applyAlignment="1">
      <alignment horizontal="left" vertical="top" wrapText="1"/>
    </xf>
    <xf numFmtId="164" fontId="5" fillId="0" borderId="0" xfId="0" applyNumberFormat="1" applyFont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23" fillId="0" borderId="0" xfId="0" applyFont="1"/>
    <xf numFmtId="44" fontId="5" fillId="0" borderId="0" xfId="1" applyFont="1"/>
    <xf numFmtId="44" fontId="23" fillId="0" borderId="0" xfId="1" applyFont="1"/>
    <xf numFmtId="44" fontId="5" fillId="0" borderId="3" xfId="1" applyFont="1" applyBorder="1"/>
    <xf numFmtId="44" fontId="5" fillId="0" borderId="0" xfId="2" applyNumberFormat="1" applyFont="1" applyBorder="1"/>
    <xf numFmtId="44" fontId="5" fillId="0" borderId="2" xfId="2" applyNumberFormat="1" applyFont="1" applyBorder="1"/>
    <xf numFmtId="43" fontId="23" fillId="0" borderId="0" xfId="2" applyFont="1"/>
    <xf numFmtId="0" fontId="6" fillId="0" borderId="0" xfId="0" applyFont="1"/>
    <xf numFmtId="170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 wrapText="1"/>
    </xf>
    <xf numFmtId="0" fontId="5" fillId="0" borderId="1" xfId="0" applyFont="1" applyBorder="1"/>
    <xf numFmtId="164" fontId="2" fillId="0" borderId="3" xfId="1" applyNumberFormat="1" applyFont="1" applyFill="1" applyBorder="1"/>
    <xf numFmtId="164" fontId="2" fillId="0" borderId="3" xfId="1" applyNumberFormat="1" applyFont="1" applyBorder="1"/>
    <xf numFmtId="164" fontId="2" fillId="0" borderId="2" xfId="0" applyNumberFormat="1" applyFont="1" applyBorder="1"/>
    <xf numFmtId="165" fontId="2" fillId="0" borderId="0" xfId="2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4" fillId="0" borderId="0" xfId="3" applyFont="1"/>
    <xf numFmtId="0" fontId="13" fillId="0" borderId="0" xfId="0" applyFont="1" applyAlignment="1">
      <alignment horizontal="right"/>
    </xf>
    <xf numFmtId="9" fontId="20" fillId="0" borderId="0" xfId="0" applyNumberFormat="1" applyFont="1"/>
    <xf numFmtId="10" fontId="2" fillId="0" borderId="0" xfId="5" applyNumberFormat="1" applyFont="1" applyBorder="1" applyProtection="1"/>
    <xf numFmtId="0" fontId="2" fillId="0" borderId="0" xfId="3" applyFont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44" fontId="2" fillId="0" borderId="0" xfId="0" applyNumberFormat="1" applyFont="1"/>
    <xf numFmtId="43" fontId="2" fillId="0" borderId="0" xfId="2" applyFont="1"/>
    <xf numFmtId="44" fontId="2" fillId="0" borderId="3" xfId="1" applyFont="1" applyBorder="1"/>
    <xf numFmtId="44" fontId="14" fillId="0" borderId="3" xfId="0" applyNumberFormat="1" applyFont="1" applyBorder="1"/>
    <xf numFmtId="0" fontId="14" fillId="0" borderId="2" xfId="0" applyFont="1" applyBorder="1" applyAlignment="1">
      <alignment horizontal="right"/>
    </xf>
    <xf numFmtId="0" fontId="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171" fontId="5" fillId="0" borderId="0" xfId="5" applyNumberFormat="1" applyFont="1" applyBorder="1"/>
    <xf numFmtId="0" fontId="5" fillId="0" borderId="2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0" xfId="3" applyFont="1" applyFill="1" applyAlignment="1">
      <alignment horizontal="center"/>
    </xf>
    <xf numFmtId="169" fontId="2" fillId="3" borderId="1" xfId="0" quotePrefix="1" applyNumberFormat="1" applyFont="1" applyFill="1" applyBorder="1" applyAlignment="1">
      <alignment horizontal="center"/>
    </xf>
    <xf numFmtId="41" fontId="2" fillId="0" borderId="0" xfId="2" applyNumberFormat="1" applyFont="1" applyFill="1"/>
    <xf numFmtId="2" fontId="2" fillId="0" borderId="0" xfId="0" applyNumberFormat="1" applyFont="1"/>
    <xf numFmtId="37" fontId="2" fillId="0" borderId="0" xfId="0" applyNumberFormat="1" applyFont="1"/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2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2" fillId="0" borderId="0" xfId="0" quotePrefix="1" applyFont="1"/>
    <xf numFmtId="0" fontId="13" fillId="0" borderId="0" xfId="0" applyFont="1" applyAlignment="1">
      <alignment horizontal="center"/>
    </xf>
    <xf numFmtId="164" fontId="2" fillId="0" borderId="0" xfId="1" applyNumberFormat="1" applyFont="1" applyFill="1" applyBorder="1" applyProtection="1"/>
    <xf numFmtId="0" fontId="14" fillId="0" borderId="3" xfId="0" applyFont="1" applyBorder="1" applyAlignment="1">
      <alignment horizontal="left"/>
    </xf>
    <xf numFmtId="10" fontId="2" fillId="0" borderId="3" xfId="5" applyNumberFormat="1" applyFont="1" applyBorder="1" applyProtection="1"/>
    <xf numFmtId="164" fontId="14" fillId="0" borderId="7" xfId="0" applyNumberFormat="1" applyFont="1" applyBorder="1"/>
    <xf numFmtId="164" fontId="2" fillId="0" borderId="0" xfId="1" applyNumberFormat="1" applyFont="1" applyFill="1" applyBorder="1" applyAlignment="1" applyProtection="1">
      <alignment horizontal="center"/>
    </xf>
    <xf numFmtId="164" fontId="2" fillId="0" borderId="3" xfId="0" applyNumberFormat="1" applyFont="1" applyBorder="1"/>
    <xf numFmtId="164" fontId="2" fillId="0" borderId="2" xfId="1" applyNumberFormat="1" applyFont="1" applyBorder="1" applyAlignment="1" applyProtection="1"/>
    <xf numFmtId="164" fontId="25" fillId="0" borderId="0" xfId="1" applyNumberFormat="1" applyFont="1" applyBorder="1" applyProtection="1"/>
    <xf numFmtId="168" fontId="2" fillId="0" borderId="0" xfId="5" applyNumberFormat="1" applyFont="1" applyBorder="1"/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4" xfId="0" quotePrefix="1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6" fontId="2" fillId="0" borderId="15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6" fontId="2" fillId="0" borderId="1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69" fontId="2" fillId="0" borderId="11" xfId="0" quotePrefix="1" applyNumberFormat="1" applyFont="1" applyBorder="1" applyAlignment="1">
      <alignment horizontal="center"/>
    </xf>
    <xf numFmtId="169" fontId="2" fillId="0" borderId="8" xfId="0" quotePrefix="1" applyNumberFormat="1" applyFont="1" applyBorder="1" applyAlignment="1">
      <alignment horizontal="center"/>
    </xf>
    <xf numFmtId="169" fontId="2" fillId="0" borderId="12" xfId="0" quotePrefix="1" applyNumberFormat="1" applyFont="1" applyBorder="1" applyAlignment="1">
      <alignment horizontal="center"/>
    </xf>
    <xf numFmtId="169" fontId="2" fillId="0" borderId="7" xfId="0" quotePrefix="1" applyNumberFormat="1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168" fontId="2" fillId="0" borderId="0" xfId="5" applyNumberFormat="1" applyFont="1"/>
    <xf numFmtId="14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1" fontId="2" fillId="0" borderId="0" xfId="2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165" fontId="2" fillId="0" borderId="8" xfId="2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38" fontId="2" fillId="0" borderId="0" xfId="2" applyNumberFormat="1" applyFont="1" applyAlignment="1">
      <alignment vertical="center"/>
    </xf>
    <xf numFmtId="165" fontId="2" fillId="0" borderId="0" xfId="2" applyNumberFormat="1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0" fontId="2" fillId="0" borderId="3" xfId="5" applyNumberFormat="1" applyFont="1" applyBorder="1"/>
    <xf numFmtId="165" fontId="14" fillId="0" borderId="7" xfId="2" applyNumberFormat="1" applyFont="1" applyBorder="1"/>
    <xf numFmtId="165" fontId="2" fillId="0" borderId="2" xfId="2" applyNumberFormat="1" applyFont="1" applyBorder="1"/>
    <xf numFmtId="10" fontId="2" fillId="0" borderId="2" xfId="5" applyNumberFormat="1" applyFont="1" applyBorder="1"/>
    <xf numFmtId="172" fontId="5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25" fillId="0" borderId="0" xfId="1" applyNumberFormat="1" applyFont="1"/>
    <xf numFmtId="0" fontId="2" fillId="3" borderId="0" xfId="0" applyFont="1" applyFill="1"/>
    <xf numFmtId="37" fontId="2" fillId="3" borderId="0" xfId="0" applyNumberFormat="1" applyFont="1" applyFill="1"/>
    <xf numFmtId="164" fontId="2" fillId="0" borderId="0" xfId="1" applyNumberFormat="1" applyFont="1" applyFill="1"/>
    <xf numFmtId="14" fontId="5" fillId="0" borderId="0" xfId="0" applyNumberFormat="1" applyFont="1"/>
    <xf numFmtId="165" fontId="2" fillId="0" borderId="7" xfId="2" applyNumberFormat="1" applyFont="1" applyFill="1" applyBorder="1"/>
    <xf numFmtId="10" fontId="20" fillId="0" borderId="0" xfId="5" applyNumberFormat="1" applyFont="1"/>
    <xf numFmtId="164" fontId="20" fillId="0" borderId="0" xfId="1" applyNumberFormat="1" applyFont="1"/>
    <xf numFmtId="0" fontId="20" fillId="6" borderId="0" xfId="0" applyFont="1" applyFill="1"/>
    <xf numFmtId="44" fontId="20" fillId="0" borderId="0" xfId="0" applyNumberFormat="1" applyFont="1"/>
    <xf numFmtId="44" fontId="2" fillId="0" borderId="0" xfId="1" applyFont="1" applyFill="1"/>
    <xf numFmtId="164" fontId="2" fillId="0" borderId="3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9" fillId="0" borderId="0" xfId="0" applyFont="1" applyAlignment="1">
      <alignment horizontal="right"/>
    </xf>
    <xf numFmtId="44" fontId="5" fillId="0" borderId="1" xfId="1" applyFont="1" applyBorder="1" applyAlignment="1" applyProtection="1">
      <alignment horizontal="center"/>
      <protection locked="0"/>
    </xf>
    <xf numFmtId="40" fontId="5" fillId="0" borderId="1" xfId="2" applyNumberFormat="1" applyFont="1" applyBorder="1" applyAlignment="1" applyProtection="1">
      <alignment horizontal="center" wrapText="1"/>
      <protection locked="0"/>
    </xf>
    <xf numFmtId="40" fontId="5" fillId="0" borderId="1" xfId="1" applyNumberFormat="1" applyFont="1" applyFill="1" applyBorder="1" applyAlignment="1">
      <alignment horizontal="center"/>
    </xf>
    <xf numFmtId="40" fontId="5" fillId="0" borderId="1" xfId="2" applyNumberFormat="1" applyFont="1" applyBorder="1" applyAlignment="1" applyProtection="1">
      <alignment horizontal="center"/>
      <protection locked="0"/>
    </xf>
    <xf numFmtId="40" fontId="5" fillId="0" borderId="1" xfId="2" applyNumberFormat="1" applyFont="1" applyBorder="1" applyAlignment="1" applyProtection="1">
      <alignment horizontal="right"/>
      <protection locked="0"/>
    </xf>
    <xf numFmtId="165" fontId="5" fillId="0" borderId="0" xfId="2" quotePrefix="1" applyNumberFormat="1" applyFont="1" applyBorder="1" applyAlignment="1">
      <alignment horizontal="center"/>
    </xf>
    <xf numFmtId="44" fontId="5" fillId="0" borderId="0" xfId="1" applyFont="1" applyBorder="1" applyProtection="1">
      <protection locked="0"/>
    </xf>
    <xf numFmtId="0" fontId="5" fillId="0" borderId="0" xfId="0" quotePrefix="1" applyFont="1" applyAlignment="1">
      <alignment horizontal="center"/>
    </xf>
    <xf numFmtId="164" fontId="5" fillId="0" borderId="0" xfId="1" applyNumberFormat="1" applyFont="1" applyFill="1"/>
    <xf numFmtId="165" fontId="5" fillId="0" borderId="0" xfId="2" applyNumberFormat="1" applyFont="1" applyAlignment="1">
      <alignment horizontal="center"/>
    </xf>
    <xf numFmtId="44" fontId="5" fillId="0" borderId="0" xfId="0" applyNumberFormat="1" applyFont="1"/>
    <xf numFmtId="164" fontId="5" fillId="0" borderId="1" xfId="1" applyNumberFormat="1" applyFont="1" applyFill="1" applyBorder="1"/>
    <xf numFmtId="165" fontId="5" fillId="0" borderId="1" xfId="2" applyNumberFormat="1" applyFont="1" applyBorder="1" applyAlignment="1">
      <alignment horizontal="center"/>
    </xf>
    <xf numFmtId="171" fontId="5" fillId="0" borderId="1" xfId="5" applyNumberFormat="1" applyFont="1" applyFill="1" applyBorder="1" applyAlignment="1">
      <alignment horizontal="center"/>
    </xf>
    <xf numFmtId="44" fontId="5" fillId="0" borderId="1" xfId="0" applyNumberFormat="1" applyFont="1" applyBorder="1"/>
    <xf numFmtId="0" fontId="5" fillId="0" borderId="0" xfId="0" quotePrefix="1" applyFont="1"/>
    <xf numFmtId="44" fontId="5" fillId="0" borderId="2" xfId="0" applyNumberFormat="1" applyFont="1" applyBorder="1"/>
    <xf numFmtId="167" fontId="5" fillId="0" borderId="0" xfId="2" applyNumberFormat="1" applyFont="1" applyBorder="1"/>
    <xf numFmtId="0" fontId="2" fillId="0" borderId="0" xfId="0" applyFont="1" applyAlignment="1">
      <alignment vertical="top"/>
    </xf>
    <xf numFmtId="0" fontId="2" fillId="0" borderId="0" xfId="3" applyFont="1" applyAlignment="1">
      <alignment horizontal="left" vertical="center"/>
    </xf>
    <xf numFmtId="165" fontId="5" fillId="0" borderId="0" xfId="0" applyNumberFormat="1" applyFont="1"/>
    <xf numFmtId="164" fontId="2" fillId="5" borderId="0" xfId="1" applyNumberFormat="1" applyFont="1" applyFill="1"/>
    <xf numFmtId="0" fontId="14" fillId="0" borderId="0" xfId="3" applyFont="1" applyAlignment="1">
      <alignment horizontal="center"/>
    </xf>
    <xf numFmtId="9" fontId="2" fillId="0" borderId="0" xfId="5" applyFont="1"/>
    <xf numFmtId="0" fontId="4" fillId="0" borderId="0" xfId="0" applyFont="1" applyAlignment="1">
      <alignment horizontal="center"/>
    </xf>
    <xf numFmtId="0" fontId="18" fillId="0" borderId="0" xfId="4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4" fillId="0" borderId="0" xfId="3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3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2" fillId="0" borderId="0" xfId="1" applyNumberFormat="1" applyFont="1" applyBorder="1" applyAlignment="1" applyProtection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164" fontId="2" fillId="0" borderId="3" xfId="1" applyNumberFormat="1" applyFont="1" applyFill="1" applyBorder="1" applyAlignment="1" applyProtection="1"/>
    <xf numFmtId="43" fontId="2" fillId="5" borderId="0" xfId="2" applyFont="1" applyFill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165" fontId="2" fillId="0" borderId="0" xfId="2" applyNumberFormat="1" applyFont="1" applyFill="1" applyProtection="1"/>
    <xf numFmtId="0" fontId="14" fillId="0" borderId="0" xfId="0" applyFont="1" applyFill="1" applyAlignment="1">
      <alignment horizontal="center"/>
    </xf>
    <xf numFmtId="0" fontId="14" fillId="0" borderId="0" xfId="3" applyFont="1" applyAlignment="1"/>
    <xf numFmtId="0" fontId="2" fillId="0" borderId="0" xfId="0" applyFont="1" applyFill="1"/>
    <xf numFmtId="0" fontId="14" fillId="0" borderId="0" xfId="3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2" fillId="0" borderId="1" xfId="0" quotePrefix="1" applyFont="1" applyFill="1" applyBorder="1" applyAlignment="1">
      <alignment horizontal="center"/>
    </xf>
    <xf numFmtId="41" fontId="2" fillId="0" borderId="0" xfId="0" applyNumberFormat="1" applyFont="1" applyFill="1"/>
    <xf numFmtId="10" fontId="2" fillId="0" borderId="0" xfId="5" applyNumberFormat="1" applyFont="1" applyFill="1" applyBorder="1" applyProtection="1"/>
    <xf numFmtId="41" fontId="2" fillId="0" borderId="3" xfId="0" applyNumberFormat="1" applyFont="1" applyFill="1" applyBorder="1"/>
    <xf numFmtId="168" fontId="2" fillId="0" borderId="0" xfId="0" applyNumberFormat="1" applyFont="1" applyFill="1"/>
    <xf numFmtId="10" fontId="2" fillId="0" borderId="0" xfId="0" applyNumberFormat="1" applyFont="1" applyFill="1"/>
    <xf numFmtId="41" fontId="2" fillId="0" borderId="8" xfId="0" applyNumberFormat="1" applyFont="1" applyFill="1" applyBorder="1"/>
    <xf numFmtId="10" fontId="2" fillId="0" borderId="8" xfId="0" applyNumberFormat="1" applyFont="1" applyFill="1" applyBorder="1"/>
    <xf numFmtId="41" fontId="2" fillId="0" borderId="2" xfId="0" applyNumberFormat="1" applyFont="1" applyFill="1" applyBorder="1"/>
    <xf numFmtId="0" fontId="2" fillId="0" borderId="2" xfId="0" applyFont="1" applyFill="1" applyBorder="1"/>
    <xf numFmtId="0" fontId="13" fillId="0" borderId="0" xfId="0" applyFont="1" applyFill="1" applyAlignment="1">
      <alignment horizontal="right" wrapText="1"/>
    </xf>
    <xf numFmtId="164" fontId="2" fillId="0" borderId="7" xfId="1" applyNumberFormat="1" applyFont="1" applyFill="1" applyBorder="1" applyAlignment="1" applyProtection="1">
      <alignment horizontal="center"/>
    </xf>
    <xf numFmtId="168" fontId="2" fillId="0" borderId="2" xfId="5" applyNumberFormat="1" applyFont="1" applyFill="1" applyBorder="1" applyProtection="1"/>
    <xf numFmtId="3" fontId="30" fillId="0" borderId="0" xfId="0" applyNumberFormat="1" applyFont="1" applyFill="1" applyAlignment="1">
      <alignment vertical="center"/>
    </xf>
    <xf numFmtId="0" fontId="2" fillId="0" borderId="3" xfId="0" applyFont="1" applyFill="1" applyBorder="1"/>
    <xf numFmtId="0" fontId="14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174" fontId="5" fillId="0" borderId="0" xfId="0" quotePrefix="1" applyNumberFormat="1" applyFont="1"/>
    <xf numFmtId="172" fontId="5" fillId="0" borderId="0" xfId="0" quotePrefix="1" applyNumberFormat="1" applyFont="1"/>
    <xf numFmtId="0" fontId="2" fillId="0" borderId="0" xfId="3" applyFont="1" applyFill="1"/>
    <xf numFmtId="0" fontId="2" fillId="0" borderId="0" xfId="0" quotePrefix="1" applyFont="1" applyFill="1"/>
    <xf numFmtId="0" fontId="5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73" fontId="4" fillId="0" borderId="1" xfId="0" quotePrefix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74" fontId="4" fillId="0" borderId="1" xfId="0" quotePrefix="1" applyNumberFormat="1" applyFont="1" applyBorder="1" applyAlignment="1">
      <alignment horizontal="center"/>
    </xf>
    <xf numFmtId="172" fontId="4" fillId="0" borderId="1" xfId="0" quotePrefix="1" applyNumberFormat="1" applyFont="1" applyBorder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3" applyFont="1" applyAlignment="1">
      <alignment horizontal="center"/>
    </xf>
    <xf numFmtId="173" fontId="5" fillId="0" borderId="0" xfId="0" quotePrefix="1" applyNumberFormat="1" applyFont="1" applyAlignment="1">
      <alignment horizontal="center"/>
    </xf>
    <xf numFmtId="173" fontId="5" fillId="0" borderId="3" xfId="0" applyNumberFormat="1" applyFont="1" applyBorder="1" applyAlignment="1">
      <alignment horizontal="center"/>
    </xf>
    <xf numFmtId="173" fontId="4" fillId="0" borderId="0" xfId="0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74" fontId="4" fillId="0" borderId="0" xfId="0" quotePrefix="1" applyNumberFormat="1" applyFont="1" applyBorder="1" applyAlignment="1">
      <alignment horizontal="center"/>
    </xf>
    <xf numFmtId="172" fontId="4" fillId="0" borderId="0" xfId="0" quotePrefix="1" applyNumberFormat="1" applyFont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</cellXfs>
  <cellStyles count="9">
    <cellStyle name="Comma" xfId="2" builtinId="3"/>
    <cellStyle name="Comma 2" xfId="6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4" xfId="8" xr:uid="{00000000-0005-0000-0000-000007000000}"/>
    <cellStyle name="Percent" xfId="5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  <color rgb="FF0000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77"/>
  <sheetViews>
    <sheetView view="pageBreakPreview" zoomScaleNormal="75" zoomScaleSheetLayoutView="100" workbookViewId="0">
      <pane xSplit="2" ySplit="7" topLeftCell="C40" activePane="bottomRight" state="frozen"/>
      <selection pane="topRight" activeCell="C1" sqref="C1"/>
      <selection pane="bottomLeft" activeCell="A8" sqref="A8"/>
      <selection pane="bottomRight" activeCell="J63" sqref="J63"/>
    </sheetView>
  </sheetViews>
  <sheetFormatPr defaultColWidth="9.140625" defaultRowHeight="15"/>
  <cols>
    <col min="1" max="1" width="9.140625" style="112"/>
    <col min="2" max="2" width="27.5703125" style="91" customWidth="1"/>
    <col min="3" max="3" width="14.28515625" style="91" customWidth="1"/>
    <col min="4" max="4" width="14.42578125" style="91" bestFit="1" customWidth="1"/>
    <col min="5" max="5" width="14.5703125" style="91" bestFit="1" customWidth="1"/>
    <col min="6" max="6" width="13.5703125" style="91" customWidth="1"/>
    <col min="7" max="7" width="9.140625" style="91"/>
    <col min="8" max="8" width="15.7109375" style="91" bestFit="1" customWidth="1"/>
    <col min="9" max="9" width="11.28515625" style="91" bestFit="1" customWidth="1"/>
    <col min="10" max="10" width="9.140625" style="91"/>
    <col min="11" max="11" width="16.28515625" style="91" bestFit="1" customWidth="1"/>
    <col min="12" max="16384" width="9.140625" style="91"/>
  </cols>
  <sheetData>
    <row r="1" spans="1:11">
      <c r="A1" s="87" t="s">
        <v>342</v>
      </c>
      <c r="B1" s="87"/>
      <c r="D1" s="87"/>
      <c r="E1" s="87"/>
      <c r="F1" s="87"/>
      <c r="H1" s="108"/>
    </row>
    <row r="2" spans="1:11">
      <c r="A2" s="87" t="s">
        <v>226</v>
      </c>
      <c r="B2" s="87"/>
      <c r="C2" s="87"/>
      <c r="D2" s="87"/>
      <c r="E2" s="87"/>
      <c r="F2" s="87"/>
      <c r="H2" s="108"/>
    </row>
    <row r="3" spans="1:11">
      <c r="A3" s="87" t="s">
        <v>387</v>
      </c>
      <c r="B3" s="87"/>
      <c r="C3" s="87"/>
      <c r="D3" s="87"/>
      <c r="E3" s="87"/>
      <c r="F3" s="87"/>
      <c r="H3" s="108"/>
    </row>
    <row r="4" spans="1:11">
      <c r="A4" s="95"/>
      <c r="B4" s="2"/>
      <c r="C4" s="95"/>
      <c r="D4" s="2"/>
      <c r="E4" s="2"/>
      <c r="F4" s="2"/>
      <c r="H4" s="108"/>
    </row>
    <row r="5" spans="1:11" ht="6.75" customHeight="1">
      <c r="A5" s="1"/>
      <c r="B5" s="2"/>
      <c r="H5" s="108"/>
    </row>
    <row r="6" spans="1:11" ht="26.25">
      <c r="A6" s="95" t="s">
        <v>0</v>
      </c>
      <c r="B6" s="95" t="s">
        <v>1</v>
      </c>
      <c r="C6" s="94" t="s">
        <v>238</v>
      </c>
      <c r="D6" s="94" t="s">
        <v>247</v>
      </c>
      <c r="E6" s="94" t="s">
        <v>594</v>
      </c>
      <c r="F6" s="94" t="s">
        <v>255</v>
      </c>
      <c r="H6" s="108"/>
    </row>
    <row r="7" spans="1:11" s="109" customFormat="1">
      <c r="A7" s="74" t="s">
        <v>21</v>
      </c>
      <c r="B7" s="75">
        <v>1</v>
      </c>
      <c r="C7" s="75">
        <f>B7+1</f>
        <v>2</v>
      </c>
      <c r="D7" s="75" t="s">
        <v>25</v>
      </c>
      <c r="E7" s="75" t="s">
        <v>50</v>
      </c>
      <c r="F7" s="75" t="s">
        <v>51</v>
      </c>
      <c r="G7" s="91"/>
      <c r="H7" s="108"/>
      <c r="I7" s="91"/>
    </row>
    <row r="8" spans="1:11">
      <c r="A8" s="1">
        <v>1</v>
      </c>
      <c r="B8" s="110" t="s">
        <v>77</v>
      </c>
      <c r="C8" s="88"/>
      <c r="D8" s="88"/>
      <c r="E8" s="88"/>
      <c r="F8" s="88"/>
      <c r="H8" s="108"/>
      <c r="K8" s="253"/>
    </row>
    <row r="9" spans="1:11">
      <c r="A9" s="1">
        <f>A8+1</f>
        <v>2</v>
      </c>
      <c r="B9" s="2" t="s">
        <v>165</v>
      </c>
      <c r="C9" s="31">
        <v>154067757</v>
      </c>
      <c r="D9" s="31">
        <f>'Adj List'!D26</f>
        <v>-23437490.179873846</v>
      </c>
      <c r="E9" s="31">
        <f>D9+C9</f>
        <v>130630266.82012615</v>
      </c>
      <c r="F9" s="31">
        <f>E9+E57</f>
        <v>133822539.13656785</v>
      </c>
      <c r="H9" s="108"/>
      <c r="K9" s="253"/>
    </row>
    <row r="10" spans="1:11">
      <c r="A10" s="1">
        <f t="shared" ref="A10:A58" si="0">A9+1</f>
        <v>3</v>
      </c>
      <c r="B10" s="2" t="s">
        <v>108</v>
      </c>
      <c r="C10" s="31">
        <v>3355383.33</v>
      </c>
      <c r="D10" s="31">
        <v>0</v>
      </c>
      <c r="E10" s="31">
        <f>D10+C10</f>
        <v>3355383.33</v>
      </c>
      <c r="F10" s="31">
        <f>E10</f>
        <v>3355383.33</v>
      </c>
      <c r="K10" s="253"/>
    </row>
    <row r="11" spans="1:11">
      <c r="A11" s="1">
        <f t="shared" si="0"/>
        <v>4</v>
      </c>
      <c r="B11" s="38" t="s">
        <v>164</v>
      </c>
      <c r="C11" s="47">
        <v>157423140.33000001</v>
      </c>
      <c r="D11" s="47">
        <f>SUM(D9:D10)</f>
        <v>-23437490.179873846</v>
      </c>
      <c r="E11" s="47">
        <f>SUM(E9:E10)</f>
        <v>133985650.15012614</v>
      </c>
      <c r="F11" s="47">
        <f>SUM(F9:F10)</f>
        <v>137177922.46656784</v>
      </c>
      <c r="H11" s="111"/>
      <c r="I11" s="111"/>
      <c r="K11" s="253"/>
    </row>
    <row r="12" spans="1:11">
      <c r="A12" s="1">
        <f t="shared" si="0"/>
        <v>5</v>
      </c>
      <c r="B12" s="2"/>
      <c r="C12" s="31"/>
      <c r="D12" s="31"/>
      <c r="E12" s="31"/>
      <c r="F12" s="31"/>
      <c r="H12" s="111"/>
      <c r="K12" s="253"/>
    </row>
    <row r="13" spans="1:11">
      <c r="A13" s="1">
        <f t="shared" si="0"/>
        <v>6</v>
      </c>
      <c r="B13" s="110" t="s">
        <v>78</v>
      </c>
      <c r="C13" s="31"/>
      <c r="D13" s="31"/>
      <c r="E13" s="31"/>
      <c r="F13" s="31"/>
    </row>
    <row r="14" spans="1:11">
      <c r="A14" s="1">
        <f t="shared" si="0"/>
        <v>7</v>
      </c>
      <c r="B14" s="2" t="s">
        <v>79</v>
      </c>
      <c r="C14" s="31">
        <v>119810459</v>
      </c>
      <c r="D14" s="31">
        <f>'Adj List'!E6+'Adj List'!E7+'Adj List'!E9</f>
        <v>-23755889.800173301</v>
      </c>
      <c r="E14" s="31">
        <f t="shared" ref="E14:E20" si="1">D14+C14</f>
        <v>96054569.199826702</v>
      </c>
      <c r="F14" s="31">
        <f>E14</f>
        <v>96054569.199826702</v>
      </c>
    </row>
    <row r="15" spans="1:11">
      <c r="A15" s="1">
        <f t="shared" si="0"/>
        <v>8</v>
      </c>
      <c r="B15" s="2" t="s">
        <v>80</v>
      </c>
      <c r="C15" s="31">
        <v>3365333.03</v>
      </c>
      <c r="D15" s="31">
        <v>0</v>
      </c>
      <c r="E15" s="31">
        <f t="shared" si="1"/>
        <v>3365333.03</v>
      </c>
      <c r="F15" s="31">
        <f t="shared" ref="F15:F20" si="2">E15</f>
        <v>3365333.03</v>
      </c>
    </row>
    <row r="16" spans="1:11">
      <c r="A16" s="1">
        <f t="shared" si="0"/>
        <v>9</v>
      </c>
      <c r="B16" s="2" t="s">
        <v>81</v>
      </c>
      <c r="C16" s="31">
        <v>9769933.8699999992</v>
      </c>
      <c r="D16" s="31">
        <v>0</v>
      </c>
      <c r="E16" s="31">
        <f t="shared" si="1"/>
        <v>9769933.8699999992</v>
      </c>
      <c r="F16" s="31">
        <f t="shared" si="2"/>
        <v>9769933.8699999992</v>
      </c>
    </row>
    <row r="17" spans="1:9">
      <c r="A17" s="1">
        <f t="shared" si="0"/>
        <v>10</v>
      </c>
      <c r="B17" s="2" t="s">
        <v>82</v>
      </c>
      <c r="C17" s="31">
        <v>3053625.62</v>
      </c>
      <c r="D17" s="31">
        <v>0</v>
      </c>
      <c r="E17" s="31">
        <f t="shared" si="1"/>
        <v>3053625.62</v>
      </c>
      <c r="F17" s="31">
        <f t="shared" si="2"/>
        <v>3053625.62</v>
      </c>
    </row>
    <row r="18" spans="1:9">
      <c r="A18" s="1">
        <f t="shared" si="0"/>
        <v>11</v>
      </c>
      <c r="B18" s="2" t="s">
        <v>83</v>
      </c>
      <c r="C18" s="31">
        <v>357986.57</v>
      </c>
      <c r="D18" s="31">
        <v>0</v>
      </c>
      <c r="E18" s="31">
        <f t="shared" si="1"/>
        <v>357986.57</v>
      </c>
      <c r="F18" s="31">
        <f t="shared" si="2"/>
        <v>357986.57</v>
      </c>
    </row>
    <row r="19" spans="1:9">
      <c r="A19" s="1">
        <f t="shared" si="0"/>
        <v>12</v>
      </c>
      <c r="B19" s="2" t="s">
        <v>84</v>
      </c>
      <c r="C19" s="31"/>
      <c r="D19" s="31">
        <v>0</v>
      </c>
      <c r="E19" s="31">
        <f t="shared" si="1"/>
        <v>0</v>
      </c>
      <c r="F19" s="31">
        <f t="shared" si="2"/>
        <v>0</v>
      </c>
    </row>
    <row r="20" spans="1:9">
      <c r="A20" s="1">
        <f t="shared" si="0"/>
        <v>13</v>
      </c>
      <c r="B20" s="2" t="s">
        <v>85</v>
      </c>
      <c r="C20" s="31">
        <v>4601389.2</v>
      </c>
      <c r="D20" s="31">
        <f>'Adj List'!E8+'Adj List'!E11+'Adj List'!E13+'Adj List'!E14+'Adj List'!E15+'Adj List'!E17+'Adj List'!E18+'Adj List'!E19+'Adj List'!E20</f>
        <v>-337051.44825883931</v>
      </c>
      <c r="E20" s="31">
        <f t="shared" si="1"/>
        <v>4264337.7517411606</v>
      </c>
      <c r="F20" s="31">
        <f t="shared" si="2"/>
        <v>4264337.7517411606</v>
      </c>
    </row>
    <row r="21" spans="1:9">
      <c r="A21" s="1">
        <f t="shared" si="0"/>
        <v>14</v>
      </c>
      <c r="B21" s="38" t="s">
        <v>86</v>
      </c>
      <c r="C21" s="47">
        <f>SUM(C14:C20)</f>
        <v>140958727.28999999</v>
      </c>
      <c r="D21" s="47">
        <f>SUM(D14:D20)</f>
        <v>-24092941.248432141</v>
      </c>
      <c r="E21" s="47">
        <f>SUM(E14:E20)</f>
        <v>116865786.04156786</v>
      </c>
      <c r="F21" s="47">
        <f>SUM(F14:F20)</f>
        <v>116865786.04156786</v>
      </c>
    </row>
    <row r="22" spans="1:9">
      <c r="A22" s="1">
        <f t="shared" si="0"/>
        <v>15</v>
      </c>
      <c r="C22" s="31"/>
      <c r="D22" s="31"/>
      <c r="E22" s="31"/>
      <c r="F22" s="31"/>
    </row>
    <row r="23" spans="1:9">
      <c r="A23" s="1">
        <f t="shared" si="0"/>
        <v>16</v>
      </c>
      <c r="B23" s="2" t="s">
        <v>87</v>
      </c>
      <c r="C23" s="31">
        <v>12787113.789999999</v>
      </c>
      <c r="D23" s="31">
        <f>'Adj List'!E12</f>
        <v>294695.17000000004</v>
      </c>
      <c r="E23" s="31">
        <f t="shared" ref="E23:E27" si="3">D23+C23</f>
        <v>13081808.959999999</v>
      </c>
      <c r="F23" s="31">
        <f>E23</f>
        <v>13081808.959999999</v>
      </c>
    </row>
    <row r="24" spans="1:9">
      <c r="A24" s="1">
        <f t="shared" si="0"/>
        <v>17</v>
      </c>
      <c r="B24" s="2" t="s">
        <v>88</v>
      </c>
      <c r="C24" s="31">
        <v>160</v>
      </c>
      <c r="D24" s="31">
        <v>0</v>
      </c>
      <c r="E24" s="31">
        <f t="shared" si="3"/>
        <v>160</v>
      </c>
      <c r="F24" s="31">
        <f t="shared" ref="F24:F27" si="4">E24</f>
        <v>160</v>
      </c>
    </row>
    <row r="25" spans="1:9">
      <c r="A25" s="1">
        <f t="shared" si="0"/>
        <v>18</v>
      </c>
      <c r="B25" s="2" t="s">
        <v>74</v>
      </c>
      <c r="C25" s="31">
        <v>3252736.2</v>
      </c>
      <c r="D25" s="31">
        <f>'Adj List'!E16</f>
        <v>432949.29999999981</v>
      </c>
      <c r="E25" s="31">
        <f t="shared" si="3"/>
        <v>3685685.5</v>
      </c>
      <c r="F25" s="31">
        <f t="shared" si="4"/>
        <v>3685685.5</v>
      </c>
    </row>
    <row r="26" spans="1:9">
      <c r="A26" s="1">
        <f t="shared" si="0"/>
        <v>19</v>
      </c>
      <c r="B26" s="2" t="s">
        <v>89</v>
      </c>
      <c r="C26" s="31">
        <v>386829.07</v>
      </c>
      <c r="D26" s="31">
        <v>0</v>
      </c>
      <c r="E26" s="31">
        <f t="shared" si="3"/>
        <v>386829.07</v>
      </c>
      <c r="F26" s="31">
        <f t="shared" si="4"/>
        <v>386829.07</v>
      </c>
    </row>
    <row r="27" spans="1:9">
      <c r="A27" s="1">
        <f t="shared" si="0"/>
        <v>20</v>
      </c>
      <c r="B27" s="2" t="s">
        <v>90</v>
      </c>
      <c r="C27" s="31">
        <v>24820.22</v>
      </c>
      <c r="D27" s="31">
        <v>0</v>
      </c>
      <c r="E27" s="31">
        <f t="shared" si="3"/>
        <v>24820.22</v>
      </c>
      <c r="F27" s="31">
        <f t="shared" si="4"/>
        <v>24820.22</v>
      </c>
    </row>
    <row r="28" spans="1:9">
      <c r="A28" s="1">
        <f t="shared" si="0"/>
        <v>21</v>
      </c>
      <c r="C28" s="31"/>
      <c r="D28" s="31"/>
      <c r="E28" s="31"/>
      <c r="F28" s="31"/>
    </row>
    <row r="29" spans="1:9">
      <c r="A29" s="1">
        <f t="shared" si="0"/>
        <v>22</v>
      </c>
      <c r="B29" s="99" t="s">
        <v>33</v>
      </c>
      <c r="C29" s="89">
        <f>SUM(C21:C27)</f>
        <v>157410386.56999996</v>
      </c>
      <c r="D29" s="89">
        <f>SUM(D21:D27)</f>
        <v>-23365296.778432138</v>
      </c>
      <c r="E29" s="89">
        <f>SUM(E21:E27)</f>
        <v>134045089.79156785</v>
      </c>
      <c r="F29" s="89">
        <f>SUM(F21:F27)</f>
        <v>134045089.79156785</v>
      </c>
      <c r="H29" s="88"/>
      <c r="I29" s="88"/>
    </row>
    <row r="30" spans="1:9">
      <c r="A30" s="1">
        <f t="shared" si="0"/>
        <v>23</v>
      </c>
      <c r="C30" s="31"/>
      <c r="D30" s="31"/>
      <c r="E30" s="31"/>
      <c r="F30" s="31"/>
    </row>
    <row r="31" spans="1:9" ht="15.75" thickBot="1">
      <c r="A31" s="1">
        <f t="shared" si="0"/>
        <v>24</v>
      </c>
      <c r="B31" s="3" t="s">
        <v>91</v>
      </c>
      <c r="C31" s="44">
        <f>C11-C29</f>
        <v>12753.760000050068</v>
      </c>
      <c r="D31" s="44">
        <f>D11-D29</f>
        <v>-72193.401441708207</v>
      </c>
      <c r="E31" s="44">
        <f>E11-E29</f>
        <v>-59439.641441702843</v>
      </c>
      <c r="F31" s="44">
        <f>F11-F29</f>
        <v>3132832.674999997</v>
      </c>
      <c r="H31" s="88"/>
    </row>
    <row r="32" spans="1:9" ht="15.75" thickTop="1">
      <c r="A32" s="1">
        <f t="shared" si="0"/>
        <v>25</v>
      </c>
      <c r="C32" s="31"/>
      <c r="D32" s="31"/>
      <c r="E32" s="31"/>
      <c r="F32" s="31"/>
    </row>
    <row r="33" spans="1:7">
      <c r="A33" s="1">
        <f t="shared" si="0"/>
        <v>26</v>
      </c>
      <c r="B33" s="2" t="s">
        <v>34</v>
      </c>
      <c r="C33" s="31">
        <v>194032.26</v>
      </c>
      <c r="D33" s="31">
        <v>0</v>
      </c>
      <c r="E33" s="31">
        <f t="shared" ref="E33:E37" si="5">D33+C33</f>
        <v>194032.26</v>
      </c>
      <c r="F33" s="31">
        <f>E33</f>
        <v>194032.26</v>
      </c>
    </row>
    <row r="34" spans="1:7">
      <c r="A34" s="1">
        <f t="shared" si="0"/>
        <v>27</v>
      </c>
      <c r="B34" s="2" t="s">
        <v>227</v>
      </c>
      <c r="C34" s="31">
        <v>0</v>
      </c>
      <c r="D34" s="31">
        <v>0</v>
      </c>
      <c r="E34" s="31">
        <f t="shared" si="5"/>
        <v>0</v>
      </c>
      <c r="F34" s="31">
        <f t="shared" ref="F34:F37" si="6">E34</f>
        <v>0</v>
      </c>
    </row>
    <row r="35" spans="1:7">
      <c r="A35" s="1">
        <f t="shared" si="0"/>
        <v>28</v>
      </c>
      <c r="B35" s="2" t="s">
        <v>35</v>
      </c>
      <c r="C35" s="31">
        <v>104733.02</v>
      </c>
      <c r="D35" s="31">
        <v>0</v>
      </c>
      <c r="E35" s="31">
        <f t="shared" si="5"/>
        <v>104733.02</v>
      </c>
      <c r="F35" s="31">
        <f t="shared" si="6"/>
        <v>104733.02</v>
      </c>
    </row>
    <row r="36" spans="1:7">
      <c r="A36" s="1">
        <f t="shared" si="0"/>
        <v>29</v>
      </c>
      <c r="B36" s="2" t="s">
        <v>31</v>
      </c>
      <c r="C36" s="31">
        <v>772943.54</v>
      </c>
      <c r="D36" s="31">
        <f>'Adj List'!F10</f>
        <v>-772943.54</v>
      </c>
      <c r="E36" s="101">
        <f t="shared" si="5"/>
        <v>0</v>
      </c>
      <c r="F36" s="101">
        <f t="shared" si="6"/>
        <v>0</v>
      </c>
    </row>
    <row r="37" spans="1:7">
      <c r="A37" s="1">
        <f t="shared" si="0"/>
        <v>30</v>
      </c>
      <c r="B37" s="2" t="s">
        <v>92</v>
      </c>
      <c r="C37" s="31">
        <v>689870.52</v>
      </c>
      <c r="D37" s="31">
        <v>0</v>
      </c>
      <c r="E37" s="31">
        <f t="shared" si="5"/>
        <v>689870.52</v>
      </c>
      <c r="F37" s="31">
        <f t="shared" si="6"/>
        <v>689870.52</v>
      </c>
    </row>
    <row r="38" spans="1:7">
      <c r="A38" s="1">
        <f t="shared" si="0"/>
        <v>31</v>
      </c>
      <c r="B38" s="2"/>
      <c r="C38" s="31"/>
      <c r="D38" s="31"/>
      <c r="E38" s="31"/>
      <c r="F38" s="31"/>
    </row>
    <row r="39" spans="1:7" ht="15.75" thickBot="1">
      <c r="A39" s="1">
        <f t="shared" si="0"/>
        <v>32</v>
      </c>
      <c r="B39" s="3" t="s">
        <v>93</v>
      </c>
      <c r="C39" s="44">
        <f>C31+SUM(C33:C37)</f>
        <v>1774333.1000000502</v>
      </c>
      <c r="D39" s="44">
        <f>D31+SUM(D33:D37)</f>
        <v>-845136.94144170824</v>
      </c>
      <c r="E39" s="44">
        <f>E31+SUM(E33:E37)</f>
        <v>929196.1585582972</v>
      </c>
      <c r="F39" s="44">
        <f>F31+SUM(F33:F37)</f>
        <v>4121468.4749999968</v>
      </c>
    </row>
    <row r="40" spans="1:7" ht="15.75" thickTop="1">
      <c r="A40" s="1">
        <f t="shared" si="0"/>
        <v>33</v>
      </c>
      <c r="B40" s="2"/>
      <c r="C40" s="31"/>
      <c r="D40" s="31"/>
      <c r="E40" s="31"/>
      <c r="F40" s="31"/>
    </row>
    <row r="41" spans="1:7">
      <c r="A41" s="1">
        <f t="shared" si="0"/>
        <v>34</v>
      </c>
      <c r="B41" s="2" t="s">
        <v>166</v>
      </c>
      <c r="C41" s="31">
        <v>0</v>
      </c>
      <c r="D41" s="31">
        <v>0</v>
      </c>
      <c r="E41" s="31">
        <f t="shared" ref="E41" si="7">D41+C41</f>
        <v>0</v>
      </c>
      <c r="F41" s="31">
        <f t="shared" ref="F41" si="8">D41+E41</f>
        <v>0</v>
      </c>
    </row>
    <row r="42" spans="1:7">
      <c r="A42" s="1">
        <f t="shared" si="0"/>
        <v>35</v>
      </c>
      <c r="B42" s="2" t="s">
        <v>95</v>
      </c>
      <c r="C42" s="90">
        <f>(C31+C41+C25)/C25</f>
        <v>1.0039209327826986</v>
      </c>
      <c r="D42" s="102"/>
      <c r="E42" s="90">
        <f>(E31+E41+E25)/E25</f>
        <v>0.98387283954593985</v>
      </c>
      <c r="F42" s="90">
        <f>(F31+F41+F25)/F25</f>
        <v>1.8499999999999992</v>
      </c>
    </row>
    <row r="43" spans="1:7">
      <c r="A43" s="1">
        <f t="shared" si="0"/>
        <v>36</v>
      </c>
      <c r="B43" s="2" t="s">
        <v>75</v>
      </c>
      <c r="C43" s="90">
        <f>(C39+C25)/C25</f>
        <v>1.545489394436613</v>
      </c>
      <c r="D43" s="102"/>
      <c r="E43" s="90">
        <f>(E39+E25)/E25</f>
        <v>1.2521094538745363</v>
      </c>
      <c r="F43" s="90">
        <f>(F39+F25)/F25</f>
        <v>2.1182366143285956</v>
      </c>
    </row>
    <row r="44" spans="1:7">
      <c r="A44" s="1">
        <f t="shared" si="0"/>
        <v>37</v>
      </c>
      <c r="B44" s="2" t="s">
        <v>94</v>
      </c>
      <c r="C44" s="90">
        <f>(C25+C39-C36)/C25</f>
        <v>1.3078606743455095</v>
      </c>
      <c r="D44" s="102"/>
      <c r="E44" s="90">
        <f>(E25+E39-E36)/E25</f>
        <v>1.2521094538745363</v>
      </c>
      <c r="F44" s="90">
        <f>(F25+F39-F36)/F25</f>
        <v>2.1182366143285956</v>
      </c>
    </row>
    <row r="45" spans="1:7" ht="14.25" customHeight="1">
      <c r="A45" s="1">
        <f t="shared" si="0"/>
        <v>38</v>
      </c>
      <c r="B45" s="2"/>
    </row>
    <row r="46" spans="1:7" hidden="1">
      <c r="A46" s="1">
        <f t="shared" si="0"/>
        <v>39</v>
      </c>
      <c r="B46" s="2" t="s">
        <v>230</v>
      </c>
      <c r="C46" s="303">
        <v>2</v>
      </c>
      <c r="D46" s="103"/>
      <c r="E46" s="90">
        <f>C46</f>
        <v>2</v>
      </c>
      <c r="F46" s="90">
        <f>C46</f>
        <v>2</v>
      </c>
      <c r="G46" s="254"/>
    </row>
    <row r="47" spans="1:7" hidden="1">
      <c r="A47" s="1">
        <f t="shared" si="0"/>
        <v>40</v>
      </c>
      <c r="B47" s="2" t="s">
        <v>231</v>
      </c>
      <c r="C47" s="31">
        <f>C46*C25-C25</f>
        <v>3252736.2</v>
      </c>
      <c r="D47" s="103"/>
      <c r="E47" s="31">
        <f>E46*E25-E25</f>
        <v>3685685.5</v>
      </c>
      <c r="F47" s="31">
        <f>F46*F25-F25</f>
        <v>3685685.5</v>
      </c>
      <c r="G47" s="254"/>
    </row>
    <row r="48" spans="1:7" hidden="1">
      <c r="A48" s="1">
        <f t="shared" si="0"/>
        <v>41</v>
      </c>
      <c r="B48" s="2" t="s">
        <v>232</v>
      </c>
      <c r="C48" s="31">
        <f>C29+C47</f>
        <v>160663122.76999995</v>
      </c>
      <c r="D48" s="103"/>
      <c r="E48" s="31">
        <f>E29+E47</f>
        <v>137730775.29156786</v>
      </c>
      <c r="F48" s="31">
        <f>F29+F47</f>
        <v>137730775.29156786</v>
      </c>
      <c r="G48" s="254"/>
    </row>
    <row r="49" spans="1:11" hidden="1">
      <c r="A49" s="1">
        <f t="shared" si="0"/>
        <v>42</v>
      </c>
      <c r="B49" s="2" t="s">
        <v>233</v>
      </c>
      <c r="C49" s="31">
        <f>C47-C39</f>
        <v>1478403.09999995</v>
      </c>
      <c r="D49" s="103"/>
      <c r="E49" s="31">
        <f>E47-E39</f>
        <v>2756489.341441703</v>
      </c>
      <c r="F49" s="31">
        <f>F47-F39</f>
        <v>-435782.97499999683</v>
      </c>
      <c r="G49" s="254"/>
    </row>
    <row r="50" spans="1:11" hidden="1">
      <c r="A50" s="1">
        <f t="shared" si="0"/>
        <v>43</v>
      </c>
      <c r="B50" s="2"/>
      <c r="C50" s="31"/>
      <c r="D50" s="31"/>
      <c r="E50" s="31"/>
      <c r="F50" s="31"/>
    </row>
    <row r="51" spans="1:11">
      <c r="A51" s="1">
        <f t="shared" si="0"/>
        <v>44</v>
      </c>
      <c r="B51" s="2" t="s">
        <v>234</v>
      </c>
      <c r="C51" s="90">
        <v>1.85</v>
      </c>
      <c r="D51" s="103"/>
      <c r="E51" s="90">
        <f>C51</f>
        <v>1.85</v>
      </c>
      <c r="F51" s="90">
        <f>C51</f>
        <v>1.85</v>
      </c>
    </row>
    <row r="52" spans="1:11">
      <c r="A52" s="1">
        <f t="shared" si="0"/>
        <v>45</v>
      </c>
      <c r="B52" s="2" t="s">
        <v>235</v>
      </c>
      <c r="C52" s="31">
        <f>C51*C25-C25-C41+SUM(C33:C37)</f>
        <v>4526405.1100000003</v>
      </c>
      <c r="D52" s="103"/>
      <c r="E52" s="31">
        <f>E51*E25-E25-E41+SUM(E33:E37)</f>
        <v>4121468.4750000006</v>
      </c>
      <c r="F52" s="31">
        <f>F51*F25-F25-F41+SUM(F33:F37)</f>
        <v>4121468.4750000006</v>
      </c>
    </row>
    <row r="53" spans="1:11">
      <c r="A53" s="1">
        <f t="shared" si="0"/>
        <v>46</v>
      </c>
      <c r="B53" s="2" t="s">
        <v>232</v>
      </c>
      <c r="C53" s="31">
        <f>C29+C52</f>
        <v>161936791.67999998</v>
      </c>
      <c r="D53" s="103"/>
      <c r="E53" s="31">
        <f>E29+E52</f>
        <v>138166558.26656786</v>
      </c>
      <c r="F53" s="31">
        <f>F29+F52</f>
        <v>138166558.26656786</v>
      </c>
    </row>
    <row r="54" spans="1:11">
      <c r="A54" s="1">
        <f t="shared" si="0"/>
        <v>47</v>
      </c>
      <c r="B54" s="2" t="s">
        <v>233</v>
      </c>
      <c r="C54" s="31">
        <f>C52-C39</f>
        <v>2752072.0099999504</v>
      </c>
      <c r="D54" s="103"/>
      <c r="E54" s="251">
        <f>E52-E39</f>
        <v>3192272.3164417036</v>
      </c>
      <c r="F54" s="31">
        <f>F52-F39</f>
        <v>3.7252902984619141E-9</v>
      </c>
    </row>
    <row r="55" spans="1:11">
      <c r="A55" s="1">
        <f t="shared" si="0"/>
        <v>48</v>
      </c>
      <c r="D55" s="31"/>
    </row>
    <row r="56" spans="1:11">
      <c r="A56" s="1">
        <f t="shared" si="0"/>
        <v>49</v>
      </c>
      <c r="B56" s="93"/>
      <c r="K56" s="162"/>
    </row>
    <row r="57" spans="1:11">
      <c r="A57" s="1">
        <f t="shared" si="0"/>
        <v>50</v>
      </c>
      <c r="B57" s="2" t="s">
        <v>256</v>
      </c>
      <c r="E57" s="107">
        <f>E54</f>
        <v>3192272.3164417036</v>
      </c>
      <c r="F57" s="107">
        <f>F9-E9</f>
        <v>3192272.3164416999</v>
      </c>
      <c r="H57" s="255"/>
      <c r="K57" s="111"/>
    </row>
    <row r="58" spans="1:11">
      <c r="A58" s="1">
        <f t="shared" si="0"/>
        <v>51</v>
      </c>
      <c r="B58" s="2" t="s">
        <v>257</v>
      </c>
      <c r="E58" s="106">
        <f>E57/C9</f>
        <v>2.0719924652642951E-2</v>
      </c>
      <c r="F58" s="106">
        <f>F57/C9</f>
        <v>2.0719924652642926E-2</v>
      </c>
      <c r="I58" s="252"/>
      <c r="K58" s="252"/>
    </row>
    <row r="60" spans="1:11">
      <c r="E60" s="88"/>
      <c r="F60" s="88"/>
    </row>
    <row r="63" spans="1:11">
      <c r="A63" s="304"/>
      <c r="B63" s="305"/>
      <c r="C63" s="305"/>
      <c r="D63" s="305"/>
      <c r="E63" s="305"/>
      <c r="F63" s="305"/>
      <c r="G63" s="305"/>
    </row>
    <row r="64" spans="1:11">
      <c r="A64" s="306"/>
      <c r="B64" s="307"/>
      <c r="C64" s="307"/>
      <c r="D64" s="307"/>
      <c r="E64" s="307"/>
      <c r="F64" s="307"/>
      <c r="G64" s="307"/>
    </row>
    <row r="65" spans="1:7" ht="38.450000000000003" customHeight="1">
      <c r="A65" s="308"/>
      <c r="B65" s="308"/>
      <c r="C65" s="309"/>
      <c r="D65" s="309"/>
      <c r="E65" s="309"/>
      <c r="F65" s="309"/>
      <c r="G65" s="307"/>
    </row>
    <row r="66" spans="1:7">
      <c r="A66" s="306"/>
      <c r="B66" s="307"/>
      <c r="C66" s="117"/>
      <c r="D66" s="117"/>
      <c r="E66" s="117"/>
      <c r="F66" s="117"/>
      <c r="G66" s="307"/>
    </row>
    <row r="67" spans="1:7">
      <c r="A67" s="306"/>
      <c r="B67" s="307"/>
      <c r="C67" s="117"/>
      <c r="D67" s="117"/>
      <c r="E67" s="117"/>
      <c r="F67" s="117"/>
      <c r="G67" s="307"/>
    </row>
    <row r="68" spans="1:7">
      <c r="A68" s="306"/>
      <c r="B68" s="307"/>
      <c r="C68" s="117"/>
      <c r="D68" s="117"/>
      <c r="E68" s="117"/>
      <c r="F68" s="117"/>
      <c r="G68" s="307"/>
    </row>
    <row r="69" spans="1:7">
      <c r="A69" s="306"/>
      <c r="B69" s="307"/>
      <c r="C69" s="117"/>
      <c r="D69" s="117"/>
      <c r="E69" s="117"/>
      <c r="F69" s="117"/>
      <c r="G69" s="307"/>
    </row>
    <row r="70" spans="1:7">
      <c r="A70" s="1"/>
      <c r="B70" s="2"/>
      <c r="C70" s="168"/>
      <c r="D70" s="168"/>
      <c r="E70" s="168"/>
      <c r="F70" s="168"/>
      <c r="G70" s="2"/>
    </row>
    <row r="71" spans="1:7">
      <c r="A71" s="1"/>
      <c r="B71" s="2"/>
      <c r="C71" s="168"/>
      <c r="D71" s="168"/>
      <c r="E71" s="168"/>
      <c r="F71" s="168"/>
      <c r="G71" s="2"/>
    </row>
    <row r="72" spans="1:7">
      <c r="A72" s="1"/>
      <c r="B72" s="2"/>
      <c r="C72" s="119"/>
      <c r="D72" s="119"/>
      <c r="E72" s="119"/>
      <c r="F72" s="119"/>
      <c r="G72" s="2"/>
    </row>
    <row r="73" spans="1:7">
      <c r="A73" s="1"/>
      <c r="B73" s="2"/>
      <c r="C73" s="119"/>
      <c r="D73" s="119"/>
      <c r="E73" s="119"/>
      <c r="F73" s="119"/>
      <c r="G73" s="2"/>
    </row>
    <row r="74" spans="1:7">
      <c r="A74" s="1"/>
      <c r="B74" s="2"/>
      <c r="C74" s="119"/>
      <c r="D74" s="119"/>
      <c r="E74" s="119"/>
      <c r="F74" s="119"/>
      <c r="G74" s="2"/>
    </row>
    <row r="75" spans="1:7">
      <c r="A75" s="1"/>
      <c r="B75" s="2"/>
      <c r="C75" s="119"/>
      <c r="D75" s="119"/>
      <c r="E75" s="281"/>
      <c r="F75" s="119"/>
      <c r="G75" s="2"/>
    </row>
    <row r="76" spans="1:7">
      <c r="A76" s="1"/>
      <c r="B76" s="2"/>
      <c r="C76" s="119"/>
      <c r="D76" s="119"/>
      <c r="E76" s="225"/>
      <c r="F76" s="225"/>
      <c r="G76" s="2"/>
    </row>
    <row r="77" spans="1:7">
      <c r="A77" s="1"/>
      <c r="B77" s="2"/>
      <c r="C77" s="2"/>
      <c r="D77" s="2"/>
      <c r="E77" s="2"/>
      <c r="F77" s="2"/>
      <c r="G77" s="2"/>
    </row>
  </sheetData>
  <printOptions horizontalCentered="1"/>
  <pageMargins left="0.7" right="0.7" top="0.75" bottom="0.75" header="0.3" footer="0.3"/>
  <pageSetup scale="88" orientation="portrait" r:id="rId1"/>
  <headerFooter>
    <oddFooter>&amp;R&amp;"Times New Roman,Regular"&amp;12Exhibit JW-2
Page &amp;P of &amp;N</oddFooter>
  </headerFooter>
  <ignoredErrors>
    <ignoredError sqref="C44 F42 F11" evalError="1"/>
    <ignoredError sqref="E21 E29 E31" formula="1"/>
    <ignoredError sqref="D7 E7:F7 J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0086-5E72-4431-A250-46687C36EB62}">
  <sheetPr>
    <pageSetUpPr fitToPage="1"/>
  </sheetPr>
  <dimension ref="A1:I49"/>
  <sheetViews>
    <sheetView view="pageBreakPreview" topLeftCell="A7" zoomScaleNormal="75" zoomScaleSheetLayoutView="100" workbookViewId="0">
      <selection activeCell="E22" sqref="E22"/>
    </sheetView>
  </sheetViews>
  <sheetFormatPr defaultColWidth="8.85546875" defaultRowHeight="15"/>
  <cols>
    <col min="1" max="1" width="4.42578125" style="158" customWidth="1"/>
    <col min="2" max="2" width="22.140625" style="91" customWidth="1"/>
    <col min="3" max="3" width="12.7109375" style="159" customWidth="1"/>
    <col min="4" max="7" width="12.7109375" style="91" customWidth="1"/>
    <col min="8" max="8" width="11.5703125" style="91" bestFit="1" customWidth="1"/>
    <col min="9" max="9" width="8.85546875" style="91"/>
    <col min="10" max="10" width="7.85546875" style="91" bestFit="1" customWidth="1"/>
    <col min="11" max="11" width="11.5703125" style="91" bestFit="1" customWidth="1"/>
    <col min="12" max="12" width="12.7109375" style="91" bestFit="1" customWidth="1"/>
    <col min="13" max="13" width="10.5703125" style="91" bestFit="1" customWidth="1"/>
    <col min="14" max="15" width="8.85546875" style="91"/>
    <col min="16" max="16" width="11.5703125" style="91" bestFit="1" customWidth="1"/>
    <col min="17" max="16384" width="8.85546875" style="91"/>
  </cols>
  <sheetData>
    <row r="1" spans="1:9">
      <c r="D1" s="128"/>
      <c r="F1" s="128" t="s">
        <v>285</v>
      </c>
    </row>
    <row r="2" spans="1:9">
      <c r="E2" s="128"/>
    </row>
    <row r="3" spans="1:9">
      <c r="A3" s="289" t="str">
        <f>RevReq!A1</f>
        <v>BLUE GRASS ENERGY</v>
      </c>
      <c r="B3" s="289"/>
      <c r="C3" s="289"/>
      <c r="D3" s="289"/>
      <c r="E3" s="289"/>
      <c r="F3" s="289"/>
      <c r="G3" s="282"/>
      <c r="H3" s="160"/>
      <c r="I3" s="160"/>
    </row>
    <row r="4" spans="1:9">
      <c r="A4" s="289" t="str">
        <f>RevReq!A3</f>
        <v>For the 12 Months Ended Dec 31, 2024</v>
      </c>
      <c r="B4" s="289"/>
      <c r="C4" s="289"/>
      <c r="D4" s="289"/>
      <c r="E4" s="289"/>
      <c r="F4" s="289"/>
      <c r="G4" s="312"/>
    </row>
    <row r="6" spans="1:9" s="6" customFormat="1" ht="15" customHeight="1">
      <c r="A6" s="287" t="str">
        <f>'Adj List'!C11</f>
        <v>Retirement Plans</v>
      </c>
      <c r="B6" s="287"/>
      <c r="C6" s="287"/>
      <c r="D6" s="287"/>
      <c r="E6" s="287"/>
      <c r="F6" s="287"/>
      <c r="G6" s="10"/>
      <c r="H6" s="150"/>
    </row>
    <row r="7" spans="1:9" s="10" customFormat="1" ht="12.75">
      <c r="A7" s="2"/>
      <c r="B7" s="2"/>
      <c r="C7" s="2"/>
      <c r="D7" s="2"/>
      <c r="E7" s="2"/>
      <c r="F7" s="2"/>
    </row>
    <row r="8" spans="1:9" s="10" customFormat="1" ht="12.75">
      <c r="A8" s="9" t="s">
        <v>0</v>
      </c>
      <c r="B8" s="9" t="s">
        <v>40</v>
      </c>
      <c r="D8" s="9" t="s">
        <v>41</v>
      </c>
      <c r="E8" s="1" t="s">
        <v>24</v>
      </c>
    </row>
    <row r="9" spans="1:9" s="10" customFormat="1" ht="12.75">
      <c r="A9" s="11" t="s">
        <v>21</v>
      </c>
      <c r="B9" s="12" t="s">
        <v>18</v>
      </c>
      <c r="C9" s="153"/>
      <c r="D9" s="12" t="s">
        <v>20</v>
      </c>
      <c r="E9" s="130" t="s">
        <v>19</v>
      </c>
    </row>
    <row r="10" spans="1:9" s="10" customFormat="1" ht="12.75">
      <c r="A10" s="9"/>
      <c r="E10" s="2"/>
    </row>
    <row r="11" spans="1:9" s="10" customFormat="1" ht="12.75">
      <c r="A11" s="9"/>
      <c r="B11" s="2"/>
      <c r="E11" s="2"/>
    </row>
    <row r="12" spans="1:9" s="10" customFormat="1" ht="12.75">
      <c r="A12" s="9">
        <v>1</v>
      </c>
      <c r="B12" s="307" t="s">
        <v>386</v>
      </c>
      <c r="C12" s="337"/>
      <c r="D12" s="338"/>
      <c r="E12" s="107">
        <v>53149</v>
      </c>
    </row>
    <row r="13" spans="1:9" s="10" customFormat="1" ht="12.75">
      <c r="A13" s="9">
        <f>A12+1</f>
        <v>2</v>
      </c>
      <c r="B13" s="307" t="s">
        <v>36</v>
      </c>
      <c r="C13" s="337"/>
      <c r="D13" s="307"/>
      <c r="E13" s="107">
        <f>SUM(E12:E12)</f>
        <v>53149</v>
      </c>
      <c r="H13" s="24"/>
    </row>
    <row r="14" spans="1:9" s="10" customFormat="1" ht="12.75">
      <c r="A14" s="9">
        <f t="shared" ref="A14:A39" si="0">A13+1</f>
        <v>3</v>
      </c>
      <c r="B14" s="2"/>
      <c r="D14" s="2"/>
      <c r="E14" s="125"/>
    </row>
    <row r="15" spans="1:9" s="10" customFormat="1" ht="12.75">
      <c r="A15" s="9">
        <f t="shared" si="0"/>
        <v>4</v>
      </c>
      <c r="B15" s="2" t="s">
        <v>37</v>
      </c>
      <c r="E15" s="119">
        <v>0</v>
      </c>
    </row>
    <row r="16" spans="1:9" s="10" customFormat="1" ht="12.75">
      <c r="A16" s="9">
        <f t="shared" si="0"/>
        <v>5</v>
      </c>
      <c r="B16" s="2"/>
      <c r="E16" s="125"/>
    </row>
    <row r="17" spans="1:8" s="10" customFormat="1" ht="13.5" thickBot="1">
      <c r="A17" s="9">
        <f t="shared" si="0"/>
        <v>6</v>
      </c>
      <c r="B17" s="3" t="s">
        <v>15</v>
      </c>
      <c r="C17" s="19"/>
      <c r="D17" s="19"/>
      <c r="E17" s="126">
        <f>ROUND(E15-E13,2)</f>
        <v>-53149</v>
      </c>
    </row>
    <row r="18" spans="1:8" s="10" customFormat="1" ht="13.5" thickTop="1">
      <c r="A18" s="9">
        <f t="shared" si="0"/>
        <v>7</v>
      </c>
      <c r="E18" s="9"/>
      <c r="F18" s="2"/>
    </row>
    <row r="19" spans="1:8" s="10" customFormat="1" ht="12.75">
      <c r="A19" s="9">
        <f t="shared" si="0"/>
        <v>8</v>
      </c>
      <c r="F19" s="2"/>
    </row>
    <row r="20" spans="1:8" s="10" customFormat="1" ht="42" customHeight="1">
      <c r="A20" s="339">
        <f t="shared" si="0"/>
        <v>9</v>
      </c>
      <c r="B20" s="288" t="s">
        <v>588</v>
      </c>
      <c r="C20" s="288"/>
      <c r="D20" s="288"/>
      <c r="E20" s="288"/>
      <c r="F20" s="288"/>
      <c r="G20" s="8"/>
      <c r="H20" s="8"/>
    </row>
    <row r="21" spans="1:8" s="10" customFormat="1" ht="12.75">
      <c r="A21" s="9">
        <f t="shared" si="0"/>
        <v>10</v>
      </c>
      <c r="F21" s="2"/>
    </row>
    <row r="22" spans="1:8" s="10" customFormat="1" ht="12.75">
      <c r="A22" s="9">
        <f t="shared" si="0"/>
        <v>11</v>
      </c>
      <c r="E22" s="2"/>
    </row>
    <row r="23" spans="1:8" s="10" customFormat="1" ht="12.75">
      <c r="A23" s="9">
        <f t="shared" si="0"/>
        <v>12</v>
      </c>
      <c r="E23" s="2"/>
    </row>
    <row r="24" spans="1:8" s="10" customFormat="1" ht="12.75">
      <c r="A24" s="9">
        <f t="shared" si="0"/>
        <v>13</v>
      </c>
      <c r="E24" s="2"/>
    </row>
    <row r="25" spans="1:8" s="10" customFormat="1" ht="12.75">
      <c r="A25" s="9">
        <f t="shared" si="0"/>
        <v>14</v>
      </c>
      <c r="B25" s="10" t="s">
        <v>410</v>
      </c>
      <c r="E25" s="2"/>
    </row>
    <row r="26" spans="1:8" s="10" customFormat="1" ht="12.75">
      <c r="A26" s="9">
        <f t="shared" si="0"/>
        <v>15</v>
      </c>
      <c r="E26" s="2"/>
    </row>
    <row r="27" spans="1:8" s="10" customFormat="1" ht="12.75">
      <c r="A27" s="9">
        <f t="shared" si="0"/>
        <v>16</v>
      </c>
      <c r="D27" s="2"/>
    </row>
    <row r="28" spans="1:8" s="10" customFormat="1" ht="12.75">
      <c r="A28" s="9">
        <f t="shared" si="0"/>
        <v>17</v>
      </c>
      <c r="B28" s="37" t="s">
        <v>315</v>
      </c>
      <c r="C28" s="1"/>
      <c r="D28" s="1"/>
      <c r="E28" s="41" t="s">
        <v>140</v>
      </c>
      <c r="F28" s="41" t="s">
        <v>139</v>
      </c>
      <c r="G28" s="41" t="s">
        <v>15</v>
      </c>
    </row>
    <row r="29" spans="1:8" s="10" customFormat="1" ht="12.75">
      <c r="A29" s="9">
        <f t="shared" si="0"/>
        <v>18</v>
      </c>
      <c r="B29" s="1" t="s">
        <v>130</v>
      </c>
      <c r="C29" s="2" t="s">
        <v>131</v>
      </c>
      <c r="D29" s="1"/>
      <c r="E29" s="195">
        <v>302009</v>
      </c>
      <c r="F29" s="163">
        <f>E29/$E$39</f>
        <v>3.2056401451368705E-2</v>
      </c>
      <c r="G29" s="125">
        <f>F29*$G$39</f>
        <v>3003.3568790064</v>
      </c>
    </row>
    <row r="30" spans="1:8" s="10" customFormat="1" ht="12.75">
      <c r="A30" s="9">
        <f t="shared" si="0"/>
        <v>19</v>
      </c>
      <c r="B30" s="1" t="s">
        <v>132</v>
      </c>
      <c r="C30" s="2" t="s">
        <v>133</v>
      </c>
      <c r="D30" s="1"/>
      <c r="E30" s="195">
        <v>1897154</v>
      </c>
      <c r="F30" s="163">
        <f>E30/$E$39</f>
        <v>0.20137125131724531</v>
      </c>
      <c r="G30" s="125">
        <f t="shared" ref="G30:G33" si="1">F30*$G$39</f>
        <v>18866.426220524911</v>
      </c>
    </row>
    <row r="31" spans="1:8" s="10" customFormat="1" ht="12.75">
      <c r="A31" s="9">
        <f t="shared" si="0"/>
        <v>20</v>
      </c>
      <c r="B31" s="1" t="s">
        <v>134</v>
      </c>
      <c r="C31" s="2" t="s">
        <v>111</v>
      </c>
      <c r="D31" s="1"/>
      <c r="E31" s="195">
        <v>760709</v>
      </c>
      <c r="F31" s="163">
        <f>E31/$E$39</f>
        <v>8.0744590696533003E-2</v>
      </c>
      <c r="G31" s="125">
        <f t="shared" si="1"/>
        <v>7564.942131102317</v>
      </c>
    </row>
    <row r="32" spans="1:8" s="10" customFormat="1" ht="12.75">
      <c r="A32" s="9">
        <f t="shared" si="0"/>
        <v>21</v>
      </c>
      <c r="B32" s="1" t="s">
        <v>316</v>
      </c>
      <c r="C32" s="2" t="s">
        <v>83</v>
      </c>
      <c r="D32" s="1"/>
      <c r="E32" s="195">
        <v>393014</v>
      </c>
      <c r="F32" s="163">
        <f>E32/$E$39</f>
        <v>4.1716023562238941E-2</v>
      </c>
      <c r="G32" s="125">
        <f t="shared" si="1"/>
        <v>3908.3646528607474</v>
      </c>
    </row>
    <row r="33" spans="1:7" s="10" customFormat="1" ht="12.75">
      <c r="A33" s="9">
        <f t="shared" si="0"/>
        <v>22</v>
      </c>
      <c r="B33" s="1" t="s">
        <v>135</v>
      </c>
      <c r="C33" s="2" t="s">
        <v>129</v>
      </c>
      <c r="D33" s="1"/>
      <c r="E33" s="195">
        <v>1991602</v>
      </c>
      <c r="F33" s="163">
        <f>E33/$E$39</f>
        <v>0.21139632674307327</v>
      </c>
      <c r="G33" s="125">
        <f t="shared" si="1"/>
        <v>19805.673231403383</v>
      </c>
    </row>
    <row r="34" spans="1:7" s="10" customFormat="1" ht="12.75">
      <c r="A34" s="9">
        <f t="shared" si="0"/>
        <v>23</v>
      </c>
      <c r="B34" s="4"/>
      <c r="C34" s="134"/>
      <c r="D34" s="4"/>
      <c r="E34" s="302">
        <f>SUM(E29:E33)</f>
        <v>5344488</v>
      </c>
      <c r="F34" s="197">
        <f>SUM(F29:F33)</f>
        <v>0.56728459377045926</v>
      </c>
      <c r="G34" s="198">
        <f>SUM(G29:G33)</f>
        <v>53148.763114897767</v>
      </c>
    </row>
    <row r="35" spans="1:7" s="10" customFormat="1" ht="12.75">
      <c r="A35" s="9">
        <f t="shared" si="0"/>
        <v>24</v>
      </c>
      <c r="B35" s="1"/>
      <c r="C35" s="2"/>
      <c r="D35" s="1"/>
      <c r="E35" s="199"/>
      <c r="F35" s="163"/>
      <c r="G35" s="2"/>
    </row>
    <row r="36" spans="1:7" s="10" customFormat="1" ht="12.75">
      <c r="A36" s="9">
        <f t="shared" si="0"/>
        <v>25</v>
      </c>
      <c r="B36" s="1" t="s">
        <v>319</v>
      </c>
      <c r="C36" s="2" t="s">
        <v>408</v>
      </c>
      <c r="D36" s="1"/>
      <c r="E36" s="195">
        <v>4076688</v>
      </c>
      <c r="F36" s="163">
        <f>E36/$E$39</f>
        <v>0.43271540622954074</v>
      </c>
      <c r="G36" s="125">
        <f>F36*$G$39</f>
        <v>40541.006885102244</v>
      </c>
    </row>
    <row r="37" spans="1:7" s="10" customFormat="1" ht="12.75">
      <c r="A37" s="9">
        <f t="shared" si="0"/>
        <v>26</v>
      </c>
      <c r="B37" s="4"/>
      <c r="C37" s="38" t="s">
        <v>22</v>
      </c>
      <c r="D37" s="4"/>
      <c r="E37" s="257">
        <f>SUM(E36:E36)</f>
        <v>4076688</v>
      </c>
      <c r="F37" s="197">
        <f>SUM(F36:F36)</f>
        <v>0.43271540622954074</v>
      </c>
      <c r="G37" s="200">
        <f>SUM(G36:G36)</f>
        <v>40541.006885102244</v>
      </c>
    </row>
    <row r="38" spans="1:7" s="10" customFormat="1" ht="12.75">
      <c r="A38" s="9">
        <f t="shared" si="0"/>
        <v>27</v>
      </c>
      <c r="B38" s="1"/>
      <c r="C38" s="2"/>
      <c r="D38" s="1"/>
      <c r="E38" s="199"/>
      <c r="F38" s="32"/>
      <c r="G38" s="2"/>
    </row>
    <row r="39" spans="1:7" s="10" customFormat="1" ht="13.5" thickBot="1">
      <c r="A39" s="9">
        <f t="shared" si="0"/>
        <v>28</v>
      </c>
      <c r="B39" s="39"/>
      <c r="C39" s="3" t="s">
        <v>44</v>
      </c>
      <c r="D39" s="39"/>
      <c r="E39" s="258">
        <f>E34+E37</f>
        <v>9421176</v>
      </c>
      <c r="F39" s="40">
        <f>SUM(F37+F34)</f>
        <v>1</v>
      </c>
      <c r="G39" s="201">
        <v>93689.77</v>
      </c>
    </row>
    <row r="40" spans="1:7" s="10" customFormat="1" ht="13.5" thickTop="1">
      <c r="E40" s="2"/>
    </row>
    <row r="41" spans="1:7" s="10" customFormat="1" ht="12.75">
      <c r="E41" s="2"/>
    </row>
    <row r="42" spans="1:7" s="10" customFormat="1" ht="12.75">
      <c r="E42" s="2"/>
    </row>
    <row r="43" spans="1:7" s="10" customFormat="1" ht="12.75">
      <c r="E43" s="2"/>
    </row>
    <row r="44" spans="1:7" s="10" customFormat="1" ht="12.75">
      <c r="F44" s="2"/>
    </row>
    <row r="45" spans="1:7" s="10" customFormat="1" ht="12.75">
      <c r="F45" s="2"/>
    </row>
    <row r="46" spans="1:7" s="10" customFormat="1" ht="12.75">
      <c r="F46" s="2"/>
    </row>
    <row r="47" spans="1:7" s="10" customFormat="1" ht="12.75">
      <c r="F47" s="2"/>
    </row>
    <row r="48" spans="1:7" s="10" customFormat="1" ht="12.75">
      <c r="F48" s="2"/>
    </row>
    <row r="49" spans="6:6" s="10" customFormat="1" ht="12.75">
      <c r="F49" s="2"/>
    </row>
  </sheetData>
  <mergeCells count="4">
    <mergeCell ref="A3:F3"/>
    <mergeCell ref="A4:F4"/>
    <mergeCell ref="A6:F6"/>
    <mergeCell ref="B20:F20"/>
  </mergeCells>
  <printOptions horizontalCentered="1"/>
  <pageMargins left="0.7" right="0.7" top="0.75" bottom="0.75" header="0.3" footer="0.3"/>
  <pageSetup orientation="portrait" r:id="rId1"/>
  <headerFooter>
    <oddFooter>&amp;R&amp;"Times New Roman,Regular"Exhibit JW-2
Page &amp;P of &amp;N</oddFooter>
  </headerFooter>
  <ignoredErrors>
    <ignoredError sqref="B9:E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Y63"/>
  <sheetViews>
    <sheetView view="pageBreakPreview" topLeftCell="A28" zoomScaleNormal="100" zoomScaleSheetLayoutView="100" workbookViewId="0">
      <selection activeCell="A28" sqref="A1:A1048576"/>
    </sheetView>
  </sheetViews>
  <sheetFormatPr defaultColWidth="9.140625" defaultRowHeight="12.75"/>
  <cols>
    <col min="1" max="1" width="5.85546875" style="278" customWidth="1"/>
    <col min="2" max="2" width="2.28515625" style="2" customWidth="1"/>
    <col min="3" max="3" width="9.28515625" style="2" customWidth="1"/>
    <col min="4" max="4" width="30.5703125" style="2" bestFit="1" customWidth="1"/>
    <col min="5" max="5" width="14.85546875" style="313" customWidth="1"/>
    <col min="6" max="6" width="11.5703125" style="313" bestFit="1" customWidth="1"/>
    <col min="7" max="7" width="10.28515625" style="313" bestFit="1" customWidth="1"/>
    <col min="8" max="8" width="12.42578125" style="313" customWidth="1"/>
    <col min="9" max="9" width="14" style="313" customWidth="1"/>
    <col min="10" max="10" width="17.28515625" style="2" customWidth="1"/>
    <col min="11" max="14" width="9.140625" style="2"/>
    <col min="15" max="15" width="14.42578125" style="2" bestFit="1" customWidth="1"/>
    <col min="16" max="17" width="9.140625" style="2"/>
    <col min="18" max="18" width="15.28515625" style="2" customWidth="1"/>
    <col min="19" max="16384" width="9.140625" style="2"/>
  </cols>
  <sheetData>
    <row r="1" spans="1:13">
      <c r="G1" s="314"/>
      <c r="J1" s="128" t="s">
        <v>263</v>
      </c>
    </row>
    <row r="2" spans="1:13" ht="20.25" customHeight="1">
      <c r="G2" s="314"/>
    </row>
    <row r="3" spans="1:13">
      <c r="A3" s="289" t="str">
        <f>RevReq!A1</f>
        <v>BLUE GRASS ENERGY</v>
      </c>
      <c r="B3" s="289"/>
      <c r="C3" s="289"/>
      <c r="D3" s="289"/>
      <c r="E3" s="289"/>
      <c r="F3" s="289"/>
      <c r="G3" s="289"/>
      <c r="H3" s="289"/>
      <c r="I3" s="289"/>
      <c r="J3" s="289"/>
    </row>
    <row r="4" spans="1:13">
      <c r="A4" s="289" t="str">
        <f>RevReq!A3</f>
        <v>For the 12 Months Ended Dec 31, 2024</v>
      </c>
      <c r="B4" s="289"/>
      <c r="C4" s="289"/>
      <c r="D4" s="289"/>
      <c r="E4" s="289"/>
      <c r="F4" s="289"/>
      <c r="G4" s="289"/>
      <c r="H4" s="289"/>
      <c r="I4" s="289"/>
      <c r="J4" s="289"/>
    </row>
    <row r="6" spans="1:13" s="129" customFormat="1" ht="15" customHeight="1">
      <c r="A6" s="287" t="s">
        <v>29</v>
      </c>
      <c r="B6" s="287"/>
      <c r="C6" s="287"/>
      <c r="D6" s="287"/>
      <c r="E6" s="287"/>
      <c r="F6" s="287"/>
      <c r="G6" s="287"/>
      <c r="H6" s="287"/>
      <c r="I6" s="287"/>
      <c r="J6" s="287"/>
    </row>
    <row r="8" spans="1:13" s="33" customFormat="1" ht="38.25" customHeight="1">
      <c r="A8" s="340" t="s">
        <v>0</v>
      </c>
      <c r="C8" s="33" t="s">
        <v>144</v>
      </c>
      <c r="D8" s="33" t="s">
        <v>1</v>
      </c>
      <c r="E8" s="315" t="s">
        <v>141</v>
      </c>
      <c r="F8" s="315" t="s">
        <v>145</v>
      </c>
      <c r="G8" s="315" t="s">
        <v>96</v>
      </c>
      <c r="H8" s="315" t="s">
        <v>142</v>
      </c>
      <c r="I8" s="315" t="s">
        <v>143</v>
      </c>
      <c r="J8" s="33" t="s">
        <v>136</v>
      </c>
    </row>
    <row r="9" spans="1:13">
      <c r="A9" s="341" t="s">
        <v>21</v>
      </c>
      <c r="B9" s="1"/>
      <c r="C9" s="130" t="s">
        <v>18</v>
      </c>
      <c r="D9" s="130" t="s">
        <v>20</v>
      </c>
      <c r="E9" s="316" t="s">
        <v>19</v>
      </c>
      <c r="F9" s="316" t="s">
        <v>25</v>
      </c>
      <c r="G9" s="316" t="s">
        <v>50</v>
      </c>
      <c r="H9" s="316" t="s">
        <v>51</v>
      </c>
      <c r="I9" s="316" t="s">
        <v>52</v>
      </c>
      <c r="J9" s="130" t="s">
        <v>53</v>
      </c>
    </row>
    <row r="10" spans="1:13">
      <c r="A10" s="342"/>
      <c r="B10" s="1"/>
    </row>
    <row r="11" spans="1:13">
      <c r="A11" s="342">
        <v>1</v>
      </c>
      <c r="B11" s="1"/>
      <c r="C11" s="37" t="s">
        <v>146</v>
      </c>
    </row>
    <row r="12" spans="1:13">
      <c r="A12" s="342">
        <f>A11+1</f>
        <v>2</v>
      </c>
      <c r="B12" s="1"/>
      <c r="C12" s="97">
        <v>362</v>
      </c>
      <c r="D12" s="2" t="s">
        <v>147</v>
      </c>
      <c r="E12" s="317">
        <f>1400212.39+845540.94</f>
        <v>2245753.33</v>
      </c>
      <c r="F12" s="317">
        <v>0</v>
      </c>
      <c r="G12" s="318">
        <v>4.1700000000000001E-2</v>
      </c>
      <c r="H12" s="317">
        <f t="shared" ref="H12:H21" si="0">ROUND(((+E12-F12)*G12),2)</f>
        <v>93647.91</v>
      </c>
      <c r="I12" s="317">
        <f>58472.88+34734.36</f>
        <v>93207.239999999991</v>
      </c>
      <c r="J12" s="42">
        <f t="shared" ref="J12:J21" si="1">H12-I12</f>
        <v>440.67000000001281</v>
      </c>
      <c r="M12" s="133"/>
    </row>
    <row r="13" spans="1:13">
      <c r="A13" s="342">
        <f t="shared" ref="A13:A62" si="2">A12+1</f>
        <v>3</v>
      </c>
      <c r="B13" s="1"/>
      <c r="C13" s="97">
        <v>364</v>
      </c>
      <c r="D13" s="2" t="s">
        <v>148</v>
      </c>
      <c r="E13" s="317">
        <v>86554532.010000005</v>
      </c>
      <c r="F13" s="317">
        <v>0</v>
      </c>
      <c r="G13" s="318">
        <v>3.3000000000000002E-2</v>
      </c>
      <c r="H13" s="317">
        <f t="shared" si="0"/>
        <v>2856299.56</v>
      </c>
      <c r="I13" s="317">
        <v>2805678.15</v>
      </c>
      <c r="J13" s="42">
        <f t="shared" si="1"/>
        <v>50621.410000000149</v>
      </c>
      <c r="M13" s="133"/>
    </row>
    <row r="14" spans="1:13">
      <c r="A14" s="342">
        <f t="shared" si="2"/>
        <v>4</v>
      </c>
      <c r="B14" s="1"/>
      <c r="C14" s="97">
        <v>365</v>
      </c>
      <c r="D14" s="2" t="s">
        <v>149</v>
      </c>
      <c r="E14" s="317">
        <v>78563487.349999994</v>
      </c>
      <c r="F14" s="317">
        <v>0</v>
      </c>
      <c r="G14" s="318">
        <v>4.0500000000000001E-2</v>
      </c>
      <c r="H14" s="317">
        <f t="shared" si="0"/>
        <v>3181821.24</v>
      </c>
      <c r="I14" s="317">
        <v>3114180.95</v>
      </c>
      <c r="J14" s="42">
        <f t="shared" si="1"/>
        <v>67640.290000000037</v>
      </c>
      <c r="M14" s="133"/>
    </row>
    <row r="15" spans="1:13">
      <c r="A15" s="342">
        <f t="shared" si="2"/>
        <v>5</v>
      </c>
      <c r="B15" s="1"/>
      <c r="C15" s="97">
        <v>367</v>
      </c>
      <c r="D15" s="2" t="s">
        <v>150</v>
      </c>
      <c r="E15" s="317">
        <v>28167140.829999998</v>
      </c>
      <c r="F15" s="317">
        <v>0</v>
      </c>
      <c r="G15" s="318">
        <v>4.8800000000000003E-2</v>
      </c>
      <c r="H15" s="317">
        <f t="shared" si="0"/>
        <v>1374556.47</v>
      </c>
      <c r="I15" s="317">
        <v>1311264.71</v>
      </c>
      <c r="J15" s="42">
        <f t="shared" si="1"/>
        <v>63291.760000000009</v>
      </c>
      <c r="M15" s="133"/>
    </row>
    <row r="16" spans="1:13">
      <c r="A16" s="342">
        <f t="shared" si="2"/>
        <v>6</v>
      </c>
      <c r="B16" s="1"/>
      <c r="C16" s="97">
        <v>368</v>
      </c>
      <c r="D16" s="2" t="s">
        <v>151</v>
      </c>
      <c r="E16" s="317">
        <f>31174402.19+20280846.59</f>
        <v>51455248.780000001</v>
      </c>
      <c r="F16" s="317">
        <v>0</v>
      </c>
      <c r="G16" s="318">
        <v>2.63E-2</v>
      </c>
      <c r="H16" s="317">
        <f t="shared" si="0"/>
        <v>1353273.04</v>
      </c>
      <c r="I16" s="317">
        <f>805330.47+502463.61</f>
        <v>1307794.08</v>
      </c>
      <c r="J16" s="42">
        <f t="shared" si="1"/>
        <v>45478.959999999963</v>
      </c>
      <c r="M16" s="133"/>
    </row>
    <row r="17" spans="1:17">
      <c r="A17" s="342">
        <f t="shared" si="2"/>
        <v>7</v>
      </c>
      <c r="C17" s="97">
        <v>369</v>
      </c>
      <c r="D17" s="2" t="s">
        <v>99</v>
      </c>
      <c r="E17" s="317">
        <f>11530048.24+29497411.63</f>
        <v>41027459.869999997</v>
      </c>
      <c r="F17" s="317">
        <v>0</v>
      </c>
      <c r="G17" s="318">
        <v>5.0799999999999998E-2</v>
      </c>
      <c r="H17" s="317">
        <f t="shared" si="0"/>
        <v>2084194.96</v>
      </c>
      <c r="I17" s="317">
        <f>584172.65+1470170.78</f>
        <v>2054343.4300000002</v>
      </c>
      <c r="J17" s="42">
        <f t="shared" si="1"/>
        <v>29851.529999999795</v>
      </c>
      <c r="M17" s="133"/>
    </row>
    <row r="18" spans="1:17">
      <c r="A18" s="342">
        <f t="shared" si="2"/>
        <v>8</v>
      </c>
      <c r="C18" s="97">
        <v>370</v>
      </c>
      <c r="D18" s="2" t="s">
        <v>128</v>
      </c>
      <c r="E18" s="317">
        <v>742327.98</v>
      </c>
      <c r="F18" s="317">
        <v>0</v>
      </c>
      <c r="G18" s="318">
        <v>4.5499999999999999E-2</v>
      </c>
      <c r="H18" s="317">
        <f t="shared" si="0"/>
        <v>33775.919999999998</v>
      </c>
      <c r="I18" s="317">
        <v>30641.23</v>
      </c>
      <c r="J18" s="42">
        <f t="shared" si="1"/>
        <v>3134.6899999999987</v>
      </c>
      <c r="M18" s="133"/>
    </row>
    <row r="19" spans="1:17">
      <c r="A19" s="342">
        <f t="shared" si="2"/>
        <v>9</v>
      </c>
      <c r="C19" s="97">
        <v>370.01</v>
      </c>
      <c r="D19" s="2" t="s">
        <v>345</v>
      </c>
      <c r="E19" s="317">
        <v>15204093.34</v>
      </c>
      <c r="F19" s="317">
        <v>0</v>
      </c>
      <c r="G19" s="318">
        <v>6.6699999999999995E-2</v>
      </c>
      <c r="H19" s="317">
        <f t="shared" si="0"/>
        <v>1014113.03</v>
      </c>
      <c r="I19" s="317">
        <v>1018091.84</v>
      </c>
      <c r="J19" s="42">
        <f t="shared" si="1"/>
        <v>-3978.8099999999395</v>
      </c>
      <c r="M19" s="133"/>
    </row>
    <row r="20" spans="1:17">
      <c r="A20" s="342">
        <f t="shared" si="2"/>
        <v>10</v>
      </c>
      <c r="C20" s="97">
        <v>371</v>
      </c>
      <c r="D20" s="2" t="s">
        <v>152</v>
      </c>
      <c r="E20" s="317">
        <v>10768993.810000001</v>
      </c>
      <c r="F20" s="317">
        <v>0</v>
      </c>
      <c r="G20" s="318">
        <v>3.2300000000000002E-2</v>
      </c>
      <c r="H20" s="317">
        <f t="shared" si="0"/>
        <v>347838.5</v>
      </c>
      <c r="I20" s="317">
        <v>345131.64</v>
      </c>
      <c r="J20" s="42">
        <f t="shared" si="1"/>
        <v>2706.859999999986</v>
      </c>
      <c r="M20" s="133"/>
    </row>
    <row r="21" spans="1:17">
      <c r="A21" s="342">
        <f t="shared" si="2"/>
        <v>11</v>
      </c>
      <c r="C21" s="97">
        <v>373</v>
      </c>
      <c r="D21" s="2" t="s">
        <v>344</v>
      </c>
      <c r="E21" s="317">
        <v>5357188.67</v>
      </c>
      <c r="F21" s="317">
        <v>0</v>
      </c>
      <c r="G21" s="318">
        <v>4.3499999999999997E-2</v>
      </c>
      <c r="H21" s="317">
        <f t="shared" si="0"/>
        <v>233037.71</v>
      </c>
      <c r="I21" s="317">
        <v>225817.65</v>
      </c>
      <c r="J21" s="42">
        <f t="shared" si="1"/>
        <v>7220.0599999999977</v>
      </c>
      <c r="M21" s="133"/>
    </row>
    <row r="22" spans="1:17">
      <c r="A22" s="342">
        <f t="shared" si="2"/>
        <v>12</v>
      </c>
      <c r="D22" s="134" t="s">
        <v>22</v>
      </c>
      <c r="E22" s="319">
        <f>SUM(E12:E21)</f>
        <v>320086225.96999997</v>
      </c>
      <c r="F22" s="319">
        <f>SUM(F12:F21)</f>
        <v>0</v>
      </c>
      <c r="G22" s="319"/>
      <c r="H22" s="319">
        <f>SUM(H12:H21)</f>
        <v>12572558.34</v>
      </c>
      <c r="I22" s="319">
        <f>SUM(I12:I21)</f>
        <v>12306150.92</v>
      </c>
      <c r="J22" s="135">
        <f>SUM(J12:J21)</f>
        <v>266407.42000000004</v>
      </c>
    </row>
    <row r="23" spans="1:17">
      <c r="A23" s="342">
        <f t="shared" si="2"/>
        <v>13</v>
      </c>
    </row>
    <row r="24" spans="1:17">
      <c r="A24" s="342">
        <f t="shared" si="2"/>
        <v>14</v>
      </c>
      <c r="C24" s="37" t="s">
        <v>159</v>
      </c>
    </row>
    <row r="25" spans="1:17">
      <c r="A25" s="342">
        <f t="shared" si="2"/>
        <v>15</v>
      </c>
      <c r="C25" s="96">
        <v>389</v>
      </c>
      <c r="D25" s="2" t="s">
        <v>153</v>
      </c>
      <c r="E25" s="317">
        <v>644267.13</v>
      </c>
      <c r="F25" s="317"/>
      <c r="G25" s="320"/>
      <c r="H25" s="317"/>
      <c r="I25" s="317"/>
      <c r="J25" s="117"/>
      <c r="M25" s="247"/>
      <c r="N25" s="247"/>
      <c r="O25" s="247"/>
      <c r="P25" s="247"/>
      <c r="Q25" s="247"/>
    </row>
    <row r="26" spans="1:17">
      <c r="A26" s="342">
        <f t="shared" si="2"/>
        <v>16</v>
      </c>
      <c r="C26" s="96">
        <v>390</v>
      </c>
      <c r="D26" s="2" t="s">
        <v>154</v>
      </c>
      <c r="E26" s="317">
        <v>8715117.3100000005</v>
      </c>
      <c r="F26" s="317">
        <v>352027</v>
      </c>
      <c r="G26" s="321">
        <v>2.5000000000000001E-2</v>
      </c>
      <c r="H26" s="317">
        <f>ROUND(((+E26-F26)*G26),2)</f>
        <v>209077.26</v>
      </c>
      <c r="I26" s="317">
        <v>200789.85</v>
      </c>
      <c r="J26" s="42">
        <f t="shared" ref="J26" si="3">H26-I26</f>
        <v>8287.4100000000035</v>
      </c>
      <c r="M26" s="133"/>
    </row>
    <row r="27" spans="1:17">
      <c r="A27" s="342">
        <f t="shared" si="2"/>
        <v>17</v>
      </c>
      <c r="C27" s="96">
        <v>391</v>
      </c>
      <c r="D27" s="2" t="s">
        <v>155</v>
      </c>
      <c r="E27" s="317">
        <v>705009.27</v>
      </c>
      <c r="F27" s="317"/>
      <c r="G27" s="321">
        <v>2.5000000000000001E-2</v>
      </c>
      <c r="H27" s="317">
        <f t="shared" ref="H27:H35" si="4">ROUND(((+E27-F27)*G27),2)</f>
        <v>17625.23</v>
      </c>
      <c r="I27" s="317">
        <v>17597.04</v>
      </c>
      <c r="J27" s="42">
        <f t="shared" ref="J27:J35" si="5">H27-I27</f>
        <v>28.18999999999869</v>
      </c>
      <c r="M27" s="133"/>
      <c r="P27" s="133"/>
    </row>
    <row r="28" spans="1:17">
      <c r="A28" s="342">
        <f t="shared" si="2"/>
        <v>18</v>
      </c>
      <c r="C28" s="96">
        <v>391.1</v>
      </c>
      <c r="D28" s="2" t="s">
        <v>346</v>
      </c>
      <c r="E28" s="317">
        <v>3676345.25</v>
      </c>
      <c r="F28" s="317">
        <v>2253380</v>
      </c>
      <c r="G28" s="321">
        <v>0.14399999999999999</v>
      </c>
      <c r="H28" s="317">
        <f t="shared" si="4"/>
        <v>204907</v>
      </c>
      <c r="I28" s="317">
        <v>211447.19</v>
      </c>
      <c r="J28" s="42">
        <f t="shared" si="5"/>
        <v>-6540.1900000000023</v>
      </c>
      <c r="M28" s="133"/>
      <c r="P28" s="133"/>
    </row>
    <row r="29" spans="1:17">
      <c r="A29" s="342">
        <f t="shared" si="2"/>
        <v>19</v>
      </c>
      <c r="C29" s="96">
        <v>393</v>
      </c>
      <c r="D29" s="2" t="s">
        <v>126</v>
      </c>
      <c r="E29" s="317">
        <v>5871.48</v>
      </c>
      <c r="F29" s="317">
        <v>5871</v>
      </c>
      <c r="G29" s="321">
        <v>0.06</v>
      </c>
      <c r="H29" s="317">
        <f t="shared" si="4"/>
        <v>0.03</v>
      </c>
      <c r="I29" s="317">
        <v>0</v>
      </c>
      <c r="J29" s="42">
        <f t="shared" si="5"/>
        <v>0.03</v>
      </c>
      <c r="M29" s="133"/>
    </row>
    <row r="30" spans="1:17">
      <c r="A30" s="342">
        <f t="shared" si="2"/>
        <v>20</v>
      </c>
      <c r="C30" s="96">
        <v>394</v>
      </c>
      <c r="D30" s="2" t="s">
        <v>156</v>
      </c>
      <c r="E30" s="317">
        <v>425639.24</v>
      </c>
      <c r="F30" s="317">
        <v>175768</v>
      </c>
      <c r="G30" s="321">
        <v>0.04</v>
      </c>
      <c r="H30" s="317">
        <f t="shared" si="4"/>
        <v>9994.85</v>
      </c>
      <c r="I30" s="317">
        <v>9672.65</v>
      </c>
      <c r="J30" s="42">
        <f t="shared" si="5"/>
        <v>322.20000000000073</v>
      </c>
      <c r="M30" s="133"/>
    </row>
    <row r="31" spans="1:17">
      <c r="A31" s="342">
        <f t="shared" si="2"/>
        <v>21</v>
      </c>
      <c r="C31" s="96">
        <v>395</v>
      </c>
      <c r="D31" s="2" t="s">
        <v>266</v>
      </c>
      <c r="E31" s="317">
        <v>175565.32</v>
      </c>
      <c r="F31" s="317">
        <v>116493</v>
      </c>
      <c r="G31" s="321">
        <v>0.04</v>
      </c>
      <c r="H31" s="317">
        <f t="shared" si="4"/>
        <v>2362.89</v>
      </c>
      <c r="I31" s="317">
        <v>2360.52</v>
      </c>
      <c r="J31" s="42">
        <f t="shared" si="5"/>
        <v>2.3699999999998909</v>
      </c>
      <c r="M31" s="133"/>
      <c r="P31" s="133"/>
    </row>
    <row r="32" spans="1:17">
      <c r="A32" s="342">
        <f t="shared" si="2"/>
        <v>22</v>
      </c>
      <c r="C32" s="96">
        <v>396.1</v>
      </c>
      <c r="D32" s="2" t="s">
        <v>264</v>
      </c>
      <c r="E32" s="317">
        <v>825054.93</v>
      </c>
      <c r="F32" s="317">
        <v>182522</v>
      </c>
      <c r="G32" s="321">
        <v>5.2999999999999999E-2</v>
      </c>
      <c r="H32" s="317">
        <f t="shared" si="4"/>
        <v>34054.25</v>
      </c>
      <c r="I32" s="317">
        <v>30545.8</v>
      </c>
      <c r="J32" s="42">
        <f t="shared" si="5"/>
        <v>3508.4500000000007</v>
      </c>
      <c r="M32" s="133"/>
    </row>
    <row r="33" spans="1:25">
      <c r="A33" s="342">
        <f t="shared" si="2"/>
        <v>23</v>
      </c>
      <c r="C33" s="96">
        <v>396.2</v>
      </c>
      <c r="D33" s="2" t="s">
        <v>265</v>
      </c>
      <c r="E33" s="317"/>
      <c r="F33" s="317"/>
      <c r="G33" s="321"/>
      <c r="H33" s="317">
        <f t="shared" si="4"/>
        <v>0</v>
      </c>
      <c r="I33" s="317"/>
      <c r="J33" s="42">
        <f t="shared" si="5"/>
        <v>0</v>
      </c>
      <c r="M33" s="133"/>
    </row>
    <row r="34" spans="1:25">
      <c r="A34" s="342">
        <f t="shared" si="2"/>
        <v>24</v>
      </c>
      <c r="C34" s="96">
        <v>397</v>
      </c>
      <c r="D34" s="2" t="s">
        <v>157</v>
      </c>
      <c r="E34" s="317">
        <v>743681.12</v>
      </c>
      <c r="F34" s="317">
        <v>562046</v>
      </c>
      <c r="G34" s="321">
        <v>0.04</v>
      </c>
      <c r="H34" s="317">
        <f t="shared" si="4"/>
        <v>7265.4</v>
      </c>
      <c r="I34" s="317">
        <v>7565.94</v>
      </c>
      <c r="J34" s="42">
        <f t="shared" si="5"/>
        <v>-300.53999999999996</v>
      </c>
      <c r="M34" s="133"/>
    </row>
    <row r="35" spans="1:25">
      <c r="A35" s="342">
        <f t="shared" si="2"/>
        <v>25</v>
      </c>
      <c r="C35" s="96">
        <v>398</v>
      </c>
      <c r="D35" s="2" t="s">
        <v>158</v>
      </c>
      <c r="E35" s="317">
        <v>194857.83</v>
      </c>
      <c r="F35" s="317">
        <v>165367</v>
      </c>
      <c r="G35" s="321">
        <v>3.3399999999999999E-2</v>
      </c>
      <c r="H35" s="317">
        <f t="shared" si="4"/>
        <v>984.99</v>
      </c>
      <c r="I35" s="317">
        <v>983.88</v>
      </c>
      <c r="J35" s="42">
        <f t="shared" si="5"/>
        <v>1.1100000000000136</v>
      </c>
      <c r="M35" s="133"/>
    </row>
    <row r="36" spans="1:25">
      <c r="A36" s="342">
        <f t="shared" si="2"/>
        <v>26</v>
      </c>
      <c r="D36" s="134" t="s">
        <v>22</v>
      </c>
      <c r="E36" s="319">
        <f>SUM(E25:E35)</f>
        <v>16111408.880000001</v>
      </c>
      <c r="F36" s="319">
        <f>SUM(F25:F35)</f>
        <v>3813474</v>
      </c>
      <c r="G36" s="319"/>
      <c r="H36" s="319">
        <f>SUM(H25:H35)</f>
        <v>486271.9</v>
      </c>
      <c r="I36" s="319">
        <f t="shared" ref="I36:J36" si="6">SUM(I25:I35)</f>
        <v>480962.87000000005</v>
      </c>
      <c r="J36" s="135">
        <f t="shared" si="6"/>
        <v>5309.0300000000007</v>
      </c>
    </row>
    <row r="37" spans="1:25">
      <c r="A37" s="342">
        <f t="shared" si="2"/>
        <v>27</v>
      </c>
      <c r="C37" s="99" t="s">
        <v>137</v>
      </c>
      <c r="D37" s="136" t="s">
        <v>163</v>
      </c>
      <c r="E37" s="322">
        <f>E22+E36</f>
        <v>336197634.84999996</v>
      </c>
      <c r="F37" s="322">
        <f>F22+F36</f>
        <v>3813474</v>
      </c>
      <c r="G37" s="322"/>
      <c r="H37" s="322">
        <f>H22+H36</f>
        <v>13058830.24</v>
      </c>
      <c r="I37" s="322">
        <f t="shared" ref="I37:J37" si="7">I22+I36</f>
        <v>12787113.789999999</v>
      </c>
      <c r="J37" s="100">
        <f t="shared" si="7"/>
        <v>271716.45000000007</v>
      </c>
    </row>
    <row r="38" spans="1:25">
      <c r="A38" s="342">
        <f t="shared" si="2"/>
        <v>28</v>
      </c>
      <c r="D38" s="137"/>
      <c r="E38" s="317"/>
      <c r="F38" s="317"/>
      <c r="G38" s="317"/>
      <c r="H38" s="317"/>
      <c r="I38" s="317"/>
      <c r="J38" s="42"/>
    </row>
    <row r="39" spans="1:25">
      <c r="A39" s="342">
        <f t="shared" si="2"/>
        <v>29</v>
      </c>
      <c r="C39" s="37" t="s">
        <v>160</v>
      </c>
      <c r="E39" s="317"/>
      <c r="F39" s="317"/>
      <c r="G39" s="317"/>
      <c r="H39" s="317"/>
      <c r="I39" s="317"/>
      <c r="J39" s="42"/>
    </row>
    <row r="40" spans="1:25">
      <c r="A40" s="342">
        <f t="shared" si="2"/>
        <v>30</v>
      </c>
      <c r="C40" s="96">
        <v>392</v>
      </c>
      <c r="D40" s="2" t="s">
        <v>127</v>
      </c>
      <c r="E40" s="317">
        <v>2137378.87</v>
      </c>
      <c r="F40" s="317">
        <v>312193</v>
      </c>
      <c r="G40" s="321">
        <v>0.15</v>
      </c>
      <c r="H40" s="317">
        <f>ROUND(((+E40-F40)*G40),2)</f>
        <v>273777.88</v>
      </c>
      <c r="I40" s="317">
        <v>271245</v>
      </c>
      <c r="J40" s="117">
        <f>H40-I40</f>
        <v>2532.8800000000047</v>
      </c>
      <c r="M40" s="133"/>
    </row>
    <row r="41" spans="1:25">
      <c r="A41" s="342">
        <f t="shared" si="2"/>
        <v>31</v>
      </c>
      <c r="C41" s="96">
        <v>392.1</v>
      </c>
      <c r="E41" s="317">
        <v>6380851.6100000003</v>
      </c>
      <c r="F41" s="317">
        <v>178067</v>
      </c>
      <c r="G41" s="321">
        <v>8.5999999999999993E-2</v>
      </c>
      <c r="H41" s="317">
        <f t="shared" ref="H41:H42" si="8">ROUND(((+E41-F41)*G41),2)</f>
        <v>533439.48</v>
      </c>
      <c r="I41" s="317">
        <v>495437.48</v>
      </c>
      <c r="J41" s="42">
        <f t="shared" ref="J41:J42" si="9">H41-I41</f>
        <v>38002</v>
      </c>
      <c r="M41" s="133"/>
    </row>
    <row r="42" spans="1:25">
      <c r="A42" s="342">
        <f t="shared" si="2"/>
        <v>32</v>
      </c>
      <c r="C42" s="96">
        <v>392.2</v>
      </c>
      <c r="E42" s="317">
        <v>123029.23</v>
      </c>
      <c r="F42" s="317">
        <v>75273</v>
      </c>
      <c r="G42" s="321">
        <v>5.04E-2</v>
      </c>
      <c r="H42" s="317">
        <f t="shared" si="8"/>
        <v>2406.91</v>
      </c>
      <c r="I42" s="317">
        <v>2435.27</v>
      </c>
      <c r="J42" s="42">
        <f t="shared" si="9"/>
        <v>-28.360000000000127</v>
      </c>
      <c r="M42" s="133"/>
    </row>
    <row r="43" spans="1:25">
      <c r="A43" s="342">
        <f t="shared" si="2"/>
        <v>33</v>
      </c>
      <c r="D43" s="134" t="s">
        <v>22</v>
      </c>
      <c r="E43" s="319">
        <f>SUM(E40:E42)</f>
        <v>8641259.7100000009</v>
      </c>
      <c r="F43" s="319">
        <f>SUM(F40:F42)</f>
        <v>565533</v>
      </c>
      <c r="G43" s="319"/>
      <c r="H43" s="319">
        <f>SUM(H40:H42)</f>
        <v>809624.27</v>
      </c>
      <c r="I43" s="319">
        <f>SUM(I40:I42)</f>
        <v>769117.75</v>
      </c>
      <c r="J43" s="135">
        <f>SUM(J40:J42)</f>
        <v>40506.520000000004</v>
      </c>
    </row>
    <row r="44" spans="1:25">
      <c r="A44" s="342">
        <f>A42+1</f>
        <v>33</v>
      </c>
      <c r="C44" s="98" t="s">
        <v>138</v>
      </c>
      <c r="D44" s="99" t="s">
        <v>161</v>
      </c>
      <c r="E44" s="322"/>
      <c r="F44" s="322"/>
      <c r="G44" s="323"/>
      <c r="H44" s="322"/>
      <c r="I44" s="322"/>
      <c r="J44" s="100">
        <f>G57</f>
        <v>22978.720000000001</v>
      </c>
      <c r="M44" s="133"/>
    </row>
    <row r="45" spans="1:25">
      <c r="A45" s="342">
        <f t="shared" si="2"/>
        <v>34</v>
      </c>
    </row>
    <row r="46" spans="1:25" ht="13.5" thickBot="1">
      <c r="A46" s="342">
        <f t="shared" si="2"/>
        <v>35</v>
      </c>
      <c r="C46" s="3" t="s">
        <v>242</v>
      </c>
      <c r="D46" s="3" t="s">
        <v>14</v>
      </c>
      <c r="E46" s="324"/>
      <c r="F46" s="324"/>
      <c r="G46" s="325"/>
      <c r="H46" s="324"/>
      <c r="I46" s="324"/>
      <c r="J46" s="138">
        <f>J44+J37</f>
        <v>294695.17000000004</v>
      </c>
      <c r="M46" s="42"/>
    </row>
    <row r="47" spans="1:25" ht="13.5" thickTop="1">
      <c r="A47" s="342">
        <f t="shared" si="2"/>
        <v>36</v>
      </c>
    </row>
    <row r="48" spans="1:25" ht="29.25" customHeight="1">
      <c r="A48" s="342">
        <f t="shared" si="2"/>
        <v>37</v>
      </c>
      <c r="B48" s="36"/>
      <c r="C48" s="290" t="s">
        <v>244</v>
      </c>
      <c r="D48" s="290"/>
      <c r="E48" s="290"/>
      <c r="F48" s="290"/>
      <c r="G48" s="290"/>
      <c r="H48" s="290"/>
      <c r="I48" s="290"/>
      <c r="J48" s="290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</row>
    <row r="49" spans="1:21">
      <c r="A49" s="342">
        <f t="shared" si="2"/>
        <v>38</v>
      </c>
      <c r="N49" s="36"/>
      <c r="O49" s="36"/>
      <c r="P49" s="36"/>
      <c r="Q49" s="36"/>
      <c r="R49" s="36"/>
      <c r="S49" s="36"/>
      <c r="T49" s="36"/>
      <c r="U49" s="36"/>
    </row>
    <row r="50" spans="1:21">
      <c r="A50" s="342">
        <f t="shared" si="2"/>
        <v>39</v>
      </c>
      <c r="C50" s="37" t="s">
        <v>161</v>
      </c>
      <c r="D50" s="1"/>
      <c r="E50" s="326" t="s">
        <v>140</v>
      </c>
      <c r="F50" s="326" t="s">
        <v>139</v>
      </c>
      <c r="G50" s="326" t="s">
        <v>162</v>
      </c>
      <c r="N50" s="36"/>
      <c r="O50" s="36"/>
      <c r="P50" s="36"/>
      <c r="Q50" s="36"/>
      <c r="R50" s="36"/>
      <c r="S50" s="36"/>
      <c r="T50" s="36"/>
      <c r="U50" s="36"/>
    </row>
    <row r="51" spans="1:21">
      <c r="A51" s="342">
        <f t="shared" si="2"/>
        <v>40</v>
      </c>
      <c r="D51" s="1"/>
      <c r="N51" s="36"/>
      <c r="O51" s="36"/>
      <c r="P51" s="36"/>
      <c r="Q51" s="36"/>
      <c r="R51" s="36"/>
      <c r="S51" s="36"/>
      <c r="T51" s="36"/>
      <c r="U51" s="36"/>
    </row>
    <row r="52" spans="1:21">
      <c r="A52" s="342">
        <f t="shared" si="2"/>
        <v>41</v>
      </c>
      <c r="C52" s="1" t="s">
        <v>130</v>
      </c>
      <c r="D52" s="2" t="s">
        <v>131</v>
      </c>
      <c r="E52" s="195">
        <f>74305.74+4786.51+1338.97+153613.02+67965.14</f>
        <v>302009.38</v>
      </c>
      <c r="F52" s="72">
        <f>E52/E$62</f>
        <v>3.205644147980255E-2</v>
      </c>
      <c r="G52" s="195">
        <f>ROUND(F52*$J$43,2)</f>
        <v>1298.49</v>
      </c>
      <c r="I52" s="90"/>
      <c r="N52" s="36"/>
      <c r="O52" s="36"/>
      <c r="P52" s="36"/>
      <c r="Q52" s="36"/>
      <c r="R52" s="36"/>
      <c r="S52" s="36"/>
      <c r="T52" s="36"/>
      <c r="U52" s="36"/>
    </row>
    <row r="53" spans="1:21">
      <c r="A53" s="342">
        <f t="shared" si="2"/>
        <v>42</v>
      </c>
      <c r="C53" s="1" t="s">
        <v>132</v>
      </c>
      <c r="D53" s="2" t="s">
        <v>133</v>
      </c>
      <c r="E53" s="195">
        <f>26099+264031.51+679572.65+131779.74+579859.42+120104.51+15841.1+296.36+18703.71+40451.08+20414.53</f>
        <v>1897153.61</v>
      </c>
      <c r="F53" s="72">
        <f t="shared" ref="F53:F56" si="10">E53/E$62</f>
        <v>0.20137120799745079</v>
      </c>
      <c r="G53" s="195">
        <f t="shared" ref="G53:G56" si="11">ROUND(F53*$J$43,2)</f>
        <v>8156.85</v>
      </c>
      <c r="I53" s="90"/>
      <c r="N53" s="36"/>
      <c r="O53" s="36"/>
      <c r="P53" s="36"/>
      <c r="Q53" s="36"/>
      <c r="R53" s="36"/>
      <c r="S53" s="36"/>
      <c r="T53" s="36"/>
      <c r="U53" s="36"/>
    </row>
    <row r="54" spans="1:21">
      <c r="A54" s="342">
        <f t="shared" si="2"/>
        <v>43</v>
      </c>
      <c r="C54" s="1" t="s">
        <v>134</v>
      </c>
      <c r="D54" s="2" t="s">
        <v>111</v>
      </c>
      <c r="E54" s="195">
        <v>760708.59</v>
      </c>
      <c r="F54" s="72">
        <f t="shared" si="10"/>
        <v>8.0744546406201392E-2</v>
      </c>
      <c r="G54" s="195">
        <f t="shared" si="11"/>
        <v>3270.68</v>
      </c>
      <c r="I54" s="90"/>
      <c r="N54" s="36"/>
      <c r="O54" s="36"/>
      <c r="P54" s="36"/>
      <c r="Q54" s="36"/>
      <c r="R54" s="36"/>
      <c r="S54" s="36"/>
      <c r="T54" s="36"/>
      <c r="U54" s="36"/>
    </row>
    <row r="55" spans="1:21">
      <c r="A55" s="342">
        <f t="shared" si="2"/>
        <v>44</v>
      </c>
      <c r="C55" s="1" t="s">
        <v>245</v>
      </c>
      <c r="D55" s="2" t="s">
        <v>83</v>
      </c>
      <c r="E55" s="195">
        <f>181380.01+89465.59+72064.61+43272.29+6831.52</f>
        <v>393014.01999999996</v>
      </c>
      <c r="F55" s="72">
        <f t="shared" si="10"/>
        <v>4.1716025286605167E-2</v>
      </c>
      <c r="G55" s="195">
        <f t="shared" si="11"/>
        <v>1689.77</v>
      </c>
      <c r="I55" s="90"/>
      <c r="N55" s="36"/>
      <c r="O55" s="36"/>
      <c r="P55" s="36"/>
      <c r="Q55" s="36"/>
      <c r="R55" s="36"/>
      <c r="S55" s="36"/>
      <c r="T55" s="36"/>
      <c r="U55" s="36"/>
    </row>
    <row r="56" spans="1:21">
      <c r="A56" s="342">
        <f t="shared" si="2"/>
        <v>45</v>
      </c>
      <c r="C56" s="1" t="s">
        <v>135</v>
      </c>
      <c r="D56" s="2" t="s">
        <v>129</v>
      </c>
      <c r="E56" s="195">
        <f>1107476.8+4940+4862.99+844833.22+230.1+16467.84+3036.9+8612.63+1142.01</f>
        <v>1991602.49</v>
      </c>
      <c r="F56" s="72">
        <f t="shared" si="10"/>
        <v>0.21139637673410688</v>
      </c>
      <c r="G56" s="195">
        <f t="shared" si="11"/>
        <v>8562.93</v>
      </c>
      <c r="I56" s="90"/>
      <c r="N56" s="36"/>
      <c r="O56" s="36"/>
      <c r="P56" s="36"/>
      <c r="Q56" s="36"/>
      <c r="R56" s="36"/>
      <c r="S56" s="36"/>
      <c r="T56" s="36"/>
      <c r="U56" s="36"/>
    </row>
    <row r="57" spans="1:21">
      <c r="A57" s="342">
        <f t="shared" si="2"/>
        <v>46</v>
      </c>
      <c r="C57" s="4"/>
      <c r="D57" s="38" t="s">
        <v>22</v>
      </c>
      <c r="E57" s="327">
        <f>SUM(E52:E56)</f>
        <v>5344488.09</v>
      </c>
      <c r="F57" s="73">
        <f>SUM(F52:F56)</f>
        <v>0.56728459790416674</v>
      </c>
      <c r="G57" s="327">
        <f>SUM(G52:G56)</f>
        <v>22978.720000000001</v>
      </c>
      <c r="N57" s="36"/>
      <c r="O57" s="36"/>
      <c r="P57" s="36"/>
      <c r="Q57" s="36"/>
      <c r="R57" s="36"/>
      <c r="S57" s="36"/>
      <c r="T57" s="36"/>
      <c r="U57" s="36"/>
    </row>
    <row r="58" spans="1:21">
      <c r="A58" s="342">
        <f t="shared" si="2"/>
        <v>47</v>
      </c>
      <c r="C58" s="1"/>
      <c r="E58" s="199"/>
      <c r="F58" s="72"/>
      <c r="G58" s="199"/>
      <c r="N58" s="36"/>
      <c r="O58" s="36"/>
      <c r="P58" s="36"/>
      <c r="Q58" s="36"/>
      <c r="R58" s="36"/>
      <c r="S58" s="36"/>
      <c r="T58" s="36"/>
      <c r="U58" s="36"/>
    </row>
    <row r="59" spans="1:21">
      <c r="A59" s="342">
        <f t="shared" si="2"/>
        <v>48</v>
      </c>
      <c r="C59" s="1" t="s">
        <v>246</v>
      </c>
      <c r="D59" s="2" t="s">
        <v>243</v>
      </c>
      <c r="E59" s="195">
        <v>4076688</v>
      </c>
      <c r="F59" s="72">
        <f t="shared" ref="F59" si="12">E59/E$62</f>
        <v>0.43271540209583326</v>
      </c>
      <c r="G59" s="195">
        <f>ROUND(F59*$J$43,2)</f>
        <v>17527.8</v>
      </c>
      <c r="I59" s="90"/>
      <c r="N59" s="36"/>
      <c r="O59" s="36"/>
      <c r="P59" s="36"/>
      <c r="Q59" s="36"/>
      <c r="R59" s="36"/>
      <c r="S59" s="36"/>
      <c r="T59" s="36"/>
      <c r="U59" s="36"/>
    </row>
    <row r="60" spans="1:21">
      <c r="A60" s="342">
        <f t="shared" si="2"/>
        <v>49</v>
      </c>
      <c r="C60" s="4"/>
      <c r="D60" s="38" t="s">
        <v>22</v>
      </c>
      <c r="E60" s="257"/>
      <c r="F60" s="73">
        <f>SUM(F59:F59)</f>
        <v>0.43271540209583326</v>
      </c>
      <c r="G60" s="257">
        <f>SUM(G59:G59)</f>
        <v>17527.8</v>
      </c>
      <c r="N60" s="36"/>
      <c r="O60" s="36"/>
      <c r="P60" s="36"/>
      <c r="Q60" s="36"/>
      <c r="R60" s="36"/>
      <c r="S60" s="36"/>
      <c r="T60" s="36"/>
      <c r="U60" s="36"/>
    </row>
    <row r="61" spans="1:21">
      <c r="A61" s="342">
        <f t="shared" si="2"/>
        <v>50</v>
      </c>
      <c r="C61" s="1"/>
      <c r="E61" s="199"/>
      <c r="F61" s="72"/>
      <c r="G61" s="199"/>
    </row>
    <row r="62" spans="1:21" ht="13.5" thickBot="1">
      <c r="A62" s="342">
        <f t="shared" si="2"/>
        <v>51</v>
      </c>
      <c r="C62" s="39"/>
      <c r="D62" s="3" t="s">
        <v>44</v>
      </c>
      <c r="E62" s="258">
        <f>E59+E57</f>
        <v>9421176.0899999999</v>
      </c>
      <c r="F62" s="328">
        <f>F57+F60</f>
        <v>1</v>
      </c>
      <c r="G62" s="258">
        <f>G60+G57</f>
        <v>40506.520000000004</v>
      </c>
    </row>
    <row r="63" spans="1:21" ht="13.5" thickTop="1"/>
  </sheetData>
  <mergeCells count="4">
    <mergeCell ref="C48:J48"/>
    <mergeCell ref="A3:J3"/>
    <mergeCell ref="A4:J4"/>
    <mergeCell ref="A6:J6"/>
  </mergeCells>
  <printOptions horizontalCentered="1"/>
  <pageMargins left="1" right="0.75" top="0.75" bottom="0.5" header="0.5" footer="0.5"/>
  <pageSetup scale="66" orientation="portrait" r:id="rId1"/>
  <headerFooter alignWithMargins="0">
    <oddFooter>&amp;R Exhibit JW-2
Page &amp;P of &amp;N</oddFooter>
  </headerFooter>
  <ignoredErrors>
    <ignoredError sqref="C9:J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ED36-1B5F-48DE-AD5E-B293EB996D7D}">
  <dimension ref="A1:I34"/>
  <sheetViews>
    <sheetView view="pageBreakPreview" zoomScaleNormal="75" zoomScaleSheetLayoutView="100" workbookViewId="0">
      <selection activeCell="I30" sqref="I30"/>
    </sheetView>
  </sheetViews>
  <sheetFormatPr defaultColWidth="9.140625" defaultRowHeight="12.75"/>
  <cols>
    <col min="1" max="1" width="5.85546875" style="10" customWidth="1"/>
    <col min="2" max="2" width="3.28515625" style="10" customWidth="1"/>
    <col min="3" max="3" width="12.5703125" style="10" customWidth="1"/>
    <col min="4" max="4" width="17.28515625" style="10" customWidth="1"/>
    <col min="5" max="5" width="10.140625" style="10" bestFit="1" customWidth="1"/>
    <col min="6" max="6" width="16.7109375" style="2" customWidth="1"/>
    <col min="7" max="7" width="12.140625" style="10" customWidth="1"/>
    <col min="8" max="8" width="12" style="10" customWidth="1"/>
    <col min="9" max="15" width="9.140625" style="10"/>
    <col min="16" max="16" width="16.7109375" style="10" bestFit="1" customWidth="1"/>
    <col min="17" max="16384" width="9.140625" style="10"/>
  </cols>
  <sheetData>
    <row r="1" spans="1:9">
      <c r="F1" s="128" t="s">
        <v>28</v>
      </c>
    </row>
    <row r="2" spans="1:9" ht="20.25" customHeight="1">
      <c r="H2" s="5"/>
    </row>
    <row r="3" spans="1:9">
      <c r="A3" s="286" t="str">
        <f>RevReq!A1</f>
        <v>BLUE GRASS ENERGY</v>
      </c>
      <c r="B3" s="286"/>
      <c r="C3" s="286"/>
      <c r="D3" s="286"/>
      <c r="E3" s="286"/>
      <c r="F3" s="286"/>
      <c r="G3" s="7"/>
      <c r="H3" s="7"/>
    </row>
    <row r="4" spans="1:9">
      <c r="A4" s="286" t="str">
        <f>RevReq!A3</f>
        <v>For the 12 Months Ended Dec 31, 2024</v>
      </c>
      <c r="B4" s="286"/>
      <c r="C4" s="286"/>
      <c r="D4" s="286"/>
      <c r="E4" s="286"/>
      <c r="F4" s="286"/>
      <c r="G4" s="7"/>
      <c r="H4" s="7"/>
    </row>
    <row r="6" spans="1:9" s="6" customFormat="1" ht="15" customHeight="1">
      <c r="A6" s="287" t="s">
        <v>168</v>
      </c>
      <c r="B6" s="287"/>
      <c r="C6" s="287"/>
      <c r="D6" s="287"/>
      <c r="E6" s="287"/>
      <c r="F6" s="287"/>
      <c r="G6" s="10"/>
      <c r="H6" s="150"/>
    </row>
    <row r="7" spans="1:9">
      <c r="A7" s="2"/>
      <c r="B7" s="2"/>
      <c r="C7" s="2"/>
      <c r="D7" s="2"/>
      <c r="E7" s="2"/>
    </row>
    <row r="8" spans="1:9">
      <c r="A8" s="9" t="s">
        <v>0</v>
      </c>
      <c r="C8" s="9" t="s">
        <v>40</v>
      </c>
      <c r="E8" s="9" t="s">
        <v>41</v>
      </c>
      <c r="F8" s="1" t="s">
        <v>24</v>
      </c>
    </row>
    <row r="9" spans="1:9">
      <c r="A9" s="11" t="s">
        <v>21</v>
      </c>
      <c r="C9" s="12" t="s">
        <v>18</v>
      </c>
      <c r="D9" s="153"/>
      <c r="E9" s="12" t="s">
        <v>20</v>
      </c>
      <c r="F9" s="130" t="s">
        <v>19</v>
      </c>
    </row>
    <row r="10" spans="1:9">
      <c r="A10" s="9"/>
    </row>
    <row r="11" spans="1:9">
      <c r="A11" s="9"/>
      <c r="C11" s="2"/>
    </row>
    <row r="12" spans="1:9">
      <c r="A12" s="9">
        <v>1</v>
      </c>
      <c r="C12" s="2" t="s">
        <v>397</v>
      </c>
      <c r="E12" s="132">
        <v>912.3</v>
      </c>
      <c r="F12" s="119">
        <v>21981</v>
      </c>
    </row>
    <row r="13" spans="1:9">
      <c r="A13" s="9">
        <f>A12+1</f>
        <v>2</v>
      </c>
      <c r="C13" s="10" t="s">
        <v>288</v>
      </c>
      <c r="E13" s="132">
        <v>930.4</v>
      </c>
      <c r="F13" s="249">
        <v>230410</v>
      </c>
    </row>
    <row r="14" spans="1:9">
      <c r="A14" s="9">
        <f t="shared" ref="A14:A24" si="0">A13+1</f>
        <v>3</v>
      </c>
      <c r="C14" s="10" t="s">
        <v>287</v>
      </c>
      <c r="E14" s="132">
        <v>930.6</v>
      </c>
      <c r="F14" s="249">
        <v>32273</v>
      </c>
    </row>
    <row r="15" spans="1:9">
      <c r="A15" s="9">
        <f t="shared" si="0"/>
        <v>4</v>
      </c>
      <c r="C15" s="10" t="s">
        <v>398</v>
      </c>
      <c r="E15" s="132">
        <v>930.1</v>
      </c>
      <c r="F15" s="119">
        <v>320000</v>
      </c>
      <c r="I15" s="24"/>
    </row>
    <row r="16" spans="1:9">
      <c r="A16" s="9">
        <v>5</v>
      </c>
      <c r="C16" s="10" t="s">
        <v>398</v>
      </c>
      <c r="E16" s="132">
        <v>912.4</v>
      </c>
      <c r="F16" s="119">
        <v>12261</v>
      </c>
      <c r="I16" s="24"/>
    </row>
    <row r="17" spans="1:9">
      <c r="A17" s="9">
        <v>6</v>
      </c>
      <c r="C17" s="10" t="s">
        <v>399</v>
      </c>
      <c r="E17" s="132">
        <v>930.2</v>
      </c>
      <c r="F17" s="119">
        <v>203.52</v>
      </c>
      <c r="I17" s="24"/>
    </row>
    <row r="18" spans="1:9">
      <c r="A18" s="9">
        <v>7</v>
      </c>
      <c r="E18" s="132"/>
      <c r="F18" s="246"/>
      <c r="I18" s="24"/>
    </row>
    <row r="19" spans="1:9">
      <c r="A19" s="9">
        <v>8</v>
      </c>
      <c r="E19" s="132"/>
      <c r="F19" s="246"/>
      <c r="I19" s="24"/>
    </row>
    <row r="20" spans="1:9">
      <c r="A20" s="9">
        <v>9</v>
      </c>
      <c r="C20" s="38" t="s">
        <v>36</v>
      </c>
      <c r="D20" s="15"/>
      <c r="E20" s="38"/>
      <c r="F20" s="154">
        <f>SUM(F12:F17)</f>
        <v>617128.52</v>
      </c>
      <c r="I20" s="24"/>
    </row>
    <row r="21" spans="1:9">
      <c r="A21" s="9">
        <v>10</v>
      </c>
      <c r="C21" s="2"/>
      <c r="E21" s="2"/>
      <c r="F21" s="125"/>
    </row>
    <row r="22" spans="1:9">
      <c r="A22" s="9">
        <f t="shared" si="0"/>
        <v>11</v>
      </c>
      <c r="C22" s="2" t="s">
        <v>37</v>
      </c>
      <c r="F22" s="119">
        <f>55/720*(F15+F16)</f>
        <v>25381.048611111113</v>
      </c>
    </row>
    <row r="23" spans="1:9">
      <c r="A23" s="9">
        <f t="shared" si="0"/>
        <v>12</v>
      </c>
      <c r="C23" s="2"/>
      <c r="F23" s="125"/>
    </row>
    <row r="24" spans="1:9" ht="13.5" thickBot="1">
      <c r="A24" s="9">
        <f t="shared" si="0"/>
        <v>13</v>
      </c>
      <c r="C24" s="3" t="s">
        <v>15</v>
      </c>
      <c r="D24" s="19"/>
      <c r="E24" s="19"/>
      <c r="F24" s="126">
        <f>ROUND(F22-F20,2)</f>
        <v>-591747.47</v>
      </c>
    </row>
    <row r="25" spans="1:9" ht="13.5" thickTop="1">
      <c r="E25" s="9"/>
    </row>
    <row r="27" spans="1:9" ht="42" customHeight="1">
      <c r="B27" s="288" t="s">
        <v>241</v>
      </c>
      <c r="C27" s="288"/>
      <c r="D27" s="288"/>
      <c r="E27" s="288"/>
      <c r="F27" s="288"/>
      <c r="G27" s="8"/>
      <c r="H27" s="8"/>
    </row>
    <row r="29" spans="1:9">
      <c r="F29" s="110"/>
    </row>
    <row r="34" spans="4:4">
      <c r="D34" s="250"/>
    </row>
  </sheetData>
  <mergeCells count="4">
    <mergeCell ref="A3:F3"/>
    <mergeCell ref="A4:F4"/>
    <mergeCell ref="A6:F6"/>
    <mergeCell ref="B27:F27"/>
  </mergeCells>
  <printOptions horizontalCentered="1"/>
  <pageMargins left="1" right="0.75" top="0.75" bottom="0.5" header="0.5" footer="0.5"/>
  <pageSetup fitToHeight="4" orientation="portrait" r:id="rId1"/>
  <headerFooter alignWithMargins="0">
    <oddFooter>&amp;RExhibit JW-2
Page &amp;P of &amp;N</oddFooter>
  </headerFooter>
  <ignoredErrors>
    <ignoredError sqref="C9:F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8C3C-855C-472D-A7A9-F19AB4B262B8}">
  <sheetPr>
    <pageSetUpPr fitToPage="1"/>
  </sheetPr>
  <dimension ref="A1:N41"/>
  <sheetViews>
    <sheetView view="pageBreakPreview" zoomScaleNormal="75" zoomScaleSheetLayoutView="100" workbookViewId="0">
      <selection activeCell="D23" sqref="D23"/>
    </sheetView>
  </sheetViews>
  <sheetFormatPr defaultColWidth="9.140625" defaultRowHeight="14.25"/>
  <cols>
    <col min="1" max="1" width="5.28515625" style="143" customWidth="1"/>
    <col min="2" max="2" width="37.140625" style="143" customWidth="1"/>
    <col min="3" max="3" width="11.5703125" style="143" bestFit="1" customWidth="1"/>
    <col min="4" max="4" width="11.140625" style="143" bestFit="1" customWidth="1"/>
    <col min="5" max="5" width="11.5703125" style="143" bestFit="1" customWidth="1"/>
    <col min="6" max="6" width="12.5703125" style="143" bestFit="1" customWidth="1"/>
    <col min="7" max="7" width="11.5703125" style="143" bestFit="1" customWidth="1"/>
    <col min="8" max="8" width="12.140625" style="143" bestFit="1" customWidth="1"/>
    <col min="9" max="9" width="11.28515625" style="143" customWidth="1"/>
    <col min="10" max="10" width="11.5703125" style="143" bestFit="1" customWidth="1"/>
    <col min="11" max="11" width="13.7109375" style="143" customWidth="1"/>
    <col min="12" max="12" width="9.85546875" style="143" bestFit="1" customWidth="1"/>
    <col min="13" max="16384" width="9.140625" style="143"/>
  </cols>
  <sheetData>
    <row r="1" spans="1:13" s="10" customFormat="1" ht="12.75">
      <c r="K1" s="5" t="s">
        <v>124</v>
      </c>
    </row>
    <row r="2" spans="1:13" s="10" customFormat="1" ht="12.75"/>
    <row r="3" spans="1:13" s="10" customFormat="1" ht="12.75"/>
    <row r="4" spans="1:13" s="10" customFormat="1" ht="12.75">
      <c r="A4" s="286" t="s">
        <v>389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</row>
    <row r="5" spans="1:13" s="10" customFormat="1" ht="12.75">
      <c r="A5" s="286" t="s">
        <v>388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</row>
    <row r="6" spans="1:13" s="10" customFormat="1" ht="12.7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s="10" customFormat="1" ht="12.75">
      <c r="A7" s="287" t="s">
        <v>267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</row>
    <row r="8" spans="1:13" s="10" customFormat="1" ht="12.75"/>
    <row r="9" spans="1:13">
      <c r="A9" s="141" t="s">
        <v>21</v>
      </c>
      <c r="B9" s="142" t="s">
        <v>40</v>
      </c>
      <c r="C9" s="142" t="s">
        <v>347</v>
      </c>
      <c r="D9" s="142" t="s">
        <v>348</v>
      </c>
      <c r="E9" s="142" t="s">
        <v>349</v>
      </c>
      <c r="F9" s="142" t="s">
        <v>350</v>
      </c>
      <c r="G9" s="142" t="s">
        <v>343</v>
      </c>
      <c r="H9" s="142" t="s">
        <v>351</v>
      </c>
      <c r="I9" s="142" t="s">
        <v>352</v>
      </c>
      <c r="J9" s="142" t="s">
        <v>353</v>
      </c>
      <c r="K9" s="142" t="s">
        <v>44</v>
      </c>
    </row>
    <row r="10" spans="1:13">
      <c r="A10" s="14">
        <v>1</v>
      </c>
      <c r="B10" s="9" t="s">
        <v>395</v>
      </c>
      <c r="C10" s="256"/>
      <c r="D10" s="256">
        <v>340.2</v>
      </c>
      <c r="E10" s="256"/>
      <c r="F10" s="256"/>
      <c r="G10" s="256"/>
      <c r="H10" s="256"/>
      <c r="I10" s="256"/>
      <c r="J10" s="256"/>
      <c r="K10" s="144">
        <f t="shared" ref="K10:K23" si="0">SUM(C10:J10)</f>
        <v>340.2</v>
      </c>
      <c r="L10" s="145"/>
      <c r="M10" s="145"/>
    </row>
    <row r="11" spans="1:13">
      <c r="A11" s="14">
        <f>A10+1</f>
        <v>2</v>
      </c>
      <c r="B11" s="9" t="s">
        <v>400</v>
      </c>
      <c r="C11" s="256">
        <v>600</v>
      </c>
      <c r="D11" s="256"/>
      <c r="E11" s="256"/>
      <c r="F11" s="256">
        <v>600</v>
      </c>
      <c r="G11" s="256">
        <v>600</v>
      </c>
      <c r="H11" s="256">
        <v>600</v>
      </c>
      <c r="I11" s="256">
        <v>600</v>
      </c>
      <c r="J11" s="256"/>
      <c r="K11" s="144">
        <f t="shared" si="0"/>
        <v>3000</v>
      </c>
      <c r="L11" s="145"/>
      <c r="M11" s="145"/>
    </row>
    <row r="12" spans="1:13">
      <c r="A12" s="14">
        <f t="shared" ref="A12:A30" si="1">A11+1</f>
        <v>3</v>
      </c>
      <c r="B12" s="9" t="s">
        <v>390</v>
      </c>
      <c r="C12" s="256">
        <v>300</v>
      </c>
      <c r="D12" s="256"/>
      <c r="E12" s="256"/>
      <c r="F12" s="256"/>
      <c r="G12" s="256"/>
      <c r="H12" s="256"/>
      <c r="I12" s="256">
        <v>369.68</v>
      </c>
      <c r="J12" s="256"/>
      <c r="K12" s="144">
        <f t="shared" si="0"/>
        <v>669.68000000000006</v>
      </c>
      <c r="L12" s="145"/>
      <c r="M12" s="145"/>
    </row>
    <row r="13" spans="1:13">
      <c r="A13" s="14">
        <f t="shared" si="1"/>
        <v>4</v>
      </c>
      <c r="B13" s="9" t="s">
        <v>401</v>
      </c>
      <c r="C13" s="256"/>
      <c r="D13" s="256"/>
      <c r="E13" s="256">
        <v>1500</v>
      </c>
      <c r="F13" s="256"/>
      <c r="G13" s="256"/>
      <c r="H13" s="256"/>
      <c r="I13" s="256"/>
      <c r="J13" s="256"/>
      <c r="K13" s="144">
        <f t="shared" si="0"/>
        <v>1500</v>
      </c>
      <c r="L13" s="145"/>
      <c r="M13" s="145"/>
    </row>
    <row r="14" spans="1:13">
      <c r="A14" s="14">
        <f t="shared" si="1"/>
        <v>5</v>
      </c>
      <c r="B14" s="9" t="s">
        <v>587</v>
      </c>
      <c r="C14" s="256"/>
      <c r="D14" s="256"/>
      <c r="E14" s="256"/>
      <c r="F14" s="256"/>
      <c r="G14" s="256"/>
      <c r="H14" s="256">
        <v>900</v>
      </c>
      <c r="I14" s="256"/>
      <c r="J14" s="256"/>
      <c r="K14" s="144">
        <f t="shared" si="0"/>
        <v>900</v>
      </c>
      <c r="L14" s="145"/>
      <c r="M14" s="145"/>
    </row>
    <row r="15" spans="1:13">
      <c r="A15" s="14">
        <f t="shared" si="1"/>
        <v>6</v>
      </c>
      <c r="B15" s="9" t="s">
        <v>402</v>
      </c>
      <c r="C15" s="256"/>
      <c r="D15" s="256"/>
      <c r="E15" s="256">
        <v>1200</v>
      </c>
      <c r="F15" s="256">
        <v>900</v>
      </c>
      <c r="G15" s="256">
        <v>600</v>
      </c>
      <c r="H15" s="256"/>
      <c r="I15" s="256"/>
      <c r="J15" s="256">
        <v>900</v>
      </c>
      <c r="K15" s="144">
        <f t="shared" si="0"/>
        <v>3600</v>
      </c>
      <c r="L15" s="145"/>
      <c r="M15" s="145"/>
    </row>
    <row r="16" spans="1:13">
      <c r="A16" s="14">
        <f t="shared" si="1"/>
        <v>7</v>
      </c>
      <c r="B16" s="9" t="s">
        <v>391</v>
      </c>
      <c r="C16" s="256">
        <v>300</v>
      </c>
      <c r="D16" s="256"/>
      <c r="E16" s="256">
        <v>300</v>
      </c>
      <c r="F16" s="256"/>
      <c r="G16" s="256"/>
      <c r="H16" s="256"/>
      <c r="I16" s="256">
        <v>300</v>
      </c>
      <c r="J16" s="256"/>
      <c r="K16" s="144">
        <f t="shared" si="0"/>
        <v>900</v>
      </c>
      <c r="L16" s="145"/>
      <c r="M16" s="145"/>
    </row>
    <row r="17" spans="1:13">
      <c r="A17" s="14">
        <f t="shared" si="1"/>
        <v>8</v>
      </c>
      <c r="B17" s="9" t="s">
        <v>392</v>
      </c>
      <c r="C17" s="256"/>
      <c r="D17" s="256">
        <v>900</v>
      </c>
      <c r="E17" s="256">
        <v>900</v>
      </c>
      <c r="F17" s="256">
        <v>900</v>
      </c>
      <c r="G17" s="256">
        <v>600</v>
      </c>
      <c r="H17" s="256"/>
      <c r="I17" s="256">
        <v>1200</v>
      </c>
      <c r="J17" s="256"/>
      <c r="K17" s="144">
        <f t="shared" si="0"/>
        <v>4500</v>
      </c>
      <c r="L17" s="145"/>
      <c r="M17" s="145"/>
    </row>
    <row r="18" spans="1:13">
      <c r="A18" s="14">
        <f t="shared" si="1"/>
        <v>9</v>
      </c>
      <c r="B18" s="9" t="s">
        <v>403</v>
      </c>
      <c r="C18" s="256">
        <v>1200</v>
      </c>
      <c r="D18" s="256"/>
      <c r="E18" s="256"/>
      <c r="F18" s="256"/>
      <c r="G18" s="256"/>
      <c r="H18" s="256"/>
      <c r="I18" s="256"/>
      <c r="J18" s="256">
        <v>1200</v>
      </c>
      <c r="K18" s="144">
        <f t="shared" si="0"/>
        <v>2400</v>
      </c>
      <c r="L18" s="145"/>
      <c r="M18" s="145"/>
    </row>
    <row r="19" spans="1:13">
      <c r="A19" s="14">
        <f t="shared" si="1"/>
        <v>10</v>
      </c>
      <c r="B19" s="9" t="s">
        <v>393</v>
      </c>
      <c r="C19" s="256"/>
      <c r="D19" s="256"/>
      <c r="E19" s="256"/>
      <c r="F19" s="256"/>
      <c r="G19" s="256">
        <v>900</v>
      </c>
      <c r="H19" s="256"/>
      <c r="I19" s="256">
        <v>1500</v>
      </c>
      <c r="J19" s="256"/>
      <c r="K19" s="144">
        <f t="shared" si="0"/>
        <v>2400</v>
      </c>
      <c r="L19" s="145"/>
      <c r="M19" s="145"/>
    </row>
    <row r="20" spans="1:13">
      <c r="A20" s="14">
        <f t="shared" si="1"/>
        <v>11</v>
      </c>
      <c r="B20" s="9" t="s">
        <v>394</v>
      </c>
      <c r="C20" s="256">
        <v>336.08</v>
      </c>
      <c r="D20" s="256"/>
      <c r="E20" s="256"/>
      <c r="F20" s="256"/>
      <c r="G20" s="256"/>
      <c r="H20" s="256"/>
      <c r="I20" s="256">
        <v>332.06</v>
      </c>
      <c r="J20" s="256"/>
      <c r="K20" s="144">
        <f t="shared" si="0"/>
        <v>668.14</v>
      </c>
      <c r="L20" s="145"/>
      <c r="M20" s="145"/>
    </row>
    <row r="21" spans="1:13">
      <c r="A21" s="14">
        <f t="shared" si="1"/>
        <v>12</v>
      </c>
      <c r="B21" s="9" t="s">
        <v>404</v>
      </c>
      <c r="C21" s="256"/>
      <c r="D21" s="256"/>
      <c r="E21" s="256"/>
      <c r="F21" s="256"/>
      <c r="G21" s="256"/>
      <c r="H21" s="256"/>
      <c r="I21" s="256">
        <v>2480</v>
      </c>
      <c r="J21" s="256"/>
      <c r="K21" s="144">
        <f t="shared" si="0"/>
        <v>2480</v>
      </c>
      <c r="L21" s="145"/>
      <c r="M21" s="145"/>
    </row>
    <row r="22" spans="1:13">
      <c r="A22" s="14">
        <f t="shared" si="1"/>
        <v>13</v>
      </c>
      <c r="B22" s="9" t="s">
        <v>405</v>
      </c>
      <c r="C22" s="256"/>
      <c r="D22" s="256"/>
      <c r="E22" s="256"/>
      <c r="F22" s="256"/>
      <c r="G22" s="256"/>
      <c r="H22" s="256"/>
      <c r="I22" s="256"/>
      <c r="J22" s="256">
        <v>729</v>
      </c>
      <c r="K22" s="144">
        <f t="shared" si="0"/>
        <v>729</v>
      </c>
      <c r="L22" s="145"/>
      <c r="M22" s="145"/>
    </row>
    <row r="23" spans="1:13">
      <c r="A23" s="14">
        <f t="shared" si="1"/>
        <v>14</v>
      </c>
      <c r="B23" s="10"/>
      <c r="C23" s="146">
        <f t="shared" ref="C23:I23" si="2">SUM(C10:C22)</f>
        <v>2736.08</v>
      </c>
      <c r="D23" s="146">
        <f t="shared" si="2"/>
        <v>1240.2</v>
      </c>
      <c r="E23" s="146">
        <f t="shared" si="2"/>
        <v>3900</v>
      </c>
      <c r="F23" s="146">
        <f t="shared" si="2"/>
        <v>2400</v>
      </c>
      <c r="G23" s="146">
        <f t="shared" si="2"/>
        <v>2700</v>
      </c>
      <c r="H23" s="146">
        <f t="shared" si="2"/>
        <v>1500</v>
      </c>
      <c r="I23" s="146">
        <f t="shared" si="2"/>
        <v>6781.7400000000007</v>
      </c>
      <c r="J23" s="146">
        <f>SUM(J10:J22)</f>
        <v>2829</v>
      </c>
      <c r="K23" s="146">
        <f t="shared" si="0"/>
        <v>24087.02</v>
      </c>
      <c r="L23" s="145"/>
      <c r="M23" s="145"/>
    </row>
    <row r="24" spans="1:13">
      <c r="A24" s="14">
        <f t="shared" si="1"/>
        <v>15</v>
      </c>
      <c r="B24" s="10"/>
      <c r="C24" s="24"/>
      <c r="D24" s="24"/>
      <c r="E24" s="24"/>
      <c r="F24" s="24"/>
      <c r="G24" s="24"/>
      <c r="H24" s="24"/>
      <c r="I24" s="24"/>
      <c r="J24" s="24"/>
      <c r="K24" s="10"/>
      <c r="L24" s="145"/>
      <c r="M24" s="145"/>
    </row>
    <row r="25" spans="1:13">
      <c r="A25" s="14">
        <f t="shared" si="1"/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10"/>
      <c r="L25" s="145"/>
      <c r="M25" s="145"/>
    </row>
    <row r="26" spans="1:13">
      <c r="A26" s="14">
        <f t="shared" si="1"/>
        <v>17</v>
      </c>
      <c r="B26" s="10"/>
      <c r="C26" s="24"/>
      <c r="D26" s="24"/>
      <c r="E26" s="24"/>
      <c r="F26" s="24"/>
      <c r="G26" s="24"/>
      <c r="H26" s="24"/>
      <c r="I26" s="10" t="s">
        <v>36</v>
      </c>
      <c r="J26" s="10"/>
      <c r="K26" s="144">
        <v>249448.93</v>
      </c>
      <c r="L26" s="145"/>
      <c r="M26" s="145"/>
    </row>
    <row r="27" spans="1:13">
      <c r="A27" s="14">
        <f t="shared" si="1"/>
        <v>18</v>
      </c>
      <c r="B27" s="10"/>
      <c r="C27" s="24"/>
      <c r="D27" s="24"/>
      <c r="E27" s="24"/>
      <c r="F27" s="24"/>
      <c r="G27" s="24"/>
      <c r="H27" s="24"/>
      <c r="I27" s="10"/>
      <c r="J27" s="10"/>
      <c r="K27" s="144"/>
      <c r="L27" s="145"/>
      <c r="M27" s="145"/>
    </row>
    <row r="28" spans="1:13">
      <c r="A28" s="14">
        <f t="shared" si="1"/>
        <v>19</v>
      </c>
      <c r="B28" s="10"/>
      <c r="C28" s="24"/>
      <c r="D28" s="24"/>
      <c r="E28" s="24"/>
      <c r="F28" s="10"/>
      <c r="G28" s="10"/>
      <c r="H28" s="10"/>
      <c r="I28" s="10" t="s">
        <v>167</v>
      </c>
      <c r="J28" s="10"/>
      <c r="K28" s="147">
        <f>K26-K23</f>
        <v>225361.91</v>
      </c>
      <c r="L28" s="145"/>
      <c r="M28" s="145"/>
    </row>
    <row r="29" spans="1:13">
      <c r="A29" s="14">
        <f t="shared" si="1"/>
        <v>20</v>
      </c>
      <c r="B29" s="10"/>
      <c r="C29" s="24"/>
      <c r="D29" s="24"/>
      <c r="E29" s="24"/>
      <c r="F29" s="10"/>
      <c r="G29" s="10"/>
      <c r="H29" s="10"/>
      <c r="I29" s="10"/>
      <c r="J29" s="10"/>
      <c r="K29" s="147"/>
    </row>
    <row r="30" spans="1:13" ht="15" thickBot="1">
      <c r="A30" s="14">
        <f t="shared" si="1"/>
        <v>21</v>
      </c>
      <c r="B30" s="10"/>
      <c r="C30" s="24"/>
      <c r="D30" s="24"/>
      <c r="E30" s="24"/>
      <c r="F30" s="10"/>
      <c r="G30" s="10"/>
      <c r="H30" s="10"/>
      <c r="I30" s="19" t="s">
        <v>15</v>
      </c>
      <c r="J30" s="19"/>
      <c r="K30" s="148">
        <f>K28-K26</f>
        <v>-24087.01999999999</v>
      </c>
    </row>
    <row r="31" spans="1:13" ht="15" thickTop="1">
      <c r="D31" s="149"/>
      <c r="E31" s="149"/>
      <c r="F31" s="149"/>
      <c r="G31" s="149"/>
      <c r="H31" s="139"/>
      <c r="I31" s="139"/>
      <c r="J31" s="139"/>
    </row>
    <row r="32" spans="1:13">
      <c r="B32" s="291" t="s">
        <v>268</v>
      </c>
      <c r="C32" s="291"/>
      <c r="D32" s="291"/>
      <c r="E32" s="291"/>
      <c r="F32" s="291"/>
      <c r="G32" s="291"/>
      <c r="H32" s="291"/>
      <c r="I32" s="291"/>
      <c r="J32" s="291"/>
    </row>
    <row r="33" spans="3:14">
      <c r="D33" s="149"/>
      <c r="E33" s="149"/>
      <c r="F33" s="149"/>
      <c r="G33" s="149"/>
      <c r="H33" s="149"/>
      <c r="I33" s="149"/>
      <c r="J33" s="149"/>
    </row>
    <row r="34" spans="3:14" ht="14.25" customHeight="1">
      <c r="D34" s="139"/>
      <c r="E34" s="139"/>
      <c r="F34" s="139"/>
      <c r="G34" s="139"/>
      <c r="H34" s="149"/>
      <c r="I34" s="149"/>
      <c r="J34" s="149"/>
      <c r="K34" s="139"/>
      <c r="L34" s="139"/>
      <c r="M34" s="139"/>
      <c r="N34" s="139"/>
    </row>
    <row r="35" spans="3:14">
      <c r="D35" s="149"/>
      <c r="E35" s="149"/>
      <c r="F35" s="149"/>
      <c r="G35" s="149"/>
      <c r="H35" s="149"/>
      <c r="I35" s="149"/>
      <c r="J35" s="149"/>
    </row>
    <row r="36" spans="3:14">
      <c r="C36" s="149"/>
      <c r="D36" s="149"/>
      <c r="E36" s="149"/>
      <c r="F36" s="149"/>
      <c r="G36" s="149"/>
      <c r="H36" s="149"/>
      <c r="I36" s="149"/>
      <c r="J36" s="149"/>
    </row>
    <row r="37" spans="3:14">
      <c r="C37" s="149"/>
      <c r="D37" s="149"/>
      <c r="E37" s="149"/>
      <c r="F37" s="149"/>
      <c r="G37" s="149"/>
      <c r="H37" s="149"/>
      <c r="I37" s="149"/>
      <c r="J37" s="149"/>
    </row>
    <row r="38" spans="3:14">
      <c r="C38" s="149"/>
      <c r="D38" s="149"/>
      <c r="E38" s="149"/>
      <c r="F38" s="149"/>
      <c r="G38" s="149"/>
      <c r="H38" s="149"/>
      <c r="I38" s="149"/>
      <c r="J38" s="149"/>
    </row>
    <row r="39" spans="3:14">
      <c r="C39" s="149"/>
      <c r="D39" s="149"/>
      <c r="E39" s="149"/>
      <c r="F39" s="149"/>
      <c r="G39" s="149"/>
    </row>
    <row r="40" spans="3:14">
      <c r="D40" s="149"/>
      <c r="E40" s="149"/>
      <c r="F40" s="149"/>
      <c r="G40" s="149"/>
    </row>
    <row r="41" spans="3:14">
      <c r="D41" s="149"/>
      <c r="E41" s="149"/>
      <c r="F41" s="149"/>
      <c r="G41" s="149"/>
    </row>
  </sheetData>
  <mergeCells count="4">
    <mergeCell ref="A4:K4"/>
    <mergeCell ref="A5:K5"/>
    <mergeCell ref="A7:K7"/>
    <mergeCell ref="B32:J32"/>
  </mergeCells>
  <printOptions horizontalCentered="1"/>
  <pageMargins left="0.7" right="0.7" top="0.75" bottom="0.75" header="0.3" footer="0.3"/>
  <pageSetup scale="81" orientation="landscape" r:id="rId1"/>
  <headerFooter>
    <oddFooter>&amp;R&amp;"Times New Roman,Regular"Exhibit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9E9E-0AF9-40D7-A17E-7E3589AAD3CE}">
  <sheetPr>
    <pageSetUpPr fitToPage="1"/>
  </sheetPr>
  <dimension ref="A1:P146"/>
  <sheetViews>
    <sheetView view="pageBreakPreview" topLeftCell="A18" zoomScaleNormal="75" zoomScaleSheetLayoutView="100" workbookViewId="0">
      <selection activeCell="O11" sqref="O11"/>
    </sheetView>
  </sheetViews>
  <sheetFormatPr defaultColWidth="9.140625" defaultRowHeight="12.75"/>
  <cols>
    <col min="1" max="1" width="4.140625" style="28" customWidth="1"/>
    <col min="2" max="2" width="5.42578125" style="131" bestFit="1" customWidth="1"/>
    <col min="3" max="3" width="11.5703125" style="2" customWidth="1"/>
    <col min="4" max="4" width="13" style="2" customWidth="1"/>
    <col min="5" max="5" width="11.7109375" style="2" customWidth="1"/>
    <col min="6" max="6" width="15.5703125" style="2" customWidth="1"/>
    <col min="7" max="7" width="16.28515625" style="2" bestFit="1" customWidth="1"/>
    <col min="8" max="8" width="16.85546875" style="2" customWidth="1"/>
    <col min="9" max="10" width="11.28515625" style="2" bestFit="1" customWidth="1"/>
    <col min="11" max="11" width="18" style="2" bestFit="1" customWidth="1"/>
    <col min="12" max="12" width="18.7109375" style="2" customWidth="1"/>
    <col min="13" max="13" width="11.28515625" style="2" bestFit="1" customWidth="1"/>
    <col min="14" max="14" width="12.7109375" style="2" bestFit="1" customWidth="1"/>
    <col min="15" max="17" width="9.140625" style="2"/>
    <col min="18" max="18" width="19.140625" style="2" customWidth="1"/>
    <col min="19" max="16384" width="9.140625" style="2"/>
  </cols>
  <sheetData>
    <row r="1" spans="1:16" ht="15" customHeight="1">
      <c r="H1" s="128"/>
      <c r="L1" s="128" t="s">
        <v>286</v>
      </c>
    </row>
    <row r="2" spans="1:16" ht="20.25" customHeight="1">
      <c r="H2" s="128"/>
      <c r="I2" s="128"/>
    </row>
    <row r="3" spans="1:16">
      <c r="H3" s="128"/>
      <c r="I3" s="128"/>
    </row>
    <row r="4" spans="1:16">
      <c r="C4" s="289" t="str">
        <f>RevReq!A1</f>
        <v>BLUE GRASS ENERGY</v>
      </c>
      <c r="D4" s="289"/>
      <c r="E4" s="289"/>
      <c r="F4" s="289"/>
      <c r="G4" s="289"/>
      <c r="H4" s="289"/>
      <c r="I4" s="289"/>
      <c r="J4" s="289"/>
      <c r="K4" s="289"/>
      <c r="L4" s="289"/>
      <c r="M4" s="160"/>
      <c r="N4" s="160"/>
      <c r="O4" s="160"/>
      <c r="P4" s="160"/>
    </row>
    <row r="5" spans="1:16">
      <c r="C5" s="289" t="str">
        <f>RevReq!A3</f>
        <v>For the 12 Months Ended Dec 31, 2024</v>
      </c>
      <c r="D5" s="289"/>
      <c r="E5" s="289"/>
      <c r="F5" s="289"/>
      <c r="G5" s="289"/>
      <c r="H5" s="289"/>
      <c r="I5" s="289"/>
      <c r="J5" s="289"/>
      <c r="K5" s="289"/>
      <c r="L5" s="289"/>
      <c r="M5" s="160"/>
    </row>
    <row r="7" spans="1:16" s="129" customFormat="1" ht="15" customHeight="1">
      <c r="A7" s="279"/>
      <c r="B7" s="164"/>
      <c r="C7" s="287" t="s">
        <v>276</v>
      </c>
      <c r="D7" s="287"/>
      <c r="E7" s="287"/>
      <c r="F7" s="287"/>
      <c r="G7" s="287"/>
      <c r="H7" s="287"/>
      <c r="I7" s="287"/>
      <c r="J7" s="287"/>
      <c r="K7" s="287"/>
      <c r="L7" s="287"/>
      <c r="M7" s="150"/>
    </row>
    <row r="9" spans="1:16">
      <c r="C9" s="95" t="s">
        <v>137</v>
      </c>
      <c r="D9" s="95" t="s">
        <v>138</v>
      </c>
      <c r="E9" s="95" t="s">
        <v>270</v>
      </c>
      <c r="F9" s="95" t="s">
        <v>271</v>
      </c>
      <c r="G9" s="95" t="s">
        <v>272</v>
      </c>
      <c r="H9" s="95" t="s">
        <v>273</v>
      </c>
      <c r="I9" s="95" t="s">
        <v>274</v>
      </c>
      <c r="J9" s="95" t="s">
        <v>589</v>
      </c>
      <c r="K9" s="95" t="s">
        <v>590</v>
      </c>
      <c r="L9" s="95" t="s">
        <v>591</v>
      </c>
    </row>
    <row r="10" spans="1:16">
      <c r="C10" s="95"/>
      <c r="D10" s="95"/>
      <c r="E10" s="94"/>
      <c r="F10" s="94"/>
      <c r="G10" s="94"/>
      <c r="H10" s="94" t="s">
        <v>277</v>
      </c>
      <c r="I10" s="94" t="s">
        <v>278</v>
      </c>
      <c r="J10" s="94"/>
    </row>
    <row r="11" spans="1:16" ht="42.75" customHeight="1">
      <c r="A11" s="165" t="s">
        <v>21</v>
      </c>
      <c r="B11" s="165" t="s">
        <v>305</v>
      </c>
      <c r="C11" s="166" t="s">
        <v>279</v>
      </c>
      <c r="D11" s="166" t="s">
        <v>280</v>
      </c>
      <c r="E11" s="166" t="s">
        <v>396</v>
      </c>
      <c r="F11" s="166" t="s">
        <v>413</v>
      </c>
      <c r="G11" s="166" t="s">
        <v>281</v>
      </c>
      <c r="H11" s="166" t="s">
        <v>384</v>
      </c>
      <c r="I11" s="166" t="s">
        <v>282</v>
      </c>
      <c r="J11" s="166" t="s">
        <v>411</v>
      </c>
      <c r="K11" s="166" t="s">
        <v>412</v>
      </c>
      <c r="L11" s="166" t="s">
        <v>414</v>
      </c>
    </row>
    <row r="12" spans="1:16">
      <c r="A12" s="28">
        <v>1</v>
      </c>
      <c r="C12" s="10">
        <v>1</v>
      </c>
      <c r="D12" s="10">
        <v>497.64</v>
      </c>
      <c r="E12" s="10">
        <v>35.15</v>
      </c>
      <c r="F12" s="167">
        <f>+E12*2080</f>
        <v>73112</v>
      </c>
      <c r="G12" s="256">
        <f>IF(F12&gt;50000,50000,F12)</f>
        <v>50000</v>
      </c>
      <c r="H12" s="256">
        <f>+F12*3</f>
        <v>219336</v>
      </c>
      <c r="I12" s="256">
        <f>((H12-G12)/H12)*D12</f>
        <v>384.19761024182077</v>
      </c>
      <c r="J12" s="10">
        <v>12</v>
      </c>
      <c r="K12" s="167">
        <f>D12/12*J12</f>
        <v>497.64</v>
      </c>
      <c r="L12" s="167">
        <f>J12/12*I12</f>
        <v>384.19761024182077</v>
      </c>
      <c r="M12" s="167"/>
    </row>
    <row r="13" spans="1:16">
      <c r="A13" s="28">
        <f>A12+1</f>
        <v>2</v>
      </c>
      <c r="C13" s="10">
        <v>2</v>
      </c>
      <c r="D13" s="10">
        <v>483.84</v>
      </c>
      <c r="E13" s="10">
        <v>35.15</v>
      </c>
      <c r="F13" s="167">
        <f t="shared" ref="F13:F76" si="0">+E13*2080</f>
        <v>73112</v>
      </c>
      <c r="G13" s="256">
        <f t="shared" ref="G13:G76" si="1">IF(F13&gt;50000,50000,F13)</f>
        <v>50000</v>
      </c>
      <c r="H13" s="256">
        <f t="shared" ref="H13:H76" si="2">+F13*3</f>
        <v>219336</v>
      </c>
      <c r="I13" s="256">
        <f t="shared" ref="I13:I76" si="3">((H13-G13)/H13)*D13</f>
        <v>373.54346865083704</v>
      </c>
      <c r="J13" s="10">
        <v>12</v>
      </c>
      <c r="K13" s="167">
        <f t="shared" ref="K13:K76" si="4">D13/12*J13</f>
        <v>483.84000000000003</v>
      </c>
      <c r="L13" s="167">
        <f t="shared" ref="L13:L76" si="5">J13/12*I13</f>
        <v>373.54346865083704</v>
      </c>
      <c r="M13" s="167"/>
    </row>
    <row r="14" spans="1:16">
      <c r="A14" s="28">
        <f t="shared" ref="A14:A77" si="6">A13+1</f>
        <v>3</v>
      </c>
      <c r="C14" s="10">
        <v>3</v>
      </c>
      <c r="D14" s="10">
        <v>345.6</v>
      </c>
      <c r="E14" s="10">
        <v>24.85</v>
      </c>
      <c r="F14" s="167">
        <f t="shared" si="0"/>
        <v>51688</v>
      </c>
      <c r="G14" s="256">
        <f t="shared" si="1"/>
        <v>50000</v>
      </c>
      <c r="H14" s="256">
        <f t="shared" si="2"/>
        <v>155064</v>
      </c>
      <c r="I14" s="256">
        <f t="shared" si="3"/>
        <v>234.16214208326883</v>
      </c>
      <c r="J14" s="10">
        <v>12</v>
      </c>
      <c r="K14" s="167">
        <f t="shared" si="4"/>
        <v>345.6</v>
      </c>
      <c r="L14" s="167">
        <f t="shared" si="5"/>
        <v>234.16214208326883</v>
      </c>
      <c r="M14" s="167"/>
    </row>
    <row r="15" spans="1:16">
      <c r="A15" s="28">
        <f t="shared" si="6"/>
        <v>4</v>
      </c>
      <c r="C15" s="10">
        <v>4</v>
      </c>
      <c r="D15" s="10">
        <v>622.08000000000004</v>
      </c>
      <c r="E15" s="10">
        <v>46.02</v>
      </c>
      <c r="F15" s="167">
        <f t="shared" si="0"/>
        <v>95721.600000000006</v>
      </c>
      <c r="G15" s="256">
        <f t="shared" si="1"/>
        <v>50000</v>
      </c>
      <c r="H15" s="256">
        <f t="shared" si="2"/>
        <v>287164.80000000005</v>
      </c>
      <c r="I15" s="256">
        <f t="shared" si="3"/>
        <v>513.76588907832718</v>
      </c>
      <c r="J15" s="10">
        <v>12</v>
      </c>
      <c r="K15" s="167">
        <f t="shared" si="4"/>
        <v>622.08000000000004</v>
      </c>
      <c r="L15" s="167">
        <f t="shared" si="5"/>
        <v>513.76588907832718</v>
      </c>
      <c r="M15" s="167"/>
    </row>
    <row r="16" spans="1:16">
      <c r="A16" s="28">
        <f t="shared" si="6"/>
        <v>5</v>
      </c>
      <c r="C16" s="10">
        <v>5</v>
      </c>
      <c r="D16" s="10">
        <v>677.4</v>
      </c>
      <c r="E16" s="10">
        <v>49.89</v>
      </c>
      <c r="F16" s="167">
        <f t="shared" si="0"/>
        <v>103771.2</v>
      </c>
      <c r="G16" s="256">
        <f t="shared" si="1"/>
        <v>50000</v>
      </c>
      <c r="H16" s="256">
        <f t="shared" si="2"/>
        <v>311313.59999999998</v>
      </c>
      <c r="I16" s="256">
        <f t="shared" si="3"/>
        <v>568.60295419152897</v>
      </c>
      <c r="J16" s="10">
        <v>12</v>
      </c>
      <c r="K16" s="167">
        <f t="shared" si="4"/>
        <v>677.4</v>
      </c>
      <c r="L16" s="167">
        <f t="shared" si="5"/>
        <v>568.60295419152897</v>
      </c>
      <c r="M16" s="167"/>
    </row>
    <row r="17" spans="1:13">
      <c r="A17" s="28">
        <f t="shared" si="6"/>
        <v>6</v>
      </c>
      <c r="C17" s="10">
        <v>6</v>
      </c>
      <c r="D17" s="10">
        <v>656.64</v>
      </c>
      <c r="E17" s="10">
        <v>49.09</v>
      </c>
      <c r="F17" s="167">
        <f t="shared" si="0"/>
        <v>102107.20000000001</v>
      </c>
      <c r="G17" s="256">
        <f t="shared" si="1"/>
        <v>50000</v>
      </c>
      <c r="H17" s="256">
        <f t="shared" si="2"/>
        <v>306321.60000000003</v>
      </c>
      <c r="I17" s="256">
        <f t="shared" si="3"/>
        <v>549.45852797843838</v>
      </c>
      <c r="J17" s="10">
        <v>12</v>
      </c>
      <c r="K17" s="167">
        <f t="shared" si="4"/>
        <v>656.64</v>
      </c>
      <c r="L17" s="167">
        <f t="shared" si="5"/>
        <v>549.45852797843838</v>
      </c>
      <c r="M17" s="167"/>
    </row>
    <row r="18" spans="1:13">
      <c r="A18" s="28">
        <f t="shared" si="6"/>
        <v>7</v>
      </c>
      <c r="C18" s="10">
        <v>7</v>
      </c>
      <c r="D18" s="10">
        <v>539.16</v>
      </c>
      <c r="E18" s="10">
        <v>39.21</v>
      </c>
      <c r="F18" s="167">
        <f t="shared" si="0"/>
        <v>81556.800000000003</v>
      </c>
      <c r="G18" s="256">
        <f t="shared" si="1"/>
        <v>50000</v>
      </c>
      <c r="H18" s="256">
        <f t="shared" si="2"/>
        <v>244670.40000000002</v>
      </c>
      <c r="I18" s="256">
        <f t="shared" si="3"/>
        <v>428.9791199262354</v>
      </c>
      <c r="J18" s="10">
        <v>12</v>
      </c>
      <c r="K18" s="167">
        <f t="shared" si="4"/>
        <v>539.16</v>
      </c>
      <c r="L18" s="167">
        <f t="shared" si="5"/>
        <v>428.9791199262354</v>
      </c>
      <c r="M18" s="167"/>
    </row>
    <row r="19" spans="1:13">
      <c r="A19" s="28">
        <f t="shared" si="6"/>
        <v>8</v>
      </c>
      <c r="C19" s="10">
        <v>8</v>
      </c>
      <c r="D19" s="10">
        <v>511.44</v>
      </c>
      <c r="E19" s="10">
        <v>46.02</v>
      </c>
      <c r="F19" s="167">
        <f t="shared" si="0"/>
        <v>95721.600000000006</v>
      </c>
      <c r="G19" s="256">
        <f t="shared" si="1"/>
        <v>50000</v>
      </c>
      <c r="H19" s="256">
        <f t="shared" si="2"/>
        <v>287164.80000000005</v>
      </c>
      <c r="I19" s="256">
        <f t="shared" si="3"/>
        <v>422.39008859024506</v>
      </c>
      <c r="J19" s="10">
        <v>12</v>
      </c>
      <c r="K19" s="167">
        <f t="shared" si="4"/>
        <v>511.43999999999994</v>
      </c>
      <c r="L19" s="167">
        <f t="shared" si="5"/>
        <v>422.39008859024506</v>
      </c>
      <c r="M19" s="167"/>
    </row>
    <row r="20" spans="1:13">
      <c r="A20" s="28">
        <f t="shared" si="6"/>
        <v>9</v>
      </c>
      <c r="C20" s="10">
        <v>9</v>
      </c>
      <c r="D20" s="10">
        <v>705</v>
      </c>
      <c r="E20" s="10">
        <v>55.28</v>
      </c>
      <c r="F20" s="167">
        <f t="shared" si="0"/>
        <v>114982.40000000001</v>
      </c>
      <c r="G20" s="256">
        <f t="shared" si="1"/>
        <v>50000</v>
      </c>
      <c r="H20" s="256">
        <f t="shared" si="2"/>
        <v>344947.20000000001</v>
      </c>
      <c r="I20" s="256">
        <f t="shared" si="3"/>
        <v>602.81044751196714</v>
      </c>
      <c r="J20" s="10">
        <v>12</v>
      </c>
      <c r="K20" s="167">
        <f t="shared" si="4"/>
        <v>705</v>
      </c>
      <c r="L20" s="167">
        <f t="shared" si="5"/>
        <v>602.81044751196714</v>
      </c>
      <c r="M20" s="167"/>
    </row>
    <row r="21" spans="1:13">
      <c r="A21" s="28">
        <f t="shared" si="6"/>
        <v>10</v>
      </c>
      <c r="C21" s="10">
        <v>10</v>
      </c>
      <c r="D21" s="10">
        <v>663.6</v>
      </c>
      <c r="E21" s="10">
        <v>49.39</v>
      </c>
      <c r="F21" s="167">
        <f t="shared" si="0"/>
        <v>102731.2</v>
      </c>
      <c r="G21" s="256">
        <f t="shared" si="1"/>
        <v>50000</v>
      </c>
      <c r="H21" s="256">
        <f t="shared" si="2"/>
        <v>308193.59999999998</v>
      </c>
      <c r="I21" s="256">
        <f t="shared" si="3"/>
        <v>555.94039902191344</v>
      </c>
      <c r="J21" s="10">
        <v>12</v>
      </c>
      <c r="K21" s="167">
        <f t="shared" si="4"/>
        <v>663.6</v>
      </c>
      <c r="L21" s="167">
        <f t="shared" si="5"/>
        <v>555.94039902191344</v>
      </c>
      <c r="M21" s="167"/>
    </row>
    <row r="22" spans="1:13">
      <c r="A22" s="28">
        <f t="shared" si="6"/>
        <v>11</v>
      </c>
      <c r="C22" s="10">
        <v>11</v>
      </c>
      <c r="D22" s="10">
        <v>718.8</v>
      </c>
      <c r="E22" s="10">
        <v>48</v>
      </c>
      <c r="F22" s="167">
        <f t="shared" si="0"/>
        <v>99840</v>
      </c>
      <c r="G22" s="256">
        <f t="shared" si="1"/>
        <v>50000</v>
      </c>
      <c r="H22" s="256">
        <f t="shared" si="2"/>
        <v>299520</v>
      </c>
      <c r="I22" s="256">
        <f t="shared" si="3"/>
        <v>598.80801282051277</v>
      </c>
      <c r="J22" s="10">
        <v>12</v>
      </c>
      <c r="K22" s="167">
        <f t="shared" si="4"/>
        <v>718.8</v>
      </c>
      <c r="L22" s="167">
        <f t="shared" si="5"/>
        <v>598.80801282051277</v>
      </c>
      <c r="M22" s="167"/>
    </row>
    <row r="23" spans="1:13">
      <c r="A23" s="28">
        <f t="shared" si="6"/>
        <v>12</v>
      </c>
      <c r="C23" s="10">
        <v>12</v>
      </c>
      <c r="D23" s="10">
        <v>211.96</v>
      </c>
      <c r="E23" s="10">
        <v>46.98</v>
      </c>
      <c r="F23" s="167">
        <f t="shared" si="0"/>
        <v>97718.399999999994</v>
      </c>
      <c r="G23" s="256">
        <f t="shared" si="1"/>
        <v>50000</v>
      </c>
      <c r="H23" s="256">
        <f t="shared" si="2"/>
        <v>293155.19999999995</v>
      </c>
      <c r="I23" s="256">
        <f t="shared" si="3"/>
        <v>175.80850072589536</v>
      </c>
      <c r="J23" s="10">
        <v>7</v>
      </c>
      <c r="K23" s="167">
        <f t="shared" si="4"/>
        <v>123.64333333333335</v>
      </c>
      <c r="L23" s="167">
        <f t="shared" si="5"/>
        <v>102.55495875677229</v>
      </c>
      <c r="M23" s="167"/>
    </row>
    <row r="24" spans="1:13">
      <c r="A24" s="28">
        <f t="shared" si="6"/>
        <v>13</v>
      </c>
      <c r="C24" s="10">
        <v>13</v>
      </c>
      <c r="D24" s="10">
        <v>815.64</v>
      </c>
      <c r="E24" s="10">
        <v>60.61</v>
      </c>
      <c r="F24" s="167">
        <f t="shared" si="0"/>
        <v>126068.8</v>
      </c>
      <c r="G24" s="256">
        <f t="shared" si="1"/>
        <v>50000</v>
      </c>
      <c r="H24" s="256">
        <f t="shared" si="2"/>
        <v>378206.4</v>
      </c>
      <c r="I24" s="256">
        <f t="shared" si="3"/>
        <v>707.80998971989891</v>
      </c>
      <c r="J24" s="10">
        <v>12</v>
      </c>
      <c r="K24" s="167">
        <f t="shared" si="4"/>
        <v>815.64</v>
      </c>
      <c r="L24" s="167">
        <f t="shared" si="5"/>
        <v>707.80998971989891</v>
      </c>
      <c r="M24" s="167"/>
    </row>
    <row r="25" spans="1:13">
      <c r="A25" s="28">
        <f t="shared" si="6"/>
        <v>14</v>
      </c>
      <c r="C25" s="10">
        <v>14</v>
      </c>
      <c r="D25" s="10">
        <v>670.44</v>
      </c>
      <c r="E25" s="10">
        <v>49.55</v>
      </c>
      <c r="F25" s="167">
        <f t="shared" si="0"/>
        <v>103064</v>
      </c>
      <c r="G25" s="256">
        <f t="shared" si="1"/>
        <v>50000</v>
      </c>
      <c r="H25" s="256">
        <f t="shared" si="2"/>
        <v>309192</v>
      </c>
      <c r="I25" s="256">
        <f>((H25-G25)/H25)*D25</f>
        <v>562.02192967476526</v>
      </c>
      <c r="J25" s="10">
        <v>12</v>
      </c>
      <c r="K25" s="167">
        <f t="shared" si="4"/>
        <v>670.44</v>
      </c>
      <c r="L25" s="167">
        <f t="shared" si="5"/>
        <v>562.02192967476526</v>
      </c>
      <c r="M25" s="167"/>
    </row>
    <row r="26" spans="1:13">
      <c r="A26" s="28">
        <f t="shared" si="6"/>
        <v>15</v>
      </c>
      <c r="C26" s="10">
        <v>15</v>
      </c>
      <c r="D26" s="10">
        <v>622.08000000000004</v>
      </c>
      <c r="E26" s="10">
        <v>46.02</v>
      </c>
      <c r="F26" s="167">
        <f t="shared" si="0"/>
        <v>95721.600000000006</v>
      </c>
      <c r="G26" s="256">
        <f t="shared" si="1"/>
        <v>50000</v>
      </c>
      <c r="H26" s="256">
        <f t="shared" si="2"/>
        <v>287164.80000000005</v>
      </c>
      <c r="I26" s="256">
        <f t="shared" si="3"/>
        <v>513.76588907832718</v>
      </c>
      <c r="J26" s="10">
        <v>12</v>
      </c>
      <c r="K26" s="167">
        <f t="shared" si="4"/>
        <v>622.08000000000004</v>
      </c>
      <c r="L26" s="167">
        <f t="shared" si="5"/>
        <v>513.76588907832718</v>
      </c>
      <c r="M26" s="167"/>
    </row>
    <row r="27" spans="1:13">
      <c r="A27" s="28">
        <f t="shared" si="6"/>
        <v>16</v>
      </c>
      <c r="C27" s="10">
        <v>16</v>
      </c>
      <c r="D27" s="10">
        <v>304.08</v>
      </c>
      <c r="E27" s="10">
        <v>25.1</v>
      </c>
      <c r="F27" s="167">
        <f t="shared" si="0"/>
        <v>52208</v>
      </c>
      <c r="G27" s="256">
        <f t="shared" si="1"/>
        <v>50000</v>
      </c>
      <c r="H27" s="256">
        <f t="shared" si="2"/>
        <v>156624</v>
      </c>
      <c r="I27" s="256">
        <f t="shared" si="3"/>
        <v>207.00675452038001</v>
      </c>
      <c r="J27" s="10">
        <v>12</v>
      </c>
      <c r="K27" s="167">
        <f t="shared" si="4"/>
        <v>304.08</v>
      </c>
      <c r="L27" s="167">
        <f t="shared" si="5"/>
        <v>207.00675452038001</v>
      </c>
      <c r="M27" s="167"/>
    </row>
    <row r="28" spans="1:13">
      <c r="A28" s="28">
        <f t="shared" si="6"/>
        <v>17</v>
      </c>
      <c r="C28" s="10">
        <v>17</v>
      </c>
      <c r="D28" s="10">
        <v>414.72</v>
      </c>
      <c r="E28" s="10">
        <v>28.37</v>
      </c>
      <c r="F28" s="167">
        <f t="shared" si="0"/>
        <v>59009.599999999999</v>
      </c>
      <c r="G28" s="256">
        <f t="shared" si="1"/>
        <v>50000</v>
      </c>
      <c r="H28" s="256">
        <f t="shared" si="2"/>
        <v>177028.8</v>
      </c>
      <c r="I28" s="256">
        <f t="shared" si="3"/>
        <v>297.58651663458153</v>
      </c>
      <c r="J28" s="10">
        <v>12</v>
      </c>
      <c r="K28" s="167">
        <f t="shared" si="4"/>
        <v>414.72</v>
      </c>
      <c r="L28" s="167">
        <f t="shared" si="5"/>
        <v>297.58651663458153</v>
      </c>
      <c r="M28" s="167"/>
    </row>
    <row r="29" spans="1:13">
      <c r="A29" s="28">
        <f t="shared" si="6"/>
        <v>18</v>
      </c>
      <c r="C29" s="10">
        <v>18</v>
      </c>
      <c r="D29" s="10">
        <v>345.6</v>
      </c>
      <c r="E29" s="10">
        <v>24.97</v>
      </c>
      <c r="F29" s="167">
        <f t="shared" si="0"/>
        <v>51937.599999999999</v>
      </c>
      <c r="G29" s="256">
        <f t="shared" si="1"/>
        <v>50000</v>
      </c>
      <c r="H29" s="256">
        <f t="shared" si="2"/>
        <v>155812.79999999999</v>
      </c>
      <c r="I29" s="256">
        <f t="shared" si="3"/>
        <v>234.69768645451467</v>
      </c>
      <c r="J29" s="10">
        <v>12</v>
      </c>
      <c r="K29" s="167">
        <f t="shared" si="4"/>
        <v>345.6</v>
      </c>
      <c r="L29" s="167">
        <f t="shared" si="5"/>
        <v>234.69768645451467</v>
      </c>
      <c r="M29" s="167"/>
    </row>
    <row r="30" spans="1:13">
      <c r="A30" s="28">
        <f t="shared" si="6"/>
        <v>19</v>
      </c>
      <c r="C30" s="10">
        <v>19</v>
      </c>
      <c r="D30" s="10">
        <v>656.64</v>
      </c>
      <c r="E30" s="10">
        <v>49.35</v>
      </c>
      <c r="F30" s="167">
        <f t="shared" si="0"/>
        <v>102648</v>
      </c>
      <c r="G30" s="256">
        <f t="shared" si="1"/>
        <v>50000</v>
      </c>
      <c r="H30" s="256">
        <f t="shared" si="2"/>
        <v>307944</v>
      </c>
      <c r="I30" s="256">
        <f t="shared" si="3"/>
        <v>550.0232125321487</v>
      </c>
      <c r="J30" s="10">
        <v>12</v>
      </c>
      <c r="K30" s="167">
        <f t="shared" si="4"/>
        <v>656.64</v>
      </c>
      <c r="L30" s="167">
        <f t="shared" si="5"/>
        <v>550.0232125321487</v>
      </c>
      <c r="M30" s="167"/>
    </row>
    <row r="31" spans="1:13">
      <c r="A31" s="28">
        <f t="shared" si="6"/>
        <v>20</v>
      </c>
      <c r="C31" s="10">
        <v>20</v>
      </c>
      <c r="D31" s="10">
        <v>684.24</v>
      </c>
      <c r="E31" s="10">
        <v>52.91</v>
      </c>
      <c r="F31" s="167">
        <f t="shared" si="0"/>
        <v>110052.79999999999</v>
      </c>
      <c r="G31" s="256">
        <f t="shared" si="1"/>
        <v>50000</v>
      </c>
      <c r="H31" s="256">
        <f t="shared" si="2"/>
        <v>330158.39999999997</v>
      </c>
      <c r="I31" s="256">
        <f t="shared" si="3"/>
        <v>580.61701176162717</v>
      </c>
      <c r="J31" s="10">
        <v>12</v>
      </c>
      <c r="K31" s="167">
        <f t="shared" si="4"/>
        <v>684.24</v>
      </c>
      <c r="L31" s="167">
        <f t="shared" si="5"/>
        <v>580.61701176162717</v>
      </c>
      <c r="M31" s="167"/>
    </row>
    <row r="32" spans="1:13">
      <c r="A32" s="28">
        <f t="shared" si="6"/>
        <v>21</v>
      </c>
      <c r="C32" s="10">
        <v>21</v>
      </c>
      <c r="D32" s="10">
        <v>622.08000000000004</v>
      </c>
      <c r="E32" s="10">
        <v>46.02</v>
      </c>
      <c r="F32" s="167">
        <f t="shared" si="0"/>
        <v>95721.600000000006</v>
      </c>
      <c r="G32" s="256">
        <f t="shared" si="1"/>
        <v>50000</v>
      </c>
      <c r="H32" s="256">
        <f t="shared" si="2"/>
        <v>287164.80000000005</v>
      </c>
      <c r="I32" s="256">
        <f t="shared" si="3"/>
        <v>513.76588907832718</v>
      </c>
      <c r="J32" s="10">
        <v>12</v>
      </c>
      <c r="K32" s="167">
        <f t="shared" si="4"/>
        <v>622.08000000000004</v>
      </c>
      <c r="L32" s="167">
        <f t="shared" si="5"/>
        <v>513.76588907832718</v>
      </c>
      <c r="M32" s="167"/>
    </row>
    <row r="33" spans="1:13">
      <c r="A33" s="28">
        <f t="shared" si="6"/>
        <v>22</v>
      </c>
      <c r="C33" s="10">
        <v>22</v>
      </c>
      <c r="D33" s="10">
        <v>345.6</v>
      </c>
      <c r="E33" s="10">
        <v>24.85</v>
      </c>
      <c r="F33" s="167">
        <f t="shared" si="0"/>
        <v>51688</v>
      </c>
      <c r="G33" s="256">
        <f t="shared" si="1"/>
        <v>50000</v>
      </c>
      <c r="H33" s="256">
        <f t="shared" si="2"/>
        <v>155064</v>
      </c>
      <c r="I33" s="256">
        <f t="shared" si="3"/>
        <v>234.16214208326883</v>
      </c>
      <c r="J33" s="10">
        <v>12</v>
      </c>
      <c r="K33" s="167">
        <f t="shared" si="4"/>
        <v>345.6</v>
      </c>
      <c r="L33" s="167">
        <f t="shared" si="5"/>
        <v>234.16214208326883</v>
      </c>
      <c r="M33" s="167"/>
    </row>
    <row r="34" spans="1:13">
      <c r="A34" s="28">
        <f t="shared" si="6"/>
        <v>23</v>
      </c>
      <c r="C34" s="10">
        <v>23</v>
      </c>
      <c r="D34" s="10">
        <v>622.08000000000004</v>
      </c>
      <c r="E34" s="10">
        <v>46.02</v>
      </c>
      <c r="F34" s="167">
        <f t="shared" si="0"/>
        <v>95721.600000000006</v>
      </c>
      <c r="G34" s="256">
        <f t="shared" si="1"/>
        <v>50000</v>
      </c>
      <c r="H34" s="256">
        <f t="shared" si="2"/>
        <v>287164.80000000005</v>
      </c>
      <c r="I34" s="256">
        <f t="shared" si="3"/>
        <v>513.76588907832718</v>
      </c>
      <c r="J34" s="10">
        <v>12</v>
      </c>
      <c r="K34" s="167">
        <f t="shared" si="4"/>
        <v>622.08000000000004</v>
      </c>
      <c r="L34" s="167">
        <f t="shared" si="5"/>
        <v>513.76588907832718</v>
      </c>
      <c r="M34" s="167"/>
    </row>
    <row r="35" spans="1:13">
      <c r="A35" s="28">
        <f t="shared" si="6"/>
        <v>24</v>
      </c>
      <c r="C35" s="10">
        <v>24</v>
      </c>
      <c r="D35" s="10">
        <v>400.92</v>
      </c>
      <c r="E35" s="10">
        <v>30.35</v>
      </c>
      <c r="F35" s="167">
        <f t="shared" si="0"/>
        <v>63128</v>
      </c>
      <c r="G35" s="256">
        <f t="shared" si="1"/>
        <v>50000</v>
      </c>
      <c r="H35" s="256">
        <f t="shared" si="2"/>
        <v>189384</v>
      </c>
      <c r="I35" s="256">
        <f t="shared" si="3"/>
        <v>295.07156507413509</v>
      </c>
      <c r="J35" s="10">
        <v>7</v>
      </c>
      <c r="K35" s="167">
        <f t="shared" si="4"/>
        <v>233.87000000000003</v>
      </c>
      <c r="L35" s="167">
        <f t="shared" si="5"/>
        <v>172.12507962657881</v>
      </c>
      <c r="M35" s="167"/>
    </row>
    <row r="36" spans="1:13">
      <c r="A36" s="28">
        <f t="shared" si="6"/>
        <v>25</v>
      </c>
      <c r="C36" s="10">
        <v>25</v>
      </c>
      <c r="D36" s="10">
        <v>622.08000000000004</v>
      </c>
      <c r="E36" s="10">
        <v>46.02</v>
      </c>
      <c r="F36" s="167">
        <f t="shared" si="0"/>
        <v>95721.600000000006</v>
      </c>
      <c r="G36" s="256">
        <f t="shared" si="1"/>
        <v>50000</v>
      </c>
      <c r="H36" s="256">
        <f t="shared" si="2"/>
        <v>287164.80000000005</v>
      </c>
      <c r="I36" s="256">
        <f t="shared" si="3"/>
        <v>513.76588907832718</v>
      </c>
      <c r="J36" s="10">
        <v>12</v>
      </c>
      <c r="K36" s="167">
        <f t="shared" si="4"/>
        <v>622.08000000000004</v>
      </c>
      <c r="L36" s="167">
        <f t="shared" si="5"/>
        <v>513.76588907832718</v>
      </c>
      <c r="M36" s="167"/>
    </row>
    <row r="37" spans="1:13">
      <c r="A37" s="28">
        <f t="shared" si="6"/>
        <v>26</v>
      </c>
      <c r="C37" s="10">
        <v>26</v>
      </c>
      <c r="D37" s="10">
        <v>656.64</v>
      </c>
      <c r="E37" s="10">
        <v>48.31</v>
      </c>
      <c r="F37" s="167">
        <f t="shared" si="0"/>
        <v>100484.8</v>
      </c>
      <c r="G37" s="256">
        <f t="shared" si="1"/>
        <v>50000</v>
      </c>
      <c r="H37" s="256">
        <f t="shared" si="2"/>
        <v>301454.40000000002</v>
      </c>
      <c r="I37" s="256">
        <f t="shared" si="3"/>
        <v>547.72800535006286</v>
      </c>
      <c r="J37" s="10">
        <v>12</v>
      </c>
      <c r="K37" s="167">
        <f t="shared" si="4"/>
        <v>656.64</v>
      </c>
      <c r="L37" s="167">
        <f t="shared" si="5"/>
        <v>547.72800535006286</v>
      </c>
      <c r="M37" s="167"/>
    </row>
    <row r="38" spans="1:13">
      <c r="A38" s="28">
        <f t="shared" si="6"/>
        <v>27</v>
      </c>
      <c r="C38" s="10">
        <v>27</v>
      </c>
      <c r="D38" s="10">
        <v>622.08000000000004</v>
      </c>
      <c r="E38" s="10">
        <v>46.02</v>
      </c>
      <c r="F38" s="167">
        <f t="shared" si="0"/>
        <v>95721.600000000006</v>
      </c>
      <c r="G38" s="256">
        <f t="shared" si="1"/>
        <v>50000</v>
      </c>
      <c r="H38" s="256">
        <f t="shared" si="2"/>
        <v>287164.80000000005</v>
      </c>
      <c r="I38" s="256">
        <f t="shared" si="3"/>
        <v>513.76588907832718</v>
      </c>
      <c r="J38" s="10">
        <v>12</v>
      </c>
      <c r="K38" s="167">
        <f t="shared" si="4"/>
        <v>622.08000000000004</v>
      </c>
      <c r="L38" s="167">
        <f t="shared" si="5"/>
        <v>513.76588907832718</v>
      </c>
      <c r="M38" s="167"/>
    </row>
    <row r="39" spans="1:13">
      <c r="A39" s="28">
        <f t="shared" si="6"/>
        <v>28</v>
      </c>
      <c r="C39" s="10">
        <v>28</v>
      </c>
      <c r="D39" s="10">
        <v>622.08000000000004</v>
      </c>
      <c r="E39" s="10">
        <v>46.02</v>
      </c>
      <c r="F39" s="167">
        <f t="shared" si="0"/>
        <v>95721.600000000006</v>
      </c>
      <c r="G39" s="256">
        <f t="shared" si="1"/>
        <v>50000</v>
      </c>
      <c r="H39" s="256">
        <f t="shared" si="2"/>
        <v>287164.80000000005</v>
      </c>
      <c r="I39" s="256">
        <f t="shared" si="3"/>
        <v>513.76588907832718</v>
      </c>
      <c r="J39" s="10">
        <v>12</v>
      </c>
      <c r="K39" s="167">
        <f t="shared" si="4"/>
        <v>622.08000000000004</v>
      </c>
      <c r="L39" s="167">
        <f t="shared" si="5"/>
        <v>513.76588907832718</v>
      </c>
      <c r="M39" s="167"/>
    </row>
    <row r="40" spans="1:13">
      <c r="A40" s="28">
        <f t="shared" si="6"/>
        <v>29</v>
      </c>
      <c r="C40" s="10">
        <v>29</v>
      </c>
      <c r="D40" s="10">
        <v>642.84</v>
      </c>
      <c r="E40" s="10">
        <v>48.15</v>
      </c>
      <c r="F40" s="167">
        <f t="shared" si="0"/>
        <v>100152</v>
      </c>
      <c r="G40" s="256">
        <f t="shared" si="1"/>
        <v>50000</v>
      </c>
      <c r="H40" s="256">
        <f t="shared" si="2"/>
        <v>300456</v>
      </c>
      <c r="I40" s="256">
        <f t="shared" si="3"/>
        <v>535.86260563942812</v>
      </c>
      <c r="J40" s="10">
        <v>12</v>
      </c>
      <c r="K40" s="167">
        <f t="shared" si="4"/>
        <v>642.84</v>
      </c>
      <c r="L40" s="167">
        <f t="shared" si="5"/>
        <v>535.86260563942812</v>
      </c>
      <c r="M40" s="167"/>
    </row>
    <row r="41" spans="1:13">
      <c r="A41" s="28">
        <f t="shared" si="6"/>
        <v>30</v>
      </c>
      <c r="C41" s="10">
        <v>30</v>
      </c>
      <c r="D41" s="10">
        <v>356.64</v>
      </c>
      <c r="E41" s="10">
        <v>43.6</v>
      </c>
      <c r="F41" s="167">
        <f t="shared" si="0"/>
        <v>90688</v>
      </c>
      <c r="G41" s="256">
        <f t="shared" si="1"/>
        <v>50000</v>
      </c>
      <c r="H41" s="256">
        <f t="shared" si="2"/>
        <v>272064</v>
      </c>
      <c r="I41" s="256">
        <f t="shared" si="3"/>
        <v>291.09659844742413</v>
      </c>
      <c r="J41" s="10">
        <v>12</v>
      </c>
      <c r="K41" s="167">
        <f t="shared" si="4"/>
        <v>356.64</v>
      </c>
      <c r="L41" s="167">
        <f t="shared" si="5"/>
        <v>291.09659844742413</v>
      </c>
      <c r="M41" s="167"/>
    </row>
    <row r="42" spans="1:13">
      <c r="A42" s="28">
        <f t="shared" si="6"/>
        <v>31</v>
      </c>
      <c r="C42" s="10">
        <v>31</v>
      </c>
      <c r="D42" s="10">
        <v>345.6</v>
      </c>
      <c r="E42" s="10">
        <v>25.08</v>
      </c>
      <c r="F42" s="167">
        <f t="shared" si="0"/>
        <v>52166.399999999994</v>
      </c>
      <c r="G42" s="256">
        <f t="shared" si="1"/>
        <v>50000</v>
      </c>
      <c r="H42" s="256">
        <f t="shared" si="2"/>
        <v>156499.19999999998</v>
      </c>
      <c r="I42" s="256">
        <f t="shared" si="3"/>
        <v>235.18410011041593</v>
      </c>
      <c r="J42" s="10">
        <v>12</v>
      </c>
      <c r="K42" s="167">
        <f t="shared" si="4"/>
        <v>345.6</v>
      </c>
      <c r="L42" s="167">
        <f t="shared" si="5"/>
        <v>235.18410011041593</v>
      </c>
      <c r="M42" s="167"/>
    </row>
    <row r="43" spans="1:13">
      <c r="A43" s="28">
        <f t="shared" si="6"/>
        <v>32</v>
      </c>
      <c r="C43" s="10">
        <v>32</v>
      </c>
      <c r="D43" s="10">
        <v>622.08000000000004</v>
      </c>
      <c r="E43" s="10">
        <v>46.02</v>
      </c>
      <c r="F43" s="167">
        <f t="shared" si="0"/>
        <v>95721.600000000006</v>
      </c>
      <c r="G43" s="256">
        <f t="shared" si="1"/>
        <v>50000</v>
      </c>
      <c r="H43" s="256">
        <f t="shared" si="2"/>
        <v>287164.80000000005</v>
      </c>
      <c r="I43" s="256">
        <f t="shared" si="3"/>
        <v>513.76588907832718</v>
      </c>
      <c r="J43" s="10">
        <v>12</v>
      </c>
      <c r="K43" s="167">
        <f t="shared" si="4"/>
        <v>622.08000000000004</v>
      </c>
      <c r="L43" s="167">
        <f t="shared" si="5"/>
        <v>513.76588907832718</v>
      </c>
      <c r="M43" s="167"/>
    </row>
    <row r="44" spans="1:13">
      <c r="A44" s="28">
        <f t="shared" si="6"/>
        <v>33</v>
      </c>
      <c r="C44" s="10">
        <v>33</v>
      </c>
      <c r="D44" s="10">
        <v>718.8</v>
      </c>
      <c r="E44" s="10">
        <v>72.12</v>
      </c>
      <c r="F44" s="167">
        <f t="shared" si="0"/>
        <v>150009.60000000001</v>
      </c>
      <c r="G44" s="256">
        <f t="shared" si="1"/>
        <v>50000</v>
      </c>
      <c r="H44" s="256">
        <f t="shared" si="2"/>
        <v>450028.80000000005</v>
      </c>
      <c r="I44" s="256">
        <f t="shared" si="3"/>
        <v>638.938444472887</v>
      </c>
      <c r="J44" s="10">
        <v>12</v>
      </c>
      <c r="K44" s="167">
        <f t="shared" si="4"/>
        <v>718.8</v>
      </c>
      <c r="L44" s="167">
        <f t="shared" si="5"/>
        <v>638.938444472887</v>
      </c>
      <c r="M44" s="167"/>
    </row>
    <row r="45" spans="1:13">
      <c r="A45" s="28">
        <f t="shared" si="6"/>
        <v>34</v>
      </c>
      <c r="C45" s="10">
        <v>34</v>
      </c>
      <c r="D45" s="10">
        <v>781.08</v>
      </c>
      <c r="E45" s="10">
        <v>58.38</v>
      </c>
      <c r="F45" s="167">
        <f t="shared" si="0"/>
        <v>121430.40000000001</v>
      </c>
      <c r="G45" s="256">
        <f t="shared" si="1"/>
        <v>50000</v>
      </c>
      <c r="H45" s="256">
        <f t="shared" si="2"/>
        <v>364291.2</v>
      </c>
      <c r="I45" s="256">
        <f t="shared" si="3"/>
        <v>673.87455556433986</v>
      </c>
      <c r="J45" s="10">
        <v>12</v>
      </c>
      <c r="K45" s="167">
        <f t="shared" si="4"/>
        <v>781.08</v>
      </c>
      <c r="L45" s="167">
        <f t="shared" si="5"/>
        <v>673.87455556433986</v>
      </c>
      <c r="M45" s="167"/>
    </row>
    <row r="46" spans="1:13">
      <c r="A46" s="28">
        <f t="shared" si="6"/>
        <v>35</v>
      </c>
      <c r="C46" s="10">
        <v>35</v>
      </c>
      <c r="D46" s="10">
        <v>345.6</v>
      </c>
      <c r="E46" s="10">
        <v>24.85</v>
      </c>
      <c r="F46" s="167">
        <f t="shared" si="0"/>
        <v>51688</v>
      </c>
      <c r="G46" s="256">
        <f t="shared" si="1"/>
        <v>50000</v>
      </c>
      <c r="H46" s="256">
        <f t="shared" si="2"/>
        <v>155064</v>
      </c>
      <c r="I46" s="256">
        <f t="shared" si="3"/>
        <v>234.16214208326883</v>
      </c>
      <c r="J46" s="10">
        <v>12</v>
      </c>
      <c r="K46" s="167">
        <f t="shared" si="4"/>
        <v>345.6</v>
      </c>
      <c r="L46" s="167">
        <f t="shared" si="5"/>
        <v>234.16214208326883</v>
      </c>
      <c r="M46" s="167"/>
    </row>
    <row r="47" spans="1:13">
      <c r="A47" s="28">
        <f t="shared" si="6"/>
        <v>36</v>
      </c>
      <c r="C47" s="10">
        <v>36</v>
      </c>
      <c r="D47" s="10">
        <v>1112.8800000000001</v>
      </c>
      <c r="E47" s="10">
        <v>82.78</v>
      </c>
      <c r="F47" s="167">
        <f t="shared" si="0"/>
        <v>172182.39999999999</v>
      </c>
      <c r="G47" s="256">
        <f t="shared" si="1"/>
        <v>50000</v>
      </c>
      <c r="H47" s="256">
        <f t="shared" si="2"/>
        <v>516547.19999999995</v>
      </c>
      <c r="I47" s="256">
        <f t="shared" si="3"/>
        <v>1005.1570271526011</v>
      </c>
      <c r="J47" s="10">
        <v>12</v>
      </c>
      <c r="K47" s="167">
        <f t="shared" si="4"/>
        <v>1112.8800000000001</v>
      </c>
      <c r="L47" s="167">
        <f t="shared" si="5"/>
        <v>1005.1570271526011</v>
      </c>
      <c r="M47" s="167"/>
    </row>
    <row r="48" spans="1:13">
      <c r="A48" s="28">
        <f t="shared" si="6"/>
        <v>37</v>
      </c>
      <c r="C48" s="10">
        <v>37</v>
      </c>
      <c r="D48" s="10">
        <v>387.12</v>
      </c>
      <c r="E48" s="10">
        <v>31.4</v>
      </c>
      <c r="F48" s="167">
        <f t="shared" si="0"/>
        <v>65312</v>
      </c>
      <c r="G48" s="256">
        <f t="shared" si="1"/>
        <v>50000</v>
      </c>
      <c r="H48" s="256">
        <f t="shared" si="2"/>
        <v>195936</v>
      </c>
      <c r="I48" s="256">
        <f t="shared" si="3"/>
        <v>288.33264086232242</v>
      </c>
      <c r="J48" s="10">
        <v>12</v>
      </c>
      <c r="K48" s="167">
        <f t="shared" si="4"/>
        <v>387.12</v>
      </c>
      <c r="L48" s="167">
        <f t="shared" si="5"/>
        <v>288.33264086232242</v>
      </c>
      <c r="M48" s="167"/>
    </row>
    <row r="49" spans="1:13">
      <c r="A49" s="28">
        <f t="shared" si="6"/>
        <v>38</v>
      </c>
      <c r="C49" s="10">
        <v>38</v>
      </c>
      <c r="D49" s="10">
        <v>718.8</v>
      </c>
      <c r="E49" s="10">
        <v>50</v>
      </c>
      <c r="F49" s="167">
        <f t="shared" si="0"/>
        <v>104000</v>
      </c>
      <c r="G49" s="256">
        <f t="shared" si="1"/>
        <v>50000</v>
      </c>
      <c r="H49" s="256">
        <f t="shared" si="2"/>
        <v>312000</v>
      </c>
      <c r="I49" s="256">
        <f t="shared" si="3"/>
        <v>603.60769230769233</v>
      </c>
      <c r="J49" s="10">
        <v>12</v>
      </c>
      <c r="K49" s="167">
        <f t="shared" si="4"/>
        <v>718.8</v>
      </c>
      <c r="L49" s="167">
        <f t="shared" si="5"/>
        <v>603.60769230769233</v>
      </c>
      <c r="M49" s="167"/>
    </row>
    <row r="50" spans="1:13">
      <c r="A50" s="28">
        <f t="shared" si="6"/>
        <v>39</v>
      </c>
      <c r="C50" s="10">
        <v>39</v>
      </c>
      <c r="D50" s="10">
        <v>691.2</v>
      </c>
      <c r="E50" s="10">
        <v>47.67</v>
      </c>
      <c r="F50" s="167">
        <f t="shared" si="0"/>
        <v>99153.600000000006</v>
      </c>
      <c r="G50" s="256">
        <f t="shared" si="1"/>
        <v>50000</v>
      </c>
      <c r="H50" s="256">
        <f t="shared" si="2"/>
        <v>297460.80000000005</v>
      </c>
      <c r="I50" s="256">
        <f t="shared" si="3"/>
        <v>575.01662390472973</v>
      </c>
      <c r="J50" s="10">
        <v>12</v>
      </c>
      <c r="K50" s="167">
        <f t="shared" si="4"/>
        <v>691.2</v>
      </c>
      <c r="L50" s="167">
        <f t="shared" si="5"/>
        <v>575.01662390472973</v>
      </c>
      <c r="M50" s="167"/>
    </row>
    <row r="51" spans="1:13">
      <c r="A51" s="28">
        <f t="shared" si="6"/>
        <v>40</v>
      </c>
      <c r="C51" s="10">
        <v>40</v>
      </c>
      <c r="D51" s="10">
        <v>1002.24</v>
      </c>
      <c r="E51" s="10">
        <v>74.91</v>
      </c>
      <c r="F51" s="167">
        <f t="shared" si="0"/>
        <v>155812.79999999999</v>
      </c>
      <c r="G51" s="256">
        <f t="shared" si="1"/>
        <v>50000</v>
      </c>
      <c r="H51" s="256">
        <f t="shared" si="2"/>
        <v>467438.39999999997</v>
      </c>
      <c r="I51" s="256">
        <f t="shared" si="3"/>
        <v>895.03443023936416</v>
      </c>
      <c r="J51" s="10">
        <v>12</v>
      </c>
      <c r="K51" s="167">
        <f t="shared" si="4"/>
        <v>1002.24</v>
      </c>
      <c r="L51" s="167">
        <f t="shared" si="5"/>
        <v>895.03443023936416</v>
      </c>
      <c r="M51" s="167"/>
    </row>
    <row r="52" spans="1:13">
      <c r="A52" s="28">
        <f t="shared" si="6"/>
        <v>41</v>
      </c>
      <c r="C52" s="10">
        <v>41</v>
      </c>
      <c r="D52" s="10">
        <v>345.6</v>
      </c>
      <c r="E52" s="10">
        <v>24.85</v>
      </c>
      <c r="F52" s="167">
        <f t="shared" si="0"/>
        <v>51688</v>
      </c>
      <c r="G52" s="256">
        <f t="shared" si="1"/>
        <v>50000</v>
      </c>
      <c r="H52" s="256">
        <f t="shared" si="2"/>
        <v>155064</v>
      </c>
      <c r="I52" s="256">
        <f t="shared" si="3"/>
        <v>234.16214208326883</v>
      </c>
      <c r="J52" s="10">
        <v>12</v>
      </c>
      <c r="K52" s="167">
        <f t="shared" si="4"/>
        <v>345.6</v>
      </c>
      <c r="L52" s="167">
        <f t="shared" si="5"/>
        <v>234.16214208326883</v>
      </c>
      <c r="M52" s="167"/>
    </row>
    <row r="53" spans="1:13">
      <c r="A53" s="28">
        <f t="shared" si="6"/>
        <v>42</v>
      </c>
      <c r="C53" s="10">
        <v>42</v>
      </c>
      <c r="D53" s="10">
        <v>483.84</v>
      </c>
      <c r="E53" s="10">
        <v>35.15</v>
      </c>
      <c r="F53" s="167">
        <f t="shared" si="0"/>
        <v>73112</v>
      </c>
      <c r="G53" s="256">
        <f t="shared" si="1"/>
        <v>50000</v>
      </c>
      <c r="H53" s="256">
        <f t="shared" si="2"/>
        <v>219336</v>
      </c>
      <c r="I53" s="256">
        <f t="shared" si="3"/>
        <v>373.54346865083704</v>
      </c>
      <c r="J53" s="10">
        <v>12</v>
      </c>
      <c r="K53" s="167">
        <f t="shared" si="4"/>
        <v>483.84000000000003</v>
      </c>
      <c r="L53" s="167">
        <f t="shared" si="5"/>
        <v>373.54346865083704</v>
      </c>
      <c r="M53" s="167"/>
    </row>
    <row r="54" spans="1:13">
      <c r="A54" s="28">
        <f t="shared" si="6"/>
        <v>43</v>
      </c>
      <c r="C54" s="10">
        <v>43</v>
      </c>
      <c r="D54" s="10">
        <v>663.6</v>
      </c>
      <c r="E54" s="10">
        <v>49.39</v>
      </c>
      <c r="F54" s="167">
        <f t="shared" si="0"/>
        <v>102731.2</v>
      </c>
      <c r="G54" s="256">
        <f t="shared" si="1"/>
        <v>50000</v>
      </c>
      <c r="H54" s="256">
        <f t="shared" si="2"/>
        <v>308193.59999999998</v>
      </c>
      <c r="I54" s="256">
        <f t="shared" si="3"/>
        <v>555.94039902191344</v>
      </c>
      <c r="J54" s="10">
        <v>12</v>
      </c>
      <c r="K54" s="167">
        <f t="shared" si="4"/>
        <v>663.6</v>
      </c>
      <c r="L54" s="167">
        <f t="shared" si="5"/>
        <v>555.94039902191344</v>
      </c>
      <c r="M54" s="167"/>
    </row>
    <row r="55" spans="1:13">
      <c r="A55" s="28">
        <f t="shared" si="6"/>
        <v>44</v>
      </c>
      <c r="C55" s="10">
        <v>44</v>
      </c>
      <c r="D55" s="10">
        <v>552.96</v>
      </c>
      <c r="E55" s="10">
        <v>39.21</v>
      </c>
      <c r="F55" s="167">
        <f t="shared" si="0"/>
        <v>81556.800000000003</v>
      </c>
      <c r="G55" s="256">
        <f t="shared" si="1"/>
        <v>50000</v>
      </c>
      <c r="H55" s="256">
        <f t="shared" si="2"/>
        <v>244670.40000000002</v>
      </c>
      <c r="I55" s="256">
        <f t="shared" si="3"/>
        <v>439.95899947030784</v>
      </c>
      <c r="J55" s="10">
        <v>12</v>
      </c>
      <c r="K55" s="167">
        <f t="shared" si="4"/>
        <v>552.96</v>
      </c>
      <c r="L55" s="167">
        <f t="shared" si="5"/>
        <v>439.95899947030784</v>
      </c>
      <c r="M55" s="167"/>
    </row>
    <row r="56" spans="1:13">
      <c r="A56" s="28">
        <f t="shared" si="6"/>
        <v>45</v>
      </c>
      <c r="C56" s="10">
        <v>45</v>
      </c>
      <c r="D56" s="10">
        <v>387.12</v>
      </c>
      <c r="E56" s="10">
        <v>28.25</v>
      </c>
      <c r="F56" s="167">
        <f t="shared" si="0"/>
        <v>58760</v>
      </c>
      <c r="G56" s="256">
        <f t="shared" si="1"/>
        <v>50000</v>
      </c>
      <c r="H56" s="256">
        <f t="shared" si="2"/>
        <v>176280</v>
      </c>
      <c r="I56" s="256">
        <f t="shared" si="3"/>
        <v>277.31741320626281</v>
      </c>
      <c r="J56" s="10">
        <v>12</v>
      </c>
      <c r="K56" s="167">
        <f t="shared" si="4"/>
        <v>387.12</v>
      </c>
      <c r="L56" s="167">
        <f t="shared" si="5"/>
        <v>277.31741320626281</v>
      </c>
      <c r="M56" s="167"/>
    </row>
    <row r="57" spans="1:13">
      <c r="A57" s="28">
        <f t="shared" si="6"/>
        <v>46</v>
      </c>
      <c r="C57" s="10">
        <v>46</v>
      </c>
      <c r="D57" s="10">
        <v>511.44</v>
      </c>
      <c r="E57" s="10">
        <v>46.02</v>
      </c>
      <c r="F57" s="167">
        <f t="shared" si="0"/>
        <v>95721.600000000006</v>
      </c>
      <c r="G57" s="256">
        <f t="shared" si="1"/>
        <v>50000</v>
      </c>
      <c r="H57" s="256">
        <f t="shared" si="2"/>
        <v>287164.80000000005</v>
      </c>
      <c r="I57" s="256">
        <f t="shared" si="3"/>
        <v>422.39008859024506</v>
      </c>
      <c r="J57" s="10">
        <v>9</v>
      </c>
      <c r="K57" s="167">
        <f t="shared" si="4"/>
        <v>383.58</v>
      </c>
      <c r="L57" s="167">
        <f t="shared" si="5"/>
        <v>316.79256644268378</v>
      </c>
      <c r="M57" s="167"/>
    </row>
    <row r="58" spans="1:13">
      <c r="A58" s="28">
        <f t="shared" si="6"/>
        <v>47</v>
      </c>
      <c r="C58" s="10">
        <v>47</v>
      </c>
      <c r="D58" s="10">
        <v>739.56</v>
      </c>
      <c r="E58" s="10">
        <v>54.38</v>
      </c>
      <c r="F58" s="167">
        <f t="shared" si="0"/>
        <v>113110.40000000001</v>
      </c>
      <c r="G58" s="256">
        <f t="shared" si="1"/>
        <v>50000</v>
      </c>
      <c r="H58" s="256">
        <f t="shared" si="2"/>
        <v>339331.2</v>
      </c>
      <c r="I58" s="256">
        <f t="shared" si="3"/>
        <v>630.58681981497716</v>
      </c>
      <c r="J58" s="10">
        <v>12</v>
      </c>
      <c r="K58" s="167">
        <f t="shared" si="4"/>
        <v>739.56</v>
      </c>
      <c r="L58" s="167">
        <f t="shared" si="5"/>
        <v>630.58681981497716</v>
      </c>
      <c r="M58" s="167"/>
    </row>
    <row r="59" spans="1:13">
      <c r="A59" s="28">
        <f t="shared" si="6"/>
        <v>48</v>
      </c>
      <c r="C59" s="10">
        <v>48</v>
      </c>
      <c r="D59" s="10">
        <v>1092.1199999999999</v>
      </c>
      <c r="E59" s="10">
        <v>80.98</v>
      </c>
      <c r="F59" s="167">
        <f t="shared" si="0"/>
        <v>168438.39999999999</v>
      </c>
      <c r="G59" s="256">
        <f t="shared" si="1"/>
        <v>50000</v>
      </c>
      <c r="H59" s="256">
        <f t="shared" si="2"/>
        <v>505315.19999999995</v>
      </c>
      <c r="I59" s="256">
        <f t="shared" si="3"/>
        <v>984.05675551418187</v>
      </c>
      <c r="J59" s="10">
        <v>12</v>
      </c>
      <c r="K59" s="167">
        <f t="shared" si="4"/>
        <v>1092.1199999999999</v>
      </c>
      <c r="L59" s="167">
        <f t="shared" si="5"/>
        <v>984.05675551418187</v>
      </c>
      <c r="M59" s="167"/>
    </row>
    <row r="60" spans="1:13">
      <c r="A60" s="28">
        <f t="shared" si="6"/>
        <v>49</v>
      </c>
      <c r="C60" s="10">
        <v>49</v>
      </c>
      <c r="D60" s="10">
        <v>387.12</v>
      </c>
      <c r="E60" s="10">
        <v>24.69</v>
      </c>
      <c r="F60" s="167">
        <f t="shared" si="0"/>
        <v>51355.200000000004</v>
      </c>
      <c r="G60" s="256">
        <f t="shared" si="1"/>
        <v>50000</v>
      </c>
      <c r="H60" s="256">
        <f t="shared" si="2"/>
        <v>154065.60000000001</v>
      </c>
      <c r="I60" s="256">
        <f t="shared" si="3"/>
        <v>261.4852054709163</v>
      </c>
      <c r="J60" s="10">
        <v>12</v>
      </c>
      <c r="K60" s="167">
        <f t="shared" si="4"/>
        <v>387.12</v>
      </c>
      <c r="L60" s="167">
        <f t="shared" si="5"/>
        <v>261.4852054709163</v>
      </c>
      <c r="M60" s="167"/>
    </row>
    <row r="61" spans="1:13">
      <c r="A61" s="28">
        <f t="shared" si="6"/>
        <v>50</v>
      </c>
      <c r="C61" s="10">
        <v>50</v>
      </c>
      <c r="D61" s="10">
        <v>622.08000000000004</v>
      </c>
      <c r="E61" s="10">
        <v>46.02</v>
      </c>
      <c r="F61" s="167">
        <f t="shared" si="0"/>
        <v>95721.600000000006</v>
      </c>
      <c r="G61" s="256">
        <f t="shared" si="1"/>
        <v>50000</v>
      </c>
      <c r="H61" s="256">
        <f t="shared" si="2"/>
        <v>287164.80000000005</v>
      </c>
      <c r="I61" s="256">
        <f t="shared" si="3"/>
        <v>513.76588907832718</v>
      </c>
      <c r="J61" s="10">
        <v>12</v>
      </c>
      <c r="K61" s="167">
        <f t="shared" si="4"/>
        <v>622.08000000000004</v>
      </c>
      <c r="L61" s="167">
        <f t="shared" si="5"/>
        <v>513.76588907832718</v>
      </c>
      <c r="M61" s="167"/>
    </row>
    <row r="62" spans="1:13">
      <c r="A62" s="28">
        <f t="shared" si="6"/>
        <v>51</v>
      </c>
      <c r="C62" s="10">
        <v>51</v>
      </c>
      <c r="D62" s="10">
        <v>345.6</v>
      </c>
      <c r="E62" s="10">
        <v>30.79</v>
      </c>
      <c r="F62" s="167">
        <f t="shared" si="0"/>
        <v>64043.199999999997</v>
      </c>
      <c r="G62" s="256">
        <f t="shared" si="1"/>
        <v>50000</v>
      </c>
      <c r="H62" s="256">
        <f t="shared" si="2"/>
        <v>192129.59999999998</v>
      </c>
      <c r="I62" s="256">
        <f t="shared" si="3"/>
        <v>255.66070902141058</v>
      </c>
      <c r="J62" s="10">
        <v>12</v>
      </c>
      <c r="K62" s="167">
        <f t="shared" si="4"/>
        <v>345.6</v>
      </c>
      <c r="L62" s="167">
        <f t="shared" si="5"/>
        <v>255.66070902141058</v>
      </c>
      <c r="M62" s="167"/>
    </row>
    <row r="63" spans="1:13">
      <c r="A63" s="28">
        <f t="shared" si="6"/>
        <v>52</v>
      </c>
      <c r="C63" s="10">
        <v>52</v>
      </c>
      <c r="D63" s="10">
        <v>815.64</v>
      </c>
      <c r="E63" s="10">
        <v>61.43</v>
      </c>
      <c r="F63" s="167">
        <f t="shared" si="0"/>
        <v>127774.39999999999</v>
      </c>
      <c r="G63" s="256">
        <f t="shared" si="1"/>
        <v>50000</v>
      </c>
      <c r="H63" s="256">
        <f t="shared" si="2"/>
        <v>383323.19999999995</v>
      </c>
      <c r="I63" s="256">
        <f t="shared" si="3"/>
        <v>709.2493614996431</v>
      </c>
      <c r="J63" s="10">
        <v>12</v>
      </c>
      <c r="K63" s="167">
        <f t="shared" si="4"/>
        <v>815.64</v>
      </c>
      <c r="L63" s="167">
        <f t="shared" si="5"/>
        <v>709.2493614996431</v>
      </c>
      <c r="M63" s="167"/>
    </row>
    <row r="64" spans="1:13">
      <c r="A64" s="28">
        <f t="shared" si="6"/>
        <v>53</v>
      </c>
      <c r="C64" s="10">
        <v>53</v>
      </c>
      <c r="D64" s="10">
        <v>663.6</v>
      </c>
      <c r="E64" s="10">
        <v>49.39</v>
      </c>
      <c r="F64" s="167">
        <f t="shared" si="0"/>
        <v>102731.2</v>
      </c>
      <c r="G64" s="256">
        <f t="shared" si="1"/>
        <v>50000</v>
      </c>
      <c r="H64" s="256">
        <f t="shared" si="2"/>
        <v>308193.59999999998</v>
      </c>
      <c r="I64" s="256">
        <f t="shared" si="3"/>
        <v>555.94039902191344</v>
      </c>
      <c r="J64" s="10">
        <v>12</v>
      </c>
      <c r="K64" s="167">
        <f t="shared" si="4"/>
        <v>663.6</v>
      </c>
      <c r="L64" s="167">
        <f t="shared" si="5"/>
        <v>555.94039902191344</v>
      </c>
      <c r="M64" s="167"/>
    </row>
    <row r="65" spans="1:13">
      <c r="A65" s="28">
        <f t="shared" si="6"/>
        <v>54</v>
      </c>
      <c r="C65" s="10">
        <v>54</v>
      </c>
      <c r="D65" s="10">
        <v>781.08</v>
      </c>
      <c r="E65" s="10">
        <v>58.38</v>
      </c>
      <c r="F65" s="167">
        <f t="shared" si="0"/>
        <v>121430.40000000001</v>
      </c>
      <c r="G65" s="256">
        <f t="shared" si="1"/>
        <v>50000</v>
      </c>
      <c r="H65" s="256">
        <f t="shared" si="2"/>
        <v>364291.2</v>
      </c>
      <c r="I65" s="256">
        <f t="shared" si="3"/>
        <v>673.87455556433986</v>
      </c>
      <c r="J65" s="10">
        <v>12</v>
      </c>
      <c r="K65" s="167">
        <f t="shared" si="4"/>
        <v>781.08</v>
      </c>
      <c r="L65" s="167">
        <f t="shared" si="5"/>
        <v>673.87455556433986</v>
      </c>
      <c r="M65" s="167"/>
    </row>
    <row r="66" spans="1:13">
      <c r="A66" s="28">
        <f t="shared" si="6"/>
        <v>55</v>
      </c>
      <c r="C66" s="10">
        <v>55</v>
      </c>
      <c r="D66" s="10">
        <v>2304</v>
      </c>
      <c r="E66" s="10">
        <v>206.74</v>
      </c>
      <c r="F66" s="167">
        <f t="shared" si="0"/>
        <v>430019.2</v>
      </c>
      <c r="G66" s="256">
        <f t="shared" si="1"/>
        <v>50000</v>
      </c>
      <c r="H66" s="256">
        <f t="shared" si="2"/>
        <v>1290057.6000000001</v>
      </c>
      <c r="I66" s="256">
        <f t="shared" si="3"/>
        <v>2214.7016616932451</v>
      </c>
      <c r="J66" s="10">
        <v>12</v>
      </c>
      <c r="K66" s="167">
        <f t="shared" si="4"/>
        <v>2304</v>
      </c>
      <c r="L66" s="167">
        <f t="shared" si="5"/>
        <v>2214.7016616932451</v>
      </c>
      <c r="M66" s="167"/>
    </row>
    <row r="67" spans="1:13">
      <c r="A67" s="28">
        <f t="shared" si="6"/>
        <v>56</v>
      </c>
      <c r="C67" s="10">
        <v>56</v>
      </c>
      <c r="D67" s="10">
        <v>352.56</v>
      </c>
      <c r="E67" s="10">
        <v>24.85</v>
      </c>
      <c r="F67" s="167">
        <f t="shared" si="0"/>
        <v>51688</v>
      </c>
      <c r="G67" s="256">
        <f t="shared" si="1"/>
        <v>50000</v>
      </c>
      <c r="H67" s="256">
        <f t="shared" si="2"/>
        <v>155064</v>
      </c>
      <c r="I67" s="256">
        <f t="shared" si="3"/>
        <v>238.87790744466798</v>
      </c>
      <c r="J67" s="10">
        <v>12</v>
      </c>
      <c r="K67" s="167">
        <f t="shared" si="4"/>
        <v>352.56</v>
      </c>
      <c r="L67" s="167">
        <f t="shared" si="5"/>
        <v>238.87790744466798</v>
      </c>
      <c r="M67" s="167"/>
    </row>
    <row r="68" spans="1:13">
      <c r="A68" s="28">
        <f t="shared" si="6"/>
        <v>57</v>
      </c>
      <c r="C68" s="10">
        <v>57</v>
      </c>
      <c r="D68" s="10">
        <v>387.12</v>
      </c>
      <c r="E68" s="10">
        <v>27.96</v>
      </c>
      <c r="F68" s="167">
        <f t="shared" si="0"/>
        <v>58156.800000000003</v>
      </c>
      <c r="G68" s="256">
        <f t="shared" si="1"/>
        <v>50000</v>
      </c>
      <c r="H68" s="256">
        <f t="shared" si="2"/>
        <v>174470.40000000002</v>
      </c>
      <c r="I68" s="256">
        <f t="shared" si="3"/>
        <v>276.17854517442504</v>
      </c>
      <c r="J68" s="10">
        <v>2</v>
      </c>
      <c r="K68" s="167">
        <f t="shared" si="4"/>
        <v>64.52</v>
      </c>
      <c r="L68" s="167">
        <f t="shared" si="5"/>
        <v>46.029757529070835</v>
      </c>
      <c r="M68" s="167"/>
    </row>
    <row r="69" spans="1:13">
      <c r="A69" s="28">
        <f t="shared" si="6"/>
        <v>58</v>
      </c>
      <c r="C69" s="10">
        <v>58</v>
      </c>
      <c r="D69" s="10">
        <v>663.6</v>
      </c>
      <c r="E69" s="10">
        <v>46.02</v>
      </c>
      <c r="F69" s="167">
        <f t="shared" si="0"/>
        <v>95721.600000000006</v>
      </c>
      <c r="G69" s="256">
        <f t="shared" si="1"/>
        <v>50000</v>
      </c>
      <c r="H69" s="256">
        <f t="shared" si="2"/>
        <v>287164.80000000005</v>
      </c>
      <c r="I69" s="256">
        <f t="shared" si="3"/>
        <v>548.05659077992857</v>
      </c>
      <c r="J69" s="10">
        <v>3</v>
      </c>
      <c r="K69" s="167">
        <f t="shared" si="4"/>
        <v>165.9</v>
      </c>
      <c r="L69" s="167">
        <f t="shared" si="5"/>
        <v>137.01414769498214</v>
      </c>
      <c r="M69" s="167"/>
    </row>
    <row r="70" spans="1:13">
      <c r="A70" s="28">
        <f t="shared" si="6"/>
        <v>59</v>
      </c>
      <c r="C70" s="10">
        <v>59</v>
      </c>
      <c r="D70" s="10">
        <v>311.04000000000002</v>
      </c>
      <c r="E70" s="10">
        <v>23</v>
      </c>
      <c r="F70" s="167">
        <f t="shared" si="0"/>
        <v>47840</v>
      </c>
      <c r="G70" s="256">
        <f t="shared" si="1"/>
        <v>47840</v>
      </c>
      <c r="H70" s="256">
        <f t="shared" si="2"/>
        <v>143520</v>
      </c>
      <c r="I70" s="256">
        <f t="shared" si="3"/>
        <v>207.36</v>
      </c>
      <c r="J70" s="10">
        <v>7</v>
      </c>
      <c r="K70" s="167">
        <f t="shared" si="4"/>
        <v>181.44</v>
      </c>
      <c r="L70" s="167">
        <f t="shared" si="5"/>
        <v>120.96000000000002</v>
      </c>
      <c r="M70" s="167"/>
    </row>
    <row r="71" spans="1:13">
      <c r="A71" s="28">
        <f t="shared" si="6"/>
        <v>60</v>
      </c>
      <c r="C71" s="10">
        <v>60</v>
      </c>
      <c r="D71" s="10">
        <v>387.12</v>
      </c>
      <c r="E71" s="10">
        <v>37.299999999999997</v>
      </c>
      <c r="F71" s="167">
        <f t="shared" si="0"/>
        <v>77584</v>
      </c>
      <c r="G71" s="256">
        <f t="shared" si="1"/>
        <v>50000</v>
      </c>
      <c r="H71" s="256">
        <f t="shared" si="2"/>
        <v>232752</v>
      </c>
      <c r="I71" s="256">
        <f t="shared" si="3"/>
        <v>303.95852340688799</v>
      </c>
      <c r="J71" s="10">
        <v>12</v>
      </c>
      <c r="K71" s="167">
        <f t="shared" si="4"/>
        <v>387.12</v>
      </c>
      <c r="L71" s="167">
        <f t="shared" si="5"/>
        <v>303.95852340688799</v>
      </c>
      <c r="M71" s="167"/>
    </row>
    <row r="72" spans="1:13">
      <c r="A72" s="28">
        <f t="shared" si="6"/>
        <v>61</v>
      </c>
      <c r="C72" s="10">
        <v>61</v>
      </c>
      <c r="D72" s="10">
        <v>345.6</v>
      </c>
      <c r="E72" s="10">
        <v>27.96</v>
      </c>
      <c r="F72" s="167">
        <f t="shared" si="0"/>
        <v>58156.800000000003</v>
      </c>
      <c r="G72" s="256">
        <f t="shared" si="1"/>
        <v>50000</v>
      </c>
      <c r="H72" s="256">
        <f t="shared" si="2"/>
        <v>174470.40000000002</v>
      </c>
      <c r="I72" s="256">
        <f t="shared" si="3"/>
        <v>246.55741168702545</v>
      </c>
      <c r="J72" s="10">
        <v>12</v>
      </c>
      <c r="K72" s="167">
        <f t="shared" si="4"/>
        <v>345.6</v>
      </c>
      <c r="L72" s="167">
        <f t="shared" si="5"/>
        <v>246.55741168702545</v>
      </c>
      <c r="M72" s="167"/>
    </row>
    <row r="73" spans="1:13">
      <c r="A73" s="28">
        <f t="shared" si="6"/>
        <v>62</v>
      </c>
      <c r="C73" s="10">
        <v>62</v>
      </c>
      <c r="D73" s="10">
        <v>1389.36</v>
      </c>
      <c r="E73" s="10">
        <v>101.45</v>
      </c>
      <c r="F73" s="167">
        <f t="shared" si="0"/>
        <v>211016</v>
      </c>
      <c r="G73" s="256">
        <f t="shared" si="1"/>
        <v>50000</v>
      </c>
      <c r="H73" s="256">
        <f t="shared" si="2"/>
        <v>633048</v>
      </c>
      <c r="I73" s="256">
        <f t="shared" si="3"/>
        <v>1279.6242453652803</v>
      </c>
      <c r="J73" s="10">
        <v>12</v>
      </c>
      <c r="K73" s="167">
        <f t="shared" si="4"/>
        <v>1389.36</v>
      </c>
      <c r="L73" s="167">
        <f t="shared" si="5"/>
        <v>1279.6242453652803</v>
      </c>
      <c r="M73" s="167"/>
    </row>
    <row r="74" spans="1:13">
      <c r="A74" s="28">
        <f t="shared" si="6"/>
        <v>63</v>
      </c>
      <c r="C74" s="10">
        <v>63</v>
      </c>
      <c r="D74" s="10">
        <v>380.16</v>
      </c>
      <c r="E74" s="10">
        <v>28.4</v>
      </c>
      <c r="F74" s="167">
        <f t="shared" si="0"/>
        <v>59072</v>
      </c>
      <c r="G74" s="256">
        <f t="shared" si="1"/>
        <v>50000</v>
      </c>
      <c r="H74" s="256">
        <f t="shared" si="2"/>
        <v>177216</v>
      </c>
      <c r="I74" s="256">
        <f t="shared" si="3"/>
        <v>272.90106175514632</v>
      </c>
      <c r="J74" s="10">
        <v>7</v>
      </c>
      <c r="K74" s="167">
        <f t="shared" si="4"/>
        <v>221.76000000000002</v>
      </c>
      <c r="L74" s="167">
        <f t="shared" si="5"/>
        <v>159.19228602383535</v>
      </c>
      <c r="M74" s="167"/>
    </row>
    <row r="75" spans="1:13">
      <c r="A75" s="28">
        <f t="shared" si="6"/>
        <v>64</v>
      </c>
      <c r="C75" s="10">
        <v>64</v>
      </c>
      <c r="D75" s="10">
        <v>311.04000000000002</v>
      </c>
      <c r="E75" s="10">
        <v>21.5</v>
      </c>
      <c r="F75" s="167">
        <f t="shared" si="0"/>
        <v>44720</v>
      </c>
      <c r="G75" s="256">
        <f t="shared" si="1"/>
        <v>44720</v>
      </c>
      <c r="H75" s="256">
        <f t="shared" si="2"/>
        <v>134160</v>
      </c>
      <c r="I75" s="256">
        <f t="shared" si="3"/>
        <v>207.36</v>
      </c>
      <c r="J75" s="10">
        <v>1</v>
      </c>
      <c r="K75" s="167">
        <f t="shared" si="4"/>
        <v>25.92</v>
      </c>
      <c r="L75" s="167">
        <f t="shared" si="5"/>
        <v>17.28</v>
      </c>
      <c r="M75" s="167"/>
    </row>
    <row r="76" spans="1:13">
      <c r="A76" s="28">
        <f t="shared" si="6"/>
        <v>65</v>
      </c>
      <c r="C76" s="10">
        <v>65</v>
      </c>
      <c r="D76" s="10">
        <v>359.4</v>
      </c>
      <c r="E76" s="10">
        <v>24.85</v>
      </c>
      <c r="F76" s="167">
        <f t="shared" si="0"/>
        <v>51688</v>
      </c>
      <c r="G76" s="256">
        <f t="shared" si="1"/>
        <v>50000</v>
      </c>
      <c r="H76" s="256">
        <f t="shared" si="2"/>
        <v>155064</v>
      </c>
      <c r="I76" s="256">
        <f t="shared" si="3"/>
        <v>243.51236650673266</v>
      </c>
      <c r="J76" s="10">
        <v>7</v>
      </c>
      <c r="K76" s="167">
        <f t="shared" si="4"/>
        <v>209.65</v>
      </c>
      <c r="L76" s="167">
        <f t="shared" si="5"/>
        <v>142.04888046226074</v>
      </c>
      <c r="M76" s="167"/>
    </row>
    <row r="77" spans="1:13">
      <c r="A77" s="28">
        <f t="shared" si="6"/>
        <v>66</v>
      </c>
      <c r="C77" s="10">
        <v>66</v>
      </c>
      <c r="D77" s="10">
        <v>304.08</v>
      </c>
      <c r="E77" s="10">
        <v>23.27</v>
      </c>
      <c r="F77" s="167">
        <f t="shared" ref="F77:F120" si="7">+E77*2080</f>
        <v>48401.599999999999</v>
      </c>
      <c r="G77" s="256">
        <f t="shared" ref="G77:G120" si="8">IF(F77&gt;50000,50000,F77)</f>
        <v>48401.599999999999</v>
      </c>
      <c r="H77" s="256">
        <f t="shared" ref="H77:H120" si="9">+F77*3</f>
        <v>145204.79999999999</v>
      </c>
      <c r="I77" s="256">
        <f t="shared" ref="I77:I117" si="10">((H77-G77)/H77)*D77</f>
        <v>202.71999999999997</v>
      </c>
      <c r="J77" s="10">
        <v>12</v>
      </c>
      <c r="K77" s="167">
        <f t="shared" ref="K77:K120" si="11">D77/12*J77</f>
        <v>304.08</v>
      </c>
      <c r="L77" s="167">
        <f t="shared" ref="L77:L120" si="12">J77/12*I77</f>
        <v>202.71999999999997</v>
      </c>
      <c r="M77" s="167"/>
    </row>
    <row r="78" spans="1:13">
      <c r="A78" s="28">
        <f t="shared" ref="A78:A141" si="13">A77+1</f>
        <v>67</v>
      </c>
      <c r="C78" s="10">
        <v>67</v>
      </c>
      <c r="D78" s="10">
        <v>511.44</v>
      </c>
      <c r="E78" s="10">
        <v>46.02</v>
      </c>
      <c r="F78" s="167">
        <f t="shared" si="7"/>
        <v>95721.600000000006</v>
      </c>
      <c r="G78" s="256">
        <f t="shared" si="8"/>
        <v>50000</v>
      </c>
      <c r="H78" s="256">
        <f t="shared" si="9"/>
        <v>287164.80000000005</v>
      </c>
      <c r="I78" s="256">
        <f t="shared" si="10"/>
        <v>422.39008859024506</v>
      </c>
      <c r="J78" s="10">
        <v>12</v>
      </c>
      <c r="K78" s="167">
        <f t="shared" si="11"/>
        <v>511.43999999999994</v>
      </c>
      <c r="L78" s="167">
        <f t="shared" si="12"/>
        <v>422.39008859024506</v>
      </c>
      <c r="M78" s="167"/>
    </row>
    <row r="79" spans="1:13">
      <c r="A79" s="28">
        <f t="shared" si="13"/>
        <v>68</v>
      </c>
      <c r="C79" s="10">
        <v>68</v>
      </c>
      <c r="D79" s="10">
        <v>456.24</v>
      </c>
      <c r="E79" s="10">
        <v>34.76</v>
      </c>
      <c r="F79" s="167">
        <f t="shared" si="7"/>
        <v>72300.800000000003</v>
      </c>
      <c r="G79" s="256">
        <f t="shared" si="8"/>
        <v>50000</v>
      </c>
      <c r="H79" s="256">
        <f t="shared" si="9"/>
        <v>216902.40000000002</v>
      </c>
      <c r="I79" s="256">
        <f t="shared" si="10"/>
        <v>351.06827299282998</v>
      </c>
      <c r="J79" s="10">
        <v>12</v>
      </c>
      <c r="K79" s="167">
        <f t="shared" si="11"/>
        <v>456.24</v>
      </c>
      <c r="L79" s="167">
        <f t="shared" si="12"/>
        <v>351.06827299282998</v>
      </c>
      <c r="M79" s="167"/>
    </row>
    <row r="80" spans="1:13">
      <c r="A80" s="28">
        <f t="shared" si="13"/>
        <v>69</v>
      </c>
      <c r="C80" s="10">
        <v>69</v>
      </c>
      <c r="D80" s="10">
        <v>463.08</v>
      </c>
      <c r="E80" s="10">
        <v>35.07</v>
      </c>
      <c r="F80" s="167">
        <f t="shared" si="7"/>
        <v>72945.600000000006</v>
      </c>
      <c r="G80" s="256">
        <f t="shared" si="8"/>
        <v>50000</v>
      </c>
      <c r="H80" s="256">
        <f t="shared" si="9"/>
        <v>218836.80000000002</v>
      </c>
      <c r="I80" s="256">
        <f t="shared" si="10"/>
        <v>357.27512623105434</v>
      </c>
      <c r="J80" s="10">
        <v>12</v>
      </c>
      <c r="K80" s="167">
        <f t="shared" si="11"/>
        <v>463.07999999999993</v>
      </c>
      <c r="L80" s="167">
        <f t="shared" si="12"/>
        <v>357.27512623105434</v>
      </c>
      <c r="M80" s="167"/>
    </row>
    <row r="81" spans="1:13">
      <c r="A81" s="28">
        <f t="shared" si="13"/>
        <v>70</v>
      </c>
      <c r="C81" s="10">
        <v>70</v>
      </c>
      <c r="D81" s="10">
        <v>387.12</v>
      </c>
      <c r="E81" s="10">
        <v>26.5</v>
      </c>
      <c r="F81" s="167">
        <f t="shared" si="7"/>
        <v>55120</v>
      </c>
      <c r="G81" s="256">
        <f t="shared" si="8"/>
        <v>50000</v>
      </c>
      <c r="H81" s="256">
        <f t="shared" si="9"/>
        <v>165360</v>
      </c>
      <c r="I81" s="256">
        <f t="shared" si="10"/>
        <v>270.06629898403486</v>
      </c>
      <c r="J81" s="10">
        <v>8</v>
      </c>
      <c r="K81" s="167">
        <f t="shared" si="11"/>
        <v>258.08</v>
      </c>
      <c r="L81" s="167">
        <f t="shared" si="12"/>
        <v>180.04419932268991</v>
      </c>
      <c r="M81" s="167"/>
    </row>
    <row r="82" spans="1:13">
      <c r="A82" s="28">
        <f t="shared" si="13"/>
        <v>71</v>
      </c>
      <c r="C82" s="10">
        <v>71</v>
      </c>
      <c r="D82" s="10">
        <v>373.2</v>
      </c>
      <c r="E82" s="10">
        <v>21.76</v>
      </c>
      <c r="F82" s="167">
        <f t="shared" si="7"/>
        <v>45260.800000000003</v>
      </c>
      <c r="G82" s="256">
        <f t="shared" si="8"/>
        <v>45260.800000000003</v>
      </c>
      <c r="H82" s="256">
        <f t="shared" si="9"/>
        <v>135782.40000000002</v>
      </c>
      <c r="I82" s="256">
        <f t="shared" si="10"/>
        <v>248.8</v>
      </c>
      <c r="J82" s="10">
        <v>9</v>
      </c>
      <c r="K82" s="167">
        <f t="shared" si="11"/>
        <v>279.89999999999998</v>
      </c>
      <c r="L82" s="167">
        <f t="shared" si="12"/>
        <v>186.60000000000002</v>
      </c>
      <c r="M82" s="167"/>
    </row>
    <row r="83" spans="1:13">
      <c r="A83" s="28">
        <f t="shared" si="13"/>
        <v>72</v>
      </c>
      <c r="C83" s="10">
        <v>72</v>
      </c>
      <c r="D83" s="10">
        <v>663.6</v>
      </c>
      <c r="E83" s="10">
        <v>46.02</v>
      </c>
      <c r="F83" s="167">
        <f t="shared" si="7"/>
        <v>95721.600000000006</v>
      </c>
      <c r="G83" s="256">
        <f t="shared" si="8"/>
        <v>50000</v>
      </c>
      <c r="H83" s="256">
        <f t="shared" si="9"/>
        <v>287164.80000000005</v>
      </c>
      <c r="I83" s="256">
        <f t="shared" si="10"/>
        <v>548.05659077992857</v>
      </c>
      <c r="J83" s="10">
        <v>5</v>
      </c>
      <c r="K83" s="167">
        <f t="shared" si="11"/>
        <v>276.5</v>
      </c>
      <c r="L83" s="167">
        <f t="shared" si="12"/>
        <v>228.35691282497024</v>
      </c>
      <c r="M83" s="167"/>
    </row>
    <row r="84" spans="1:13">
      <c r="A84" s="28">
        <f t="shared" si="13"/>
        <v>73</v>
      </c>
      <c r="C84" s="10">
        <v>73</v>
      </c>
      <c r="D84" s="10">
        <v>642.84</v>
      </c>
      <c r="E84" s="10">
        <v>43.01</v>
      </c>
      <c r="F84" s="167">
        <f t="shared" si="7"/>
        <v>89460.800000000003</v>
      </c>
      <c r="G84" s="256">
        <f t="shared" si="8"/>
        <v>50000</v>
      </c>
      <c r="H84" s="256">
        <f t="shared" si="9"/>
        <v>268382.40000000002</v>
      </c>
      <c r="I84" s="256">
        <f t="shared" si="10"/>
        <v>523.07804839661617</v>
      </c>
      <c r="J84" s="10">
        <v>12</v>
      </c>
      <c r="K84" s="167">
        <f t="shared" si="11"/>
        <v>642.84</v>
      </c>
      <c r="L84" s="167">
        <f t="shared" si="12"/>
        <v>523.07804839661617</v>
      </c>
      <c r="M84" s="167"/>
    </row>
    <row r="85" spans="1:13">
      <c r="A85" s="28">
        <f t="shared" si="13"/>
        <v>74</v>
      </c>
      <c r="C85" s="10">
        <v>74</v>
      </c>
      <c r="D85" s="10">
        <v>629.04</v>
      </c>
      <c r="E85" s="10">
        <v>45.43</v>
      </c>
      <c r="F85" s="167">
        <f t="shared" si="7"/>
        <v>94494.399999999994</v>
      </c>
      <c r="G85" s="256">
        <f t="shared" si="8"/>
        <v>50000</v>
      </c>
      <c r="H85" s="256">
        <f t="shared" si="9"/>
        <v>283483.19999999995</v>
      </c>
      <c r="I85" s="256">
        <f t="shared" si="10"/>
        <v>518.09162633976189</v>
      </c>
      <c r="J85" s="10">
        <v>12</v>
      </c>
      <c r="K85" s="167">
        <f t="shared" si="11"/>
        <v>629.04</v>
      </c>
      <c r="L85" s="167">
        <f t="shared" si="12"/>
        <v>518.09162633976189</v>
      </c>
      <c r="M85" s="167"/>
    </row>
    <row r="86" spans="1:13">
      <c r="A86" s="28">
        <f t="shared" si="13"/>
        <v>75</v>
      </c>
      <c r="C86" s="10">
        <v>75</v>
      </c>
      <c r="D86" s="10">
        <v>387.12</v>
      </c>
      <c r="E86" s="10">
        <v>31.4</v>
      </c>
      <c r="F86" s="167">
        <f t="shared" si="7"/>
        <v>65312</v>
      </c>
      <c r="G86" s="256">
        <f t="shared" si="8"/>
        <v>50000</v>
      </c>
      <c r="H86" s="256">
        <f t="shared" si="9"/>
        <v>195936</v>
      </c>
      <c r="I86" s="256">
        <f t="shared" si="10"/>
        <v>288.33264086232242</v>
      </c>
      <c r="J86" s="10">
        <v>12</v>
      </c>
      <c r="K86" s="167">
        <f t="shared" si="11"/>
        <v>387.12</v>
      </c>
      <c r="L86" s="167">
        <f t="shared" si="12"/>
        <v>288.33264086232242</v>
      </c>
      <c r="M86" s="167"/>
    </row>
    <row r="87" spans="1:13">
      <c r="A87" s="28">
        <f t="shared" si="13"/>
        <v>76</v>
      </c>
      <c r="C87" s="10">
        <v>76</v>
      </c>
      <c r="D87" s="10">
        <v>345.6</v>
      </c>
      <c r="E87" s="10">
        <v>27.96</v>
      </c>
      <c r="F87" s="167">
        <f t="shared" si="7"/>
        <v>58156.800000000003</v>
      </c>
      <c r="G87" s="256">
        <f t="shared" si="8"/>
        <v>50000</v>
      </c>
      <c r="H87" s="256">
        <f t="shared" si="9"/>
        <v>174470.40000000002</v>
      </c>
      <c r="I87" s="256">
        <f t="shared" si="10"/>
        <v>246.55741168702545</v>
      </c>
      <c r="J87" s="10">
        <v>12</v>
      </c>
      <c r="K87" s="167">
        <f t="shared" si="11"/>
        <v>345.6</v>
      </c>
      <c r="L87" s="167">
        <f t="shared" si="12"/>
        <v>246.55741168702545</v>
      </c>
      <c r="M87" s="167"/>
    </row>
    <row r="88" spans="1:13">
      <c r="A88" s="28">
        <f t="shared" si="13"/>
        <v>77</v>
      </c>
      <c r="C88" s="10">
        <v>77</v>
      </c>
      <c r="D88" s="10">
        <v>407.76</v>
      </c>
      <c r="E88" s="10">
        <v>27.96</v>
      </c>
      <c r="F88" s="167">
        <f t="shared" si="7"/>
        <v>58156.800000000003</v>
      </c>
      <c r="G88" s="256">
        <f t="shared" si="8"/>
        <v>50000</v>
      </c>
      <c r="H88" s="256">
        <f t="shared" si="9"/>
        <v>174470.40000000002</v>
      </c>
      <c r="I88" s="256">
        <f t="shared" si="10"/>
        <v>290.90350170573345</v>
      </c>
      <c r="J88" s="10">
        <v>5</v>
      </c>
      <c r="K88" s="167">
        <f t="shared" si="11"/>
        <v>169.89999999999998</v>
      </c>
      <c r="L88" s="167">
        <f t="shared" si="12"/>
        <v>121.20979237738894</v>
      </c>
      <c r="M88" s="167"/>
    </row>
    <row r="89" spans="1:13">
      <c r="A89" s="28">
        <f t="shared" si="13"/>
        <v>78</v>
      </c>
      <c r="C89" s="10">
        <v>78</v>
      </c>
      <c r="D89" s="10">
        <v>511.44</v>
      </c>
      <c r="E89" s="10">
        <v>46.02</v>
      </c>
      <c r="F89" s="167">
        <f t="shared" si="7"/>
        <v>95721.600000000006</v>
      </c>
      <c r="G89" s="256">
        <f t="shared" si="8"/>
        <v>50000</v>
      </c>
      <c r="H89" s="256">
        <f t="shared" si="9"/>
        <v>287164.80000000005</v>
      </c>
      <c r="I89" s="256">
        <f t="shared" si="10"/>
        <v>422.39008859024506</v>
      </c>
      <c r="J89" s="10">
        <v>12</v>
      </c>
      <c r="K89" s="167">
        <f t="shared" si="11"/>
        <v>511.43999999999994</v>
      </c>
      <c r="L89" s="167">
        <f t="shared" si="12"/>
        <v>422.39008859024506</v>
      </c>
      <c r="M89" s="167"/>
    </row>
    <row r="90" spans="1:13">
      <c r="A90" s="28">
        <f t="shared" si="13"/>
        <v>79</v>
      </c>
      <c r="C90" s="10">
        <v>79</v>
      </c>
      <c r="D90" s="10">
        <v>311.04000000000002</v>
      </c>
      <c r="E90" s="10">
        <v>22.25</v>
      </c>
      <c r="F90" s="167">
        <f t="shared" si="7"/>
        <v>46280</v>
      </c>
      <c r="G90" s="256">
        <f t="shared" si="8"/>
        <v>46280</v>
      </c>
      <c r="H90" s="256">
        <f t="shared" si="9"/>
        <v>138840</v>
      </c>
      <c r="I90" s="256">
        <f t="shared" si="10"/>
        <v>207.36</v>
      </c>
      <c r="J90" s="10">
        <v>9</v>
      </c>
      <c r="K90" s="167">
        <f t="shared" si="11"/>
        <v>233.28000000000003</v>
      </c>
      <c r="L90" s="167">
        <f t="shared" si="12"/>
        <v>155.52000000000001</v>
      </c>
      <c r="M90" s="167"/>
    </row>
    <row r="91" spans="1:13">
      <c r="A91" s="28">
        <f t="shared" si="13"/>
        <v>80</v>
      </c>
      <c r="C91" s="10">
        <v>80</v>
      </c>
      <c r="D91" s="10">
        <v>366.36</v>
      </c>
      <c r="E91" s="10">
        <v>39.119999999999997</v>
      </c>
      <c r="F91" s="167">
        <f t="shared" si="7"/>
        <v>81369.599999999991</v>
      </c>
      <c r="G91" s="256">
        <f t="shared" si="8"/>
        <v>50000</v>
      </c>
      <c r="H91" s="256">
        <f t="shared" si="9"/>
        <v>244108.79999999999</v>
      </c>
      <c r="I91" s="256">
        <f t="shared" si="10"/>
        <v>291.31969010539564</v>
      </c>
      <c r="J91" s="10">
        <v>12</v>
      </c>
      <c r="K91" s="167">
        <f t="shared" si="11"/>
        <v>366.36</v>
      </c>
      <c r="L91" s="167">
        <f t="shared" si="12"/>
        <v>291.31969010539564</v>
      </c>
      <c r="M91" s="167"/>
    </row>
    <row r="92" spans="1:13">
      <c r="A92" s="28">
        <f t="shared" si="13"/>
        <v>81</v>
      </c>
      <c r="C92" s="10">
        <v>81</v>
      </c>
      <c r="D92" s="10">
        <v>387.12</v>
      </c>
      <c r="E92" s="10">
        <v>31.4</v>
      </c>
      <c r="F92" s="167">
        <f t="shared" si="7"/>
        <v>65312</v>
      </c>
      <c r="G92" s="256">
        <f t="shared" si="8"/>
        <v>50000</v>
      </c>
      <c r="H92" s="256">
        <f t="shared" si="9"/>
        <v>195936</v>
      </c>
      <c r="I92" s="256">
        <f t="shared" si="10"/>
        <v>288.33264086232242</v>
      </c>
      <c r="J92" s="10">
        <v>12</v>
      </c>
      <c r="K92" s="167">
        <f t="shared" si="11"/>
        <v>387.12</v>
      </c>
      <c r="L92" s="167">
        <f t="shared" si="12"/>
        <v>288.33264086232242</v>
      </c>
      <c r="M92" s="167"/>
    </row>
    <row r="93" spans="1:13">
      <c r="A93" s="28">
        <f t="shared" si="13"/>
        <v>82</v>
      </c>
      <c r="C93" s="10">
        <v>82</v>
      </c>
      <c r="D93" s="10">
        <v>463.08</v>
      </c>
      <c r="E93" s="10">
        <v>33.96</v>
      </c>
      <c r="F93" s="167">
        <f t="shared" si="7"/>
        <v>70636.800000000003</v>
      </c>
      <c r="G93" s="256">
        <f t="shared" si="8"/>
        <v>50000</v>
      </c>
      <c r="H93" s="256">
        <f t="shared" si="9"/>
        <v>211910.40000000002</v>
      </c>
      <c r="I93" s="256">
        <f t="shared" si="10"/>
        <v>353.81683972093862</v>
      </c>
      <c r="J93" s="10">
        <v>12</v>
      </c>
      <c r="K93" s="167">
        <f t="shared" si="11"/>
        <v>463.07999999999993</v>
      </c>
      <c r="L93" s="167">
        <f t="shared" si="12"/>
        <v>353.81683972093862</v>
      </c>
      <c r="M93" s="167"/>
    </row>
    <row r="94" spans="1:13">
      <c r="A94" s="28">
        <f t="shared" si="13"/>
        <v>83</v>
      </c>
      <c r="C94" s="10">
        <v>83</v>
      </c>
      <c r="D94" s="10">
        <v>642.84</v>
      </c>
      <c r="E94" s="10">
        <v>48.22</v>
      </c>
      <c r="F94" s="167">
        <f t="shared" si="7"/>
        <v>100297.59999999999</v>
      </c>
      <c r="G94" s="256">
        <f t="shared" si="8"/>
        <v>50000</v>
      </c>
      <c r="H94" s="256">
        <f t="shared" si="9"/>
        <v>300892.79999999999</v>
      </c>
      <c r="I94" s="256">
        <f t="shared" si="10"/>
        <v>536.01790256197557</v>
      </c>
      <c r="J94" s="10">
        <v>12</v>
      </c>
      <c r="K94" s="167">
        <f t="shared" si="11"/>
        <v>642.84</v>
      </c>
      <c r="L94" s="167">
        <f t="shared" si="12"/>
        <v>536.01790256197557</v>
      </c>
      <c r="M94" s="167"/>
    </row>
    <row r="95" spans="1:13">
      <c r="A95" s="28">
        <f t="shared" si="13"/>
        <v>84</v>
      </c>
      <c r="C95" s="10">
        <v>84</v>
      </c>
      <c r="D95" s="10">
        <v>463.08</v>
      </c>
      <c r="E95" s="10">
        <v>32</v>
      </c>
      <c r="F95" s="167">
        <f t="shared" si="7"/>
        <v>66560</v>
      </c>
      <c r="G95" s="256">
        <f t="shared" si="8"/>
        <v>50000</v>
      </c>
      <c r="H95" s="256">
        <f t="shared" si="9"/>
        <v>199680</v>
      </c>
      <c r="I95" s="256">
        <f t="shared" si="10"/>
        <v>347.12447115384612</v>
      </c>
      <c r="J95" s="10">
        <v>12</v>
      </c>
      <c r="K95" s="167">
        <f t="shared" si="11"/>
        <v>463.07999999999993</v>
      </c>
      <c r="L95" s="167">
        <f t="shared" si="12"/>
        <v>347.12447115384612</v>
      </c>
      <c r="M95" s="167"/>
    </row>
    <row r="96" spans="1:13">
      <c r="A96" s="28">
        <f t="shared" si="13"/>
        <v>85</v>
      </c>
      <c r="C96" s="10">
        <v>85</v>
      </c>
      <c r="D96" s="10">
        <v>691.2</v>
      </c>
      <c r="E96" s="10">
        <v>47.88</v>
      </c>
      <c r="F96" s="167">
        <f t="shared" si="7"/>
        <v>99590.400000000009</v>
      </c>
      <c r="G96" s="256">
        <f t="shared" si="8"/>
        <v>50000</v>
      </c>
      <c r="H96" s="256">
        <f t="shared" si="9"/>
        <v>298771.20000000001</v>
      </c>
      <c r="I96" s="256">
        <f t="shared" si="10"/>
        <v>575.52620011567387</v>
      </c>
      <c r="J96" s="10">
        <v>9</v>
      </c>
      <c r="K96" s="167">
        <f t="shared" si="11"/>
        <v>518.4</v>
      </c>
      <c r="L96" s="167">
        <f t="shared" si="12"/>
        <v>431.64465008675541</v>
      </c>
      <c r="M96" s="167"/>
    </row>
    <row r="97" spans="1:13">
      <c r="A97" s="28">
        <f t="shared" si="13"/>
        <v>86</v>
      </c>
      <c r="C97" s="10">
        <v>86</v>
      </c>
      <c r="D97" s="10">
        <v>642.84</v>
      </c>
      <c r="E97" s="10">
        <v>47.88</v>
      </c>
      <c r="F97" s="167">
        <f t="shared" si="7"/>
        <v>99590.400000000009</v>
      </c>
      <c r="G97" s="256">
        <f t="shared" si="8"/>
        <v>50000</v>
      </c>
      <c r="H97" s="256">
        <f t="shared" si="9"/>
        <v>298771.20000000001</v>
      </c>
      <c r="I97" s="256">
        <f t="shared" si="10"/>
        <v>535.25934965619183</v>
      </c>
      <c r="J97" s="10">
        <v>10</v>
      </c>
      <c r="K97" s="167">
        <f t="shared" si="11"/>
        <v>535.70000000000005</v>
      </c>
      <c r="L97" s="167">
        <f t="shared" si="12"/>
        <v>446.04945804682654</v>
      </c>
      <c r="M97" s="167"/>
    </row>
    <row r="98" spans="1:13">
      <c r="A98" s="28">
        <f t="shared" si="13"/>
        <v>87</v>
      </c>
      <c r="C98" s="10">
        <v>87</v>
      </c>
      <c r="D98" s="10">
        <v>407.76</v>
      </c>
      <c r="E98" s="10">
        <v>27.96</v>
      </c>
      <c r="F98" s="167">
        <f t="shared" si="7"/>
        <v>58156.800000000003</v>
      </c>
      <c r="G98" s="256">
        <f t="shared" si="8"/>
        <v>50000</v>
      </c>
      <c r="H98" s="256">
        <f t="shared" si="9"/>
        <v>174470.40000000002</v>
      </c>
      <c r="I98" s="256">
        <f t="shared" si="10"/>
        <v>290.90350170573345</v>
      </c>
      <c r="J98" s="10">
        <v>7</v>
      </c>
      <c r="K98" s="167">
        <f t="shared" si="11"/>
        <v>237.85999999999999</v>
      </c>
      <c r="L98" s="167">
        <f t="shared" si="12"/>
        <v>169.69370932834451</v>
      </c>
      <c r="M98" s="167"/>
    </row>
    <row r="99" spans="1:13">
      <c r="A99" s="28">
        <f t="shared" si="13"/>
        <v>88</v>
      </c>
      <c r="C99" s="10">
        <v>88</v>
      </c>
      <c r="D99" s="10">
        <v>352.56</v>
      </c>
      <c r="E99" s="10">
        <v>26.66</v>
      </c>
      <c r="F99" s="167">
        <f t="shared" si="7"/>
        <v>55452.800000000003</v>
      </c>
      <c r="G99" s="256">
        <f t="shared" si="8"/>
        <v>50000</v>
      </c>
      <c r="H99" s="256">
        <f t="shared" si="9"/>
        <v>166358.40000000002</v>
      </c>
      <c r="I99" s="256">
        <f t="shared" si="10"/>
        <v>246.59600900225055</v>
      </c>
      <c r="J99" s="10">
        <v>12</v>
      </c>
      <c r="K99" s="167">
        <f t="shared" si="11"/>
        <v>352.56</v>
      </c>
      <c r="L99" s="167">
        <f t="shared" si="12"/>
        <v>246.59600900225055</v>
      </c>
      <c r="M99" s="167"/>
    </row>
    <row r="100" spans="1:13">
      <c r="A100" s="28">
        <f t="shared" si="13"/>
        <v>89</v>
      </c>
      <c r="C100" s="10">
        <v>89</v>
      </c>
      <c r="D100" s="10">
        <v>435.48</v>
      </c>
      <c r="E100" s="10">
        <v>37.299999999999997</v>
      </c>
      <c r="F100" s="167">
        <f t="shared" si="7"/>
        <v>77584</v>
      </c>
      <c r="G100" s="256">
        <f t="shared" si="8"/>
        <v>50000</v>
      </c>
      <c r="H100" s="256">
        <f t="shared" si="9"/>
        <v>232752</v>
      </c>
      <c r="I100" s="256">
        <f t="shared" si="10"/>
        <v>341.92978346050734</v>
      </c>
      <c r="J100" s="10">
        <v>12</v>
      </c>
      <c r="K100" s="167">
        <f t="shared" si="11"/>
        <v>435.48</v>
      </c>
      <c r="L100" s="167">
        <f t="shared" si="12"/>
        <v>341.92978346050734</v>
      </c>
      <c r="M100" s="167"/>
    </row>
    <row r="101" spans="1:13">
      <c r="A101" s="28">
        <f t="shared" si="13"/>
        <v>90</v>
      </c>
      <c r="C101" s="10">
        <v>90</v>
      </c>
      <c r="D101" s="10">
        <v>311.04000000000002</v>
      </c>
      <c r="E101" s="10">
        <v>22.25</v>
      </c>
      <c r="F101" s="167">
        <f t="shared" si="7"/>
        <v>46280</v>
      </c>
      <c r="G101" s="256">
        <f t="shared" si="8"/>
        <v>46280</v>
      </c>
      <c r="H101" s="256">
        <f t="shared" si="9"/>
        <v>138840</v>
      </c>
      <c r="I101" s="256">
        <f t="shared" si="10"/>
        <v>207.36</v>
      </c>
      <c r="J101" s="10">
        <v>8</v>
      </c>
      <c r="K101" s="167">
        <f t="shared" si="11"/>
        <v>207.36</v>
      </c>
      <c r="L101" s="167">
        <f t="shared" si="12"/>
        <v>138.24</v>
      </c>
      <c r="M101" s="167"/>
    </row>
    <row r="102" spans="1:13">
      <c r="A102" s="28">
        <f t="shared" si="13"/>
        <v>91</v>
      </c>
      <c r="C102" s="10">
        <v>91</v>
      </c>
      <c r="D102" s="10">
        <v>642.84</v>
      </c>
      <c r="E102" s="10">
        <v>48.38</v>
      </c>
      <c r="F102" s="167">
        <f t="shared" si="7"/>
        <v>100630.40000000001</v>
      </c>
      <c r="G102" s="256">
        <f t="shared" si="8"/>
        <v>50000</v>
      </c>
      <c r="H102" s="256">
        <f t="shared" si="9"/>
        <v>301891.20000000001</v>
      </c>
      <c r="I102" s="256">
        <f t="shared" si="10"/>
        <v>536.37117944478018</v>
      </c>
      <c r="J102" s="10">
        <v>12</v>
      </c>
      <c r="K102" s="167">
        <f t="shared" si="11"/>
        <v>642.84</v>
      </c>
      <c r="L102" s="167">
        <f t="shared" si="12"/>
        <v>536.37117944478018</v>
      </c>
      <c r="M102" s="167"/>
    </row>
    <row r="103" spans="1:13">
      <c r="A103" s="28">
        <f t="shared" si="13"/>
        <v>92</v>
      </c>
      <c r="C103" s="10">
        <v>92</v>
      </c>
      <c r="D103" s="10">
        <v>324.83999999999997</v>
      </c>
      <c r="E103" s="10">
        <v>22.5</v>
      </c>
      <c r="F103" s="167">
        <f t="shared" si="7"/>
        <v>46800</v>
      </c>
      <c r="G103" s="256">
        <f t="shared" si="8"/>
        <v>46800</v>
      </c>
      <c r="H103" s="256">
        <f t="shared" si="9"/>
        <v>140400</v>
      </c>
      <c r="I103" s="256">
        <f t="shared" si="10"/>
        <v>216.55999999999997</v>
      </c>
      <c r="J103" s="10">
        <v>3</v>
      </c>
      <c r="K103" s="167">
        <f t="shared" si="11"/>
        <v>81.209999999999994</v>
      </c>
      <c r="L103" s="167">
        <f t="shared" si="12"/>
        <v>54.139999999999993</v>
      </c>
      <c r="M103" s="167"/>
    </row>
    <row r="104" spans="1:13">
      <c r="A104" s="28">
        <f t="shared" si="13"/>
        <v>93</v>
      </c>
      <c r="C104" s="10">
        <v>93</v>
      </c>
      <c r="D104" s="10">
        <v>511.44</v>
      </c>
      <c r="E104" s="10">
        <v>38.590000000000003</v>
      </c>
      <c r="F104" s="167">
        <f t="shared" si="7"/>
        <v>80267.200000000012</v>
      </c>
      <c r="G104" s="256">
        <f t="shared" si="8"/>
        <v>50000</v>
      </c>
      <c r="H104" s="256">
        <f t="shared" si="9"/>
        <v>240801.60000000003</v>
      </c>
      <c r="I104" s="256">
        <f t="shared" si="10"/>
        <v>405.24469232762573</v>
      </c>
      <c r="J104" s="10">
        <v>8</v>
      </c>
      <c r="K104" s="167">
        <f t="shared" si="11"/>
        <v>340.96</v>
      </c>
      <c r="L104" s="167">
        <f t="shared" si="12"/>
        <v>270.16312821841711</v>
      </c>
      <c r="M104" s="167"/>
    </row>
    <row r="105" spans="1:13">
      <c r="A105" s="28">
        <f t="shared" si="13"/>
        <v>94</v>
      </c>
      <c r="C105" s="10">
        <v>94</v>
      </c>
      <c r="D105" s="10">
        <v>511.44</v>
      </c>
      <c r="E105" s="10">
        <v>46.02</v>
      </c>
      <c r="F105" s="167">
        <f t="shared" si="7"/>
        <v>95721.600000000006</v>
      </c>
      <c r="G105" s="256">
        <f t="shared" si="8"/>
        <v>50000</v>
      </c>
      <c r="H105" s="256">
        <f t="shared" si="9"/>
        <v>287164.80000000005</v>
      </c>
      <c r="I105" s="256">
        <f>((H105-G105)/H105)*D105</f>
        <v>422.39008859024506</v>
      </c>
      <c r="J105" s="10">
        <v>12</v>
      </c>
      <c r="K105" s="167">
        <f t="shared" si="11"/>
        <v>511.43999999999994</v>
      </c>
      <c r="L105" s="167">
        <f t="shared" si="12"/>
        <v>422.39008859024506</v>
      </c>
      <c r="M105" s="167"/>
    </row>
    <row r="106" spans="1:13">
      <c r="A106" s="28">
        <f t="shared" si="13"/>
        <v>95</v>
      </c>
      <c r="C106" s="10">
        <v>95</v>
      </c>
      <c r="D106" s="10">
        <v>511.44</v>
      </c>
      <c r="E106" s="10">
        <v>46.02</v>
      </c>
      <c r="F106" s="167">
        <f t="shared" si="7"/>
        <v>95721.600000000006</v>
      </c>
      <c r="G106" s="256">
        <f t="shared" si="8"/>
        <v>50000</v>
      </c>
      <c r="H106" s="256">
        <f t="shared" si="9"/>
        <v>287164.80000000005</v>
      </c>
      <c r="I106" s="256">
        <f>((H106-G106)/H106)*D106</f>
        <v>422.39008859024506</v>
      </c>
      <c r="J106" s="10">
        <v>12</v>
      </c>
      <c r="K106" s="167">
        <f t="shared" si="11"/>
        <v>511.43999999999994</v>
      </c>
      <c r="L106" s="167">
        <f t="shared" si="12"/>
        <v>422.39008859024506</v>
      </c>
      <c r="M106" s="167"/>
    </row>
    <row r="107" spans="1:13">
      <c r="A107" s="28">
        <f t="shared" si="13"/>
        <v>96</v>
      </c>
      <c r="C107" s="10">
        <v>96</v>
      </c>
      <c r="D107" s="10">
        <v>387.12</v>
      </c>
      <c r="E107" s="10">
        <v>37.299999999999997</v>
      </c>
      <c r="F107" s="167">
        <f t="shared" si="7"/>
        <v>77584</v>
      </c>
      <c r="G107" s="256">
        <f t="shared" si="8"/>
        <v>50000</v>
      </c>
      <c r="H107" s="256">
        <f t="shared" si="9"/>
        <v>232752</v>
      </c>
      <c r="I107" s="256">
        <f t="shared" si="10"/>
        <v>303.95852340688799</v>
      </c>
      <c r="J107" s="10">
        <v>12</v>
      </c>
      <c r="K107" s="167">
        <f t="shared" si="11"/>
        <v>387.12</v>
      </c>
      <c r="L107" s="167">
        <f t="shared" si="12"/>
        <v>303.95852340688799</v>
      </c>
      <c r="M107" s="167"/>
    </row>
    <row r="108" spans="1:13">
      <c r="A108" s="28">
        <f t="shared" si="13"/>
        <v>97</v>
      </c>
      <c r="C108" s="10">
        <v>97</v>
      </c>
      <c r="D108" s="10">
        <v>345.6</v>
      </c>
      <c r="E108" s="10">
        <v>27.96</v>
      </c>
      <c r="F108" s="167">
        <f t="shared" si="7"/>
        <v>58156.800000000003</v>
      </c>
      <c r="G108" s="256">
        <f t="shared" si="8"/>
        <v>50000</v>
      </c>
      <c r="H108" s="256">
        <f t="shared" si="9"/>
        <v>174470.40000000002</v>
      </c>
      <c r="I108" s="256">
        <f t="shared" ref="I108:I110" si="14">((H108-G108)/H108)*D108</f>
        <v>246.55741168702545</v>
      </c>
      <c r="J108" s="10">
        <v>12</v>
      </c>
      <c r="K108" s="167">
        <f t="shared" si="11"/>
        <v>345.6</v>
      </c>
      <c r="L108" s="167">
        <f t="shared" si="12"/>
        <v>246.55741168702545</v>
      </c>
      <c r="M108" s="167"/>
    </row>
    <row r="109" spans="1:13">
      <c r="A109" s="28">
        <f t="shared" si="13"/>
        <v>98</v>
      </c>
      <c r="C109" s="10">
        <v>98</v>
      </c>
      <c r="D109" s="10">
        <v>290.27999999999997</v>
      </c>
      <c r="E109" s="10">
        <v>21.81</v>
      </c>
      <c r="F109" s="167">
        <f t="shared" si="7"/>
        <v>45364.799999999996</v>
      </c>
      <c r="G109" s="256">
        <f t="shared" si="8"/>
        <v>45364.799999999996</v>
      </c>
      <c r="H109" s="256">
        <f t="shared" si="9"/>
        <v>136094.39999999999</v>
      </c>
      <c r="I109" s="256">
        <f t="shared" si="14"/>
        <v>193.52</v>
      </c>
      <c r="J109" s="10">
        <v>12</v>
      </c>
      <c r="K109" s="167">
        <f t="shared" si="11"/>
        <v>290.27999999999997</v>
      </c>
      <c r="L109" s="167">
        <f t="shared" si="12"/>
        <v>193.52</v>
      </c>
      <c r="M109" s="167"/>
    </row>
    <row r="110" spans="1:13">
      <c r="A110" s="28">
        <f t="shared" si="13"/>
        <v>99</v>
      </c>
      <c r="C110" s="10">
        <v>99</v>
      </c>
      <c r="D110" s="10">
        <v>345.6</v>
      </c>
      <c r="E110" s="10">
        <v>27.96</v>
      </c>
      <c r="F110" s="167">
        <f t="shared" si="7"/>
        <v>58156.800000000003</v>
      </c>
      <c r="G110" s="256">
        <f t="shared" si="8"/>
        <v>50000</v>
      </c>
      <c r="H110" s="256">
        <f t="shared" si="9"/>
        <v>174470.40000000002</v>
      </c>
      <c r="I110" s="256">
        <f t="shared" si="14"/>
        <v>246.55741168702545</v>
      </c>
      <c r="J110" s="10">
        <v>12</v>
      </c>
      <c r="K110" s="167">
        <f t="shared" si="11"/>
        <v>345.6</v>
      </c>
      <c r="L110" s="167">
        <f t="shared" si="12"/>
        <v>246.55741168702545</v>
      </c>
      <c r="M110" s="167"/>
    </row>
    <row r="111" spans="1:13">
      <c r="A111" s="28">
        <f t="shared" si="13"/>
        <v>100</v>
      </c>
      <c r="C111" s="10">
        <v>100</v>
      </c>
      <c r="D111" s="10">
        <v>373.2</v>
      </c>
      <c r="E111" s="10">
        <v>25.71</v>
      </c>
      <c r="F111" s="167">
        <f t="shared" si="7"/>
        <v>53476.800000000003</v>
      </c>
      <c r="G111" s="256">
        <f t="shared" si="8"/>
        <v>50000</v>
      </c>
      <c r="H111" s="256">
        <f t="shared" si="9"/>
        <v>160430.40000000002</v>
      </c>
      <c r="I111" s="256">
        <f t="shared" si="10"/>
        <v>256.8878796038656</v>
      </c>
      <c r="J111" s="10">
        <v>3</v>
      </c>
      <c r="K111" s="167">
        <f t="shared" si="11"/>
        <v>93.3</v>
      </c>
      <c r="L111" s="167">
        <f t="shared" si="12"/>
        <v>64.2219699009664</v>
      </c>
      <c r="M111" s="167"/>
    </row>
    <row r="112" spans="1:13">
      <c r="A112" s="28">
        <f t="shared" si="13"/>
        <v>101</v>
      </c>
      <c r="C112" s="10">
        <v>101</v>
      </c>
      <c r="D112" s="10">
        <v>297.24</v>
      </c>
      <c r="E112" s="10">
        <v>20.47</v>
      </c>
      <c r="F112" s="167">
        <f t="shared" si="7"/>
        <v>42577.599999999999</v>
      </c>
      <c r="G112" s="256">
        <f t="shared" si="8"/>
        <v>42577.599999999999</v>
      </c>
      <c r="H112" s="256">
        <f t="shared" si="9"/>
        <v>127732.79999999999</v>
      </c>
      <c r="I112" s="256">
        <f t="shared" si="10"/>
        <v>198.16</v>
      </c>
      <c r="J112" s="10">
        <v>1</v>
      </c>
      <c r="K112" s="167">
        <f t="shared" si="11"/>
        <v>24.77</v>
      </c>
      <c r="L112" s="167">
        <f t="shared" si="12"/>
        <v>16.513333333333332</v>
      </c>
      <c r="M112" s="167"/>
    </row>
    <row r="113" spans="1:13">
      <c r="A113" s="28">
        <f t="shared" si="13"/>
        <v>102</v>
      </c>
      <c r="C113" s="10">
        <v>102</v>
      </c>
      <c r="D113" s="10">
        <v>0</v>
      </c>
      <c r="E113" s="10">
        <v>0</v>
      </c>
      <c r="F113" s="167">
        <f t="shared" si="7"/>
        <v>0</v>
      </c>
      <c r="G113" s="256">
        <f t="shared" si="8"/>
        <v>0</v>
      </c>
      <c r="H113" s="256">
        <f t="shared" si="9"/>
        <v>0</v>
      </c>
      <c r="I113" s="256">
        <v>0</v>
      </c>
      <c r="J113" s="10">
        <v>0</v>
      </c>
      <c r="K113" s="167">
        <f t="shared" si="11"/>
        <v>0</v>
      </c>
      <c r="L113" s="167">
        <f t="shared" si="12"/>
        <v>0</v>
      </c>
      <c r="M113" s="167"/>
    </row>
    <row r="114" spans="1:13">
      <c r="A114" s="28">
        <f t="shared" si="13"/>
        <v>103</v>
      </c>
      <c r="C114" s="10">
        <v>103</v>
      </c>
      <c r="D114" s="10">
        <v>331.79999999999995</v>
      </c>
      <c r="E114" s="10">
        <v>23</v>
      </c>
      <c r="F114" s="167">
        <f t="shared" si="7"/>
        <v>47840</v>
      </c>
      <c r="G114" s="256">
        <f t="shared" si="8"/>
        <v>47840</v>
      </c>
      <c r="H114" s="256">
        <f t="shared" si="9"/>
        <v>143520</v>
      </c>
      <c r="I114" s="256">
        <f t="shared" si="10"/>
        <v>221.19999999999996</v>
      </c>
      <c r="J114" s="10">
        <v>1</v>
      </c>
      <c r="K114" s="167">
        <f t="shared" si="11"/>
        <v>27.649999999999995</v>
      </c>
      <c r="L114" s="167">
        <f t="shared" si="12"/>
        <v>18.43333333333333</v>
      </c>
      <c r="M114" s="167"/>
    </row>
    <row r="115" spans="1:13">
      <c r="A115" s="28">
        <f t="shared" si="13"/>
        <v>104</v>
      </c>
      <c r="C115" s="10">
        <v>104</v>
      </c>
      <c r="D115" s="10">
        <v>483.84</v>
      </c>
      <c r="E115" s="10">
        <v>33.44</v>
      </c>
      <c r="F115" s="167">
        <f t="shared" si="7"/>
        <v>69555.199999999997</v>
      </c>
      <c r="G115" s="256">
        <f t="shared" si="8"/>
        <v>50000</v>
      </c>
      <c r="H115" s="256">
        <f t="shared" si="9"/>
        <v>208665.59999999998</v>
      </c>
      <c r="I115" s="256">
        <f t="shared" si="10"/>
        <v>367.90330511593669</v>
      </c>
      <c r="J115" s="10">
        <v>1</v>
      </c>
      <c r="K115" s="167">
        <f t="shared" si="11"/>
        <v>40.32</v>
      </c>
      <c r="L115" s="167">
        <f t="shared" si="12"/>
        <v>30.658608759661391</v>
      </c>
      <c r="M115" s="167"/>
    </row>
    <row r="116" spans="1:13">
      <c r="A116" s="28">
        <f t="shared" si="13"/>
        <v>105</v>
      </c>
      <c r="C116" s="10">
        <v>105</v>
      </c>
      <c r="D116" s="10">
        <v>352.56</v>
      </c>
      <c r="E116" s="10">
        <v>24.48</v>
      </c>
      <c r="F116" s="167">
        <f t="shared" si="7"/>
        <v>50918.400000000001</v>
      </c>
      <c r="G116" s="256">
        <f t="shared" si="8"/>
        <v>50000</v>
      </c>
      <c r="H116" s="256">
        <f t="shared" si="9"/>
        <v>152755.20000000001</v>
      </c>
      <c r="I116" s="256">
        <f t="shared" si="10"/>
        <v>237.15967320261439</v>
      </c>
      <c r="J116" s="10">
        <v>0</v>
      </c>
      <c r="K116" s="167">
        <f t="shared" si="11"/>
        <v>0</v>
      </c>
      <c r="L116" s="167">
        <f t="shared" si="12"/>
        <v>0</v>
      </c>
      <c r="M116" s="167"/>
    </row>
    <row r="117" spans="1:13">
      <c r="A117" s="28">
        <f t="shared" si="13"/>
        <v>106</v>
      </c>
      <c r="C117" s="10">
        <v>106</v>
      </c>
      <c r="D117" s="10">
        <v>1264.92</v>
      </c>
      <c r="E117" s="10">
        <v>87.95</v>
      </c>
      <c r="F117" s="167">
        <f t="shared" si="7"/>
        <v>182936</v>
      </c>
      <c r="G117" s="256">
        <f t="shared" si="8"/>
        <v>50000</v>
      </c>
      <c r="H117" s="256">
        <f t="shared" si="9"/>
        <v>548808</v>
      </c>
      <c r="I117" s="256">
        <f t="shared" si="10"/>
        <v>1149.6775108234574</v>
      </c>
      <c r="J117" s="10">
        <v>2</v>
      </c>
      <c r="K117" s="167">
        <f t="shared" si="11"/>
        <v>210.82000000000002</v>
      </c>
      <c r="L117" s="167">
        <f t="shared" si="12"/>
        <v>191.61291847057623</v>
      </c>
      <c r="M117" s="167"/>
    </row>
    <row r="118" spans="1:13">
      <c r="A118" s="28">
        <f t="shared" si="13"/>
        <v>107</v>
      </c>
      <c r="C118" s="10">
        <v>107</v>
      </c>
      <c r="D118" s="10"/>
      <c r="E118" s="10"/>
      <c r="F118" s="167">
        <f t="shared" si="7"/>
        <v>0</v>
      </c>
      <c r="G118" s="256">
        <f t="shared" si="8"/>
        <v>0</v>
      </c>
      <c r="H118" s="256">
        <f t="shared" si="9"/>
        <v>0</v>
      </c>
      <c r="I118" s="256">
        <v>0</v>
      </c>
      <c r="J118" s="10">
        <v>0</v>
      </c>
      <c r="K118" s="167">
        <f t="shared" si="11"/>
        <v>0</v>
      </c>
      <c r="L118" s="167">
        <f t="shared" si="12"/>
        <v>0</v>
      </c>
      <c r="M118" s="167"/>
    </row>
    <row r="119" spans="1:13">
      <c r="A119" s="28">
        <f t="shared" si="13"/>
        <v>108</v>
      </c>
      <c r="C119" s="10">
        <v>108</v>
      </c>
      <c r="D119" s="10"/>
      <c r="E119" s="10"/>
      <c r="F119" s="167">
        <f t="shared" si="7"/>
        <v>0</v>
      </c>
      <c r="G119" s="256">
        <f t="shared" si="8"/>
        <v>0</v>
      </c>
      <c r="H119" s="256">
        <f t="shared" si="9"/>
        <v>0</v>
      </c>
      <c r="I119" s="256">
        <v>0</v>
      </c>
      <c r="J119" s="10">
        <v>0</v>
      </c>
      <c r="K119" s="167">
        <f t="shared" si="11"/>
        <v>0</v>
      </c>
      <c r="L119" s="167">
        <f t="shared" si="12"/>
        <v>0</v>
      </c>
      <c r="M119" s="167"/>
    </row>
    <row r="120" spans="1:13">
      <c r="A120" s="28">
        <f t="shared" si="13"/>
        <v>109</v>
      </c>
      <c r="C120" s="10">
        <v>109</v>
      </c>
      <c r="D120" s="10">
        <v>352.56</v>
      </c>
      <c r="E120" s="10"/>
      <c r="F120" s="167">
        <f t="shared" si="7"/>
        <v>0</v>
      </c>
      <c r="G120" s="256">
        <f t="shared" si="8"/>
        <v>0</v>
      </c>
      <c r="H120" s="256">
        <f t="shared" si="9"/>
        <v>0</v>
      </c>
      <c r="I120" s="256">
        <v>0</v>
      </c>
      <c r="J120" s="10">
        <v>0</v>
      </c>
      <c r="K120" s="167">
        <f t="shared" si="11"/>
        <v>0</v>
      </c>
      <c r="L120" s="167">
        <f t="shared" si="12"/>
        <v>0</v>
      </c>
      <c r="M120" s="167"/>
    </row>
    <row r="121" spans="1:13">
      <c r="A121" s="28">
        <f t="shared" si="13"/>
        <v>110</v>
      </c>
      <c r="C121" s="4" t="s">
        <v>44</v>
      </c>
      <c r="D121" s="169">
        <f>SUM(D12:D120)</f>
        <v>57851.079999999994</v>
      </c>
      <c r="E121" s="38"/>
      <c r="F121" s="38"/>
      <c r="G121" s="38"/>
      <c r="H121" s="38"/>
      <c r="I121" s="170">
        <f>SUM(I12:I120)</f>
        <v>46460.654426765374</v>
      </c>
      <c r="J121" s="170"/>
      <c r="K121" s="170">
        <f t="shared" ref="K121:L121" si="15">SUM(K12:K120)</f>
        <v>50972.733333333344</v>
      </c>
      <c r="L121" s="170">
        <f t="shared" si="15"/>
        <v>41502.086894677515</v>
      </c>
    </row>
    <row r="122" spans="1:13">
      <c r="A122" s="28">
        <f t="shared" si="13"/>
        <v>111</v>
      </c>
    </row>
    <row r="123" spans="1:13">
      <c r="A123" s="28">
        <f t="shared" si="13"/>
        <v>112</v>
      </c>
      <c r="H123" s="137" t="s">
        <v>283</v>
      </c>
      <c r="I123" s="167">
        <f>K121-L121</f>
        <v>9470.6464386558291</v>
      </c>
    </row>
    <row r="124" spans="1:13">
      <c r="A124" s="28">
        <f t="shared" si="13"/>
        <v>113</v>
      </c>
      <c r="H124" s="137"/>
      <c r="I124" s="167"/>
    </row>
    <row r="125" spans="1:13">
      <c r="A125" s="28">
        <f t="shared" si="13"/>
        <v>114</v>
      </c>
      <c r="H125" s="137" t="s">
        <v>36</v>
      </c>
      <c r="I125" s="125">
        <f>K121</f>
        <v>50972.733333333344</v>
      </c>
    </row>
    <row r="126" spans="1:13">
      <c r="A126" s="28">
        <f t="shared" si="13"/>
        <v>115</v>
      </c>
      <c r="H126" s="137"/>
      <c r="I126" s="125"/>
    </row>
    <row r="127" spans="1:13">
      <c r="A127" s="28">
        <f t="shared" si="13"/>
        <v>116</v>
      </c>
      <c r="H127" s="137" t="s">
        <v>167</v>
      </c>
      <c r="I127" s="125">
        <f>I123</f>
        <v>9470.6464386558291</v>
      </c>
    </row>
    <row r="128" spans="1:13">
      <c r="A128" s="28">
        <f t="shared" si="13"/>
        <v>117</v>
      </c>
      <c r="H128" s="137"/>
      <c r="I128" s="125"/>
    </row>
    <row r="129" spans="1:13" ht="13.5" thickBot="1">
      <c r="A129" s="28">
        <f t="shared" si="13"/>
        <v>118</v>
      </c>
      <c r="H129" s="171" t="s">
        <v>15</v>
      </c>
      <c r="I129" s="156">
        <f>I127-I125</f>
        <v>-41502.086894677515</v>
      </c>
    </row>
    <row r="130" spans="1:13" ht="13.5" thickTop="1">
      <c r="A130" s="28">
        <f t="shared" si="13"/>
        <v>119</v>
      </c>
    </row>
    <row r="131" spans="1:13" ht="30" customHeight="1">
      <c r="A131" s="28">
        <f t="shared" si="13"/>
        <v>120</v>
      </c>
      <c r="C131" s="292" t="s">
        <v>284</v>
      </c>
      <c r="D131" s="292"/>
      <c r="E131" s="292"/>
      <c r="F131" s="292"/>
      <c r="G131" s="292"/>
      <c r="H131" s="292"/>
      <c r="I131" s="292"/>
    </row>
    <row r="132" spans="1:13">
      <c r="A132" s="28">
        <f t="shared" si="13"/>
        <v>121</v>
      </c>
    </row>
    <row r="133" spans="1:13">
      <c r="A133" s="28">
        <f t="shared" si="13"/>
        <v>122</v>
      </c>
    </row>
    <row r="134" spans="1:13">
      <c r="A134" s="28">
        <f t="shared" si="13"/>
        <v>123</v>
      </c>
      <c r="C134" s="188"/>
      <c r="D134" s="194" t="s">
        <v>315</v>
      </c>
      <c r="E134" s="37" t="s">
        <v>315</v>
      </c>
      <c r="F134" s="1"/>
      <c r="G134" s="1"/>
      <c r="J134" s="41" t="s">
        <v>140</v>
      </c>
      <c r="K134" s="41" t="s">
        <v>139</v>
      </c>
      <c r="L134" s="41" t="s">
        <v>15</v>
      </c>
      <c r="M134" s="41"/>
    </row>
    <row r="135" spans="1:13">
      <c r="A135" s="28">
        <f t="shared" si="13"/>
        <v>124</v>
      </c>
      <c r="C135" s="188"/>
      <c r="D135" s="1" t="s">
        <v>130</v>
      </c>
      <c r="E135" s="1" t="s">
        <v>130</v>
      </c>
      <c r="F135" s="2" t="s">
        <v>131</v>
      </c>
      <c r="G135" s="1"/>
      <c r="J135" s="195">
        <v>302009</v>
      </c>
      <c r="K135" s="163">
        <f>J135/I$145</f>
        <v>3.2056401451368705E-2</v>
      </c>
      <c r="L135" s="125">
        <f>K135*$L$145</f>
        <v>-1330.4075585653704</v>
      </c>
    </row>
    <row r="136" spans="1:13">
      <c r="A136" s="28">
        <f t="shared" si="13"/>
        <v>125</v>
      </c>
      <c r="C136" s="188"/>
      <c r="D136" s="1" t="s">
        <v>132</v>
      </c>
      <c r="E136" s="1" t="s">
        <v>132</v>
      </c>
      <c r="F136" s="2" t="s">
        <v>133</v>
      </c>
      <c r="G136" s="1"/>
      <c r="J136" s="195">
        <v>1897154</v>
      </c>
      <c r="K136" s="163">
        <f>J136/I$145</f>
        <v>0.20137125131724531</v>
      </c>
      <c r="L136" s="125">
        <f>K136*$L$145</f>
        <v>-8357.3271702582588</v>
      </c>
    </row>
    <row r="137" spans="1:13">
      <c r="A137" s="28">
        <f t="shared" si="13"/>
        <v>126</v>
      </c>
      <c r="C137" s="188"/>
      <c r="D137" s="1" t="s">
        <v>134</v>
      </c>
      <c r="E137" s="1" t="s">
        <v>134</v>
      </c>
      <c r="F137" s="2" t="s">
        <v>111</v>
      </c>
      <c r="G137" s="1"/>
      <c r="J137" s="195">
        <v>760709</v>
      </c>
      <c r="K137" s="163">
        <f>J137/I$145</f>
        <v>8.0744590696533003E-2</v>
      </c>
      <c r="L137" s="125">
        <f>K137*$L$145</f>
        <v>-3351.0690193626824</v>
      </c>
    </row>
    <row r="138" spans="1:13">
      <c r="A138" s="28">
        <f t="shared" si="13"/>
        <v>127</v>
      </c>
      <c r="C138" s="188"/>
      <c r="D138" s="1" t="s">
        <v>316</v>
      </c>
      <c r="E138" s="1" t="s">
        <v>316</v>
      </c>
      <c r="F138" s="2" t="s">
        <v>83</v>
      </c>
      <c r="G138" s="1"/>
      <c r="J138" s="195">
        <v>393014</v>
      </c>
      <c r="K138" s="163">
        <f>J138/I$145</f>
        <v>4.1716023562238941E-2</v>
      </c>
      <c r="L138" s="125">
        <f>K138*$L$145</f>
        <v>-1731.3020347804552</v>
      </c>
    </row>
    <row r="139" spans="1:13">
      <c r="A139" s="28">
        <f t="shared" si="13"/>
        <v>128</v>
      </c>
      <c r="C139" s="188"/>
      <c r="D139" s="1" t="s">
        <v>135</v>
      </c>
      <c r="E139" s="1" t="s">
        <v>135</v>
      </c>
      <c r="F139" s="2" t="s">
        <v>129</v>
      </c>
      <c r="G139" s="1"/>
      <c r="J139" s="195">
        <v>1991602</v>
      </c>
      <c r="K139" s="163">
        <f>J139/I$145</f>
        <v>0.21139632674307327</v>
      </c>
      <c r="L139" s="125">
        <f>K139*$L$145</f>
        <v>-8773.3887217066676</v>
      </c>
    </row>
    <row r="140" spans="1:13">
      <c r="A140" s="28">
        <f t="shared" si="13"/>
        <v>129</v>
      </c>
      <c r="C140" s="188"/>
      <c r="D140" s="196" t="s">
        <v>317</v>
      </c>
      <c r="E140" s="4"/>
      <c r="F140" s="134"/>
      <c r="G140" s="4"/>
      <c r="H140" s="38"/>
      <c r="I140" s="257">
        <f>SUM(J135:J139)</f>
        <v>5344488</v>
      </c>
      <c r="J140" s="257"/>
      <c r="K140" s="197">
        <f>SUM(K135:K139)</f>
        <v>0.56728459377045926</v>
      </c>
      <c r="L140" s="198">
        <f>SUM(L135:L139)</f>
        <v>-23543.494504673436</v>
      </c>
    </row>
    <row r="141" spans="1:13">
      <c r="A141" s="28">
        <f t="shared" si="13"/>
        <v>130</v>
      </c>
      <c r="C141" s="188"/>
      <c r="D141" s="1"/>
      <c r="E141" s="1"/>
      <c r="G141" s="1"/>
      <c r="I141" s="199"/>
      <c r="J141" s="199"/>
      <c r="K141" s="163"/>
    </row>
    <row r="142" spans="1:13">
      <c r="A142" s="28">
        <f t="shared" ref="A142:A145" si="16">A141+1</f>
        <v>131</v>
      </c>
      <c r="C142" s="1"/>
      <c r="D142" s="1" t="s">
        <v>319</v>
      </c>
      <c r="E142" s="1" t="s">
        <v>319</v>
      </c>
      <c r="F142" s="2" t="s">
        <v>408</v>
      </c>
      <c r="G142" s="1"/>
      <c r="J142" s="195">
        <v>4076688</v>
      </c>
      <c r="K142" s="163">
        <f>J142/I$145</f>
        <v>0.43271540622954074</v>
      </c>
      <c r="L142" s="125">
        <f>$L$145*K142</f>
        <v>-17958.59239000408</v>
      </c>
    </row>
    <row r="143" spans="1:13">
      <c r="A143" s="28">
        <f t="shared" si="16"/>
        <v>132</v>
      </c>
      <c r="C143" s="1"/>
      <c r="D143" s="4"/>
      <c r="E143" s="4"/>
      <c r="F143" s="38"/>
      <c r="G143" s="4"/>
      <c r="H143" s="38" t="s">
        <v>22</v>
      </c>
      <c r="I143" s="257">
        <f>SUM(J142:J142)</f>
        <v>4076688</v>
      </c>
      <c r="J143" s="257"/>
      <c r="K143" s="197">
        <f>SUM(K142:K142)</f>
        <v>0.43271540622954074</v>
      </c>
      <c r="L143" s="200">
        <f>SUM(L142:L142)</f>
        <v>-17958.59239000408</v>
      </c>
    </row>
    <row r="144" spans="1:13">
      <c r="A144" s="28">
        <f t="shared" si="16"/>
        <v>133</v>
      </c>
      <c r="C144" s="1"/>
      <c r="D144" s="1"/>
      <c r="E144" s="1"/>
      <c r="G144" s="1"/>
      <c r="I144" s="199"/>
      <c r="J144" s="199"/>
      <c r="K144" s="32"/>
    </row>
    <row r="145" spans="1:12" ht="13.5" thickBot="1">
      <c r="A145" s="28">
        <f t="shared" si="16"/>
        <v>134</v>
      </c>
      <c r="C145" s="1"/>
      <c r="D145" s="39"/>
      <c r="E145" s="39"/>
      <c r="F145" s="3" t="s">
        <v>44</v>
      </c>
      <c r="G145" s="39"/>
      <c r="H145" s="3"/>
      <c r="I145" s="258">
        <f>I140+I143</f>
        <v>9421176</v>
      </c>
      <c r="J145" s="258"/>
      <c r="K145" s="40">
        <f>K140+K143</f>
        <v>1</v>
      </c>
      <c r="L145" s="201">
        <f>I129</f>
        <v>-41502.086894677515</v>
      </c>
    </row>
    <row r="146" spans="1:12" ht="13.5" thickTop="1"/>
  </sheetData>
  <mergeCells count="4">
    <mergeCell ref="C131:I131"/>
    <mergeCell ref="C4:L4"/>
    <mergeCell ref="C5:L5"/>
    <mergeCell ref="C7:L7"/>
  </mergeCells>
  <printOptions horizontalCentered="1"/>
  <pageMargins left="0.7" right="0.7" top="0.75" bottom="0.75" header="0.3" footer="0.3"/>
  <pageSetup scale="63" fitToHeight="3" orientation="landscape" r:id="rId1"/>
  <headerFooter>
    <oddFooter>&amp;R&amp;"Times New Roman,Regular"Exhibit JW-2
Page &amp;P of &amp;N</oddFooter>
  </headerFooter>
  <rowBreaks count="1" manualBreakCount="1">
    <brk id="34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0995-ED01-4042-8E74-0654E1BC616E}">
  <sheetPr>
    <pageSetUpPr fitToPage="1"/>
  </sheetPr>
  <dimension ref="A1:F404"/>
  <sheetViews>
    <sheetView view="pageBreakPreview" topLeftCell="A17" zoomScaleNormal="100" zoomScaleSheetLayoutView="100" workbookViewId="0">
      <selection activeCell="G39" sqref="G39"/>
    </sheetView>
  </sheetViews>
  <sheetFormatPr defaultColWidth="8.85546875" defaultRowHeight="12.75"/>
  <cols>
    <col min="1" max="1" width="8.85546875" style="10"/>
    <col min="2" max="2" width="20.42578125" style="10" customWidth="1"/>
    <col min="3" max="3" width="18.5703125" style="10" customWidth="1"/>
    <col min="4" max="4" width="8.85546875" style="9"/>
    <col min="5" max="5" width="8.85546875" style="10"/>
    <col min="6" max="6" width="14.140625" style="10" customWidth="1"/>
    <col min="7" max="16384" width="8.85546875" style="10"/>
  </cols>
  <sheetData>
    <row r="1" spans="1:6">
      <c r="E1" s="172"/>
      <c r="F1" s="5" t="s">
        <v>595</v>
      </c>
    </row>
    <row r="2" spans="1:6">
      <c r="E2" s="9"/>
      <c r="F2" s="259"/>
    </row>
    <row r="3" spans="1:6" s="2" customFormat="1">
      <c r="A3" s="10"/>
      <c r="B3" s="10"/>
      <c r="C3" s="10"/>
      <c r="D3" s="9"/>
      <c r="E3" s="9"/>
      <c r="F3" s="10"/>
    </row>
    <row r="4" spans="1:6" s="2" customFormat="1">
      <c r="A4" s="10"/>
      <c r="B4" s="286" t="s">
        <v>385</v>
      </c>
      <c r="C4" s="286"/>
      <c r="D4" s="286"/>
      <c r="E4" s="286"/>
      <c r="F4" s="286"/>
    </row>
    <row r="5" spans="1:6">
      <c r="B5" s="286" t="s">
        <v>415</v>
      </c>
      <c r="C5" s="286"/>
      <c r="D5" s="286"/>
      <c r="E5" s="286"/>
      <c r="F5" s="286"/>
    </row>
    <row r="6" spans="1:6" s="6" customFormat="1" ht="15" customHeight="1">
      <c r="A6" s="10"/>
      <c r="B6" s="10"/>
      <c r="C6" s="10"/>
      <c r="D6" s="9"/>
      <c r="E6" s="9"/>
      <c r="F6" s="10"/>
    </row>
    <row r="7" spans="1:6">
      <c r="A7" s="6"/>
      <c r="B7" s="287" t="s">
        <v>340</v>
      </c>
      <c r="C7" s="287"/>
      <c r="D7" s="287"/>
      <c r="E7" s="287"/>
      <c r="F7" s="287"/>
    </row>
    <row r="8" spans="1:6" ht="14.45" customHeight="1">
      <c r="E8" s="9"/>
    </row>
    <row r="9" spans="1:6" ht="25.15" customHeight="1">
      <c r="A9" s="153" t="s">
        <v>21</v>
      </c>
      <c r="B9" s="260" t="s">
        <v>416</v>
      </c>
      <c r="C9" s="261" t="s">
        <v>417</v>
      </c>
      <c r="D9" s="262" t="s">
        <v>293</v>
      </c>
      <c r="E9" s="263" t="s">
        <v>96</v>
      </c>
      <c r="F9" s="264" t="s">
        <v>295</v>
      </c>
    </row>
    <row r="10" spans="1:6">
      <c r="A10" s="14">
        <v>1</v>
      </c>
      <c r="B10" s="265" t="s">
        <v>354</v>
      </c>
      <c r="C10" s="18"/>
      <c r="D10" s="9" t="s">
        <v>297</v>
      </c>
      <c r="E10" s="174">
        <v>7.0999999999999994E-2</v>
      </c>
      <c r="F10" s="266">
        <f>ROUND(C10*E10,2)</f>
        <v>0</v>
      </c>
    </row>
    <row r="11" spans="1:6">
      <c r="A11" s="14">
        <f>A10+1</f>
        <v>2</v>
      </c>
      <c r="B11" s="265" t="s">
        <v>355</v>
      </c>
      <c r="C11" s="18">
        <v>211614.69</v>
      </c>
      <c r="D11" s="9" t="s">
        <v>297</v>
      </c>
      <c r="E11" s="174">
        <v>7.0999999999999994E-2</v>
      </c>
      <c r="F11" s="266">
        <f t="shared" ref="F11:F39" si="0">ROUND(C11*E11,2)</f>
        <v>15024.64</v>
      </c>
    </row>
    <row r="12" spans="1:6">
      <c r="A12" s="14">
        <f t="shared" ref="A12:A29" si="1">A11+1</f>
        <v>3</v>
      </c>
      <c r="B12" s="265" t="s">
        <v>356</v>
      </c>
      <c r="C12" s="18">
        <v>232233.69</v>
      </c>
      <c r="D12" s="9" t="s">
        <v>297</v>
      </c>
      <c r="E12" s="174">
        <v>7.0999999999999994E-2</v>
      </c>
      <c r="F12" s="266">
        <f t="shared" si="0"/>
        <v>16488.59</v>
      </c>
    </row>
    <row r="13" spans="1:6">
      <c r="A13" s="14">
        <f t="shared" si="1"/>
        <v>4</v>
      </c>
      <c r="B13" s="265" t="s">
        <v>357</v>
      </c>
      <c r="C13" s="18">
        <v>54635.360000000001</v>
      </c>
      <c r="D13" s="9" t="s">
        <v>297</v>
      </c>
      <c r="E13" s="174">
        <v>7.0999999999999994E-2</v>
      </c>
      <c r="F13" s="266">
        <f t="shared" si="0"/>
        <v>3879.11</v>
      </c>
    </row>
    <row r="14" spans="1:6">
      <c r="A14" s="14">
        <f t="shared" si="1"/>
        <v>5</v>
      </c>
      <c r="B14" s="265" t="s">
        <v>358</v>
      </c>
      <c r="C14" s="18">
        <v>178018.57</v>
      </c>
      <c r="D14" s="9" t="s">
        <v>297</v>
      </c>
      <c r="E14" s="174">
        <v>4.65E-2</v>
      </c>
      <c r="F14" s="266">
        <f t="shared" si="0"/>
        <v>8277.86</v>
      </c>
    </row>
    <row r="15" spans="1:6">
      <c r="A15" s="14">
        <f t="shared" si="1"/>
        <v>6</v>
      </c>
      <c r="B15" s="265" t="s">
        <v>359</v>
      </c>
      <c r="C15" s="18">
        <v>0</v>
      </c>
      <c r="D15" s="9" t="s">
        <v>297</v>
      </c>
      <c r="E15" s="174">
        <v>4.5499999999999999E-2</v>
      </c>
      <c r="F15" s="266">
        <f t="shared" si="0"/>
        <v>0</v>
      </c>
    </row>
    <row r="16" spans="1:6">
      <c r="A16" s="14">
        <f t="shared" si="1"/>
        <v>7</v>
      </c>
      <c r="B16" s="265" t="s">
        <v>360</v>
      </c>
      <c r="C16" s="18">
        <v>209589.04</v>
      </c>
      <c r="D16" s="9" t="s">
        <v>297</v>
      </c>
      <c r="E16" s="174">
        <v>4.65E-2</v>
      </c>
      <c r="F16" s="266">
        <f t="shared" si="0"/>
        <v>9745.89</v>
      </c>
    </row>
    <row r="17" spans="1:6">
      <c r="A17" s="14">
        <f t="shared" si="1"/>
        <v>8</v>
      </c>
      <c r="B17" s="265" t="s">
        <v>361</v>
      </c>
      <c r="C17" s="18"/>
      <c r="D17" s="9" t="s">
        <v>297</v>
      </c>
      <c r="E17" s="174">
        <v>7.2499999999999995E-2</v>
      </c>
      <c r="F17" s="266">
        <f t="shared" si="0"/>
        <v>0</v>
      </c>
    </row>
    <row r="18" spans="1:6">
      <c r="A18" s="14">
        <f t="shared" si="1"/>
        <v>9</v>
      </c>
      <c r="B18" s="265" t="s">
        <v>362</v>
      </c>
      <c r="C18" s="18">
        <v>34643000.979999997</v>
      </c>
      <c r="D18" s="9" t="s">
        <v>297</v>
      </c>
      <c r="E18" s="174">
        <v>2.9499999999999998E-2</v>
      </c>
      <c r="F18" s="266">
        <f t="shared" si="0"/>
        <v>1021968.53</v>
      </c>
    </row>
    <row r="19" spans="1:6">
      <c r="A19" s="14">
        <f t="shared" si="1"/>
        <v>10</v>
      </c>
      <c r="B19" s="265" t="s">
        <v>363</v>
      </c>
      <c r="C19" s="18">
        <v>1626564.21</v>
      </c>
      <c r="D19" s="9" t="s">
        <v>296</v>
      </c>
      <c r="E19" s="174">
        <v>2.9559999999999999E-2</v>
      </c>
      <c r="F19" s="266">
        <f t="shared" si="0"/>
        <v>48081.24</v>
      </c>
    </row>
    <row r="20" spans="1:6">
      <c r="A20" s="14">
        <f t="shared" si="1"/>
        <v>11</v>
      </c>
      <c r="B20" s="265" t="s">
        <v>364</v>
      </c>
      <c r="C20" s="18">
        <v>813282.2</v>
      </c>
      <c r="D20" s="9" t="s">
        <v>296</v>
      </c>
      <c r="E20" s="174">
        <v>2.9559999999999999E-2</v>
      </c>
      <c r="F20" s="266">
        <f t="shared" si="0"/>
        <v>24040.62</v>
      </c>
    </row>
    <row r="21" spans="1:6">
      <c r="A21" s="14">
        <f t="shared" si="1"/>
        <v>12</v>
      </c>
      <c r="B21" s="265" t="s">
        <v>365</v>
      </c>
      <c r="C21" s="18">
        <v>1835555.8400000001</v>
      </c>
      <c r="D21" s="9" t="s">
        <v>296</v>
      </c>
      <c r="E21" s="174">
        <v>2.9559999999999999E-2</v>
      </c>
      <c r="F21" s="266">
        <f t="shared" si="0"/>
        <v>54259.03</v>
      </c>
    </row>
    <row r="22" spans="1:6">
      <c r="A22" s="14">
        <f t="shared" si="1"/>
        <v>13</v>
      </c>
      <c r="B22" s="265" t="s">
        <v>366</v>
      </c>
      <c r="C22" s="18">
        <v>331645.36</v>
      </c>
      <c r="D22" s="9" t="s">
        <v>296</v>
      </c>
      <c r="E22" s="174">
        <v>2.9489999999999999E-2</v>
      </c>
      <c r="F22" s="266">
        <f t="shared" si="0"/>
        <v>9780.2199999999993</v>
      </c>
    </row>
    <row r="23" spans="1:6">
      <c r="A23" s="14">
        <f t="shared" si="1"/>
        <v>14</v>
      </c>
      <c r="B23" s="265" t="s">
        <v>367</v>
      </c>
      <c r="C23" s="18">
        <v>298480.84999999998</v>
      </c>
      <c r="D23" s="9" t="s">
        <v>296</v>
      </c>
      <c r="E23" s="174">
        <v>2.9489999999999999E-2</v>
      </c>
      <c r="F23" s="266">
        <f t="shared" si="0"/>
        <v>8802.2000000000007</v>
      </c>
    </row>
    <row r="24" spans="1:6">
      <c r="A24" s="14">
        <f t="shared" si="1"/>
        <v>15</v>
      </c>
      <c r="B24" s="265" t="s">
        <v>368</v>
      </c>
      <c r="C24" s="18">
        <v>333882.64</v>
      </c>
      <c r="D24" s="9" t="s">
        <v>296</v>
      </c>
      <c r="E24" s="174">
        <v>2.9489999999999999E-2</v>
      </c>
      <c r="F24" s="266">
        <f t="shared" si="0"/>
        <v>9846.2000000000007</v>
      </c>
    </row>
    <row r="25" spans="1:6">
      <c r="A25" s="14">
        <f t="shared" si="1"/>
        <v>16</v>
      </c>
      <c r="B25" s="265" t="s">
        <v>369</v>
      </c>
      <c r="C25" s="18">
        <v>544449.52</v>
      </c>
      <c r="D25" s="9" t="s">
        <v>296</v>
      </c>
      <c r="E25" s="174">
        <v>2.9489999999999999E-2</v>
      </c>
      <c r="F25" s="266">
        <f t="shared" si="0"/>
        <v>16055.82</v>
      </c>
    </row>
    <row r="26" spans="1:6">
      <c r="A26" s="14">
        <f t="shared" si="1"/>
        <v>17</v>
      </c>
      <c r="B26" s="265" t="s">
        <v>371</v>
      </c>
      <c r="C26" s="18">
        <v>586166</v>
      </c>
      <c r="D26" s="9" t="s">
        <v>296</v>
      </c>
      <c r="E26" s="174">
        <v>2.9489999999999999E-2</v>
      </c>
      <c r="F26" s="266">
        <f t="shared" si="0"/>
        <v>17286.04</v>
      </c>
    </row>
    <row r="27" spans="1:6">
      <c r="A27" s="14">
        <f t="shared" si="1"/>
        <v>18</v>
      </c>
      <c r="B27" s="265" t="s">
        <v>370</v>
      </c>
      <c r="C27" s="18">
        <v>733309.43</v>
      </c>
      <c r="D27" s="9" t="s">
        <v>296</v>
      </c>
      <c r="E27" s="174">
        <v>2.9559999999999999E-2</v>
      </c>
      <c r="F27" s="266">
        <f t="shared" si="0"/>
        <v>21676.63</v>
      </c>
    </row>
    <row r="28" spans="1:6">
      <c r="A28" s="14">
        <f t="shared" si="1"/>
        <v>19</v>
      </c>
      <c r="B28" s="265" t="s">
        <v>372</v>
      </c>
      <c r="C28" s="18">
        <v>1868625.75</v>
      </c>
      <c r="D28" s="9" t="s">
        <v>296</v>
      </c>
      <c r="E28" s="174">
        <v>2.9559999999999999E-2</v>
      </c>
      <c r="F28" s="266">
        <f t="shared" si="0"/>
        <v>55236.58</v>
      </c>
    </row>
    <row r="29" spans="1:6">
      <c r="A29" s="14">
        <f t="shared" si="1"/>
        <v>20</v>
      </c>
      <c r="B29" s="265" t="s">
        <v>373</v>
      </c>
      <c r="C29" s="18">
        <v>1162339.6499999999</v>
      </c>
      <c r="D29" s="9" t="s">
        <v>296</v>
      </c>
      <c r="E29" s="174">
        <v>2.9559999999999999E-2</v>
      </c>
      <c r="F29" s="266">
        <f t="shared" si="0"/>
        <v>34358.76</v>
      </c>
    </row>
    <row r="30" spans="1:6">
      <c r="A30" s="14">
        <f>A29+1</f>
        <v>21</v>
      </c>
      <c r="B30" s="265" t="s">
        <v>374</v>
      </c>
      <c r="C30" s="18">
        <v>3691125.27</v>
      </c>
      <c r="D30" s="9" t="s">
        <v>296</v>
      </c>
      <c r="E30" s="174">
        <v>2.7529999999999999E-2</v>
      </c>
      <c r="F30" s="266">
        <f t="shared" si="0"/>
        <v>101616.68</v>
      </c>
    </row>
    <row r="31" spans="1:6">
      <c r="A31" s="14">
        <f t="shared" ref="A31:A48" si="2">A30+1</f>
        <v>22</v>
      </c>
      <c r="B31" s="265" t="s">
        <v>375</v>
      </c>
      <c r="C31" s="18">
        <v>3751477.9</v>
      </c>
      <c r="D31" s="9" t="s">
        <v>296</v>
      </c>
      <c r="E31" s="174">
        <v>2.2519999999999998E-2</v>
      </c>
      <c r="F31" s="266">
        <f t="shared" si="0"/>
        <v>84483.28</v>
      </c>
    </row>
    <row r="32" spans="1:6">
      <c r="A32" s="14">
        <f t="shared" si="2"/>
        <v>23</v>
      </c>
      <c r="B32" s="265" t="s">
        <v>376</v>
      </c>
      <c r="C32" s="18">
        <v>3795185.82</v>
      </c>
      <c r="D32" s="9" t="s">
        <v>296</v>
      </c>
      <c r="E32" s="174">
        <v>2.402E-2</v>
      </c>
      <c r="F32" s="266">
        <f t="shared" si="0"/>
        <v>91160.36</v>
      </c>
    </row>
    <row r="33" spans="1:6">
      <c r="A33" s="14">
        <f t="shared" si="2"/>
        <v>24</v>
      </c>
      <c r="B33" s="265" t="s">
        <v>377</v>
      </c>
      <c r="C33" s="18">
        <v>11164741.35</v>
      </c>
      <c r="D33" s="9" t="s">
        <v>296</v>
      </c>
      <c r="E33" s="174">
        <v>2.879E-2</v>
      </c>
      <c r="F33" s="266">
        <f t="shared" si="0"/>
        <v>321432.90000000002</v>
      </c>
    </row>
    <row r="34" spans="1:6">
      <c r="A34" s="14">
        <f t="shared" si="2"/>
        <v>25</v>
      </c>
      <c r="B34" s="265" t="s">
        <v>378</v>
      </c>
      <c r="C34" s="18">
        <v>1111425.8799999999</v>
      </c>
      <c r="D34" s="9" t="s">
        <v>296</v>
      </c>
      <c r="E34" s="174">
        <v>2.879E-2</v>
      </c>
      <c r="F34" s="266">
        <f t="shared" si="0"/>
        <v>31997.95</v>
      </c>
    </row>
    <row r="35" spans="1:6">
      <c r="A35" s="14">
        <f t="shared" si="2"/>
        <v>26</v>
      </c>
      <c r="B35" s="265" t="s">
        <v>379</v>
      </c>
      <c r="C35" s="18">
        <v>8635069.75</v>
      </c>
      <c r="D35" s="9" t="s">
        <v>296</v>
      </c>
      <c r="E35" s="174">
        <v>1.951E-2</v>
      </c>
      <c r="F35" s="266">
        <f t="shared" si="0"/>
        <v>168470.21</v>
      </c>
    </row>
    <row r="36" spans="1:6">
      <c r="A36" s="14">
        <f t="shared" si="2"/>
        <v>27</v>
      </c>
      <c r="B36" s="265" t="s">
        <v>380</v>
      </c>
      <c r="C36" s="18">
        <v>9058281.75</v>
      </c>
      <c r="D36" s="9" t="s">
        <v>296</v>
      </c>
      <c r="E36" s="174">
        <v>2.1399999999999999E-2</v>
      </c>
      <c r="F36" s="266">
        <f t="shared" si="0"/>
        <v>193847.23</v>
      </c>
    </row>
    <row r="37" spans="1:6">
      <c r="A37" s="14">
        <f t="shared" si="2"/>
        <v>28</v>
      </c>
      <c r="B37" s="265" t="s">
        <v>381</v>
      </c>
      <c r="C37" s="18">
        <v>9078324.1799999997</v>
      </c>
      <c r="D37" s="9" t="s">
        <v>296</v>
      </c>
      <c r="E37" s="174">
        <v>1.8239999999999999E-2</v>
      </c>
      <c r="F37" s="266">
        <f t="shared" si="0"/>
        <v>165588.63</v>
      </c>
    </row>
    <row r="38" spans="1:6">
      <c r="A38" s="14">
        <f t="shared" si="2"/>
        <v>29</v>
      </c>
      <c r="B38" s="265" t="s">
        <v>382</v>
      </c>
      <c r="C38" s="18">
        <v>5926003.1299999999</v>
      </c>
      <c r="D38" s="9" t="s">
        <v>296</v>
      </c>
      <c r="E38" s="174">
        <v>3.6859999999999997E-2</v>
      </c>
      <c r="F38" s="266">
        <f t="shared" si="0"/>
        <v>218432.48</v>
      </c>
    </row>
    <row r="39" spans="1:6">
      <c r="A39" s="14">
        <f t="shared" si="2"/>
        <v>30</v>
      </c>
      <c r="B39" s="265" t="s">
        <v>383</v>
      </c>
      <c r="C39" s="18">
        <v>9894231.5099999998</v>
      </c>
      <c r="D39" s="9" t="s">
        <v>296</v>
      </c>
      <c r="E39" s="174">
        <v>4.4929999999999998E-2</v>
      </c>
      <c r="F39" s="266">
        <f t="shared" si="0"/>
        <v>444547.82</v>
      </c>
    </row>
    <row r="40" spans="1:6">
      <c r="A40" s="14">
        <f t="shared" si="2"/>
        <v>31</v>
      </c>
      <c r="B40" s="267" t="s">
        <v>418</v>
      </c>
      <c r="C40" s="268">
        <f>SUM(C10:C39)</f>
        <v>111769260.32000001</v>
      </c>
      <c r="D40" s="269"/>
      <c r="E40" s="269"/>
      <c r="F40" s="270">
        <f>SUM(F10:F39)</f>
        <v>3196385.5</v>
      </c>
    </row>
    <row r="41" spans="1:6">
      <c r="A41" s="14">
        <f t="shared" si="2"/>
        <v>32</v>
      </c>
      <c r="B41" s="12" t="s">
        <v>419</v>
      </c>
      <c r="C41" s="271">
        <v>10000000</v>
      </c>
      <c r="D41" s="272" t="s">
        <v>296</v>
      </c>
      <c r="E41" s="273">
        <v>4.8930000000000001E-2</v>
      </c>
      <c r="F41" s="274">
        <f t="shared" ref="F41" si="3">ROUND(C41*E41,20)</f>
        <v>489300</v>
      </c>
    </row>
    <row r="42" spans="1:6">
      <c r="A42" s="14">
        <f t="shared" si="2"/>
        <v>33</v>
      </c>
      <c r="B42" s="267"/>
      <c r="C42" s="268">
        <f>SUM(C40:C41)</f>
        <v>121769260.32000001</v>
      </c>
      <c r="D42" s="269"/>
      <c r="E42" s="269"/>
      <c r="F42" s="270">
        <f>SUM(F40:F41)</f>
        <v>3685685.5</v>
      </c>
    </row>
    <row r="43" spans="1:6">
      <c r="A43" s="14">
        <f t="shared" si="2"/>
        <v>34</v>
      </c>
      <c r="B43" s="275"/>
      <c r="C43" s="22"/>
      <c r="D43" s="269"/>
      <c r="E43" s="269"/>
      <c r="F43" s="22"/>
    </row>
    <row r="44" spans="1:6">
      <c r="A44" s="14">
        <f t="shared" si="2"/>
        <v>35</v>
      </c>
      <c r="B44" s="269" t="s">
        <v>36</v>
      </c>
      <c r="E44" s="9"/>
      <c r="F44" s="144">
        <v>3252736.2</v>
      </c>
    </row>
    <row r="45" spans="1:6">
      <c r="A45" s="14">
        <f t="shared" si="2"/>
        <v>36</v>
      </c>
      <c r="B45" s="269"/>
      <c r="E45" s="9"/>
    </row>
    <row r="46" spans="1:6">
      <c r="A46" s="14">
        <f t="shared" si="2"/>
        <v>37</v>
      </c>
      <c r="B46" s="269" t="s">
        <v>37</v>
      </c>
      <c r="E46" s="9"/>
      <c r="F46" s="270">
        <f>F42</f>
        <v>3685685.5</v>
      </c>
    </row>
    <row r="47" spans="1:6">
      <c r="A47" s="14">
        <f t="shared" si="2"/>
        <v>38</v>
      </c>
      <c r="B47" s="269"/>
      <c r="E47" s="9"/>
    </row>
    <row r="48" spans="1:6" ht="13.5" thickBot="1">
      <c r="A48" s="14">
        <f t="shared" si="2"/>
        <v>39</v>
      </c>
      <c r="B48" s="175" t="s">
        <v>420</v>
      </c>
      <c r="C48" s="19"/>
      <c r="D48" s="245"/>
      <c r="E48" s="245"/>
      <c r="F48" s="276">
        <f>+F46-F44</f>
        <v>432949.29999999981</v>
      </c>
    </row>
    <row r="49" spans="1:6" ht="13.5" thickTop="1">
      <c r="A49" s="14"/>
      <c r="B49" s="275"/>
      <c r="C49" s="22"/>
      <c r="D49" s="269"/>
      <c r="E49" s="269"/>
      <c r="F49" s="22"/>
    </row>
    <row r="50" spans="1:6" ht="39" customHeight="1">
      <c r="B50" s="288" t="s">
        <v>421</v>
      </c>
      <c r="C50" s="288"/>
      <c r="D50" s="288"/>
      <c r="E50" s="288"/>
      <c r="F50" s="288"/>
    </row>
    <row r="51" spans="1:6">
      <c r="C51" s="22"/>
      <c r="D51" s="269"/>
      <c r="E51" s="269"/>
      <c r="F51" s="22"/>
    </row>
    <row r="52" spans="1:6">
      <c r="C52" s="22"/>
      <c r="D52" s="269"/>
      <c r="E52" s="269"/>
      <c r="F52" s="22"/>
    </row>
    <row r="53" spans="1:6">
      <c r="C53" s="22"/>
      <c r="D53" s="269"/>
      <c r="E53" s="269"/>
      <c r="F53" s="22"/>
    </row>
    <row r="54" spans="1:6">
      <c r="E54" s="9"/>
    </row>
    <row r="55" spans="1:6">
      <c r="E55" s="9"/>
    </row>
    <row r="56" spans="1:6">
      <c r="E56" s="9"/>
    </row>
    <row r="57" spans="1:6">
      <c r="E57" s="9"/>
    </row>
    <row r="58" spans="1:6">
      <c r="E58" s="9"/>
    </row>
    <row r="59" spans="1:6">
      <c r="E59" s="9"/>
    </row>
    <row r="60" spans="1:6">
      <c r="E60" s="9"/>
    </row>
    <row r="61" spans="1:6">
      <c r="E61" s="9"/>
    </row>
    <row r="62" spans="1:6">
      <c r="E62" s="9"/>
    </row>
    <row r="63" spans="1:6">
      <c r="E63" s="9"/>
    </row>
    <row r="64" spans="1:6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  <row r="77" spans="5:5">
      <c r="E77" s="9"/>
    </row>
    <row r="78" spans="5:5">
      <c r="E78" s="9"/>
    </row>
    <row r="79" spans="5:5">
      <c r="E79" s="9"/>
    </row>
    <row r="80" spans="5:5">
      <c r="E80" s="9"/>
    </row>
    <row r="81" spans="5:5">
      <c r="E81" s="9"/>
    </row>
    <row r="82" spans="5:5">
      <c r="E82" s="9"/>
    </row>
    <row r="83" spans="5:5">
      <c r="E83" s="9"/>
    </row>
    <row r="84" spans="5:5">
      <c r="E84" s="9"/>
    </row>
    <row r="85" spans="5:5">
      <c r="E85" s="9"/>
    </row>
    <row r="86" spans="5:5">
      <c r="E86" s="9"/>
    </row>
    <row r="87" spans="5:5">
      <c r="E87" s="9"/>
    </row>
    <row r="88" spans="5:5">
      <c r="E88" s="9"/>
    </row>
    <row r="89" spans="5:5">
      <c r="E89" s="9"/>
    </row>
    <row r="90" spans="5:5">
      <c r="E90" s="9"/>
    </row>
    <row r="91" spans="5:5">
      <c r="E91" s="9"/>
    </row>
    <row r="92" spans="5:5">
      <c r="E92" s="9"/>
    </row>
    <row r="93" spans="5:5">
      <c r="E93" s="9"/>
    </row>
    <row r="94" spans="5:5">
      <c r="E94" s="9"/>
    </row>
    <row r="95" spans="5:5">
      <c r="E95" s="9"/>
    </row>
    <row r="96" spans="5:5">
      <c r="E96" s="9"/>
    </row>
    <row r="97" spans="5:5">
      <c r="E97" s="9"/>
    </row>
    <row r="98" spans="5:5">
      <c r="E98" s="9"/>
    </row>
    <row r="99" spans="5:5">
      <c r="E99" s="9"/>
    </row>
    <row r="100" spans="5:5">
      <c r="E100" s="9"/>
    </row>
    <row r="101" spans="5:5">
      <c r="E101" s="9"/>
    </row>
    <row r="102" spans="5:5">
      <c r="E102" s="9"/>
    </row>
    <row r="103" spans="5:5">
      <c r="E103" s="9"/>
    </row>
    <row r="104" spans="5:5">
      <c r="E104" s="9"/>
    </row>
    <row r="105" spans="5:5">
      <c r="E105" s="9"/>
    </row>
    <row r="106" spans="5:5">
      <c r="E106" s="9"/>
    </row>
    <row r="107" spans="5:5">
      <c r="E107" s="9"/>
    </row>
    <row r="108" spans="5:5">
      <c r="E108" s="9"/>
    </row>
    <row r="109" spans="5:5">
      <c r="E109" s="9"/>
    </row>
    <row r="110" spans="5:5">
      <c r="E110" s="9"/>
    </row>
    <row r="111" spans="5:5">
      <c r="E111" s="9"/>
    </row>
    <row r="112" spans="5:5">
      <c r="E112" s="9"/>
    </row>
    <row r="113" spans="5:5">
      <c r="E113" s="9"/>
    </row>
    <row r="114" spans="5:5">
      <c r="E114" s="9"/>
    </row>
    <row r="115" spans="5:5">
      <c r="E115" s="9"/>
    </row>
    <row r="116" spans="5:5">
      <c r="E116" s="9"/>
    </row>
    <row r="117" spans="5:5">
      <c r="E117" s="9"/>
    </row>
    <row r="118" spans="5:5">
      <c r="E118" s="9"/>
    </row>
    <row r="119" spans="5:5">
      <c r="E119" s="9"/>
    </row>
    <row r="120" spans="5:5">
      <c r="E120" s="9"/>
    </row>
    <row r="121" spans="5:5">
      <c r="E121" s="9"/>
    </row>
    <row r="122" spans="5:5">
      <c r="E122" s="9"/>
    </row>
    <row r="123" spans="5:5">
      <c r="E123" s="9"/>
    </row>
    <row r="124" spans="5:5">
      <c r="E124" s="9"/>
    </row>
    <row r="125" spans="5:5">
      <c r="E125" s="9"/>
    </row>
    <row r="126" spans="5:5">
      <c r="E126" s="9"/>
    </row>
    <row r="127" spans="5:5">
      <c r="E127" s="9"/>
    </row>
    <row r="128" spans="5:5">
      <c r="E128" s="9"/>
    </row>
    <row r="129" spans="5:5">
      <c r="E129" s="9"/>
    </row>
    <row r="130" spans="5:5">
      <c r="E130" s="9"/>
    </row>
    <row r="131" spans="5:5">
      <c r="E131" s="9"/>
    </row>
    <row r="132" spans="5:5">
      <c r="E132" s="9"/>
    </row>
    <row r="133" spans="5:5">
      <c r="E133" s="9"/>
    </row>
    <row r="134" spans="5:5">
      <c r="E134" s="9"/>
    </row>
    <row r="135" spans="5:5">
      <c r="E135" s="9"/>
    </row>
    <row r="136" spans="5:5">
      <c r="E136" s="9"/>
    </row>
    <row r="137" spans="5:5">
      <c r="E137" s="9"/>
    </row>
    <row r="138" spans="5:5">
      <c r="E138" s="9"/>
    </row>
    <row r="139" spans="5:5">
      <c r="E139" s="9"/>
    </row>
    <row r="140" spans="5:5">
      <c r="E140" s="9"/>
    </row>
    <row r="141" spans="5:5">
      <c r="E141" s="9"/>
    </row>
    <row r="142" spans="5:5">
      <c r="E142" s="9"/>
    </row>
    <row r="143" spans="5:5">
      <c r="E143" s="9"/>
    </row>
    <row r="144" spans="5:5">
      <c r="E144" s="9"/>
    </row>
    <row r="145" spans="5:5">
      <c r="E145" s="9"/>
    </row>
    <row r="146" spans="5:5">
      <c r="E146" s="9"/>
    </row>
    <row r="147" spans="5:5">
      <c r="E147" s="9"/>
    </row>
    <row r="148" spans="5:5">
      <c r="E148" s="9"/>
    </row>
    <row r="149" spans="5:5">
      <c r="E149" s="9"/>
    </row>
    <row r="150" spans="5:5">
      <c r="E150" s="9"/>
    </row>
    <row r="151" spans="5:5">
      <c r="E151" s="9"/>
    </row>
    <row r="152" spans="5:5">
      <c r="E152" s="9"/>
    </row>
    <row r="153" spans="5:5">
      <c r="E153" s="9"/>
    </row>
    <row r="154" spans="5:5">
      <c r="E154" s="9"/>
    </row>
    <row r="155" spans="5:5">
      <c r="E155" s="9"/>
    </row>
    <row r="156" spans="5:5">
      <c r="E156" s="9"/>
    </row>
    <row r="157" spans="5:5">
      <c r="E157" s="9"/>
    </row>
    <row r="158" spans="5:5">
      <c r="E158" s="9"/>
    </row>
    <row r="159" spans="5:5">
      <c r="E159" s="9"/>
    </row>
    <row r="160" spans="5:5">
      <c r="E160" s="9"/>
    </row>
    <row r="161" spans="5:5">
      <c r="E161" s="9"/>
    </row>
    <row r="162" spans="5:5">
      <c r="E162" s="9"/>
    </row>
    <row r="163" spans="5:5">
      <c r="E163" s="9"/>
    </row>
    <row r="164" spans="5:5">
      <c r="E164" s="9"/>
    </row>
    <row r="165" spans="5:5">
      <c r="E165" s="9"/>
    </row>
    <row r="166" spans="5:5">
      <c r="E166" s="9"/>
    </row>
    <row r="167" spans="5:5">
      <c r="E167" s="9"/>
    </row>
    <row r="168" spans="5:5">
      <c r="E168" s="9"/>
    </row>
    <row r="169" spans="5:5">
      <c r="E169" s="9"/>
    </row>
    <row r="170" spans="5:5">
      <c r="E170" s="9"/>
    </row>
    <row r="171" spans="5:5">
      <c r="E171" s="9"/>
    </row>
    <row r="172" spans="5:5">
      <c r="E172" s="9"/>
    </row>
    <row r="173" spans="5:5">
      <c r="E173" s="9"/>
    </row>
    <row r="174" spans="5:5">
      <c r="E174" s="9"/>
    </row>
    <row r="175" spans="5:5">
      <c r="E175" s="9"/>
    </row>
    <row r="176" spans="5:5">
      <c r="E176" s="9"/>
    </row>
    <row r="177" spans="5:5">
      <c r="E177" s="9"/>
    </row>
    <row r="178" spans="5:5">
      <c r="E178" s="9"/>
    </row>
    <row r="179" spans="5:5">
      <c r="E179" s="9"/>
    </row>
    <row r="180" spans="5:5">
      <c r="E180" s="9"/>
    </row>
    <row r="181" spans="5:5">
      <c r="E181" s="9"/>
    </row>
    <row r="182" spans="5:5">
      <c r="E182" s="9"/>
    </row>
    <row r="183" spans="5:5">
      <c r="E183" s="9"/>
    </row>
    <row r="184" spans="5:5">
      <c r="E184" s="9"/>
    </row>
    <row r="185" spans="5:5">
      <c r="E185" s="9"/>
    </row>
    <row r="186" spans="5:5">
      <c r="E186" s="9"/>
    </row>
    <row r="187" spans="5:5">
      <c r="E187" s="9"/>
    </row>
    <row r="188" spans="5:5">
      <c r="E188" s="9"/>
    </row>
    <row r="189" spans="5:5">
      <c r="E189" s="9"/>
    </row>
    <row r="190" spans="5:5">
      <c r="E190" s="9"/>
    </row>
    <row r="191" spans="5:5">
      <c r="E191" s="9"/>
    </row>
    <row r="192" spans="5:5">
      <c r="E192" s="9"/>
    </row>
    <row r="193" spans="5:5">
      <c r="E193" s="9"/>
    </row>
    <row r="194" spans="5:5">
      <c r="E194" s="9"/>
    </row>
    <row r="195" spans="5:5">
      <c r="E195" s="9"/>
    </row>
    <row r="196" spans="5:5">
      <c r="E196" s="9"/>
    </row>
    <row r="197" spans="5:5">
      <c r="E197" s="9"/>
    </row>
    <row r="198" spans="5:5">
      <c r="E198" s="9"/>
    </row>
    <row r="199" spans="5:5">
      <c r="E199" s="9"/>
    </row>
    <row r="200" spans="5:5">
      <c r="E200" s="9"/>
    </row>
    <row r="201" spans="5:5">
      <c r="E201" s="9"/>
    </row>
    <row r="202" spans="5:5">
      <c r="E202" s="9"/>
    </row>
    <row r="203" spans="5:5">
      <c r="E203" s="9"/>
    </row>
    <row r="204" spans="5:5">
      <c r="E204" s="9"/>
    </row>
    <row r="205" spans="5:5">
      <c r="E205" s="9"/>
    </row>
    <row r="206" spans="5:5">
      <c r="E206" s="9"/>
    </row>
    <row r="207" spans="5:5">
      <c r="E207" s="9"/>
    </row>
    <row r="208" spans="5:5">
      <c r="E208" s="9"/>
    </row>
    <row r="209" spans="5:5">
      <c r="E209" s="9"/>
    </row>
    <row r="210" spans="5:5">
      <c r="E210" s="9"/>
    </row>
    <row r="211" spans="5:5">
      <c r="E211" s="9"/>
    </row>
    <row r="212" spans="5:5">
      <c r="E212" s="9"/>
    </row>
    <row r="213" spans="5:5">
      <c r="E213" s="9"/>
    </row>
    <row r="214" spans="5:5">
      <c r="E214" s="9"/>
    </row>
    <row r="215" spans="5:5">
      <c r="E215" s="9"/>
    </row>
    <row r="216" spans="5:5">
      <c r="E216" s="9"/>
    </row>
    <row r="217" spans="5:5">
      <c r="E217" s="9"/>
    </row>
    <row r="218" spans="5:5">
      <c r="E218" s="9"/>
    </row>
    <row r="219" spans="5:5">
      <c r="E219" s="9"/>
    </row>
    <row r="220" spans="5:5">
      <c r="E220" s="9"/>
    </row>
    <row r="221" spans="5:5">
      <c r="E221" s="9"/>
    </row>
    <row r="222" spans="5:5">
      <c r="E222" s="9"/>
    </row>
    <row r="223" spans="5:5">
      <c r="E223" s="9"/>
    </row>
    <row r="224" spans="5:5">
      <c r="E224" s="9"/>
    </row>
    <row r="225" spans="5:5">
      <c r="E225" s="9"/>
    </row>
    <row r="226" spans="5:5">
      <c r="E226" s="9"/>
    </row>
    <row r="227" spans="5:5">
      <c r="E227" s="9"/>
    </row>
    <row r="228" spans="5:5">
      <c r="E228" s="9"/>
    </row>
    <row r="229" spans="5:5">
      <c r="E229" s="9"/>
    </row>
    <row r="230" spans="5:5">
      <c r="E230" s="9"/>
    </row>
    <row r="231" spans="5:5">
      <c r="E231" s="9"/>
    </row>
    <row r="232" spans="5:5">
      <c r="E232" s="9"/>
    </row>
    <row r="233" spans="5:5">
      <c r="E233" s="9"/>
    </row>
    <row r="234" spans="5:5">
      <c r="E234" s="9"/>
    </row>
    <row r="235" spans="5:5">
      <c r="E235" s="9"/>
    </row>
    <row r="236" spans="5:5">
      <c r="E236" s="9"/>
    </row>
    <row r="237" spans="5:5">
      <c r="E237" s="9"/>
    </row>
    <row r="238" spans="5:5">
      <c r="E238" s="9"/>
    </row>
    <row r="239" spans="5:5">
      <c r="E239" s="9"/>
    </row>
    <row r="240" spans="5:5">
      <c r="E240" s="9"/>
    </row>
    <row r="241" spans="5:5">
      <c r="E241" s="9"/>
    </row>
    <row r="242" spans="5:5">
      <c r="E242" s="9"/>
    </row>
    <row r="243" spans="5:5">
      <c r="E243" s="9"/>
    </row>
    <row r="244" spans="5:5">
      <c r="E244" s="9"/>
    </row>
    <row r="245" spans="5:5">
      <c r="E245" s="9"/>
    </row>
    <row r="246" spans="5:5">
      <c r="E246" s="9"/>
    </row>
    <row r="247" spans="5:5">
      <c r="E247" s="9"/>
    </row>
    <row r="248" spans="5:5">
      <c r="E248" s="9"/>
    </row>
    <row r="249" spans="5:5">
      <c r="E249" s="9"/>
    </row>
    <row r="250" spans="5:5">
      <c r="E250" s="9"/>
    </row>
    <row r="251" spans="5:5">
      <c r="E251" s="9"/>
    </row>
    <row r="252" spans="5:5">
      <c r="E252" s="9"/>
    </row>
    <row r="253" spans="5:5">
      <c r="E253" s="9"/>
    </row>
    <row r="254" spans="5:5">
      <c r="E254" s="9"/>
    </row>
    <row r="255" spans="5:5">
      <c r="E255" s="9"/>
    </row>
    <row r="256" spans="5:5">
      <c r="E256" s="9"/>
    </row>
    <row r="257" spans="5:5">
      <c r="E257" s="9"/>
    </row>
    <row r="258" spans="5:5">
      <c r="E258" s="9"/>
    </row>
    <row r="259" spans="5:5">
      <c r="E259" s="9"/>
    </row>
    <row r="260" spans="5:5">
      <c r="E260" s="9"/>
    </row>
    <row r="261" spans="5:5">
      <c r="E261" s="9"/>
    </row>
    <row r="262" spans="5:5">
      <c r="E262" s="9"/>
    </row>
    <row r="263" spans="5:5">
      <c r="E263" s="9"/>
    </row>
    <row r="264" spans="5:5">
      <c r="E264" s="9"/>
    </row>
    <row r="265" spans="5:5">
      <c r="E265" s="9"/>
    </row>
    <row r="266" spans="5:5">
      <c r="E266" s="9"/>
    </row>
    <row r="267" spans="5:5">
      <c r="E267" s="9"/>
    </row>
    <row r="268" spans="5:5">
      <c r="E268" s="9"/>
    </row>
    <row r="269" spans="5:5">
      <c r="E269" s="9"/>
    </row>
    <row r="270" spans="5:5">
      <c r="E270" s="9"/>
    </row>
    <row r="271" spans="5:5">
      <c r="E271" s="9"/>
    </row>
    <row r="272" spans="5:5">
      <c r="E272" s="9"/>
    </row>
    <row r="273" spans="5:5">
      <c r="E273" s="9"/>
    </row>
    <row r="274" spans="5:5">
      <c r="E274" s="9"/>
    </row>
    <row r="275" spans="5:5">
      <c r="E275" s="9"/>
    </row>
    <row r="276" spans="5:5">
      <c r="E276" s="9"/>
    </row>
    <row r="277" spans="5:5">
      <c r="E277" s="9"/>
    </row>
    <row r="278" spans="5:5">
      <c r="E278" s="9"/>
    </row>
    <row r="279" spans="5:5">
      <c r="E279" s="9"/>
    </row>
    <row r="280" spans="5:5">
      <c r="E280" s="9"/>
    </row>
    <row r="281" spans="5:5">
      <c r="E281" s="9"/>
    </row>
    <row r="282" spans="5:5">
      <c r="E282" s="9"/>
    </row>
    <row r="283" spans="5:5">
      <c r="E283" s="9"/>
    </row>
    <row r="284" spans="5:5">
      <c r="E284" s="9"/>
    </row>
    <row r="285" spans="5:5">
      <c r="E285" s="9"/>
    </row>
    <row r="286" spans="5:5">
      <c r="E286" s="9"/>
    </row>
    <row r="287" spans="5:5">
      <c r="E287" s="9"/>
    </row>
    <row r="288" spans="5:5">
      <c r="E288" s="9"/>
    </row>
    <row r="289" spans="5:5">
      <c r="E289" s="9"/>
    </row>
    <row r="290" spans="5:5">
      <c r="E290" s="9"/>
    </row>
    <row r="291" spans="5:5">
      <c r="E291" s="9"/>
    </row>
    <row r="292" spans="5:5">
      <c r="E292" s="9"/>
    </row>
    <row r="293" spans="5:5">
      <c r="E293" s="9"/>
    </row>
    <row r="294" spans="5:5">
      <c r="E294" s="9"/>
    </row>
    <row r="295" spans="5:5">
      <c r="E295" s="9"/>
    </row>
    <row r="296" spans="5:5">
      <c r="E296" s="9"/>
    </row>
    <row r="297" spans="5:5">
      <c r="E297" s="9"/>
    </row>
    <row r="298" spans="5:5">
      <c r="E298" s="9"/>
    </row>
    <row r="299" spans="5:5">
      <c r="E299" s="9"/>
    </row>
    <row r="300" spans="5:5">
      <c r="E300" s="9"/>
    </row>
    <row r="301" spans="5:5">
      <c r="E301" s="9"/>
    </row>
    <row r="302" spans="5:5">
      <c r="E302" s="9"/>
    </row>
    <row r="303" spans="5:5">
      <c r="E303" s="9"/>
    </row>
    <row r="304" spans="5:5">
      <c r="E304" s="9"/>
    </row>
    <row r="305" spans="5:5">
      <c r="E305" s="9"/>
    </row>
    <row r="306" spans="5:5">
      <c r="E306" s="9"/>
    </row>
    <row r="307" spans="5:5">
      <c r="E307" s="9"/>
    </row>
    <row r="308" spans="5:5">
      <c r="E308" s="9"/>
    </row>
    <row r="309" spans="5:5">
      <c r="E309" s="9"/>
    </row>
    <row r="310" spans="5:5">
      <c r="E310" s="9"/>
    </row>
    <row r="311" spans="5:5">
      <c r="E311" s="9"/>
    </row>
    <row r="312" spans="5:5">
      <c r="E312" s="9"/>
    </row>
    <row r="313" spans="5:5">
      <c r="E313" s="9"/>
    </row>
    <row r="314" spans="5:5">
      <c r="E314" s="9"/>
    </row>
    <row r="315" spans="5:5">
      <c r="E315" s="9"/>
    </row>
    <row r="316" spans="5:5">
      <c r="E316" s="9"/>
    </row>
    <row r="317" spans="5:5">
      <c r="E317" s="9"/>
    </row>
    <row r="318" spans="5:5">
      <c r="E318" s="9"/>
    </row>
    <row r="319" spans="5:5">
      <c r="E319" s="9"/>
    </row>
    <row r="320" spans="5:5">
      <c r="E320" s="9"/>
    </row>
    <row r="321" spans="5:5">
      <c r="E321" s="9"/>
    </row>
    <row r="322" spans="5:5">
      <c r="E322" s="9"/>
    </row>
    <row r="323" spans="5:5">
      <c r="E323" s="9"/>
    </row>
    <row r="324" spans="5:5">
      <c r="E324" s="9"/>
    </row>
    <row r="325" spans="5:5">
      <c r="E325" s="9"/>
    </row>
    <row r="326" spans="5:5">
      <c r="E326" s="9"/>
    </row>
    <row r="327" spans="5:5">
      <c r="E327" s="9"/>
    </row>
    <row r="328" spans="5:5">
      <c r="E328" s="9"/>
    </row>
    <row r="329" spans="5:5">
      <c r="E329" s="9"/>
    </row>
    <row r="330" spans="5:5">
      <c r="E330" s="9"/>
    </row>
    <row r="331" spans="5:5">
      <c r="E331" s="9"/>
    </row>
    <row r="332" spans="5:5">
      <c r="E332" s="9"/>
    </row>
    <row r="333" spans="5:5">
      <c r="E333" s="9"/>
    </row>
    <row r="334" spans="5:5">
      <c r="E334" s="9"/>
    </row>
    <row r="335" spans="5:5">
      <c r="E335" s="9"/>
    </row>
    <row r="336" spans="5:5">
      <c r="E336" s="9"/>
    </row>
    <row r="337" spans="5:5">
      <c r="E337" s="9"/>
    </row>
    <row r="338" spans="5:5">
      <c r="E338" s="9"/>
    </row>
    <row r="339" spans="5:5">
      <c r="E339" s="9"/>
    </row>
    <row r="340" spans="5:5">
      <c r="E340" s="9"/>
    </row>
    <row r="341" spans="5:5">
      <c r="E341" s="9"/>
    </row>
    <row r="342" spans="5:5">
      <c r="E342" s="9"/>
    </row>
    <row r="343" spans="5:5">
      <c r="E343" s="9"/>
    </row>
    <row r="344" spans="5:5">
      <c r="E344" s="9"/>
    </row>
    <row r="345" spans="5:5">
      <c r="E345" s="9"/>
    </row>
    <row r="346" spans="5:5">
      <c r="E346" s="9"/>
    </row>
    <row r="347" spans="5:5">
      <c r="E347" s="9"/>
    </row>
    <row r="348" spans="5:5">
      <c r="E348" s="9"/>
    </row>
    <row r="349" spans="5:5">
      <c r="E349" s="9"/>
    </row>
    <row r="350" spans="5:5">
      <c r="E350" s="9"/>
    </row>
    <row r="351" spans="5:5">
      <c r="E351" s="9"/>
    </row>
    <row r="352" spans="5:5">
      <c r="E352" s="9"/>
    </row>
    <row r="353" spans="5:5">
      <c r="E353" s="9"/>
    </row>
    <row r="354" spans="5:5">
      <c r="E354" s="9"/>
    </row>
    <row r="355" spans="5:5">
      <c r="E355" s="9"/>
    </row>
    <row r="356" spans="5:5">
      <c r="E356" s="9"/>
    </row>
    <row r="357" spans="5:5">
      <c r="E357" s="9"/>
    </row>
    <row r="358" spans="5:5">
      <c r="E358" s="9"/>
    </row>
    <row r="359" spans="5:5">
      <c r="E359" s="9"/>
    </row>
    <row r="360" spans="5:5">
      <c r="E360" s="9"/>
    </row>
    <row r="361" spans="5:5">
      <c r="E361" s="9"/>
    </row>
    <row r="362" spans="5:5">
      <c r="E362" s="9"/>
    </row>
    <row r="363" spans="5:5">
      <c r="E363" s="9"/>
    </row>
    <row r="364" spans="5:5">
      <c r="E364" s="9"/>
    </row>
    <row r="365" spans="5:5">
      <c r="E365" s="9"/>
    </row>
    <row r="366" spans="5:5">
      <c r="E366" s="9"/>
    </row>
    <row r="367" spans="5:5">
      <c r="E367" s="9"/>
    </row>
    <row r="368" spans="5:5">
      <c r="E368" s="9"/>
    </row>
    <row r="369" spans="5:5">
      <c r="E369" s="9"/>
    </row>
    <row r="370" spans="5:5">
      <c r="E370" s="9"/>
    </row>
    <row r="371" spans="5:5">
      <c r="E371" s="9"/>
    </row>
    <row r="372" spans="5:5">
      <c r="E372" s="9"/>
    </row>
    <row r="373" spans="5:5">
      <c r="E373" s="9"/>
    </row>
    <row r="374" spans="5:5">
      <c r="E374" s="9"/>
    </row>
    <row r="375" spans="5:5">
      <c r="E375" s="9"/>
    </row>
    <row r="376" spans="5:5">
      <c r="E376" s="9"/>
    </row>
    <row r="377" spans="5:5">
      <c r="E377" s="9"/>
    </row>
    <row r="378" spans="5:5">
      <c r="E378" s="9"/>
    </row>
    <row r="379" spans="5:5">
      <c r="E379" s="9"/>
    </row>
    <row r="380" spans="5:5">
      <c r="E380" s="9"/>
    </row>
    <row r="381" spans="5:5">
      <c r="E381" s="9"/>
    </row>
    <row r="382" spans="5:5">
      <c r="E382" s="9"/>
    </row>
    <row r="383" spans="5:5">
      <c r="E383" s="9"/>
    </row>
    <row r="384" spans="5:5">
      <c r="E384" s="9"/>
    </row>
    <row r="385" spans="5:5">
      <c r="E385" s="9"/>
    </row>
    <row r="386" spans="5:5">
      <c r="E386" s="9"/>
    </row>
    <row r="387" spans="5:5">
      <c r="E387" s="9"/>
    </row>
    <row r="388" spans="5:5">
      <c r="E388" s="9"/>
    </row>
    <row r="389" spans="5:5">
      <c r="E389" s="9"/>
    </row>
    <row r="390" spans="5:5">
      <c r="E390" s="9"/>
    </row>
    <row r="391" spans="5:5">
      <c r="E391" s="9"/>
    </row>
    <row r="392" spans="5:5">
      <c r="E392" s="9"/>
    </row>
    <row r="393" spans="5:5">
      <c r="E393" s="9"/>
    </row>
    <row r="394" spans="5:5">
      <c r="E394" s="9"/>
    </row>
    <row r="395" spans="5:5">
      <c r="E395" s="9"/>
    </row>
    <row r="396" spans="5:5">
      <c r="E396" s="9"/>
    </row>
    <row r="397" spans="5:5">
      <c r="E397" s="9"/>
    </row>
    <row r="398" spans="5:5">
      <c r="E398" s="9"/>
    </row>
    <row r="399" spans="5:5">
      <c r="E399" s="9"/>
    </row>
    <row r="400" spans="5:5">
      <c r="E400" s="9"/>
    </row>
    <row r="401" spans="5:5">
      <c r="E401" s="9"/>
    </row>
    <row r="402" spans="5:5">
      <c r="E402" s="9"/>
    </row>
    <row r="403" spans="5:5">
      <c r="E403" s="9"/>
    </row>
    <row r="404" spans="5:5">
      <c r="E404" s="9"/>
    </row>
  </sheetData>
  <mergeCells count="4">
    <mergeCell ref="B4:F4"/>
    <mergeCell ref="B5:F5"/>
    <mergeCell ref="B7:F7"/>
    <mergeCell ref="B50:F50"/>
  </mergeCells>
  <printOptions horizontalCentered="1"/>
  <pageMargins left="0.7" right="0.7" top="0.75" bottom="0.75" header="0.3" footer="0.3"/>
  <pageSetup orientation="portrait" r:id="rId1"/>
  <headerFooter>
    <oddFooter>&amp;RExhibit JW-2
Page &amp;P of &amp;N</oddFooter>
  </headerFooter>
  <ignoredErrors>
    <ignoredError sqref="F10:F4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D3F86-3B7A-4C77-BB07-FACF22820409}">
  <sheetPr>
    <pageSetUpPr fitToPage="1"/>
  </sheetPr>
  <dimension ref="A1:AB160"/>
  <sheetViews>
    <sheetView view="pageBreakPreview" topLeftCell="A114" zoomScaleNormal="100" zoomScaleSheetLayoutView="100" workbookViewId="0">
      <selection activeCell="R140" sqref="R140"/>
    </sheetView>
  </sheetViews>
  <sheetFormatPr defaultColWidth="9.140625" defaultRowHeight="12.75"/>
  <cols>
    <col min="1" max="1" width="5.85546875" style="1" customWidth="1"/>
    <col min="2" max="2" width="1.28515625" style="2" customWidth="1"/>
    <col min="3" max="3" width="6.42578125" style="1" customWidth="1"/>
    <col min="4" max="4" width="8.85546875" style="1" customWidth="1"/>
    <col min="5" max="5" width="11.140625" style="2" hidden="1" customWidth="1"/>
    <col min="6" max="6" width="4.5703125" style="1" customWidth="1"/>
    <col min="7" max="7" width="1.42578125" style="1" customWidth="1"/>
    <col min="8" max="8" width="8.7109375" style="2" bestFit="1" customWidth="1"/>
    <col min="9" max="9" width="13.140625" style="2" customWidth="1"/>
    <col min="10" max="10" width="10" style="2" hidden="1" customWidth="1"/>
    <col min="11" max="11" width="1.28515625" style="2" customWidth="1"/>
    <col min="12" max="12" width="12.85546875" style="2" customWidth="1"/>
    <col min="13" max="13" width="8.85546875" style="2" customWidth="1"/>
    <col min="14" max="14" width="9.7109375" style="2" hidden="1" customWidth="1"/>
    <col min="15" max="15" width="5.5703125" style="2" bestFit="1" customWidth="1"/>
    <col min="16" max="16" width="11.5703125" style="2" customWidth="1"/>
    <col min="17" max="17" width="1.140625" style="2" customWidth="1"/>
    <col min="18" max="18" width="12.42578125" style="2" bestFit="1" customWidth="1"/>
    <col min="19" max="19" width="0.85546875" style="2" customWidth="1"/>
    <col min="20" max="20" width="11" style="2" customWidth="1"/>
    <col min="21" max="21" width="10.28515625" style="2" bestFit="1" customWidth="1"/>
    <col min="22" max="22" width="9.42578125" style="2" hidden="1" customWidth="1"/>
    <col min="23" max="23" width="5.5703125" style="2" bestFit="1" customWidth="1"/>
    <col min="24" max="24" width="11.7109375" style="2" customWidth="1"/>
    <col min="25" max="25" width="1" style="2" customWidth="1"/>
    <col min="26" max="26" width="11.5703125" style="2" customWidth="1"/>
    <col min="27" max="27" width="9.140625" style="2"/>
    <col min="28" max="28" width="7.28515625" style="2" bestFit="1" customWidth="1"/>
    <col min="29" max="16384" width="9.140625" style="2"/>
  </cols>
  <sheetData>
    <row r="1" spans="1:28">
      <c r="Z1" s="128" t="s">
        <v>338</v>
      </c>
    </row>
    <row r="2" spans="1:28" ht="9.75" customHeight="1">
      <c r="L2" s="128"/>
    </row>
    <row r="3" spans="1:28">
      <c r="A3" s="289" t="s">
        <v>385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8">
      <c r="A4" s="289" t="s">
        <v>388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</row>
    <row r="6" spans="1:28" s="129" customFormat="1" ht="15" customHeight="1">
      <c r="A6" s="287" t="s">
        <v>290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</row>
    <row r="7" spans="1:28" ht="7.5" customHeight="1">
      <c r="Y7" s="129"/>
    </row>
    <row r="8" spans="1:28" ht="26.45" customHeight="1">
      <c r="C8" s="293" t="s">
        <v>269</v>
      </c>
      <c r="D8" s="293"/>
      <c r="E8" s="293"/>
      <c r="F8" s="293"/>
      <c r="H8" s="293" t="s">
        <v>298</v>
      </c>
      <c r="I8" s="293"/>
      <c r="J8" s="293"/>
      <c r="L8" s="293" t="s">
        <v>299</v>
      </c>
      <c r="M8" s="293"/>
      <c r="N8" s="293"/>
      <c r="O8" s="293"/>
      <c r="P8" s="293"/>
      <c r="Q8" s="1"/>
      <c r="R8" s="294" t="s">
        <v>300</v>
      </c>
      <c r="T8" s="293" t="s">
        <v>301</v>
      </c>
      <c r="U8" s="293"/>
      <c r="V8" s="293"/>
      <c r="W8" s="293"/>
      <c r="X8" s="293"/>
      <c r="Y8" s="129"/>
      <c r="Z8" s="294" t="s">
        <v>302</v>
      </c>
    </row>
    <row r="9" spans="1:28" ht="16.5" customHeight="1">
      <c r="A9" s="1" t="s">
        <v>0</v>
      </c>
      <c r="C9" s="1" t="s">
        <v>303</v>
      </c>
      <c r="D9" s="1" t="s">
        <v>294</v>
      </c>
      <c r="E9" s="176" t="s">
        <v>304</v>
      </c>
      <c r="F9" s="1" t="s">
        <v>305</v>
      </c>
      <c r="H9" s="33" t="s">
        <v>306</v>
      </c>
      <c r="I9" s="33" t="s">
        <v>307</v>
      </c>
      <c r="J9" s="33" t="s">
        <v>308</v>
      </c>
      <c r="K9" s="177"/>
      <c r="L9" s="33" t="s">
        <v>306</v>
      </c>
      <c r="M9" s="33" t="s">
        <v>307</v>
      </c>
      <c r="N9" s="33" t="s">
        <v>308</v>
      </c>
      <c r="O9" s="33" t="s">
        <v>309</v>
      </c>
      <c r="P9" s="33" t="s">
        <v>44</v>
      </c>
      <c r="Q9" s="178"/>
      <c r="R9" s="294"/>
      <c r="S9" s="178"/>
      <c r="T9" s="33" t="s">
        <v>306</v>
      </c>
      <c r="U9" s="33" t="s">
        <v>307</v>
      </c>
      <c r="V9" s="33" t="s">
        <v>308</v>
      </c>
      <c r="W9" s="33" t="s">
        <v>309</v>
      </c>
      <c r="X9" s="33" t="s">
        <v>44</v>
      </c>
      <c r="Y9" s="179"/>
      <c r="Z9" s="294"/>
    </row>
    <row r="10" spans="1:28">
      <c r="A10" s="34" t="s">
        <v>21</v>
      </c>
      <c r="C10" s="35">
        <v>1</v>
      </c>
      <c r="D10" s="35">
        <f>C10+1</f>
        <v>2</v>
      </c>
      <c r="E10" s="180" t="s">
        <v>310</v>
      </c>
      <c r="F10" s="35">
        <f>D10+1</f>
        <v>3</v>
      </c>
      <c r="H10" s="35">
        <f>F10+1</f>
        <v>4</v>
      </c>
      <c r="I10" s="35">
        <f>H10+1</f>
        <v>5</v>
      </c>
      <c r="J10" s="35">
        <f>I10+1</f>
        <v>6</v>
      </c>
      <c r="K10" s="177"/>
      <c r="L10" s="35">
        <f>J10+1</f>
        <v>7</v>
      </c>
      <c r="M10" s="35">
        <f>L10+1</f>
        <v>8</v>
      </c>
      <c r="N10" s="35">
        <f>M10+1</f>
        <v>9</v>
      </c>
      <c r="O10" s="35">
        <f>N10+1</f>
        <v>10</v>
      </c>
      <c r="P10" s="35">
        <f>O10+1</f>
        <v>11</v>
      </c>
      <c r="Q10" s="178"/>
      <c r="R10" s="35">
        <f>P10+1</f>
        <v>12</v>
      </c>
      <c r="S10" s="178"/>
      <c r="T10" s="35">
        <f>R10+1</f>
        <v>13</v>
      </c>
      <c r="U10" s="35">
        <f>T10+1</f>
        <v>14</v>
      </c>
      <c r="V10" s="35">
        <f>U10+1</f>
        <v>15</v>
      </c>
      <c r="W10" s="35">
        <f>V10+1</f>
        <v>16</v>
      </c>
      <c r="X10" s="35">
        <f>W10+1</f>
        <v>17</v>
      </c>
      <c r="Y10" s="179"/>
      <c r="Z10" s="35">
        <f>X10+1</f>
        <v>18</v>
      </c>
    </row>
    <row r="11" spans="1:28">
      <c r="K11" s="177"/>
      <c r="Q11" s="178"/>
      <c r="S11" s="178"/>
      <c r="Y11" s="179"/>
    </row>
    <row r="12" spans="1:28">
      <c r="A12" s="1">
        <v>1</v>
      </c>
      <c r="C12" s="1">
        <v>1</v>
      </c>
      <c r="D12" s="1">
        <v>1001</v>
      </c>
      <c r="E12" s="131">
        <v>14</v>
      </c>
      <c r="H12" s="31">
        <v>2136</v>
      </c>
      <c r="I12" s="90">
        <v>0</v>
      </c>
      <c r="J12" s="90">
        <v>0</v>
      </c>
      <c r="K12" s="177"/>
      <c r="L12" s="329">
        <v>74876.3</v>
      </c>
      <c r="M12" s="329"/>
      <c r="N12" s="181"/>
      <c r="O12" s="329"/>
      <c r="P12" s="181">
        <f>SUM(L12:O12)</f>
        <v>74876.3</v>
      </c>
      <c r="Q12" s="178"/>
      <c r="R12" s="182">
        <v>36.89</v>
      </c>
      <c r="S12" s="178"/>
      <c r="T12" s="183">
        <f>2080*R12</f>
        <v>76731.199999999997</v>
      </c>
      <c r="U12" s="183">
        <f t="shared" ref="U12:U75" si="0">(+I12*R12)*1.5</f>
        <v>0</v>
      </c>
      <c r="V12" s="248">
        <v>0</v>
      </c>
      <c r="W12" s="183"/>
      <c r="X12" s="183">
        <f t="shared" ref="X12:X75" si="1">SUM(T12:W12)</f>
        <v>76731.199999999997</v>
      </c>
      <c r="Y12" s="179"/>
      <c r="Z12" s="249">
        <f>X12-P12</f>
        <v>1854.8999999999942</v>
      </c>
      <c r="AB12" s="283"/>
    </row>
    <row r="13" spans="1:28">
      <c r="A13" s="1">
        <f>A12+1</f>
        <v>2</v>
      </c>
      <c r="C13" s="1">
        <v>2</v>
      </c>
      <c r="D13" s="1">
        <v>1002</v>
      </c>
      <c r="E13" s="131">
        <v>16</v>
      </c>
      <c r="H13" s="31">
        <v>2096</v>
      </c>
      <c r="I13" s="90">
        <v>0</v>
      </c>
      <c r="J13" s="90">
        <v>0</v>
      </c>
      <c r="K13" s="177"/>
      <c r="L13" s="329">
        <v>73040.83</v>
      </c>
      <c r="M13" s="329"/>
      <c r="N13" s="181"/>
      <c r="O13" s="329"/>
      <c r="P13" s="181">
        <f t="shared" ref="P13:P16" si="2">SUM(L13:O13)</f>
        <v>73040.83</v>
      </c>
      <c r="Q13" s="178"/>
      <c r="R13" s="182">
        <v>36.53</v>
      </c>
      <c r="S13" s="178"/>
      <c r="T13" s="183">
        <f t="shared" ref="T13:T76" si="3">2080*R13</f>
        <v>75982.400000000009</v>
      </c>
      <c r="U13" s="183">
        <f t="shared" si="0"/>
        <v>0</v>
      </c>
      <c r="V13" s="248">
        <v>0</v>
      </c>
      <c r="W13" s="183"/>
      <c r="X13" s="183">
        <f t="shared" si="1"/>
        <v>75982.400000000009</v>
      </c>
      <c r="Y13" s="179"/>
      <c r="Z13" s="249">
        <f t="shared" ref="Z13:Z16" si="4">X13-P13</f>
        <v>2941.570000000007</v>
      </c>
      <c r="AB13" s="283"/>
    </row>
    <row r="14" spans="1:28">
      <c r="A14" s="1">
        <f t="shared" ref="A14:A77" si="5">A13+1</f>
        <v>3</v>
      </c>
      <c r="C14" s="1">
        <v>3</v>
      </c>
      <c r="D14" s="1">
        <v>1003</v>
      </c>
      <c r="E14" s="131">
        <v>130</v>
      </c>
      <c r="H14" s="31">
        <v>2128</v>
      </c>
      <c r="I14" s="90">
        <v>26.5</v>
      </c>
      <c r="J14" s="90">
        <v>0</v>
      </c>
      <c r="K14" s="177"/>
      <c r="L14" s="329">
        <v>52504.240000000005</v>
      </c>
      <c r="M14" s="329">
        <v>987.12</v>
      </c>
      <c r="N14" s="181"/>
      <c r="O14" s="329"/>
      <c r="P14" s="181">
        <f t="shared" si="2"/>
        <v>53491.360000000008</v>
      </c>
      <c r="Q14" s="178"/>
      <c r="R14" s="182">
        <v>25.8</v>
      </c>
      <c r="S14" s="178"/>
      <c r="T14" s="183">
        <f t="shared" si="3"/>
        <v>53664</v>
      </c>
      <c r="U14" s="183">
        <f t="shared" si="0"/>
        <v>1025.5500000000002</v>
      </c>
      <c r="V14" s="248">
        <v>0</v>
      </c>
      <c r="W14" s="183"/>
      <c r="X14" s="183">
        <f t="shared" si="1"/>
        <v>54689.55</v>
      </c>
      <c r="Y14" s="179"/>
      <c r="Z14" s="249">
        <f t="shared" si="4"/>
        <v>1198.1899999999951</v>
      </c>
      <c r="AB14" s="283"/>
    </row>
    <row r="15" spans="1:28">
      <c r="A15" s="1">
        <f t="shared" si="5"/>
        <v>4</v>
      </c>
      <c r="C15" s="1">
        <v>4</v>
      </c>
      <c r="D15" s="1">
        <v>1004</v>
      </c>
      <c r="E15" s="131">
        <v>136</v>
      </c>
      <c r="H15" s="31">
        <v>2096</v>
      </c>
      <c r="I15" s="90">
        <v>304.5</v>
      </c>
      <c r="J15" s="90">
        <v>0</v>
      </c>
      <c r="K15" s="177"/>
      <c r="L15" s="329">
        <v>95404.42</v>
      </c>
      <c r="M15" s="329">
        <v>20792.060000000001</v>
      </c>
      <c r="N15" s="181"/>
      <c r="O15" s="329"/>
      <c r="P15" s="181">
        <f t="shared" si="2"/>
        <v>116196.48</v>
      </c>
      <c r="Q15" s="178"/>
      <c r="R15" s="182">
        <v>47.81</v>
      </c>
      <c r="S15" s="178"/>
      <c r="T15" s="183">
        <f t="shared" si="3"/>
        <v>99444.800000000003</v>
      </c>
      <c r="U15" s="183">
        <f t="shared" si="0"/>
        <v>21837.217499999999</v>
      </c>
      <c r="V15" s="248">
        <v>0</v>
      </c>
      <c r="W15" s="183"/>
      <c r="X15" s="183">
        <f t="shared" si="1"/>
        <v>121282.0175</v>
      </c>
      <c r="Y15" s="179"/>
      <c r="Z15" s="249">
        <f t="shared" si="4"/>
        <v>5085.5375000000058</v>
      </c>
      <c r="AB15" s="283"/>
    </row>
    <row r="16" spans="1:28">
      <c r="A16" s="1">
        <f t="shared" si="5"/>
        <v>5</v>
      </c>
      <c r="C16" s="1">
        <v>5</v>
      </c>
      <c r="D16" s="1">
        <v>1005</v>
      </c>
      <c r="E16" s="131">
        <v>149</v>
      </c>
      <c r="H16" s="31">
        <v>2096</v>
      </c>
      <c r="I16" s="90">
        <v>251.5</v>
      </c>
      <c r="J16" s="90">
        <v>0</v>
      </c>
      <c r="K16" s="177"/>
      <c r="L16" s="329">
        <v>103400.26999999999</v>
      </c>
      <c r="M16" s="329">
        <v>18700.259999999998</v>
      </c>
      <c r="N16" s="181"/>
      <c r="O16" s="329"/>
      <c r="P16" s="181">
        <f t="shared" si="2"/>
        <v>122100.52999999998</v>
      </c>
      <c r="Q16" s="178"/>
      <c r="R16" s="182">
        <v>51.87</v>
      </c>
      <c r="S16" s="178"/>
      <c r="T16" s="183">
        <f t="shared" si="3"/>
        <v>107889.59999999999</v>
      </c>
      <c r="U16" s="183">
        <f t="shared" si="0"/>
        <v>19567.957499999997</v>
      </c>
      <c r="V16" s="248">
        <v>0</v>
      </c>
      <c r="W16" s="183"/>
      <c r="X16" s="183">
        <f t="shared" si="1"/>
        <v>127457.5575</v>
      </c>
      <c r="Y16" s="179"/>
      <c r="Z16" s="249">
        <f t="shared" si="4"/>
        <v>5357.0275000000111</v>
      </c>
      <c r="AB16" s="283"/>
    </row>
    <row r="17" spans="1:28">
      <c r="A17" s="1">
        <f t="shared" si="5"/>
        <v>6</v>
      </c>
      <c r="C17" s="1">
        <v>6</v>
      </c>
      <c r="D17" s="1">
        <v>1006</v>
      </c>
      <c r="E17" s="131">
        <v>5</v>
      </c>
      <c r="H17" s="31">
        <v>2096</v>
      </c>
      <c r="I17" s="90">
        <v>372</v>
      </c>
      <c r="J17" s="90"/>
      <c r="K17" s="177"/>
      <c r="L17" s="329">
        <v>101607.46</v>
      </c>
      <c r="M17" s="329">
        <v>27170.12</v>
      </c>
      <c r="N17" s="181"/>
      <c r="O17" s="329"/>
      <c r="P17" s="181">
        <f>SUM(L17:O17)</f>
        <v>128777.58</v>
      </c>
      <c r="Q17" s="178"/>
      <c r="R17" s="182">
        <v>51.32</v>
      </c>
      <c r="S17" s="178"/>
      <c r="T17" s="183">
        <f t="shared" si="3"/>
        <v>106745.60000000001</v>
      </c>
      <c r="U17" s="183">
        <f t="shared" si="0"/>
        <v>28636.560000000001</v>
      </c>
      <c r="V17" s="248"/>
      <c r="W17" s="183"/>
      <c r="X17" s="183">
        <f t="shared" si="1"/>
        <v>135382.16</v>
      </c>
      <c r="Y17" s="179"/>
      <c r="Z17" s="249">
        <f>X17-P17</f>
        <v>6604.5800000000017</v>
      </c>
      <c r="AB17" s="283"/>
    </row>
    <row r="18" spans="1:28">
      <c r="A18" s="1">
        <f t="shared" si="5"/>
        <v>7</v>
      </c>
      <c r="C18" s="1">
        <v>7</v>
      </c>
      <c r="D18" s="1">
        <v>1007</v>
      </c>
      <c r="E18" s="131">
        <v>8</v>
      </c>
      <c r="H18" s="31">
        <v>2096</v>
      </c>
      <c r="I18" s="90">
        <v>10</v>
      </c>
      <c r="J18" s="90"/>
      <c r="K18" s="177"/>
      <c r="L18" s="329">
        <v>81449.819999999992</v>
      </c>
      <c r="M18" s="329">
        <v>588.20000000000005</v>
      </c>
      <c r="N18" s="181"/>
      <c r="O18" s="329"/>
      <c r="P18" s="181">
        <f t="shared" ref="P18:P81" si="6">SUM(L18:O18)</f>
        <v>82038.01999999999</v>
      </c>
      <c r="Q18" s="178"/>
      <c r="R18" s="182">
        <v>41.21</v>
      </c>
      <c r="S18" s="178"/>
      <c r="T18" s="183">
        <f t="shared" si="3"/>
        <v>85716.800000000003</v>
      </c>
      <c r="U18" s="183">
        <f t="shared" si="0"/>
        <v>618.15000000000009</v>
      </c>
      <c r="V18" s="248" t="str">
        <f t="shared" ref="V18:V60" si="7">IF(N18=0," ",+J18*R18)</f>
        <v xml:space="preserve"> </v>
      </c>
      <c r="W18" s="183"/>
      <c r="X18" s="183">
        <f t="shared" si="1"/>
        <v>86334.95</v>
      </c>
      <c r="Y18" s="179"/>
      <c r="Z18" s="249">
        <f>X18-P18</f>
        <v>4296.9300000000076</v>
      </c>
      <c r="AB18" s="283"/>
    </row>
    <row r="19" spans="1:28">
      <c r="A19" s="1">
        <f t="shared" si="5"/>
        <v>8</v>
      </c>
      <c r="C19" s="1">
        <v>8</v>
      </c>
      <c r="D19" s="1">
        <v>1008</v>
      </c>
      <c r="E19" s="131">
        <v>10</v>
      </c>
      <c r="H19" s="31">
        <v>2096</v>
      </c>
      <c r="I19" s="90">
        <v>298</v>
      </c>
      <c r="J19" s="90"/>
      <c r="K19" s="177"/>
      <c r="L19" s="329">
        <v>95374.38</v>
      </c>
      <c r="M19" s="329">
        <v>20433.62</v>
      </c>
      <c r="N19" s="181"/>
      <c r="O19" s="329"/>
      <c r="P19" s="181">
        <f t="shared" si="6"/>
        <v>115808</v>
      </c>
      <c r="Q19" s="178"/>
      <c r="R19" s="182">
        <v>47.81</v>
      </c>
      <c r="S19" s="178"/>
      <c r="T19" s="183">
        <f t="shared" si="3"/>
        <v>99444.800000000003</v>
      </c>
      <c r="U19" s="183">
        <f t="shared" si="0"/>
        <v>21371.07</v>
      </c>
      <c r="V19" s="248" t="str">
        <f t="shared" si="7"/>
        <v xml:space="preserve"> </v>
      </c>
      <c r="W19" s="183"/>
      <c r="X19" s="183">
        <f t="shared" si="1"/>
        <v>120815.87</v>
      </c>
      <c r="Y19" s="179"/>
      <c r="Z19" s="249">
        <f>X19-P19</f>
        <v>5007.8699999999953</v>
      </c>
      <c r="AB19" s="283"/>
    </row>
    <row r="20" spans="1:28">
      <c r="A20" s="1">
        <f t="shared" si="5"/>
        <v>9</v>
      </c>
      <c r="C20" s="1">
        <v>9</v>
      </c>
      <c r="D20" s="1">
        <v>1009</v>
      </c>
      <c r="E20" s="131">
        <v>11</v>
      </c>
      <c r="H20" s="31">
        <v>2096</v>
      </c>
      <c r="I20" s="90">
        <v>0</v>
      </c>
      <c r="J20" s="90"/>
      <c r="K20" s="177"/>
      <c r="L20" s="329">
        <v>115866.87999999999</v>
      </c>
      <c r="M20" s="329">
        <v>0</v>
      </c>
      <c r="N20" s="181"/>
      <c r="O20" s="329"/>
      <c r="P20" s="181">
        <f>SUM(L20:O20)</f>
        <v>115866.87999999999</v>
      </c>
      <c r="Q20" s="178"/>
      <c r="R20" s="182">
        <v>59.37</v>
      </c>
      <c r="S20" s="178"/>
      <c r="T20" s="183">
        <f t="shared" si="3"/>
        <v>123489.59999999999</v>
      </c>
      <c r="U20" s="183">
        <f t="shared" si="0"/>
        <v>0</v>
      </c>
      <c r="V20" s="248" t="str">
        <f t="shared" si="7"/>
        <v xml:space="preserve"> </v>
      </c>
      <c r="W20" s="183"/>
      <c r="X20" s="183">
        <f t="shared" si="1"/>
        <v>123489.59999999999</v>
      </c>
      <c r="Y20" s="179"/>
      <c r="Z20" s="249">
        <f t="shared" ref="Z20:Z47" si="8">X20-P20</f>
        <v>7622.7200000000012</v>
      </c>
      <c r="AB20" s="283"/>
    </row>
    <row r="21" spans="1:28">
      <c r="A21" s="1">
        <f t="shared" si="5"/>
        <v>10</v>
      </c>
      <c r="C21" s="1">
        <v>10</v>
      </c>
      <c r="D21" s="1">
        <v>1010</v>
      </c>
      <c r="E21" s="131">
        <v>13</v>
      </c>
      <c r="H21" s="31">
        <v>2096</v>
      </c>
      <c r="I21" s="90">
        <v>279</v>
      </c>
      <c r="J21" s="90"/>
      <c r="K21" s="177"/>
      <c r="L21" s="329">
        <v>102351.54</v>
      </c>
      <c r="M21" s="329">
        <v>20549.36</v>
      </c>
      <c r="N21" s="181"/>
      <c r="O21" s="329"/>
      <c r="P21" s="181">
        <f t="shared" si="6"/>
        <v>122900.9</v>
      </c>
      <c r="Q21" s="178"/>
      <c r="R21" s="182">
        <v>51.32</v>
      </c>
      <c r="S21" s="178"/>
      <c r="T21" s="183">
        <f t="shared" si="3"/>
        <v>106745.60000000001</v>
      </c>
      <c r="U21" s="183">
        <f t="shared" si="0"/>
        <v>21477.420000000002</v>
      </c>
      <c r="V21" s="248" t="str">
        <f t="shared" si="7"/>
        <v xml:space="preserve"> </v>
      </c>
      <c r="W21" s="183"/>
      <c r="X21" s="183">
        <f t="shared" si="1"/>
        <v>128223.02</v>
      </c>
      <c r="Y21" s="179"/>
      <c r="Z21" s="249">
        <f t="shared" si="8"/>
        <v>5322.1200000000099</v>
      </c>
      <c r="AB21" s="283"/>
    </row>
    <row r="22" spans="1:28">
      <c r="A22" s="1">
        <f t="shared" si="5"/>
        <v>11</v>
      </c>
      <c r="C22" s="1">
        <v>11</v>
      </c>
      <c r="D22" s="1">
        <v>1011</v>
      </c>
      <c r="E22" s="131">
        <v>15</v>
      </c>
      <c r="H22" s="31">
        <v>2096</v>
      </c>
      <c r="I22" s="90">
        <v>0</v>
      </c>
      <c r="J22" s="90"/>
      <c r="K22" s="177"/>
      <c r="L22" s="329">
        <v>100608</v>
      </c>
      <c r="M22" s="329">
        <v>0</v>
      </c>
      <c r="N22" s="181"/>
      <c r="O22" s="329"/>
      <c r="P22" s="181">
        <f t="shared" si="6"/>
        <v>100608</v>
      </c>
      <c r="Q22" s="178"/>
      <c r="R22" s="182">
        <v>48</v>
      </c>
      <c r="S22" s="178"/>
      <c r="T22" s="183">
        <f t="shared" si="3"/>
        <v>99840</v>
      </c>
      <c r="U22" s="183">
        <f t="shared" si="0"/>
        <v>0</v>
      </c>
      <c r="V22" s="248" t="str">
        <f t="shared" si="7"/>
        <v xml:space="preserve"> </v>
      </c>
      <c r="W22" s="183"/>
      <c r="X22" s="183">
        <f t="shared" si="1"/>
        <v>99840</v>
      </c>
      <c r="Y22" s="179"/>
      <c r="Z22" s="249">
        <f t="shared" si="8"/>
        <v>-768</v>
      </c>
      <c r="AB22" s="283"/>
    </row>
    <row r="23" spans="1:28">
      <c r="A23" s="1">
        <f t="shared" si="5"/>
        <v>12</v>
      </c>
      <c r="C23" s="1">
        <v>12</v>
      </c>
      <c r="D23" s="1">
        <v>1012</v>
      </c>
      <c r="E23" s="131">
        <v>22</v>
      </c>
      <c r="F23" s="1" t="s">
        <v>137</v>
      </c>
      <c r="H23" s="31">
        <v>1292.5</v>
      </c>
      <c r="I23" s="90">
        <v>0</v>
      </c>
      <c r="J23" s="90"/>
      <c r="K23" s="177"/>
      <c r="L23" s="329">
        <v>59616.480000000003</v>
      </c>
      <c r="M23" s="329"/>
      <c r="N23" s="181"/>
      <c r="O23" s="329"/>
      <c r="P23" s="181">
        <f t="shared" si="6"/>
        <v>59616.480000000003</v>
      </c>
      <c r="Q23" s="178"/>
      <c r="R23" s="182"/>
      <c r="S23" s="178"/>
      <c r="T23" s="183">
        <f t="shared" si="3"/>
        <v>0</v>
      </c>
      <c r="U23" s="183">
        <f t="shared" si="0"/>
        <v>0</v>
      </c>
      <c r="V23" s="248"/>
      <c r="W23" s="183"/>
      <c r="X23" s="183">
        <f t="shared" si="1"/>
        <v>0</v>
      </c>
      <c r="Y23" s="179"/>
      <c r="Z23" s="249">
        <f t="shared" si="8"/>
        <v>-59616.480000000003</v>
      </c>
      <c r="AB23" s="283"/>
    </row>
    <row r="24" spans="1:28">
      <c r="A24" s="1">
        <f t="shared" si="5"/>
        <v>13</v>
      </c>
      <c r="C24" s="1">
        <v>13</v>
      </c>
      <c r="D24" s="1">
        <v>1013</v>
      </c>
      <c r="E24" s="131">
        <v>24</v>
      </c>
      <c r="H24" s="31">
        <v>2136</v>
      </c>
      <c r="I24" s="90">
        <v>0</v>
      </c>
      <c r="J24" s="90"/>
      <c r="K24" s="177"/>
      <c r="L24" s="329">
        <v>127982.37000000001</v>
      </c>
      <c r="M24" s="329">
        <v>0</v>
      </c>
      <c r="N24" s="181"/>
      <c r="O24" s="329"/>
      <c r="P24" s="181">
        <f t="shared" si="6"/>
        <v>127982.37000000001</v>
      </c>
      <c r="Q24" s="178"/>
      <c r="R24" s="182">
        <v>65.099999999999994</v>
      </c>
      <c r="S24" s="178"/>
      <c r="T24" s="183">
        <f t="shared" si="3"/>
        <v>135408</v>
      </c>
      <c r="U24" s="183">
        <f t="shared" si="0"/>
        <v>0</v>
      </c>
      <c r="V24" s="248"/>
      <c r="W24" s="183"/>
      <c r="X24" s="183">
        <f t="shared" si="1"/>
        <v>135408</v>
      </c>
      <c r="Y24" s="179"/>
      <c r="Z24" s="249">
        <f t="shared" si="8"/>
        <v>7425.6299999999901</v>
      </c>
      <c r="AB24" s="283"/>
    </row>
    <row r="25" spans="1:28">
      <c r="A25" s="1">
        <f t="shared" si="5"/>
        <v>14</v>
      </c>
      <c r="C25" s="1">
        <v>14</v>
      </c>
      <c r="D25" s="1">
        <v>1014</v>
      </c>
      <c r="E25" s="131">
        <v>25</v>
      </c>
      <c r="H25" s="31">
        <v>2136</v>
      </c>
      <c r="I25" s="90">
        <v>0</v>
      </c>
      <c r="J25" s="90"/>
      <c r="K25" s="177"/>
      <c r="L25" s="329">
        <v>104751.72</v>
      </c>
      <c r="M25" s="329">
        <v>0</v>
      </c>
      <c r="N25" s="181"/>
      <c r="O25" s="329"/>
      <c r="P25" s="181">
        <f t="shared" si="6"/>
        <v>104751.72</v>
      </c>
      <c r="Q25" s="178"/>
      <c r="R25" s="182">
        <v>52.52</v>
      </c>
      <c r="S25" s="178"/>
      <c r="T25" s="183">
        <f t="shared" si="3"/>
        <v>109241.60000000001</v>
      </c>
      <c r="U25" s="183">
        <f t="shared" si="0"/>
        <v>0</v>
      </c>
      <c r="V25" s="248" t="str">
        <f>IF(N25=0," ",+J25*R25)</f>
        <v xml:space="preserve"> </v>
      </c>
      <c r="W25" s="183"/>
      <c r="X25" s="183">
        <f t="shared" si="1"/>
        <v>109241.60000000001</v>
      </c>
      <c r="Y25" s="179"/>
      <c r="Z25" s="249">
        <f t="shared" si="8"/>
        <v>4489.8800000000047</v>
      </c>
      <c r="AB25" s="283"/>
    </row>
    <row r="26" spans="1:28">
      <c r="A26" s="1">
        <f t="shared" si="5"/>
        <v>15</v>
      </c>
      <c r="C26" s="1">
        <v>15</v>
      </c>
      <c r="D26" s="1">
        <v>1015</v>
      </c>
      <c r="E26" s="131">
        <v>31</v>
      </c>
      <c r="H26" s="31">
        <v>2056</v>
      </c>
      <c r="I26" s="90">
        <v>582</v>
      </c>
      <c r="J26" s="90"/>
      <c r="K26" s="177"/>
      <c r="L26" s="329">
        <v>93533.52</v>
      </c>
      <c r="M26" s="329">
        <v>39984</v>
      </c>
      <c r="N26" s="181"/>
      <c r="O26" s="329"/>
      <c r="P26" s="181">
        <f t="shared" si="6"/>
        <v>133517.52000000002</v>
      </c>
      <c r="Q26" s="178"/>
      <c r="R26" s="182">
        <v>47.81</v>
      </c>
      <c r="S26" s="178"/>
      <c r="T26" s="183">
        <f t="shared" si="3"/>
        <v>99444.800000000003</v>
      </c>
      <c r="U26" s="183">
        <f t="shared" si="0"/>
        <v>41738.130000000005</v>
      </c>
      <c r="V26" s="248"/>
      <c r="W26" s="183"/>
      <c r="X26" s="183">
        <f t="shared" si="1"/>
        <v>141182.93</v>
      </c>
      <c r="Y26" s="179"/>
      <c r="Z26" s="249">
        <f t="shared" si="8"/>
        <v>7665.4099999999744</v>
      </c>
      <c r="AB26" s="283"/>
    </row>
    <row r="27" spans="1:28">
      <c r="A27" s="1">
        <f t="shared" si="5"/>
        <v>16</v>
      </c>
      <c r="C27" s="1">
        <v>16</v>
      </c>
      <c r="D27" s="1">
        <v>1016</v>
      </c>
      <c r="E27" s="131">
        <v>38</v>
      </c>
      <c r="H27" s="31">
        <v>2049.5</v>
      </c>
      <c r="I27" s="90">
        <v>25</v>
      </c>
      <c r="J27" s="90"/>
      <c r="K27" s="177"/>
      <c r="L27" s="329">
        <v>51442.450000000004</v>
      </c>
      <c r="M27" s="329">
        <v>941.27</v>
      </c>
      <c r="N27" s="181"/>
      <c r="O27" s="329"/>
      <c r="P27" s="181">
        <f t="shared" si="6"/>
        <v>52383.72</v>
      </c>
      <c r="Q27" s="178"/>
      <c r="R27" s="182">
        <v>26.05</v>
      </c>
      <c r="S27" s="178"/>
      <c r="T27" s="183">
        <f t="shared" si="3"/>
        <v>54184</v>
      </c>
      <c r="U27" s="183">
        <f t="shared" si="0"/>
        <v>976.875</v>
      </c>
      <c r="V27" s="248" t="str">
        <f t="shared" si="7"/>
        <v xml:space="preserve"> </v>
      </c>
      <c r="W27" s="183"/>
      <c r="X27" s="183">
        <f t="shared" si="1"/>
        <v>55160.875</v>
      </c>
      <c r="Y27" s="179"/>
      <c r="Z27" s="249">
        <f t="shared" si="8"/>
        <v>2777.1549999999988</v>
      </c>
      <c r="AB27" s="283"/>
    </row>
    <row r="28" spans="1:28">
      <c r="A28" s="1">
        <f t="shared" si="5"/>
        <v>17</v>
      </c>
      <c r="C28" s="1">
        <v>17</v>
      </c>
      <c r="D28" s="1">
        <v>1017</v>
      </c>
      <c r="E28" s="131">
        <v>38</v>
      </c>
      <c r="H28" s="31">
        <v>2100</v>
      </c>
      <c r="I28" s="90">
        <v>0</v>
      </c>
      <c r="J28" s="90"/>
      <c r="K28" s="177"/>
      <c r="L28" s="329">
        <v>59576.91</v>
      </c>
      <c r="M28" s="329"/>
      <c r="N28" s="181"/>
      <c r="O28" s="329"/>
      <c r="P28" s="181">
        <f t="shared" ref="P28" si="9">SUM(L28:O28)</f>
        <v>59576.91</v>
      </c>
      <c r="Q28" s="178"/>
      <c r="R28" s="182">
        <v>28.37</v>
      </c>
      <c r="S28" s="178"/>
      <c r="T28" s="183">
        <f t="shared" si="3"/>
        <v>59009.599999999999</v>
      </c>
      <c r="U28" s="183">
        <f t="shared" si="0"/>
        <v>0</v>
      </c>
      <c r="V28" s="248" t="str">
        <f t="shared" si="7"/>
        <v xml:space="preserve"> </v>
      </c>
      <c r="W28" s="183"/>
      <c r="X28" s="183">
        <f t="shared" si="1"/>
        <v>59009.599999999999</v>
      </c>
      <c r="Y28" s="179"/>
      <c r="Z28" s="249">
        <f t="shared" si="8"/>
        <v>-567.31000000000495</v>
      </c>
      <c r="AB28" s="283"/>
    </row>
    <row r="29" spans="1:28">
      <c r="A29" s="1">
        <f t="shared" si="5"/>
        <v>18</v>
      </c>
      <c r="C29" s="1">
        <v>18</v>
      </c>
      <c r="D29" s="1">
        <v>1018</v>
      </c>
      <c r="E29" s="131">
        <v>40</v>
      </c>
      <c r="H29" s="31">
        <v>2096</v>
      </c>
      <c r="I29" s="90">
        <v>74</v>
      </c>
      <c r="J29" s="90"/>
      <c r="K29" s="177"/>
      <c r="L29" s="329">
        <v>51908.72</v>
      </c>
      <c r="M29" s="329">
        <v>2772.04</v>
      </c>
      <c r="N29" s="181"/>
      <c r="O29" s="329"/>
      <c r="P29" s="181">
        <f t="shared" si="6"/>
        <v>54680.76</v>
      </c>
      <c r="Q29" s="178"/>
      <c r="R29" s="182">
        <v>25.92</v>
      </c>
      <c r="S29" s="178"/>
      <c r="T29" s="183">
        <f t="shared" si="3"/>
        <v>53913.600000000006</v>
      </c>
      <c r="U29" s="183">
        <f t="shared" si="0"/>
        <v>2877.1200000000003</v>
      </c>
      <c r="V29" s="248" t="str">
        <f>IF(N29=0," ",+J29*R29)</f>
        <v xml:space="preserve"> </v>
      </c>
      <c r="W29" s="183"/>
      <c r="X29" s="183">
        <f t="shared" si="1"/>
        <v>56790.720000000008</v>
      </c>
      <c r="Y29" s="179"/>
      <c r="Z29" s="249">
        <f t="shared" si="8"/>
        <v>2109.9600000000064</v>
      </c>
      <c r="AB29" s="283"/>
    </row>
    <row r="30" spans="1:28">
      <c r="A30" s="1">
        <f t="shared" si="5"/>
        <v>19</v>
      </c>
      <c r="C30" s="1">
        <v>19</v>
      </c>
      <c r="D30" s="1">
        <v>1019</v>
      </c>
      <c r="E30" s="131">
        <v>41</v>
      </c>
      <c r="H30" s="31">
        <v>2046</v>
      </c>
      <c r="I30" s="90">
        <v>438</v>
      </c>
      <c r="J30" s="90"/>
      <c r="K30" s="177"/>
      <c r="L30" s="329">
        <v>99594.95</v>
      </c>
      <c r="M30" s="329">
        <v>32333.62</v>
      </c>
      <c r="N30" s="181"/>
      <c r="O30" s="329"/>
      <c r="P30" s="181">
        <f t="shared" si="6"/>
        <v>131928.57</v>
      </c>
      <c r="Q30" s="178"/>
      <c r="R30" s="182">
        <v>51.07</v>
      </c>
      <c r="S30" s="178"/>
      <c r="T30" s="183">
        <f t="shared" si="3"/>
        <v>106225.60000000001</v>
      </c>
      <c r="U30" s="183">
        <f t="shared" si="0"/>
        <v>33552.99</v>
      </c>
      <c r="V30" s="248" t="str">
        <f t="shared" si="7"/>
        <v xml:space="preserve"> </v>
      </c>
      <c r="W30" s="183"/>
      <c r="X30" s="183">
        <f t="shared" si="1"/>
        <v>139778.59</v>
      </c>
      <c r="Y30" s="179"/>
      <c r="Z30" s="249">
        <f t="shared" si="8"/>
        <v>7850.0199999999895</v>
      </c>
      <c r="AB30" s="283"/>
    </row>
    <row r="31" spans="1:28">
      <c r="A31" s="1">
        <f t="shared" si="5"/>
        <v>20</v>
      </c>
      <c r="C31" s="1">
        <v>20</v>
      </c>
      <c r="D31" s="1">
        <v>1020</v>
      </c>
      <c r="E31" s="131">
        <v>43</v>
      </c>
      <c r="H31" s="31">
        <v>2096</v>
      </c>
      <c r="I31" s="90">
        <v>0</v>
      </c>
      <c r="J31" s="90"/>
      <c r="K31" s="177"/>
      <c r="L31" s="329">
        <v>108900.04</v>
      </c>
      <c r="M31" s="329">
        <v>0</v>
      </c>
      <c r="N31" s="181"/>
      <c r="O31" s="329"/>
      <c r="P31" s="181">
        <f t="shared" si="6"/>
        <v>108900.04</v>
      </c>
      <c r="Q31" s="178"/>
      <c r="R31" s="182">
        <v>56.08</v>
      </c>
      <c r="S31" s="178"/>
      <c r="T31" s="183">
        <f t="shared" si="3"/>
        <v>116646.39999999999</v>
      </c>
      <c r="U31" s="183">
        <f t="shared" si="0"/>
        <v>0</v>
      </c>
      <c r="V31" s="248" t="str">
        <f t="shared" si="7"/>
        <v xml:space="preserve"> </v>
      </c>
      <c r="W31" s="183"/>
      <c r="X31" s="183">
        <f t="shared" si="1"/>
        <v>116646.39999999999</v>
      </c>
      <c r="Y31" s="179"/>
      <c r="Z31" s="249">
        <f t="shared" si="8"/>
        <v>7746.3600000000006</v>
      </c>
      <c r="AB31" s="283"/>
    </row>
    <row r="32" spans="1:28">
      <c r="A32" s="1">
        <f t="shared" si="5"/>
        <v>21</v>
      </c>
      <c r="C32" s="1">
        <v>21</v>
      </c>
      <c r="D32" s="1">
        <v>1021</v>
      </c>
      <c r="E32" s="131">
        <v>50</v>
      </c>
      <c r="H32" s="31">
        <v>2096</v>
      </c>
      <c r="I32" s="90">
        <v>369.5</v>
      </c>
      <c r="J32" s="90"/>
      <c r="K32" s="177"/>
      <c r="L32" s="329">
        <v>95374.32</v>
      </c>
      <c r="M32" s="329">
        <v>25281.1</v>
      </c>
      <c r="N32" s="181"/>
      <c r="O32" s="329"/>
      <c r="P32" s="181">
        <f t="shared" si="6"/>
        <v>120655.42000000001</v>
      </c>
      <c r="Q32" s="178"/>
      <c r="R32" s="182">
        <v>47.81</v>
      </c>
      <c r="S32" s="178"/>
      <c r="T32" s="183">
        <f t="shared" si="3"/>
        <v>99444.800000000003</v>
      </c>
      <c r="U32" s="183">
        <f t="shared" si="0"/>
        <v>26498.692500000005</v>
      </c>
      <c r="V32" s="248" t="str">
        <f t="shared" si="7"/>
        <v xml:space="preserve"> </v>
      </c>
      <c r="W32" s="183"/>
      <c r="X32" s="183">
        <f t="shared" si="1"/>
        <v>125943.49250000001</v>
      </c>
      <c r="Y32" s="179"/>
      <c r="Z32" s="249">
        <f t="shared" si="8"/>
        <v>5288.0724999999948</v>
      </c>
      <c r="AB32" s="283"/>
    </row>
    <row r="33" spans="1:28">
      <c r="A33" s="1">
        <f t="shared" si="5"/>
        <v>22</v>
      </c>
      <c r="C33" s="1">
        <v>22</v>
      </c>
      <c r="D33" s="1">
        <v>1022</v>
      </c>
      <c r="E33" s="131">
        <v>138</v>
      </c>
      <c r="H33" s="31">
        <v>2096</v>
      </c>
      <c r="I33" s="90">
        <v>35</v>
      </c>
      <c r="J33" s="90"/>
      <c r="K33" s="177"/>
      <c r="L33" s="329">
        <v>52776.159999999996</v>
      </c>
      <c r="M33" s="329">
        <v>1323.71</v>
      </c>
      <c r="N33" s="181"/>
      <c r="O33" s="329"/>
      <c r="P33" s="181">
        <f t="shared" si="6"/>
        <v>54099.869999999995</v>
      </c>
      <c r="Q33" s="178"/>
      <c r="R33" s="182">
        <v>25.8</v>
      </c>
      <c r="S33" s="178"/>
      <c r="T33" s="183">
        <f t="shared" si="3"/>
        <v>53664</v>
      </c>
      <c r="U33" s="183">
        <f t="shared" si="0"/>
        <v>1354.5</v>
      </c>
      <c r="V33" s="248" t="str">
        <f t="shared" si="7"/>
        <v xml:space="preserve"> </v>
      </c>
      <c r="W33" s="183"/>
      <c r="X33" s="183">
        <f t="shared" si="1"/>
        <v>55018.5</v>
      </c>
      <c r="Y33" s="179"/>
      <c r="Z33" s="249">
        <f t="shared" si="8"/>
        <v>918.63000000000466</v>
      </c>
      <c r="AB33" s="283"/>
    </row>
    <row r="34" spans="1:28">
      <c r="A34" s="1">
        <f t="shared" si="5"/>
        <v>23</v>
      </c>
      <c r="C34" s="1">
        <v>23</v>
      </c>
      <c r="D34" s="1">
        <v>1023</v>
      </c>
      <c r="E34" s="131">
        <v>139</v>
      </c>
      <c r="H34" s="31">
        <v>2096</v>
      </c>
      <c r="I34" s="90">
        <v>195</v>
      </c>
      <c r="J34" s="90"/>
      <c r="K34" s="177"/>
      <c r="L34" s="329">
        <v>95374.34</v>
      </c>
      <c r="M34" s="329">
        <v>13418.08</v>
      </c>
      <c r="N34" s="181"/>
      <c r="O34" s="329"/>
      <c r="P34" s="181">
        <f t="shared" si="6"/>
        <v>108792.42</v>
      </c>
      <c r="Q34" s="178"/>
      <c r="R34" s="182">
        <v>47.81</v>
      </c>
      <c r="S34" s="178"/>
      <c r="T34" s="183">
        <f t="shared" si="3"/>
        <v>99444.800000000003</v>
      </c>
      <c r="U34" s="183">
        <f t="shared" si="0"/>
        <v>13984.425000000001</v>
      </c>
      <c r="V34" s="248" t="str">
        <f t="shared" si="7"/>
        <v xml:space="preserve"> </v>
      </c>
      <c r="W34" s="183"/>
      <c r="X34" s="183">
        <f t="shared" si="1"/>
        <v>113429.22500000001</v>
      </c>
      <c r="Y34" s="179"/>
      <c r="Z34" s="249">
        <f t="shared" si="8"/>
        <v>4636.8050000000076</v>
      </c>
      <c r="AB34" s="283"/>
    </row>
    <row r="35" spans="1:28">
      <c r="A35" s="1">
        <f t="shared" si="5"/>
        <v>24</v>
      </c>
      <c r="C35" s="1">
        <v>24</v>
      </c>
      <c r="D35" s="1">
        <v>1024</v>
      </c>
      <c r="E35" s="131">
        <v>144</v>
      </c>
      <c r="F35" s="1" t="s">
        <v>137</v>
      </c>
      <c r="H35" s="31">
        <v>1400</v>
      </c>
      <c r="I35" s="90">
        <v>179.5</v>
      </c>
      <c r="J35" s="90"/>
      <c r="K35" s="177"/>
      <c r="L35" s="329">
        <v>41568.400000000001</v>
      </c>
      <c r="M35" s="329">
        <v>7949.92</v>
      </c>
      <c r="N35" s="181"/>
      <c r="O35" s="329"/>
      <c r="P35" s="181">
        <f t="shared" si="6"/>
        <v>49518.32</v>
      </c>
      <c r="Q35" s="178"/>
      <c r="R35" s="182"/>
      <c r="S35" s="178"/>
      <c r="T35" s="183">
        <f t="shared" si="3"/>
        <v>0</v>
      </c>
      <c r="U35" s="183">
        <f t="shared" si="0"/>
        <v>0</v>
      </c>
      <c r="V35" s="248" t="str">
        <f t="shared" si="7"/>
        <v xml:space="preserve"> </v>
      </c>
      <c r="W35" s="183"/>
      <c r="X35" s="183">
        <f t="shared" si="1"/>
        <v>0</v>
      </c>
      <c r="Y35" s="179"/>
      <c r="Z35" s="249">
        <f t="shared" si="8"/>
        <v>-49518.32</v>
      </c>
      <c r="AB35" s="283"/>
    </row>
    <row r="36" spans="1:28">
      <c r="A36" s="1">
        <f t="shared" si="5"/>
        <v>25</v>
      </c>
      <c r="C36" s="1">
        <v>25</v>
      </c>
      <c r="D36" s="1">
        <v>1025</v>
      </c>
      <c r="E36" s="131">
        <v>164</v>
      </c>
      <c r="H36" s="31">
        <v>2096</v>
      </c>
      <c r="I36" s="90">
        <v>314</v>
      </c>
      <c r="J36" s="90"/>
      <c r="K36" s="177"/>
      <c r="L36" s="329">
        <v>95374.320000000022</v>
      </c>
      <c r="M36" s="329">
        <v>21488.31</v>
      </c>
      <c r="N36" s="181"/>
      <c r="O36" s="329"/>
      <c r="P36" s="181">
        <f t="shared" si="6"/>
        <v>116862.63000000002</v>
      </c>
      <c r="Q36" s="178"/>
      <c r="R36" s="182">
        <v>47.81</v>
      </c>
      <c r="S36" s="178"/>
      <c r="T36" s="183">
        <f t="shared" si="3"/>
        <v>99444.800000000003</v>
      </c>
      <c r="U36" s="183">
        <f t="shared" si="0"/>
        <v>22518.510000000002</v>
      </c>
      <c r="V36" s="248" t="str">
        <f t="shared" si="7"/>
        <v xml:space="preserve"> </v>
      </c>
      <c r="W36" s="183"/>
      <c r="X36" s="183">
        <f t="shared" si="1"/>
        <v>121963.31</v>
      </c>
      <c r="Y36" s="179"/>
      <c r="Z36" s="249">
        <f t="shared" si="8"/>
        <v>5100.6799999999785</v>
      </c>
      <c r="AB36" s="283"/>
    </row>
    <row r="37" spans="1:28">
      <c r="A37" s="1">
        <f t="shared" si="5"/>
        <v>26</v>
      </c>
      <c r="C37" s="1">
        <v>26</v>
      </c>
      <c r="D37" s="1">
        <v>1026</v>
      </c>
      <c r="E37" s="131">
        <v>166</v>
      </c>
      <c r="H37" s="31">
        <v>2096</v>
      </c>
      <c r="I37" s="90">
        <v>0</v>
      </c>
      <c r="J37" s="90"/>
      <c r="K37" s="177"/>
      <c r="L37" s="329">
        <v>100314.52</v>
      </c>
      <c r="M37" s="329"/>
      <c r="N37" s="181"/>
      <c r="O37" s="329"/>
      <c r="P37" s="181">
        <f t="shared" si="6"/>
        <v>100314.52</v>
      </c>
      <c r="Q37" s="178"/>
      <c r="R37" s="182">
        <v>50.8</v>
      </c>
      <c r="S37" s="178"/>
      <c r="T37" s="183">
        <f t="shared" si="3"/>
        <v>105664</v>
      </c>
      <c r="U37" s="183">
        <f t="shared" si="0"/>
        <v>0</v>
      </c>
      <c r="V37" s="248" t="str">
        <f t="shared" si="7"/>
        <v xml:space="preserve"> </v>
      </c>
      <c r="W37" s="183"/>
      <c r="X37" s="183">
        <f t="shared" si="1"/>
        <v>105664</v>
      </c>
      <c r="Y37" s="179"/>
      <c r="Z37" s="249">
        <f t="shared" si="8"/>
        <v>5349.4799999999959</v>
      </c>
      <c r="AB37" s="283"/>
    </row>
    <row r="38" spans="1:28">
      <c r="A38" s="1">
        <f t="shared" si="5"/>
        <v>27</v>
      </c>
      <c r="C38" s="1">
        <v>27</v>
      </c>
      <c r="D38" s="1">
        <v>1027</v>
      </c>
      <c r="E38" s="131">
        <v>166</v>
      </c>
      <c r="H38" s="31">
        <v>2096</v>
      </c>
      <c r="I38" s="90">
        <v>308.5</v>
      </c>
      <c r="J38" s="90"/>
      <c r="K38" s="177"/>
      <c r="L38" s="329">
        <v>95374.580000000031</v>
      </c>
      <c r="M38" s="329">
        <v>21217.22</v>
      </c>
      <c r="N38" s="181"/>
      <c r="O38" s="329"/>
      <c r="P38" s="181">
        <f t="shared" si="6"/>
        <v>116591.80000000003</v>
      </c>
      <c r="Q38" s="178"/>
      <c r="R38" s="182">
        <v>47.81</v>
      </c>
      <c r="S38" s="178"/>
      <c r="T38" s="183">
        <f t="shared" si="3"/>
        <v>99444.800000000003</v>
      </c>
      <c r="U38" s="183">
        <f t="shared" si="0"/>
        <v>22124.077499999999</v>
      </c>
      <c r="V38" s="248" t="str">
        <f t="shared" si="7"/>
        <v xml:space="preserve"> </v>
      </c>
      <c r="W38" s="183"/>
      <c r="X38" s="183">
        <f t="shared" si="1"/>
        <v>121568.8775</v>
      </c>
      <c r="Y38" s="179"/>
      <c r="Z38" s="249">
        <f t="shared" si="8"/>
        <v>4977.0774999999703</v>
      </c>
      <c r="AB38" s="283"/>
    </row>
    <row r="39" spans="1:28">
      <c r="A39" s="1">
        <f t="shared" si="5"/>
        <v>28</v>
      </c>
      <c r="C39" s="1">
        <v>28</v>
      </c>
      <c r="D39" s="1">
        <v>1028</v>
      </c>
      <c r="E39" s="131">
        <v>169</v>
      </c>
      <c r="H39" s="31">
        <v>2096</v>
      </c>
      <c r="I39" s="90">
        <v>418.5</v>
      </c>
      <c r="J39" s="90"/>
      <c r="K39" s="177"/>
      <c r="L39" s="329">
        <v>95374.33</v>
      </c>
      <c r="M39" s="329">
        <v>28692.97</v>
      </c>
      <c r="N39" s="181"/>
      <c r="O39" s="329"/>
      <c r="P39" s="181">
        <f t="shared" si="6"/>
        <v>124067.3</v>
      </c>
      <c r="Q39" s="178"/>
      <c r="R39" s="182">
        <v>47.81</v>
      </c>
      <c r="S39" s="178"/>
      <c r="T39" s="183">
        <f t="shared" si="3"/>
        <v>99444.800000000003</v>
      </c>
      <c r="U39" s="183">
        <f t="shared" si="0"/>
        <v>30012.727500000001</v>
      </c>
      <c r="V39" s="248" t="str">
        <f t="shared" si="7"/>
        <v xml:space="preserve"> </v>
      </c>
      <c r="W39" s="183"/>
      <c r="X39" s="183">
        <f t="shared" si="1"/>
        <v>129457.5275</v>
      </c>
      <c r="Y39" s="179"/>
      <c r="Z39" s="249">
        <f t="shared" si="8"/>
        <v>5390.2274999999936</v>
      </c>
      <c r="AB39" s="283"/>
    </row>
    <row r="40" spans="1:28">
      <c r="A40" s="1">
        <f t="shared" si="5"/>
        <v>29</v>
      </c>
      <c r="C40" s="1">
        <v>29</v>
      </c>
      <c r="D40" s="1">
        <v>1029</v>
      </c>
      <c r="E40" s="131">
        <v>174</v>
      </c>
      <c r="H40" s="31">
        <v>2056</v>
      </c>
      <c r="I40" s="90">
        <v>497.5</v>
      </c>
      <c r="J40" s="90"/>
      <c r="K40" s="177"/>
      <c r="L40" s="329">
        <v>97682.760000000009</v>
      </c>
      <c r="M40" s="329">
        <v>35794.97</v>
      </c>
      <c r="N40" s="181"/>
      <c r="O40" s="329"/>
      <c r="P40" s="181">
        <f t="shared" si="6"/>
        <v>133477.73000000001</v>
      </c>
      <c r="Q40" s="178"/>
      <c r="R40" s="182">
        <v>50.36</v>
      </c>
      <c r="S40" s="178"/>
      <c r="T40" s="183">
        <f t="shared" si="3"/>
        <v>104748.8</v>
      </c>
      <c r="U40" s="183">
        <f t="shared" si="0"/>
        <v>37581.149999999994</v>
      </c>
      <c r="V40" s="248" t="str">
        <f t="shared" si="7"/>
        <v xml:space="preserve"> </v>
      </c>
      <c r="W40" s="183"/>
      <c r="X40" s="183">
        <f t="shared" si="1"/>
        <v>142329.95000000001</v>
      </c>
      <c r="Y40" s="179"/>
      <c r="Z40" s="249">
        <f t="shared" si="8"/>
        <v>8852.2200000000012</v>
      </c>
      <c r="AB40" s="283"/>
    </row>
    <row r="41" spans="1:28">
      <c r="A41" s="1">
        <f t="shared" si="5"/>
        <v>30</v>
      </c>
      <c r="C41" s="1">
        <v>30</v>
      </c>
      <c r="D41" s="1">
        <v>1030</v>
      </c>
      <c r="E41" s="131"/>
      <c r="H41" s="31">
        <v>2136</v>
      </c>
      <c r="I41" s="90">
        <v>0</v>
      </c>
      <c r="J41" s="90"/>
      <c r="K41" s="177"/>
      <c r="L41" s="329">
        <v>92287.21</v>
      </c>
      <c r="M41" s="329">
        <v>0</v>
      </c>
      <c r="N41" s="181"/>
      <c r="O41" s="329"/>
      <c r="P41" s="181">
        <f t="shared" si="6"/>
        <v>92287.21</v>
      </c>
      <c r="Q41" s="178"/>
      <c r="R41" s="182">
        <v>45.85</v>
      </c>
      <c r="S41" s="178"/>
      <c r="T41" s="183">
        <f t="shared" si="3"/>
        <v>95368</v>
      </c>
      <c r="U41" s="183">
        <f t="shared" si="0"/>
        <v>0</v>
      </c>
      <c r="V41" s="248" t="str">
        <f t="shared" si="7"/>
        <v xml:space="preserve"> </v>
      </c>
      <c r="W41" s="183"/>
      <c r="X41" s="183">
        <f t="shared" si="1"/>
        <v>95368</v>
      </c>
      <c r="Y41" s="179"/>
      <c r="Z41" s="249">
        <f t="shared" si="8"/>
        <v>3080.7899999999936</v>
      </c>
      <c r="AB41" s="283"/>
    </row>
    <row r="42" spans="1:28">
      <c r="A42" s="1">
        <f t="shared" si="5"/>
        <v>31</v>
      </c>
      <c r="C42" s="1">
        <v>31</v>
      </c>
      <c r="D42" s="1">
        <v>1031</v>
      </c>
      <c r="E42" s="131"/>
      <c r="F42" s="95"/>
      <c r="H42" s="31">
        <v>2136</v>
      </c>
      <c r="I42" s="90">
        <v>19</v>
      </c>
      <c r="J42" s="90"/>
      <c r="K42" s="177"/>
      <c r="L42" s="329">
        <v>53142.48</v>
      </c>
      <c r="M42" s="329">
        <v>713</v>
      </c>
      <c r="N42" s="181"/>
      <c r="O42" s="329"/>
      <c r="P42" s="181">
        <f t="shared" si="6"/>
        <v>53855.48</v>
      </c>
      <c r="Q42" s="178"/>
      <c r="R42" s="182">
        <v>26.16</v>
      </c>
      <c r="S42" s="178"/>
      <c r="T42" s="183">
        <f t="shared" si="3"/>
        <v>54412.800000000003</v>
      </c>
      <c r="U42" s="183">
        <f t="shared" si="0"/>
        <v>745.56000000000006</v>
      </c>
      <c r="V42" s="248" t="str">
        <f t="shared" si="7"/>
        <v xml:space="preserve"> </v>
      </c>
      <c r="W42" s="183"/>
      <c r="X42" s="183">
        <f t="shared" si="1"/>
        <v>55158.36</v>
      </c>
      <c r="Y42" s="179"/>
      <c r="Z42" s="249">
        <f t="shared" si="8"/>
        <v>1302.8799999999974</v>
      </c>
      <c r="AB42" s="283"/>
    </row>
    <row r="43" spans="1:28">
      <c r="A43" s="1">
        <f t="shared" si="5"/>
        <v>32</v>
      </c>
      <c r="C43" s="1">
        <v>32</v>
      </c>
      <c r="D43" s="1">
        <v>1032</v>
      </c>
      <c r="E43" s="131"/>
      <c r="H43" s="31">
        <v>2096</v>
      </c>
      <c r="I43" s="90">
        <v>287</v>
      </c>
      <c r="J43" s="90"/>
      <c r="K43" s="177"/>
      <c r="L43" s="329">
        <v>95404.450000000012</v>
      </c>
      <c r="M43" s="329">
        <v>19766.64</v>
      </c>
      <c r="N43" s="181"/>
      <c r="O43" s="329"/>
      <c r="P43" s="181">
        <f t="shared" si="6"/>
        <v>115171.09000000001</v>
      </c>
      <c r="Q43" s="178"/>
      <c r="R43" s="182">
        <v>47.81</v>
      </c>
      <c r="S43" s="178"/>
      <c r="T43" s="183">
        <f t="shared" si="3"/>
        <v>99444.800000000003</v>
      </c>
      <c r="U43" s="183">
        <f t="shared" si="0"/>
        <v>20582.205000000002</v>
      </c>
      <c r="V43" s="248" t="str">
        <f t="shared" si="7"/>
        <v xml:space="preserve"> </v>
      </c>
      <c r="W43" s="183"/>
      <c r="X43" s="183">
        <f t="shared" si="1"/>
        <v>120027.005</v>
      </c>
      <c r="Y43" s="179"/>
      <c r="Z43" s="249">
        <f t="shared" si="8"/>
        <v>4855.9149999999936</v>
      </c>
      <c r="AB43" s="283"/>
    </row>
    <row r="44" spans="1:28">
      <c r="A44" s="1">
        <f t="shared" si="5"/>
        <v>33</v>
      </c>
      <c r="C44" s="1">
        <v>33</v>
      </c>
      <c r="D44" s="1">
        <v>1033</v>
      </c>
      <c r="E44" s="131"/>
      <c r="H44" s="31">
        <v>2096</v>
      </c>
      <c r="I44" s="90">
        <v>0</v>
      </c>
      <c r="J44" s="90"/>
      <c r="K44" s="177"/>
      <c r="L44" s="329">
        <v>142385.75999999998</v>
      </c>
      <c r="M44" s="329">
        <v>0</v>
      </c>
      <c r="N44" s="181"/>
      <c r="O44" s="329"/>
      <c r="P44" s="181">
        <f t="shared" si="6"/>
        <v>142385.75999999998</v>
      </c>
      <c r="Q44" s="178"/>
      <c r="R44" s="182">
        <v>77.31</v>
      </c>
      <c r="S44" s="178"/>
      <c r="T44" s="183">
        <f t="shared" si="3"/>
        <v>160804.80000000002</v>
      </c>
      <c r="U44" s="183">
        <f t="shared" si="0"/>
        <v>0</v>
      </c>
      <c r="V44" s="248" t="str">
        <f t="shared" si="7"/>
        <v xml:space="preserve"> </v>
      </c>
      <c r="W44" s="183"/>
      <c r="X44" s="183">
        <f t="shared" si="1"/>
        <v>160804.80000000002</v>
      </c>
      <c r="Y44" s="179"/>
      <c r="Z44" s="249">
        <f t="shared" si="8"/>
        <v>18419.040000000037</v>
      </c>
      <c r="AB44" s="283"/>
    </row>
    <row r="45" spans="1:28">
      <c r="A45" s="1">
        <f t="shared" si="5"/>
        <v>34</v>
      </c>
      <c r="C45" s="1">
        <v>34</v>
      </c>
      <c r="D45" s="1">
        <v>1034</v>
      </c>
      <c r="E45" s="131"/>
      <c r="H45" s="31">
        <v>2136</v>
      </c>
      <c r="I45" s="90">
        <v>0</v>
      </c>
      <c r="J45" s="90"/>
      <c r="K45" s="177"/>
      <c r="L45" s="329">
        <v>123144.48</v>
      </c>
      <c r="M45" s="329">
        <v>0</v>
      </c>
      <c r="N45" s="181"/>
      <c r="O45" s="329"/>
      <c r="P45" s="181">
        <f t="shared" si="6"/>
        <v>123144.48</v>
      </c>
      <c r="Q45" s="178"/>
      <c r="R45" s="182">
        <v>63.11</v>
      </c>
      <c r="S45" s="178"/>
      <c r="T45" s="183">
        <f t="shared" si="3"/>
        <v>131268.79999999999</v>
      </c>
      <c r="U45" s="183">
        <f t="shared" si="0"/>
        <v>0</v>
      </c>
      <c r="V45" s="248" t="str">
        <f t="shared" si="7"/>
        <v xml:space="preserve"> </v>
      </c>
      <c r="W45" s="183"/>
      <c r="X45" s="183">
        <f t="shared" si="1"/>
        <v>131268.79999999999</v>
      </c>
      <c r="Y45" s="179"/>
      <c r="Z45" s="249">
        <f t="shared" si="8"/>
        <v>8124.3199999999924</v>
      </c>
      <c r="AB45" s="283"/>
    </row>
    <row r="46" spans="1:28">
      <c r="A46" s="1">
        <f t="shared" si="5"/>
        <v>35</v>
      </c>
      <c r="C46" s="1">
        <v>35</v>
      </c>
      <c r="D46" s="1">
        <v>1035</v>
      </c>
      <c r="E46" s="131"/>
      <c r="H46" s="31">
        <v>2096</v>
      </c>
      <c r="I46" s="90">
        <v>0</v>
      </c>
      <c r="J46" s="90"/>
      <c r="K46" s="177"/>
      <c r="L46" s="329">
        <v>51700.4</v>
      </c>
      <c r="M46" s="329">
        <v>0</v>
      </c>
      <c r="N46" s="181"/>
      <c r="O46" s="329"/>
      <c r="P46" s="181">
        <f t="shared" si="6"/>
        <v>51700.4</v>
      </c>
      <c r="Q46" s="178"/>
      <c r="R46" s="182">
        <v>25.68</v>
      </c>
      <c r="S46" s="178"/>
      <c r="T46" s="183">
        <f t="shared" si="3"/>
        <v>53414.400000000001</v>
      </c>
      <c r="U46" s="183">
        <f t="shared" si="0"/>
        <v>0</v>
      </c>
      <c r="V46" s="248" t="str">
        <f t="shared" si="7"/>
        <v xml:space="preserve"> </v>
      </c>
      <c r="W46" s="183"/>
      <c r="X46" s="183">
        <f t="shared" si="1"/>
        <v>53414.400000000001</v>
      </c>
      <c r="Y46" s="179"/>
      <c r="Z46" s="249">
        <f t="shared" si="8"/>
        <v>1714</v>
      </c>
      <c r="AB46" s="283"/>
    </row>
    <row r="47" spans="1:28">
      <c r="A47" s="1">
        <f t="shared" si="5"/>
        <v>36</v>
      </c>
      <c r="C47" s="1">
        <v>36</v>
      </c>
      <c r="D47" s="1">
        <v>1036</v>
      </c>
      <c r="E47" s="131"/>
      <c r="H47" s="31">
        <v>2101</v>
      </c>
      <c r="I47" s="90">
        <v>0</v>
      </c>
      <c r="J47" s="90"/>
      <c r="K47" s="177"/>
      <c r="L47" s="329">
        <v>171969.44000000003</v>
      </c>
      <c r="M47" s="329">
        <v>0</v>
      </c>
      <c r="N47" s="181"/>
      <c r="O47" s="329"/>
      <c r="P47" s="181">
        <f t="shared" si="6"/>
        <v>171969.44000000003</v>
      </c>
      <c r="Q47" s="178"/>
      <c r="R47" s="182">
        <v>87.91</v>
      </c>
      <c r="S47" s="178"/>
      <c r="T47" s="183">
        <f t="shared" si="3"/>
        <v>182852.8</v>
      </c>
      <c r="U47" s="183">
        <f t="shared" si="0"/>
        <v>0</v>
      </c>
      <c r="V47" s="248" t="str">
        <f t="shared" si="7"/>
        <v xml:space="preserve"> </v>
      </c>
      <c r="W47" s="183"/>
      <c r="X47" s="183">
        <f t="shared" si="1"/>
        <v>182852.8</v>
      </c>
      <c r="Y47" s="179"/>
      <c r="Z47" s="249">
        <f t="shared" si="8"/>
        <v>10883.359999999957</v>
      </c>
      <c r="AB47" s="283"/>
    </row>
    <row r="48" spans="1:28">
      <c r="A48" s="1">
        <f t="shared" si="5"/>
        <v>37</v>
      </c>
      <c r="C48" s="1">
        <v>37</v>
      </c>
      <c r="D48" s="1">
        <v>1037</v>
      </c>
      <c r="E48" s="131"/>
      <c r="H48" s="31">
        <v>2096</v>
      </c>
      <c r="I48" s="90">
        <v>350</v>
      </c>
      <c r="J48" s="90"/>
      <c r="K48" s="177"/>
      <c r="L48" s="329">
        <v>61642</v>
      </c>
      <c r="M48" s="329">
        <v>15572.13</v>
      </c>
      <c r="N48" s="181"/>
      <c r="O48" s="329"/>
      <c r="P48" s="181">
        <f t="shared" si="6"/>
        <v>77214.13</v>
      </c>
      <c r="Q48" s="178"/>
      <c r="R48" s="182">
        <v>31.71</v>
      </c>
      <c r="S48" s="178"/>
      <c r="T48" s="183">
        <f t="shared" si="3"/>
        <v>65956.800000000003</v>
      </c>
      <c r="U48" s="183">
        <f t="shared" si="0"/>
        <v>16647.75</v>
      </c>
      <c r="V48" s="248" t="str">
        <f t="shared" si="7"/>
        <v xml:space="preserve"> </v>
      </c>
      <c r="W48" s="183"/>
      <c r="X48" s="183">
        <f t="shared" si="1"/>
        <v>82604.55</v>
      </c>
      <c r="Y48" s="179"/>
      <c r="Z48" s="249">
        <f>X48-P48</f>
        <v>5390.4199999999983</v>
      </c>
      <c r="AB48" s="283"/>
    </row>
    <row r="49" spans="1:28">
      <c r="A49" s="1">
        <f t="shared" si="5"/>
        <v>38</v>
      </c>
      <c r="C49" s="1">
        <v>38</v>
      </c>
      <c r="D49" s="1">
        <v>1038</v>
      </c>
      <c r="E49" s="131"/>
      <c r="H49" s="31">
        <v>2096</v>
      </c>
      <c r="I49" s="90">
        <v>79</v>
      </c>
      <c r="J49" s="90"/>
      <c r="K49" s="177"/>
      <c r="L49" s="329">
        <v>104800</v>
      </c>
      <c r="M49" s="329">
        <v>5925</v>
      </c>
      <c r="N49" s="181"/>
      <c r="O49" s="329"/>
      <c r="P49" s="181">
        <f t="shared" si="6"/>
        <v>110725</v>
      </c>
      <c r="Q49" s="178"/>
      <c r="R49" s="182">
        <v>50</v>
      </c>
      <c r="S49" s="178"/>
      <c r="T49" s="183">
        <f t="shared" si="3"/>
        <v>104000</v>
      </c>
      <c r="U49" s="183">
        <f t="shared" si="0"/>
        <v>5925</v>
      </c>
      <c r="V49" s="248" t="str">
        <f t="shared" si="7"/>
        <v xml:space="preserve"> </v>
      </c>
      <c r="W49" s="183"/>
      <c r="X49" s="183">
        <f t="shared" si="1"/>
        <v>109925</v>
      </c>
      <c r="Y49" s="179"/>
      <c r="Z49" s="249">
        <f>X49-P49</f>
        <v>-800</v>
      </c>
      <c r="AB49" s="283"/>
    </row>
    <row r="50" spans="1:28">
      <c r="A50" s="1">
        <f t="shared" si="5"/>
        <v>39</v>
      </c>
      <c r="C50" s="1">
        <v>39</v>
      </c>
      <c r="D50" s="1">
        <v>1039</v>
      </c>
      <c r="E50" s="131"/>
      <c r="H50" s="31">
        <v>2136</v>
      </c>
      <c r="I50" s="90">
        <v>26.5</v>
      </c>
      <c r="J50" s="90"/>
      <c r="K50" s="177"/>
      <c r="L50" s="329">
        <v>101823.12</v>
      </c>
      <c r="M50" s="329">
        <v>1895.02</v>
      </c>
      <c r="N50" s="181"/>
      <c r="O50" s="329"/>
      <c r="P50" s="181">
        <f t="shared" si="6"/>
        <v>103718.14</v>
      </c>
      <c r="Q50" s="178"/>
      <c r="R50" s="182">
        <v>47.67</v>
      </c>
      <c r="S50" s="178"/>
      <c r="T50" s="183">
        <f t="shared" si="3"/>
        <v>99153.600000000006</v>
      </c>
      <c r="U50" s="183">
        <f t="shared" si="0"/>
        <v>1894.8825000000002</v>
      </c>
      <c r="V50" s="248" t="str">
        <f t="shared" si="7"/>
        <v xml:space="preserve"> </v>
      </c>
      <c r="W50" s="183"/>
      <c r="X50" s="183">
        <f t="shared" si="1"/>
        <v>101048.48250000001</v>
      </c>
      <c r="Y50" s="179"/>
      <c r="Z50" s="249">
        <f>X50-P50</f>
        <v>-2669.6574999999866</v>
      </c>
      <c r="AB50" s="283"/>
    </row>
    <row r="51" spans="1:28">
      <c r="A51" s="1">
        <f t="shared" si="5"/>
        <v>40</v>
      </c>
      <c r="C51" s="1">
        <v>40</v>
      </c>
      <c r="D51" s="1">
        <v>1040</v>
      </c>
      <c r="E51" s="131"/>
      <c r="H51" s="31">
        <v>2136</v>
      </c>
      <c r="I51" s="90">
        <v>0</v>
      </c>
      <c r="J51" s="90"/>
      <c r="K51" s="177"/>
      <c r="L51" s="329">
        <v>158009.78</v>
      </c>
      <c r="M51" s="329">
        <v>0</v>
      </c>
      <c r="N51" s="181"/>
      <c r="O51" s="329"/>
      <c r="P51" s="181">
        <f t="shared" si="6"/>
        <v>158009.78</v>
      </c>
      <c r="Q51" s="178"/>
      <c r="R51" s="182">
        <v>80.3</v>
      </c>
      <c r="S51" s="178"/>
      <c r="T51" s="183">
        <f t="shared" si="3"/>
        <v>167024</v>
      </c>
      <c r="U51" s="183">
        <f t="shared" si="0"/>
        <v>0</v>
      </c>
      <c r="V51" s="248"/>
      <c r="W51" s="183"/>
      <c r="X51" s="183">
        <f t="shared" si="1"/>
        <v>167024</v>
      </c>
      <c r="Y51" s="179"/>
      <c r="Z51" s="249">
        <f>X51-P51</f>
        <v>9014.2200000000012</v>
      </c>
      <c r="AB51" s="283"/>
    </row>
    <row r="52" spans="1:28">
      <c r="A52" s="1">
        <f t="shared" si="5"/>
        <v>41</v>
      </c>
      <c r="C52" s="1">
        <v>41</v>
      </c>
      <c r="D52" s="1">
        <v>1041</v>
      </c>
      <c r="E52" s="131"/>
      <c r="H52" s="31">
        <v>2096</v>
      </c>
      <c r="I52" s="90">
        <v>32</v>
      </c>
      <c r="J52" s="90"/>
      <c r="K52" s="177"/>
      <c r="L52" s="329">
        <v>51709.090000000004</v>
      </c>
      <c r="M52" s="329">
        <v>1191.3499999999999</v>
      </c>
      <c r="N52" s="181"/>
      <c r="O52" s="329"/>
      <c r="P52" s="181">
        <f t="shared" si="6"/>
        <v>52900.44</v>
      </c>
      <c r="Q52" s="178"/>
      <c r="R52" s="182">
        <v>25.8</v>
      </c>
      <c r="S52" s="178"/>
      <c r="T52" s="183">
        <f t="shared" si="3"/>
        <v>53664</v>
      </c>
      <c r="U52" s="183">
        <f t="shared" si="0"/>
        <v>1238.4000000000001</v>
      </c>
      <c r="V52" s="248" t="str">
        <f t="shared" si="7"/>
        <v xml:space="preserve"> </v>
      </c>
      <c r="W52" s="183"/>
      <c r="X52" s="183">
        <f t="shared" si="1"/>
        <v>54902.400000000001</v>
      </c>
      <c r="Y52" s="179"/>
      <c r="Z52" s="249">
        <f t="shared" ref="Z52:Z55" si="10">X52-P52</f>
        <v>2001.9599999999991</v>
      </c>
      <c r="AB52" s="283"/>
    </row>
    <row r="53" spans="1:28">
      <c r="A53" s="1">
        <f t="shared" si="5"/>
        <v>42</v>
      </c>
      <c r="C53" s="1">
        <v>42</v>
      </c>
      <c r="D53" s="1">
        <v>1042</v>
      </c>
      <c r="E53" s="131"/>
      <c r="H53" s="31">
        <v>2136</v>
      </c>
      <c r="I53" s="90">
        <v>10</v>
      </c>
      <c r="J53" s="90"/>
      <c r="K53" s="177"/>
      <c r="L53" s="329">
        <v>74379.239999999991</v>
      </c>
      <c r="M53" s="329">
        <v>519.41</v>
      </c>
      <c r="N53" s="181"/>
      <c r="O53" s="329"/>
      <c r="P53" s="181">
        <f t="shared" si="6"/>
        <v>74898.649999999994</v>
      </c>
      <c r="Q53" s="178"/>
      <c r="R53" s="182">
        <v>36.89</v>
      </c>
      <c r="S53" s="178"/>
      <c r="T53" s="183">
        <f t="shared" si="3"/>
        <v>76731.199999999997</v>
      </c>
      <c r="U53" s="183">
        <f t="shared" si="0"/>
        <v>553.34999999999991</v>
      </c>
      <c r="V53" s="248" t="str">
        <f t="shared" si="7"/>
        <v xml:space="preserve"> </v>
      </c>
      <c r="W53" s="183"/>
      <c r="X53" s="183">
        <f t="shared" si="1"/>
        <v>77284.55</v>
      </c>
      <c r="Y53" s="179"/>
      <c r="Z53" s="249">
        <f t="shared" si="10"/>
        <v>2385.9000000000087</v>
      </c>
      <c r="AB53" s="283"/>
    </row>
    <row r="54" spans="1:28">
      <c r="A54" s="1">
        <f t="shared" si="5"/>
        <v>43</v>
      </c>
      <c r="C54" s="1">
        <v>43</v>
      </c>
      <c r="D54" s="1">
        <v>1043</v>
      </c>
      <c r="E54" s="131"/>
      <c r="H54" s="31">
        <v>2096</v>
      </c>
      <c r="I54" s="90">
        <v>482</v>
      </c>
      <c r="J54" s="90"/>
      <c r="K54" s="177"/>
      <c r="L54" s="329">
        <v>102351.49999999999</v>
      </c>
      <c r="M54" s="329">
        <v>35413.910000000003</v>
      </c>
      <c r="N54" s="181"/>
      <c r="O54" s="329"/>
      <c r="P54" s="181">
        <f t="shared" si="6"/>
        <v>137765.40999999997</v>
      </c>
      <c r="Q54" s="178"/>
      <c r="R54" s="182">
        <v>51.32</v>
      </c>
      <c r="S54" s="178"/>
      <c r="T54" s="183">
        <f t="shared" si="3"/>
        <v>106745.60000000001</v>
      </c>
      <c r="U54" s="183">
        <f t="shared" si="0"/>
        <v>37104.36</v>
      </c>
      <c r="V54" s="248" t="str">
        <f t="shared" si="7"/>
        <v xml:space="preserve"> </v>
      </c>
      <c r="W54" s="183"/>
      <c r="X54" s="183">
        <f t="shared" si="1"/>
        <v>143849.96000000002</v>
      </c>
      <c r="Y54" s="179"/>
      <c r="Z54" s="249">
        <f t="shared" si="10"/>
        <v>6084.5500000000466</v>
      </c>
      <c r="AB54" s="283"/>
    </row>
    <row r="55" spans="1:28">
      <c r="A55" s="1">
        <f t="shared" si="5"/>
        <v>44</v>
      </c>
      <c r="C55" s="1">
        <v>44</v>
      </c>
      <c r="D55" s="1">
        <v>1044</v>
      </c>
      <c r="E55" s="131"/>
      <c r="H55" s="31">
        <v>2096</v>
      </c>
      <c r="I55" s="90">
        <v>106</v>
      </c>
      <c r="J55" s="90"/>
      <c r="K55" s="177"/>
      <c r="L55" s="329">
        <v>81818.290000000008</v>
      </c>
      <c r="M55" s="329">
        <v>6228.68</v>
      </c>
      <c r="N55" s="181"/>
      <c r="O55" s="329"/>
      <c r="P55" s="181">
        <f t="shared" si="6"/>
        <v>88046.97</v>
      </c>
      <c r="Q55" s="178"/>
      <c r="R55" s="182">
        <v>41.2</v>
      </c>
      <c r="S55" s="178"/>
      <c r="T55" s="183">
        <f t="shared" si="3"/>
        <v>85696</v>
      </c>
      <c r="U55" s="183">
        <f t="shared" si="0"/>
        <v>6550.8000000000011</v>
      </c>
      <c r="V55" s="248" t="str">
        <f t="shared" si="7"/>
        <v xml:space="preserve"> </v>
      </c>
      <c r="W55" s="183"/>
      <c r="X55" s="183">
        <f t="shared" si="1"/>
        <v>92246.8</v>
      </c>
      <c r="Y55" s="179"/>
      <c r="Z55" s="249">
        <f t="shared" si="10"/>
        <v>4199.8300000000017</v>
      </c>
      <c r="AB55" s="283"/>
    </row>
    <row r="56" spans="1:28">
      <c r="A56" s="1">
        <f t="shared" si="5"/>
        <v>45</v>
      </c>
      <c r="C56" s="1">
        <v>45</v>
      </c>
      <c r="D56" s="1">
        <v>1045</v>
      </c>
      <c r="E56" s="131"/>
      <c r="H56" s="31">
        <v>2096</v>
      </c>
      <c r="I56" s="90">
        <v>629.5</v>
      </c>
      <c r="J56" s="90"/>
      <c r="K56" s="177"/>
      <c r="L56" s="329">
        <v>58691.11</v>
      </c>
      <c r="M56" s="329">
        <v>26329.67</v>
      </c>
      <c r="N56" s="181"/>
      <c r="O56" s="329"/>
      <c r="P56" s="181">
        <f t="shared" si="6"/>
        <v>85020.78</v>
      </c>
      <c r="Q56" s="178"/>
      <c r="R56" s="182">
        <v>29.82</v>
      </c>
      <c r="S56" s="178"/>
      <c r="T56" s="183">
        <f t="shared" si="3"/>
        <v>62025.599999999999</v>
      </c>
      <c r="U56" s="183">
        <f t="shared" si="0"/>
        <v>28157.534999999996</v>
      </c>
      <c r="V56" s="248" t="str">
        <f t="shared" si="7"/>
        <v xml:space="preserve"> </v>
      </c>
      <c r="W56" s="183"/>
      <c r="X56" s="183">
        <f t="shared" si="1"/>
        <v>90183.134999999995</v>
      </c>
      <c r="Y56" s="179"/>
      <c r="Z56" s="249">
        <f>X56-P56</f>
        <v>5162.3549999999959</v>
      </c>
      <c r="AB56" s="283"/>
    </row>
    <row r="57" spans="1:28">
      <c r="A57" s="1">
        <f t="shared" si="5"/>
        <v>46</v>
      </c>
      <c r="C57" s="1">
        <v>46</v>
      </c>
      <c r="D57" s="1">
        <v>1046</v>
      </c>
      <c r="E57" s="131"/>
      <c r="F57" s="1" t="s">
        <v>137</v>
      </c>
      <c r="H57" s="31">
        <v>1571</v>
      </c>
      <c r="I57" s="90">
        <v>151.5</v>
      </c>
      <c r="J57" s="90"/>
      <c r="K57" s="177"/>
      <c r="L57" s="329">
        <v>70304.220000000016</v>
      </c>
      <c r="M57" s="329">
        <v>10152.1</v>
      </c>
      <c r="N57" s="181"/>
      <c r="O57" s="329"/>
      <c r="P57" s="181">
        <f t="shared" si="6"/>
        <v>80456.320000000022</v>
      </c>
      <c r="Q57" s="178"/>
      <c r="R57" s="182"/>
      <c r="S57" s="178"/>
      <c r="T57" s="183">
        <f t="shared" si="3"/>
        <v>0</v>
      </c>
      <c r="U57" s="183">
        <f t="shared" si="0"/>
        <v>0</v>
      </c>
      <c r="V57" s="248" t="str">
        <f t="shared" si="7"/>
        <v xml:space="preserve"> </v>
      </c>
      <c r="W57" s="183"/>
      <c r="X57" s="183">
        <f t="shared" si="1"/>
        <v>0</v>
      </c>
      <c r="Y57" s="179"/>
      <c r="Z57" s="249">
        <f>X57-P57</f>
        <v>-80456.320000000022</v>
      </c>
      <c r="AB57" s="283"/>
    </row>
    <row r="58" spans="1:28">
      <c r="A58" s="1">
        <f t="shared" si="5"/>
        <v>47</v>
      </c>
      <c r="C58" s="1">
        <v>47</v>
      </c>
      <c r="D58" s="1">
        <v>1047</v>
      </c>
      <c r="E58" s="131"/>
      <c r="H58" s="31">
        <v>2096</v>
      </c>
      <c r="I58" s="90">
        <v>0</v>
      </c>
      <c r="J58" s="90"/>
      <c r="K58" s="177"/>
      <c r="L58" s="329">
        <v>112756.48</v>
      </c>
      <c r="M58" s="329"/>
      <c r="N58" s="181"/>
      <c r="O58" s="329"/>
      <c r="P58" s="181">
        <f t="shared" si="6"/>
        <v>112756.48</v>
      </c>
      <c r="Q58" s="178"/>
      <c r="R58" s="182">
        <v>57.48</v>
      </c>
      <c r="S58" s="178"/>
      <c r="T58" s="183">
        <f t="shared" si="3"/>
        <v>119558.39999999999</v>
      </c>
      <c r="U58" s="183">
        <f t="shared" si="0"/>
        <v>0</v>
      </c>
      <c r="V58" s="248" t="str">
        <f t="shared" si="7"/>
        <v xml:space="preserve"> </v>
      </c>
      <c r="W58" s="183"/>
      <c r="X58" s="183">
        <f t="shared" si="1"/>
        <v>119558.39999999999</v>
      </c>
      <c r="Y58" s="179"/>
      <c r="Z58" s="249">
        <f t="shared" ref="Z58:Z119" si="11">X58-P58</f>
        <v>6801.9199999999983</v>
      </c>
      <c r="AB58" s="283"/>
    </row>
    <row r="59" spans="1:28">
      <c r="A59" s="1">
        <f t="shared" si="5"/>
        <v>48</v>
      </c>
      <c r="C59" s="1">
        <v>48</v>
      </c>
      <c r="D59" s="1">
        <v>1048</v>
      </c>
      <c r="E59" s="131"/>
      <c r="H59" s="31">
        <v>2098</v>
      </c>
      <c r="I59" s="90">
        <v>0</v>
      </c>
      <c r="J59" s="90"/>
      <c r="K59" s="177"/>
      <c r="L59" s="329">
        <v>168081.63999999998</v>
      </c>
      <c r="M59" s="329"/>
      <c r="N59" s="181"/>
      <c r="O59" s="329"/>
      <c r="P59" s="181">
        <f t="shared" si="6"/>
        <v>168081.63999999998</v>
      </c>
      <c r="Q59" s="178"/>
      <c r="R59" s="182">
        <v>86.81</v>
      </c>
      <c r="S59" s="178"/>
      <c r="T59" s="183">
        <f t="shared" si="3"/>
        <v>180564.80000000002</v>
      </c>
      <c r="U59" s="183">
        <f t="shared" si="0"/>
        <v>0</v>
      </c>
      <c r="V59" s="248" t="str">
        <f t="shared" si="7"/>
        <v xml:space="preserve"> </v>
      </c>
      <c r="W59" s="183"/>
      <c r="X59" s="183">
        <f t="shared" si="1"/>
        <v>180564.80000000002</v>
      </c>
      <c r="Y59" s="179"/>
      <c r="Z59" s="249">
        <f t="shared" si="11"/>
        <v>12483.160000000033</v>
      </c>
      <c r="AB59" s="283"/>
    </row>
    <row r="60" spans="1:28">
      <c r="A60" s="1">
        <f t="shared" si="5"/>
        <v>49</v>
      </c>
      <c r="C60" s="1">
        <v>49</v>
      </c>
      <c r="D60" s="1">
        <v>1049</v>
      </c>
      <c r="E60" s="131"/>
      <c r="H60" s="31">
        <v>2096</v>
      </c>
      <c r="I60" s="90">
        <v>62</v>
      </c>
      <c r="J60" s="90"/>
      <c r="K60" s="177"/>
      <c r="L60" s="329">
        <v>51750.439999999988</v>
      </c>
      <c r="M60" s="329">
        <v>2296.48</v>
      </c>
      <c r="N60" s="181"/>
      <c r="O60" s="329"/>
      <c r="P60" s="181">
        <f t="shared" si="6"/>
        <v>54046.919999999991</v>
      </c>
      <c r="Q60" s="178"/>
      <c r="R60" s="182">
        <v>25.63</v>
      </c>
      <c r="S60" s="178"/>
      <c r="T60" s="183">
        <f t="shared" si="3"/>
        <v>53310.400000000001</v>
      </c>
      <c r="U60" s="183">
        <f t="shared" si="0"/>
        <v>2383.59</v>
      </c>
      <c r="V60" s="248" t="str">
        <f t="shared" si="7"/>
        <v xml:space="preserve"> </v>
      </c>
      <c r="W60" s="183"/>
      <c r="X60" s="183">
        <f t="shared" si="1"/>
        <v>55693.990000000005</v>
      </c>
      <c r="Y60" s="179"/>
      <c r="Z60" s="249">
        <f t="shared" si="11"/>
        <v>1647.0700000000143</v>
      </c>
      <c r="AB60" s="283"/>
    </row>
    <row r="61" spans="1:28">
      <c r="A61" s="1">
        <f t="shared" si="5"/>
        <v>50</v>
      </c>
      <c r="C61" s="1">
        <v>50</v>
      </c>
      <c r="D61" s="1">
        <v>1050</v>
      </c>
      <c r="E61" s="131"/>
      <c r="H61" s="31">
        <v>2086</v>
      </c>
      <c r="I61" s="90">
        <v>652</v>
      </c>
      <c r="J61" s="90"/>
      <c r="K61" s="177"/>
      <c r="L61" s="329">
        <v>94944.29</v>
      </c>
      <c r="M61" s="329">
        <v>44789.07</v>
      </c>
      <c r="N61" s="181"/>
      <c r="O61" s="329"/>
      <c r="P61" s="181">
        <f t="shared" si="6"/>
        <v>139733.35999999999</v>
      </c>
      <c r="Q61" s="178"/>
      <c r="R61" s="182">
        <v>47.81</v>
      </c>
      <c r="S61" s="178"/>
      <c r="T61" s="183">
        <f t="shared" si="3"/>
        <v>99444.800000000003</v>
      </c>
      <c r="U61" s="183">
        <f t="shared" si="0"/>
        <v>46758.180000000008</v>
      </c>
      <c r="V61" s="183"/>
      <c r="W61" s="183"/>
      <c r="X61" s="183">
        <f t="shared" si="1"/>
        <v>146202.98000000001</v>
      </c>
      <c r="Y61" s="179"/>
      <c r="Z61" s="249">
        <f t="shared" si="11"/>
        <v>6469.6200000000244</v>
      </c>
      <c r="AB61" s="283"/>
    </row>
    <row r="62" spans="1:28">
      <c r="A62" s="1">
        <f t="shared" si="5"/>
        <v>51</v>
      </c>
      <c r="C62" s="1">
        <v>51</v>
      </c>
      <c r="D62" s="1">
        <v>1051</v>
      </c>
      <c r="E62" s="131"/>
      <c r="H62" s="31">
        <v>2116</v>
      </c>
      <c r="I62" s="90">
        <v>385.5</v>
      </c>
      <c r="J62" s="90"/>
      <c r="K62" s="177"/>
      <c r="L62" s="329">
        <v>64550.450000000004</v>
      </c>
      <c r="M62" s="329">
        <v>17664.509999999998</v>
      </c>
      <c r="N62" s="181"/>
      <c r="O62" s="329"/>
      <c r="P62" s="181">
        <f t="shared" si="6"/>
        <v>82214.960000000006</v>
      </c>
      <c r="Q62" s="178"/>
      <c r="R62" s="182">
        <v>32.450000000000003</v>
      </c>
      <c r="S62" s="178"/>
      <c r="T62" s="183">
        <f t="shared" si="3"/>
        <v>67496</v>
      </c>
      <c r="U62" s="183">
        <f t="shared" si="0"/>
        <v>18764.212500000001</v>
      </c>
      <c r="V62" s="183"/>
      <c r="W62" s="183"/>
      <c r="X62" s="183">
        <f t="shared" si="1"/>
        <v>86260.212499999994</v>
      </c>
      <c r="Y62" s="179"/>
      <c r="Z62" s="249">
        <f t="shared" si="11"/>
        <v>4045.2524999999878</v>
      </c>
      <c r="AB62" s="283"/>
    </row>
    <row r="63" spans="1:28">
      <c r="A63" s="1">
        <f t="shared" si="5"/>
        <v>52</v>
      </c>
      <c r="C63" s="1">
        <v>52</v>
      </c>
      <c r="D63" s="1">
        <v>1052</v>
      </c>
      <c r="E63" s="131"/>
      <c r="H63" s="31">
        <v>2136</v>
      </c>
      <c r="I63" s="90">
        <v>0</v>
      </c>
      <c r="J63" s="90"/>
      <c r="K63" s="177"/>
      <c r="L63" s="329">
        <v>129482.87999999999</v>
      </c>
      <c r="M63" s="329">
        <v>0</v>
      </c>
      <c r="N63" s="181"/>
      <c r="O63" s="329"/>
      <c r="P63" s="181">
        <f t="shared" si="6"/>
        <v>129482.87999999999</v>
      </c>
      <c r="Q63" s="178"/>
      <c r="R63" s="182">
        <v>65.98</v>
      </c>
      <c r="S63" s="178"/>
      <c r="T63" s="183">
        <f t="shared" si="3"/>
        <v>137238.39999999999</v>
      </c>
      <c r="U63" s="183">
        <f t="shared" si="0"/>
        <v>0</v>
      </c>
      <c r="V63" s="183"/>
      <c r="W63" s="183"/>
      <c r="X63" s="183">
        <f t="shared" si="1"/>
        <v>137238.39999999999</v>
      </c>
      <c r="Y63" s="179"/>
      <c r="Z63" s="249">
        <f t="shared" si="11"/>
        <v>7755.5200000000041</v>
      </c>
      <c r="AB63" s="283"/>
    </row>
    <row r="64" spans="1:28">
      <c r="A64" s="1">
        <f t="shared" si="5"/>
        <v>53</v>
      </c>
      <c r="C64" s="1">
        <v>53</v>
      </c>
      <c r="D64" s="1">
        <v>1053</v>
      </c>
      <c r="E64" s="131"/>
      <c r="H64" s="31">
        <v>2096</v>
      </c>
      <c r="I64" s="90">
        <v>323.5</v>
      </c>
      <c r="J64" s="90"/>
      <c r="K64" s="177"/>
      <c r="L64" s="329">
        <v>102351.46</v>
      </c>
      <c r="M64" s="329">
        <v>23812.01</v>
      </c>
      <c r="N64" s="181"/>
      <c r="O64" s="329"/>
      <c r="P64" s="181">
        <f t="shared" si="6"/>
        <v>126163.47</v>
      </c>
      <c r="Q64" s="178"/>
      <c r="R64" s="182">
        <v>51.32</v>
      </c>
      <c r="S64" s="178"/>
      <c r="T64" s="183">
        <f t="shared" si="3"/>
        <v>106745.60000000001</v>
      </c>
      <c r="U64" s="183">
        <f t="shared" si="0"/>
        <v>24903.03</v>
      </c>
      <c r="V64" s="183"/>
      <c r="W64" s="183"/>
      <c r="X64" s="183">
        <f t="shared" si="1"/>
        <v>131648.63</v>
      </c>
      <c r="Y64" s="179"/>
      <c r="Z64" s="249">
        <f t="shared" si="11"/>
        <v>5485.1600000000035</v>
      </c>
      <c r="AB64" s="283"/>
    </row>
    <row r="65" spans="1:28">
      <c r="A65" s="1">
        <f t="shared" si="5"/>
        <v>54</v>
      </c>
      <c r="C65" s="1">
        <v>54</v>
      </c>
      <c r="D65" s="1">
        <v>1054</v>
      </c>
      <c r="E65" s="131"/>
      <c r="H65" s="31">
        <v>2136</v>
      </c>
      <c r="I65" s="90">
        <v>0</v>
      </c>
      <c r="J65" s="90"/>
      <c r="K65" s="177"/>
      <c r="L65" s="329">
        <v>123144.48</v>
      </c>
      <c r="M65" s="329"/>
      <c r="N65" s="181"/>
      <c r="O65" s="329"/>
      <c r="P65" s="181">
        <f t="shared" si="6"/>
        <v>123144.48</v>
      </c>
      <c r="Q65" s="178"/>
      <c r="R65" s="182">
        <v>62.82</v>
      </c>
      <c r="S65" s="178"/>
      <c r="T65" s="183">
        <f t="shared" si="3"/>
        <v>130665.60000000001</v>
      </c>
      <c r="U65" s="183">
        <f t="shared" si="0"/>
        <v>0</v>
      </c>
      <c r="V65" s="183"/>
      <c r="W65" s="183"/>
      <c r="X65" s="183">
        <f t="shared" si="1"/>
        <v>130665.60000000001</v>
      </c>
      <c r="Y65" s="179"/>
      <c r="Z65" s="249">
        <f t="shared" si="11"/>
        <v>7521.1200000000099</v>
      </c>
      <c r="AB65" s="283"/>
    </row>
    <row r="66" spans="1:28">
      <c r="A66" s="1">
        <f t="shared" si="5"/>
        <v>55</v>
      </c>
      <c r="C66" s="1">
        <v>55</v>
      </c>
      <c r="D66" s="1">
        <v>1055</v>
      </c>
      <c r="E66" s="131"/>
      <c r="H66" s="31">
        <v>2098</v>
      </c>
      <c r="I66" s="90">
        <v>0</v>
      </c>
      <c r="J66" s="90"/>
      <c r="K66" s="177"/>
      <c r="L66" s="329">
        <v>428451.79999999993</v>
      </c>
      <c r="M66" s="329">
        <v>0</v>
      </c>
      <c r="N66" s="181"/>
      <c r="O66" s="329"/>
      <c r="P66" s="181">
        <f t="shared" si="6"/>
        <v>428451.79999999993</v>
      </c>
      <c r="Q66" s="178"/>
      <c r="R66" s="182">
        <v>206.74</v>
      </c>
      <c r="S66" s="178"/>
      <c r="T66" s="183">
        <f t="shared" si="3"/>
        <v>430019.2</v>
      </c>
      <c r="U66" s="183">
        <f t="shared" si="0"/>
        <v>0</v>
      </c>
      <c r="V66" s="183"/>
      <c r="W66" s="183"/>
      <c r="X66" s="183">
        <f t="shared" si="1"/>
        <v>430019.2</v>
      </c>
      <c r="Y66" s="179"/>
      <c r="Z66" s="249">
        <f t="shared" si="11"/>
        <v>1567.4000000000815</v>
      </c>
      <c r="AB66" s="283"/>
    </row>
    <row r="67" spans="1:28">
      <c r="A67" s="1">
        <f t="shared" si="5"/>
        <v>56</v>
      </c>
      <c r="C67" s="1">
        <v>56</v>
      </c>
      <c r="D67" s="1">
        <v>1056</v>
      </c>
      <c r="E67" s="131"/>
      <c r="H67" s="31">
        <v>2172</v>
      </c>
      <c r="I67" s="90">
        <v>125</v>
      </c>
      <c r="J67" s="90"/>
      <c r="K67" s="177"/>
      <c r="L67" s="329">
        <v>53816.789999999994</v>
      </c>
      <c r="M67" s="329">
        <v>4655.24</v>
      </c>
      <c r="N67" s="181"/>
      <c r="O67" s="329"/>
      <c r="P67" s="181">
        <f t="shared" si="6"/>
        <v>58472.029999999992</v>
      </c>
      <c r="Q67" s="178"/>
      <c r="R67" s="182">
        <v>25.8</v>
      </c>
      <c r="S67" s="178"/>
      <c r="T67" s="183">
        <f t="shared" si="3"/>
        <v>53664</v>
      </c>
      <c r="U67" s="183">
        <f t="shared" si="0"/>
        <v>4837.5</v>
      </c>
      <c r="V67" s="183"/>
      <c r="W67" s="183"/>
      <c r="X67" s="183">
        <f t="shared" si="1"/>
        <v>58501.5</v>
      </c>
      <c r="Y67" s="179"/>
      <c r="Z67" s="249">
        <f t="shared" si="11"/>
        <v>29.47000000000844</v>
      </c>
      <c r="AB67" s="283"/>
    </row>
    <row r="68" spans="1:28">
      <c r="A68" s="1">
        <f t="shared" si="5"/>
        <v>57</v>
      </c>
      <c r="C68" s="1">
        <v>57</v>
      </c>
      <c r="D68" s="1">
        <v>1057</v>
      </c>
      <c r="E68" s="131"/>
      <c r="F68" s="1" t="s">
        <v>137</v>
      </c>
      <c r="H68" s="31">
        <v>360</v>
      </c>
      <c r="I68" s="90">
        <v>19.5</v>
      </c>
      <c r="J68" s="90"/>
      <c r="K68" s="177"/>
      <c r="L68" s="329">
        <v>9608.58</v>
      </c>
      <c r="M68" s="329">
        <v>780.78</v>
      </c>
      <c r="N68" s="181"/>
      <c r="O68" s="329"/>
      <c r="P68" s="181">
        <f t="shared" si="6"/>
        <v>10389.36</v>
      </c>
      <c r="Q68" s="178"/>
      <c r="R68" s="182"/>
      <c r="S68" s="178"/>
      <c r="T68" s="183">
        <f t="shared" si="3"/>
        <v>0</v>
      </c>
      <c r="U68" s="183">
        <f t="shared" si="0"/>
        <v>0</v>
      </c>
      <c r="V68" s="183"/>
      <c r="W68" s="183"/>
      <c r="X68" s="183">
        <f t="shared" si="1"/>
        <v>0</v>
      </c>
      <c r="Y68" s="179"/>
      <c r="Z68" s="249">
        <f t="shared" si="11"/>
        <v>-10389.36</v>
      </c>
      <c r="AB68" s="283"/>
    </row>
    <row r="69" spans="1:28">
      <c r="A69" s="1">
        <f t="shared" si="5"/>
        <v>58</v>
      </c>
      <c r="C69" s="1">
        <v>58</v>
      </c>
      <c r="D69" s="1">
        <v>1058</v>
      </c>
      <c r="E69" s="131"/>
      <c r="H69" s="31">
        <v>568</v>
      </c>
      <c r="I69" s="90">
        <v>111.5</v>
      </c>
      <c r="J69" s="90"/>
      <c r="K69" s="177"/>
      <c r="L69" s="329">
        <v>26139.360000000001</v>
      </c>
      <c r="M69" s="329">
        <v>7696.87</v>
      </c>
      <c r="N69" s="181"/>
      <c r="O69" s="329"/>
      <c r="P69" s="181">
        <f t="shared" si="6"/>
        <v>33836.230000000003</v>
      </c>
      <c r="Q69" s="178"/>
      <c r="R69" s="182">
        <v>46.02</v>
      </c>
      <c r="S69" s="178"/>
      <c r="T69" s="183">
        <f t="shared" si="3"/>
        <v>95721.600000000006</v>
      </c>
      <c r="U69" s="183">
        <f t="shared" si="0"/>
        <v>7696.8450000000012</v>
      </c>
      <c r="V69" s="183"/>
      <c r="W69" s="183"/>
      <c r="X69" s="183">
        <f t="shared" si="1"/>
        <v>103418.44500000001</v>
      </c>
      <c r="Y69" s="179"/>
      <c r="Z69" s="249">
        <f t="shared" si="11"/>
        <v>69582.214999999997</v>
      </c>
      <c r="AB69" s="283"/>
    </row>
    <row r="70" spans="1:28">
      <c r="A70" s="1">
        <f t="shared" si="5"/>
        <v>59</v>
      </c>
      <c r="C70" s="1">
        <v>59</v>
      </c>
      <c r="D70" s="1">
        <v>1059</v>
      </c>
      <c r="E70" s="131"/>
      <c r="H70" s="31">
        <v>1283.5</v>
      </c>
      <c r="I70" s="90">
        <v>20.5</v>
      </c>
      <c r="J70" s="90"/>
      <c r="K70" s="177"/>
      <c r="L70" s="329">
        <v>28807.25</v>
      </c>
      <c r="M70" s="329">
        <v>696.01</v>
      </c>
      <c r="N70" s="181"/>
      <c r="O70" s="329"/>
      <c r="P70" s="181">
        <f t="shared" si="6"/>
        <v>29503.26</v>
      </c>
      <c r="Q70" s="178"/>
      <c r="R70" s="182">
        <v>23</v>
      </c>
      <c r="S70" s="178"/>
      <c r="T70" s="183">
        <f t="shared" si="3"/>
        <v>47840</v>
      </c>
      <c r="U70" s="183">
        <f t="shared" si="0"/>
        <v>707.25</v>
      </c>
      <c r="V70" s="183"/>
      <c r="W70" s="183"/>
      <c r="X70" s="183">
        <f t="shared" si="1"/>
        <v>48547.25</v>
      </c>
      <c r="Y70" s="179"/>
      <c r="Z70" s="249">
        <f t="shared" si="11"/>
        <v>19043.990000000002</v>
      </c>
      <c r="AB70" s="283"/>
    </row>
    <row r="71" spans="1:28">
      <c r="A71" s="1">
        <f t="shared" si="5"/>
        <v>60</v>
      </c>
      <c r="C71" s="1">
        <v>60</v>
      </c>
      <c r="D71" s="1">
        <v>1060</v>
      </c>
      <c r="E71" s="131"/>
      <c r="H71" s="31">
        <v>2056</v>
      </c>
      <c r="I71" s="90">
        <v>558.5</v>
      </c>
      <c r="J71" s="90"/>
      <c r="K71" s="177"/>
      <c r="L71" s="329">
        <v>65147.80999999999</v>
      </c>
      <c r="M71" s="329">
        <v>26616.05</v>
      </c>
      <c r="N71" s="181"/>
      <c r="O71" s="329"/>
      <c r="P71" s="181">
        <f t="shared" si="6"/>
        <v>91763.859999999986</v>
      </c>
      <c r="Q71" s="178"/>
      <c r="R71" s="182">
        <v>38.01</v>
      </c>
      <c r="S71" s="178"/>
      <c r="T71" s="183">
        <f t="shared" si="3"/>
        <v>79060.800000000003</v>
      </c>
      <c r="U71" s="183">
        <f t="shared" si="0"/>
        <v>31842.877499999999</v>
      </c>
      <c r="V71" s="183"/>
      <c r="W71" s="183"/>
      <c r="X71" s="183">
        <f t="shared" si="1"/>
        <v>110903.67750000001</v>
      </c>
      <c r="Y71" s="179"/>
      <c r="Z71" s="249">
        <f t="shared" si="11"/>
        <v>19139.817500000019</v>
      </c>
      <c r="AB71" s="283"/>
    </row>
    <row r="72" spans="1:28">
      <c r="A72" s="1">
        <f t="shared" si="5"/>
        <v>61</v>
      </c>
      <c r="C72" s="1">
        <v>61</v>
      </c>
      <c r="D72" s="1">
        <v>1061</v>
      </c>
      <c r="E72" s="131"/>
      <c r="H72" s="31">
        <v>2096</v>
      </c>
      <c r="I72" s="90">
        <v>185.5</v>
      </c>
      <c r="J72" s="90"/>
      <c r="K72" s="177"/>
      <c r="L72" s="329">
        <v>55140.11</v>
      </c>
      <c r="M72" s="329">
        <v>7327.37</v>
      </c>
      <c r="N72" s="181"/>
      <c r="O72" s="329"/>
      <c r="P72" s="181">
        <f t="shared" si="6"/>
        <v>62467.48</v>
      </c>
      <c r="Q72" s="178"/>
      <c r="R72" s="182">
        <v>28.49</v>
      </c>
      <c r="S72" s="178"/>
      <c r="T72" s="183">
        <f t="shared" si="3"/>
        <v>59259.199999999997</v>
      </c>
      <c r="U72" s="183">
        <f t="shared" si="0"/>
        <v>7927.3424999999988</v>
      </c>
      <c r="V72" s="183"/>
      <c r="W72" s="183"/>
      <c r="X72" s="183">
        <f t="shared" si="1"/>
        <v>67186.542499999996</v>
      </c>
      <c r="Y72" s="179"/>
      <c r="Z72" s="249">
        <f t="shared" si="11"/>
        <v>4719.0624999999927</v>
      </c>
      <c r="AB72" s="283"/>
    </row>
    <row r="73" spans="1:28">
      <c r="A73" s="1">
        <f t="shared" si="5"/>
        <v>62</v>
      </c>
      <c r="C73" s="1">
        <v>62</v>
      </c>
      <c r="D73" s="1">
        <v>1062</v>
      </c>
      <c r="E73" s="131"/>
      <c r="H73" s="31">
        <v>2096</v>
      </c>
      <c r="I73" s="90">
        <v>0</v>
      </c>
      <c r="J73" s="90"/>
      <c r="K73" s="177"/>
      <c r="L73" s="329">
        <v>210735.1</v>
      </c>
      <c r="M73" s="329">
        <v>0</v>
      </c>
      <c r="N73" s="181"/>
      <c r="O73" s="329"/>
      <c r="P73" s="181">
        <f t="shared" si="6"/>
        <v>210735.1</v>
      </c>
      <c r="Q73" s="178"/>
      <c r="R73" s="182">
        <v>105.51</v>
      </c>
      <c r="S73" s="178"/>
      <c r="T73" s="183">
        <f t="shared" si="3"/>
        <v>219460.80000000002</v>
      </c>
      <c r="U73" s="183">
        <f t="shared" si="0"/>
        <v>0</v>
      </c>
      <c r="V73" s="183"/>
      <c r="W73" s="183"/>
      <c r="X73" s="183">
        <f t="shared" si="1"/>
        <v>219460.80000000002</v>
      </c>
      <c r="Y73" s="179"/>
      <c r="Z73" s="249">
        <f t="shared" si="11"/>
        <v>8725.7000000000116</v>
      </c>
      <c r="AB73" s="283"/>
    </row>
    <row r="74" spans="1:28">
      <c r="A74" s="1">
        <f t="shared" si="5"/>
        <v>63</v>
      </c>
      <c r="C74" s="1">
        <v>63</v>
      </c>
      <c r="D74" s="1">
        <v>1063</v>
      </c>
      <c r="E74" s="131"/>
      <c r="F74" s="1" t="s">
        <v>137</v>
      </c>
      <c r="H74" s="31">
        <v>1137.5</v>
      </c>
      <c r="I74" s="90">
        <v>160.5</v>
      </c>
      <c r="J74" s="90"/>
      <c r="K74" s="177"/>
      <c r="L74" s="329">
        <v>31462.600000000002</v>
      </c>
      <c r="M74" s="329">
        <v>6575.81</v>
      </c>
      <c r="N74" s="181"/>
      <c r="O74" s="329"/>
      <c r="P74" s="181">
        <f t="shared" si="6"/>
        <v>38038.410000000003</v>
      </c>
      <c r="Q74" s="178"/>
      <c r="R74" s="182"/>
      <c r="S74" s="178"/>
      <c r="T74" s="183">
        <f t="shared" si="3"/>
        <v>0</v>
      </c>
      <c r="U74" s="183">
        <f t="shared" si="0"/>
        <v>0</v>
      </c>
      <c r="V74" s="183"/>
      <c r="W74" s="183"/>
      <c r="X74" s="183">
        <f t="shared" si="1"/>
        <v>0</v>
      </c>
      <c r="Y74" s="179"/>
      <c r="Z74" s="249">
        <f t="shared" si="11"/>
        <v>-38038.410000000003</v>
      </c>
      <c r="AB74" s="283"/>
    </row>
    <row r="75" spans="1:28">
      <c r="A75" s="1">
        <f t="shared" si="5"/>
        <v>64</v>
      </c>
      <c r="C75" s="1">
        <v>64</v>
      </c>
      <c r="D75" s="1">
        <v>1064</v>
      </c>
      <c r="E75" s="131"/>
      <c r="H75" s="31">
        <v>232</v>
      </c>
      <c r="I75" s="90">
        <v>0</v>
      </c>
      <c r="J75" s="90"/>
      <c r="K75" s="177"/>
      <c r="L75" s="329">
        <v>4988</v>
      </c>
      <c r="M75" s="329">
        <v>0</v>
      </c>
      <c r="N75" s="181"/>
      <c r="O75" s="329"/>
      <c r="P75" s="181">
        <f t="shared" si="6"/>
        <v>4988</v>
      </c>
      <c r="Q75" s="178"/>
      <c r="R75" s="182">
        <v>21.5</v>
      </c>
      <c r="S75" s="178"/>
      <c r="T75" s="183">
        <f t="shared" si="3"/>
        <v>44720</v>
      </c>
      <c r="U75" s="183">
        <f t="shared" si="0"/>
        <v>0</v>
      </c>
      <c r="V75" s="183"/>
      <c r="W75" s="183"/>
      <c r="X75" s="183">
        <f t="shared" si="1"/>
        <v>44720</v>
      </c>
      <c r="Y75" s="179"/>
      <c r="Z75" s="249">
        <f t="shared" si="11"/>
        <v>39732</v>
      </c>
      <c r="AB75" s="283"/>
    </row>
    <row r="76" spans="1:28">
      <c r="A76" s="1">
        <f t="shared" si="5"/>
        <v>65</v>
      </c>
      <c r="C76" s="1">
        <v>65</v>
      </c>
      <c r="D76" s="1">
        <v>1065</v>
      </c>
      <c r="E76" s="131"/>
      <c r="H76" s="31">
        <v>1316</v>
      </c>
      <c r="I76" s="90">
        <v>244</v>
      </c>
      <c r="J76" s="90"/>
      <c r="K76" s="177"/>
      <c r="L76" s="329">
        <v>32703.119999999999</v>
      </c>
      <c r="M76" s="329">
        <v>9096.32</v>
      </c>
      <c r="N76" s="181"/>
      <c r="O76" s="329"/>
      <c r="P76" s="181">
        <f t="shared" si="6"/>
        <v>41799.440000000002</v>
      </c>
      <c r="Q76" s="178"/>
      <c r="R76" s="182">
        <v>24.85</v>
      </c>
      <c r="S76" s="178"/>
      <c r="T76" s="183">
        <f t="shared" si="3"/>
        <v>51688</v>
      </c>
      <c r="U76" s="183">
        <f t="shared" ref="U76:U120" si="12">(+I76*R76)*1.5</f>
        <v>9095.1</v>
      </c>
      <c r="V76" s="183"/>
      <c r="W76" s="183"/>
      <c r="X76" s="183">
        <f t="shared" ref="X76:X119" si="13">SUM(T76:W76)</f>
        <v>60783.1</v>
      </c>
      <c r="Y76" s="179"/>
      <c r="Z76" s="249">
        <f t="shared" si="11"/>
        <v>18983.659999999996</v>
      </c>
      <c r="AB76" s="283"/>
    </row>
    <row r="77" spans="1:28">
      <c r="A77" s="1">
        <f t="shared" si="5"/>
        <v>66</v>
      </c>
      <c r="C77" s="1">
        <v>66</v>
      </c>
      <c r="D77" s="1">
        <v>1066</v>
      </c>
      <c r="E77" s="131"/>
      <c r="H77" s="31">
        <v>2096</v>
      </c>
      <c r="I77" s="90">
        <v>29.5</v>
      </c>
      <c r="J77" s="90"/>
      <c r="K77" s="177"/>
      <c r="L77" s="329">
        <v>47862.249999999993</v>
      </c>
      <c r="M77" s="329">
        <v>1018.25</v>
      </c>
      <c r="N77" s="181"/>
      <c r="O77" s="329"/>
      <c r="P77" s="181">
        <f t="shared" si="6"/>
        <v>48880.499999999993</v>
      </c>
      <c r="Q77" s="178"/>
      <c r="R77" s="182">
        <v>24.27</v>
      </c>
      <c r="S77" s="178"/>
      <c r="T77" s="183">
        <f t="shared" ref="T77:T120" si="14">2080*R77</f>
        <v>50481.599999999999</v>
      </c>
      <c r="U77" s="183">
        <f t="shared" si="12"/>
        <v>1073.9475</v>
      </c>
      <c r="V77" s="183"/>
      <c r="W77" s="183"/>
      <c r="X77" s="183">
        <f t="shared" si="13"/>
        <v>51555.547500000001</v>
      </c>
      <c r="Y77" s="179"/>
      <c r="Z77" s="249">
        <f t="shared" si="11"/>
        <v>2675.0475000000079</v>
      </c>
      <c r="AB77" s="283"/>
    </row>
    <row r="78" spans="1:28">
      <c r="A78" s="1">
        <f t="shared" ref="A78:A127" si="15">A77+1</f>
        <v>67</v>
      </c>
      <c r="C78" s="1">
        <v>67</v>
      </c>
      <c r="D78" s="1">
        <v>1067</v>
      </c>
      <c r="E78" s="131"/>
      <c r="H78" s="31">
        <v>2096</v>
      </c>
      <c r="I78" s="90">
        <v>346</v>
      </c>
      <c r="J78" s="90"/>
      <c r="K78" s="177"/>
      <c r="L78" s="329">
        <v>90203.999999999985</v>
      </c>
      <c r="M78" s="329">
        <v>23062.74</v>
      </c>
      <c r="N78" s="181"/>
      <c r="O78" s="329"/>
      <c r="P78" s="181">
        <f t="shared" si="6"/>
        <v>113266.73999999999</v>
      </c>
      <c r="Q78" s="178"/>
      <c r="R78" s="182">
        <v>47.81</v>
      </c>
      <c r="S78" s="178"/>
      <c r="T78" s="183">
        <f t="shared" si="14"/>
        <v>99444.800000000003</v>
      </c>
      <c r="U78" s="183">
        <f t="shared" si="12"/>
        <v>24813.390000000003</v>
      </c>
      <c r="V78" s="183"/>
      <c r="W78" s="183"/>
      <c r="X78" s="183">
        <f t="shared" si="13"/>
        <v>124258.19</v>
      </c>
      <c r="Y78" s="179"/>
      <c r="Z78" s="249">
        <f t="shared" si="11"/>
        <v>10991.450000000012</v>
      </c>
      <c r="AB78" s="283"/>
    </row>
    <row r="79" spans="1:28">
      <c r="A79" s="1">
        <f t="shared" si="15"/>
        <v>68</v>
      </c>
      <c r="C79" s="1">
        <v>68</v>
      </c>
      <c r="D79" s="1">
        <v>1068</v>
      </c>
      <c r="E79" s="131"/>
      <c r="H79" s="31">
        <v>2096</v>
      </c>
      <c r="I79" s="90">
        <v>98.5</v>
      </c>
      <c r="J79" s="90"/>
      <c r="K79" s="177"/>
      <c r="L79" s="329">
        <v>71759.14</v>
      </c>
      <c r="M79" s="329">
        <v>5135.79</v>
      </c>
      <c r="N79" s="181"/>
      <c r="O79" s="329"/>
      <c r="P79" s="181">
        <f t="shared" si="6"/>
        <v>76894.929999999993</v>
      </c>
      <c r="Q79" s="178"/>
      <c r="R79" s="182">
        <v>34.76</v>
      </c>
      <c r="S79" s="178"/>
      <c r="T79" s="183">
        <f t="shared" si="14"/>
        <v>72300.800000000003</v>
      </c>
      <c r="U79" s="183">
        <f t="shared" si="12"/>
        <v>5135.7899999999991</v>
      </c>
      <c r="V79" s="183"/>
      <c r="W79" s="183"/>
      <c r="X79" s="183">
        <f t="shared" si="13"/>
        <v>77436.59</v>
      </c>
      <c r="Y79" s="179"/>
      <c r="Z79" s="249">
        <f t="shared" si="11"/>
        <v>541.66000000000349</v>
      </c>
      <c r="AB79" s="283"/>
    </row>
    <row r="80" spans="1:28">
      <c r="A80" s="1">
        <f t="shared" si="15"/>
        <v>69</v>
      </c>
      <c r="C80" s="1">
        <v>69</v>
      </c>
      <c r="D80" s="1">
        <v>1069</v>
      </c>
      <c r="E80" s="131"/>
      <c r="H80" s="31">
        <v>2096</v>
      </c>
      <c r="I80" s="90">
        <v>106.5</v>
      </c>
      <c r="J80" s="90"/>
      <c r="K80" s="177"/>
      <c r="L80" s="329">
        <v>72401.52</v>
      </c>
      <c r="M80" s="329">
        <v>5602.99</v>
      </c>
      <c r="N80" s="181"/>
      <c r="O80" s="329"/>
      <c r="P80" s="181">
        <f t="shared" si="6"/>
        <v>78004.510000000009</v>
      </c>
      <c r="Q80" s="178"/>
      <c r="R80" s="182">
        <v>38.020000000000003</v>
      </c>
      <c r="S80" s="178"/>
      <c r="T80" s="183">
        <f t="shared" si="14"/>
        <v>79081.600000000006</v>
      </c>
      <c r="U80" s="183">
        <f t="shared" si="12"/>
        <v>6073.6949999999997</v>
      </c>
      <c r="V80" s="183"/>
      <c r="W80" s="183"/>
      <c r="X80" s="183">
        <f t="shared" si="13"/>
        <v>85155.295000000013</v>
      </c>
      <c r="Y80" s="179"/>
      <c r="Z80" s="249">
        <f t="shared" si="11"/>
        <v>7150.7850000000035</v>
      </c>
      <c r="AB80" s="283"/>
    </row>
    <row r="81" spans="1:28">
      <c r="A81" s="1">
        <f t="shared" si="15"/>
        <v>70</v>
      </c>
      <c r="C81" s="1">
        <v>70</v>
      </c>
      <c r="D81" s="1">
        <v>1070</v>
      </c>
      <c r="E81" s="131"/>
      <c r="F81" s="1" t="s">
        <v>137</v>
      </c>
      <c r="H81" s="31">
        <v>1514</v>
      </c>
      <c r="I81" s="90">
        <v>478</v>
      </c>
      <c r="J81" s="90"/>
      <c r="K81" s="177"/>
      <c r="L81" s="329">
        <v>40121</v>
      </c>
      <c r="M81" s="329">
        <v>19000.54</v>
      </c>
      <c r="N81" s="181"/>
      <c r="O81" s="329"/>
      <c r="P81" s="181">
        <f t="shared" si="6"/>
        <v>59121.54</v>
      </c>
      <c r="Q81" s="178"/>
      <c r="R81" s="182"/>
      <c r="S81" s="178"/>
      <c r="T81" s="183">
        <f t="shared" si="14"/>
        <v>0</v>
      </c>
      <c r="U81" s="183">
        <f t="shared" si="12"/>
        <v>0</v>
      </c>
      <c r="V81" s="183"/>
      <c r="W81" s="183"/>
      <c r="X81" s="183">
        <f t="shared" si="13"/>
        <v>0</v>
      </c>
      <c r="Y81" s="179"/>
      <c r="Z81" s="249">
        <f t="shared" si="11"/>
        <v>-59121.54</v>
      </c>
      <c r="AB81" s="283"/>
    </row>
    <row r="82" spans="1:28">
      <c r="A82" s="1">
        <f t="shared" si="15"/>
        <v>71</v>
      </c>
      <c r="C82" s="1">
        <v>71</v>
      </c>
      <c r="D82" s="1">
        <v>1071</v>
      </c>
      <c r="E82" s="131"/>
      <c r="F82" s="1" t="s">
        <v>137</v>
      </c>
      <c r="H82" s="31">
        <v>1058</v>
      </c>
      <c r="I82" s="90">
        <v>11.5</v>
      </c>
      <c r="J82" s="90"/>
      <c r="K82" s="177"/>
      <c r="L82" s="329">
        <v>23022.080000000005</v>
      </c>
      <c r="M82" s="329">
        <v>375.36</v>
      </c>
      <c r="N82" s="181"/>
      <c r="O82" s="329"/>
      <c r="P82" s="181">
        <f t="shared" ref="P82:P109" si="16">SUM(L82:O82)</f>
        <v>23397.440000000006</v>
      </c>
      <c r="Q82" s="178"/>
      <c r="R82" s="182"/>
      <c r="S82" s="178"/>
      <c r="T82" s="183">
        <f t="shared" si="14"/>
        <v>0</v>
      </c>
      <c r="U82" s="183">
        <f t="shared" si="12"/>
        <v>0</v>
      </c>
      <c r="V82" s="183"/>
      <c r="W82" s="183"/>
      <c r="X82" s="183">
        <f t="shared" si="13"/>
        <v>0</v>
      </c>
      <c r="Y82" s="179"/>
      <c r="Z82" s="249">
        <f t="shared" si="11"/>
        <v>-23397.440000000006</v>
      </c>
      <c r="AB82" s="283"/>
    </row>
    <row r="83" spans="1:28">
      <c r="A83" s="1">
        <f t="shared" si="15"/>
        <v>72</v>
      </c>
      <c r="C83" s="1">
        <v>72</v>
      </c>
      <c r="D83" s="1">
        <v>1072</v>
      </c>
      <c r="E83" s="131"/>
      <c r="F83" s="1" t="s">
        <v>137</v>
      </c>
      <c r="H83" s="31">
        <v>750</v>
      </c>
      <c r="I83" s="90">
        <v>115.5</v>
      </c>
      <c r="J83" s="90"/>
      <c r="K83" s="177"/>
      <c r="L83" s="329">
        <v>34515</v>
      </c>
      <c r="M83" s="329">
        <v>7973.08</v>
      </c>
      <c r="N83" s="181"/>
      <c r="O83" s="329"/>
      <c r="P83" s="181">
        <f t="shared" si="16"/>
        <v>42488.08</v>
      </c>
      <c r="Q83" s="178"/>
      <c r="R83" s="182"/>
      <c r="S83" s="178"/>
      <c r="T83" s="183">
        <f t="shared" si="14"/>
        <v>0</v>
      </c>
      <c r="U83" s="183">
        <f t="shared" si="12"/>
        <v>0</v>
      </c>
      <c r="V83" s="183"/>
      <c r="W83" s="183"/>
      <c r="X83" s="183">
        <f t="shared" si="13"/>
        <v>0</v>
      </c>
      <c r="Y83" s="179"/>
      <c r="Z83" s="249">
        <f t="shared" si="11"/>
        <v>-42488.08</v>
      </c>
      <c r="AB83" s="283"/>
    </row>
    <row r="84" spans="1:28">
      <c r="A84" s="1">
        <f t="shared" si="15"/>
        <v>73</v>
      </c>
      <c r="C84" s="1">
        <v>73</v>
      </c>
      <c r="D84" s="1">
        <v>1073</v>
      </c>
      <c r="E84" s="131"/>
      <c r="H84" s="31">
        <v>2096</v>
      </c>
      <c r="I84" s="90">
        <v>220.5</v>
      </c>
      <c r="J84" s="90"/>
      <c r="K84" s="177"/>
      <c r="L84" s="329">
        <v>90462.53</v>
      </c>
      <c r="M84" s="329">
        <v>14318.1</v>
      </c>
      <c r="N84" s="181"/>
      <c r="O84" s="329"/>
      <c r="P84" s="181">
        <f t="shared" si="16"/>
        <v>104780.63</v>
      </c>
      <c r="Q84" s="178"/>
      <c r="R84" s="182">
        <v>47.81</v>
      </c>
      <c r="S84" s="178"/>
      <c r="T84" s="183">
        <f t="shared" si="14"/>
        <v>99444.800000000003</v>
      </c>
      <c r="U84" s="183">
        <f t="shared" si="12"/>
        <v>15813.157500000001</v>
      </c>
      <c r="V84" s="183"/>
      <c r="W84" s="183"/>
      <c r="X84" s="183">
        <f t="shared" si="13"/>
        <v>115257.9575</v>
      </c>
      <c r="Y84" s="179"/>
      <c r="Z84" s="249">
        <f t="shared" si="11"/>
        <v>10477.327499999999</v>
      </c>
      <c r="AB84" s="283"/>
    </row>
    <row r="85" spans="1:28">
      <c r="A85" s="1">
        <f t="shared" si="15"/>
        <v>74</v>
      </c>
      <c r="C85" s="1">
        <v>74</v>
      </c>
      <c r="D85" s="1">
        <v>1074</v>
      </c>
      <c r="E85" s="131"/>
      <c r="H85" s="31">
        <v>2096</v>
      </c>
      <c r="I85" s="90">
        <v>0</v>
      </c>
      <c r="J85" s="90"/>
      <c r="K85" s="177"/>
      <c r="L85" s="329">
        <v>94206.11</v>
      </c>
      <c r="M85" s="329"/>
      <c r="N85" s="181"/>
      <c r="O85" s="329"/>
      <c r="P85" s="181">
        <f t="shared" si="16"/>
        <v>94206.11</v>
      </c>
      <c r="Q85" s="178"/>
      <c r="R85" s="182">
        <v>47.79</v>
      </c>
      <c r="S85" s="178"/>
      <c r="T85" s="183">
        <f t="shared" si="14"/>
        <v>99403.199999999997</v>
      </c>
      <c r="U85" s="183">
        <f t="shared" si="12"/>
        <v>0</v>
      </c>
      <c r="V85" s="183"/>
      <c r="W85" s="183"/>
      <c r="X85" s="183">
        <f t="shared" si="13"/>
        <v>99403.199999999997</v>
      </c>
      <c r="Y85" s="179"/>
      <c r="Z85" s="249">
        <f t="shared" si="11"/>
        <v>5197.0899999999965</v>
      </c>
      <c r="AB85" s="283"/>
    </row>
    <row r="86" spans="1:28">
      <c r="A86" s="1">
        <f t="shared" si="15"/>
        <v>75</v>
      </c>
      <c r="C86" s="1">
        <v>75</v>
      </c>
      <c r="D86" s="1">
        <v>1075</v>
      </c>
      <c r="E86" s="131"/>
      <c r="H86" s="31">
        <v>2056</v>
      </c>
      <c r="I86" s="90">
        <v>511.5</v>
      </c>
      <c r="J86" s="90"/>
      <c r="K86" s="177"/>
      <c r="L86" s="329">
        <v>61658.92</v>
      </c>
      <c r="M86" s="329">
        <v>23636.25</v>
      </c>
      <c r="N86" s="181"/>
      <c r="O86" s="329"/>
      <c r="P86" s="181">
        <f t="shared" si="16"/>
        <v>85295.17</v>
      </c>
      <c r="Q86" s="178"/>
      <c r="R86" s="182">
        <v>32</v>
      </c>
      <c r="S86" s="178"/>
      <c r="T86" s="183">
        <f t="shared" si="14"/>
        <v>66560</v>
      </c>
      <c r="U86" s="183">
        <f t="shared" si="12"/>
        <v>24552</v>
      </c>
      <c r="V86" s="183"/>
      <c r="W86" s="183"/>
      <c r="X86" s="183">
        <f t="shared" si="13"/>
        <v>91112</v>
      </c>
      <c r="Y86" s="179"/>
      <c r="Z86" s="249">
        <f t="shared" si="11"/>
        <v>5816.8300000000017</v>
      </c>
      <c r="AB86" s="283"/>
    </row>
    <row r="87" spans="1:28">
      <c r="A87" s="1">
        <f t="shared" si="15"/>
        <v>76</v>
      </c>
      <c r="C87" s="1">
        <v>76</v>
      </c>
      <c r="D87" s="1">
        <v>1076</v>
      </c>
      <c r="E87" s="131"/>
      <c r="H87" s="31">
        <v>2056</v>
      </c>
      <c r="I87" s="90">
        <v>217</v>
      </c>
      <c r="J87" s="90"/>
      <c r="K87" s="177"/>
      <c r="L87" s="329">
        <v>51129.39</v>
      </c>
      <c r="M87" s="329">
        <v>8108.84</v>
      </c>
      <c r="N87" s="181"/>
      <c r="O87" s="329"/>
      <c r="P87" s="181">
        <f t="shared" si="16"/>
        <v>59238.229999999996</v>
      </c>
      <c r="Q87" s="178"/>
      <c r="R87" s="182">
        <v>28.49</v>
      </c>
      <c r="S87" s="178"/>
      <c r="T87" s="183">
        <f t="shared" si="14"/>
        <v>59259.199999999997</v>
      </c>
      <c r="U87" s="183">
        <f t="shared" si="12"/>
        <v>9273.494999999999</v>
      </c>
      <c r="V87" s="183"/>
      <c r="W87" s="183"/>
      <c r="X87" s="183">
        <f t="shared" si="13"/>
        <v>68532.694999999992</v>
      </c>
      <c r="Y87" s="179"/>
      <c r="Z87" s="249">
        <f t="shared" si="11"/>
        <v>9294.4649999999965</v>
      </c>
      <c r="AB87" s="283"/>
    </row>
    <row r="88" spans="1:28">
      <c r="A88" s="1">
        <f t="shared" si="15"/>
        <v>77</v>
      </c>
      <c r="C88" s="1">
        <v>77</v>
      </c>
      <c r="D88" s="1">
        <v>1077</v>
      </c>
      <c r="E88" s="131"/>
      <c r="H88" s="31">
        <v>936</v>
      </c>
      <c r="I88" s="90">
        <v>130</v>
      </c>
      <c r="J88" s="90"/>
      <c r="K88" s="177"/>
      <c r="L88" s="329">
        <v>26170.559999999998</v>
      </c>
      <c r="M88" s="329">
        <v>5452.2</v>
      </c>
      <c r="N88" s="181"/>
      <c r="O88" s="329"/>
      <c r="P88" s="181">
        <f t="shared" si="16"/>
        <v>31622.76</v>
      </c>
      <c r="Q88" s="178"/>
      <c r="R88" s="182">
        <v>28.49</v>
      </c>
      <c r="S88" s="178"/>
      <c r="T88" s="183">
        <f t="shared" si="14"/>
        <v>59259.199999999997</v>
      </c>
      <c r="U88" s="183">
        <f t="shared" si="12"/>
        <v>5555.5499999999993</v>
      </c>
      <c r="V88" s="183"/>
      <c r="W88" s="183"/>
      <c r="X88" s="183">
        <f t="shared" si="13"/>
        <v>64814.75</v>
      </c>
      <c r="Y88" s="179"/>
      <c r="Z88" s="249">
        <f t="shared" si="11"/>
        <v>33191.990000000005</v>
      </c>
      <c r="AB88" s="283"/>
    </row>
    <row r="89" spans="1:28">
      <c r="A89" s="1">
        <f t="shared" si="15"/>
        <v>78</v>
      </c>
      <c r="C89" s="1">
        <v>78</v>
      </c>
      <c r="D89" s="1">
        <v>1078</v>
      </c>
      <c r="E89" s="131"/>
      <c r="H89" s="31">
        <v>2096</v>
      </c>
      <c r="I89" s="90">
        <v>422.5</v>
      </c>
      <c r="J89" s="90"/>
      <c r="K89" s="177"/>
      <c r="L89" s="329">
        <v>89593.62</v>
      </c>
      <c r="M89" s="329">
        <v>27956.61</v>
      </c>
      <c r="N89" s="181"/>
      <c r="O89" s="329"/>
      <c r="P89" s="181">
        <f t="shared" si="16"/>
        <v>117550.23</v>
      </c>
      <c r="Q89" s="178"/>
      <c r="R89" s="182">
        <v>47.81</v>
      </c>
      <c r="S89" s="178"/>
      <c r="T89" s="183">
        <f t="shared" si="14"/>
        <v>99444.800000000003</v>
      </c>
      <c r="U89" s="183">
        <f t="shared" si="12"/>
        <v>30299.587500000001</v>
      </c>
      <c r="V89" s="183"/>
      <c r="W89" s="183"/>
      <c r="X89" s="183">
        <f t="shared" si="13"/>
        <v>129744.38750000001</v>
      </c>
      <c r="Y89" s="179"/>
      <c r="Z89" s="249">
        <f t="shared" si="11"/>
        <v>12194.157500000016</v>
      </c>
      <c r="AB89" s="283"/>
    </row>
    <row r="90" spans="1:28">
      <c r="A90" s="1">
        <f t="shared" si="15"/>
        <v>79</v>
      </c>
      <c r="C90" s="1">
        <v>79</v>
      </c>
      <c r="D90" s="1">
        <v>1079</v>
      </c>
      <c r="E90" s="131"/>
      <c r="H90" s="31">
        <v>1460.5</v>
      </c>
      <c r="I90" s="90">
        <v>7</v>
      </c>
      <c r="J90" s="90"/>
      <c r="K90" s="177"/>
      <c r="L90" s="329">
        <v>31766.75</v>
      </c>
      <c r="M90" s="329">
        <v>226.32</v>
      </c>
      <c r="N90" s="181"/>
      <c r="O90" s="329"/>
      <c r="P90" s="181">
        <f t="shared" si="16"/>
        <v>31993.07</v>
      </c>
      <c r="Q90" s="178"/>
      <c r="R90" s="182">
        <v>23.21</v>
      </c>
      <c r="S90" s="178"/>
      <c r="T90" s="183">
        <f t="shared" si="14"/>
        <v>48276.800000000003</v>
      </c>
      <c r="U90" s="183">
        <f t="shared" si="12"/>
        <v>243.70499999999998</v>
      </c>
      <c r="V90" s="183"/>
      <c r="W90" s="183"/>
      <c r="X90" s="183">
        <f t="shared" si="13"/>
        <v>48520.505000000005</v>
      </c>
      <c r="Y90" s="179"/>
      <c r="Z90" s="249">
        <f t="shared" si="11"/>
        <v>16527.435000000005</v>
      </c>
      <c r="AB90" s="283"/>
    </row>
    <row r="91" spans="1:28">
      <c r="A91" s="1">
        <f t="shared" si="15"/>
        <v>80</v>
      </c>
      <c r="C91" s="1">
        <v>80</v>
      </c>
      <c r="D91" s="1">
        <v>1080</v>
      </c>
      <c r="E91" s="131"/>
      <c r="H91" s="31">
        <v>2096</v>
      </c>
      <c r="I91" s="90">
        <v>2.5</v>
      </c>
      <c r="J91" s="90"/>
      <c r="K91" s="177"/>
      <c r="L91" s="329">
        <v>66037.62</v>
      </c>
      <c r="M91" s="329">
        <v>128.01</v>
      </c>
      <c r="N91" s="181"/>
      <c r="O91" s="329"/>
      <c r="P91" s="181">
        <f t="shared" si="16"/>
        <v>66165.62999999999</v>
      </c>
      <c r="Q91" s="178"/>
      <c r="R91" s="182">
        <v>40.020000000000003</v>
      </c>
      <c r="S91" s="178"/>
      <c r="T91" s="183">
        <f t="shared" si="14"/>
        <v>83241.600000000006</v>
      </c>
      <c r="U91" s="183">
        <f t="shared" si="12"/>
        <v>150.07500000000002</v>
      </c>
      <c r="V91" s="183"/>
      <c r="W91" s="183"/>
      <c r="X91" s="183">
        <f t="shared" si="13"/>
        <v>83391.675000000003</v>
      </c>
      <c r="Y91" s="179"/>
      <c r="Z91" s="249">
        <f t="shared" si="11"/>
        <v>17226.045000000013</v>
      </c>
      <c r="AB91" s="283"/>
    </row>
    <row r="92" spans="1:28">
      <c r="A92" s="1">
        <f t="shared" si="15"/>
        <v>81</v>
      </c>
      <c r="C92" s="1">
        <v>81</v>
      </c>
      <c r="D92" s="1">
        <v>1081</v>
      </c>
      <c r="E92" s="131"/>
      <c r="H92" s="31">
        <v>2096</v>
      </c>
      <c r="I92" s="90">
        <v>436</v>
      </c>
      <c r="J92" s="90"/>
      <c r="K92" s="177"/>
      <c r="L92" s="329">
        <v>64118.799999999996</v>
      </c>
      <c r="M92" s="329">
        <v>20090.82</v>
      </c>
      <c r="N92" s="181"/>
      <c r="O92" s="329"/>
      <c r="P92" s="181">
        <f t="shared" si="16"/>
        <v>84209.62</v>
      </c>
      <c r="Q92" s="178"/>
      <c r="R92" s="182">
        <v>32</v>
      </c>
      <c r="S92" s="178"/>
      <c r="T92" s="183">
        <f t="shared" si="14"/>
        <v>66560</v>
      </c>
      <c r="U92" s="183">
        <f t="shared" si="12"/>
        <v>20928</v>
      </c>
      <c r="V92" s="183"/>
      <c r="W92" s="183"/>
      <c r="X92" s="183">
        <f t="shared" si="13"/>
        <v>87488</v>
      </c>
      <c r="Y92" s="179"/>
      <c r="Z92" s="249">
        <f t="shared" si="11"/>
        <v>3278.3800000000047</v>
      </c>
      <c r="AB92" s="283"/>
    </row>
    <row r="93" spans="1:28">
      <c r="A93" s="1">
        <f t="shared" si="15"/>
        <v>82</v>
      </c>
      <c r="C93" s="1">
        <v>82</v>
      </c>
      <c r="D93" s="1">
        <v>1082</v>
      </c>
      <c r="E93" s="131"/>
      <c r="H93" s="31">
        <v>2096</v>
      </c>
      <c r="I93" s="90">
        <v>103</v>
      </c>
      <c r="J93" s="90"/>
      <c r="K93" s="177"/>
      <c r="L93" s="329">
        <v>70532.67</v>
      </c>
      <c r="M93" s="329">
        <v>5214.97</v>
      </c>
      <c r="N93" s="181"/>
      <c r="O93" s="329"/>
      <c r="P93" s="181">
        <f t="shared" si="16"/>
        <v>75747.64</v>
      </c>
      <c r="Q93" s="178"/>
      <c r="R93" s="182">
        <v>35.79</v>
      </c>
      <c r="S93" s="178"/>
      <c r="T93" s="183">
        <f t="shared" si="14"/>
        <v>74443.199999999997</v>
      </c>
      <c r="U93" s="183">
        <f t="shared" si="12"/>
        <v>5529.5550000000003</v>
      </c>
      <c r="V93" s="183"/>
      <c r="W93" s="183"/>
      <c r="X93" s="183">
        <f t="shared" si="13"/>
        <v>79972.755000000005</v>
      </c>
      <c r="Y93" s="179"/>
      <c r="Z93" s="249">
        <f t="shared" si="11"/>
        <v>4225.1150000000052</v>
      </c>
      <c r="AB93" s="283"/>
    </row>
    <row r="94" spans="1:28">
      <c r="A94" s="1">
        <f t="shared" si="15"/>
        <v>83</v>
      </c>
      <c r="C94" s="1">
        <v>83</v>
      </c>
      <c r="D94" s="1">
        <v>1083</v>
      </c>
      <c r="E94" s="131"/>
      <c r="H94" s="31">
        <v>2096</v>
      </c>
      <c r="I94" s="90">
        <v>287.5</v>
      </c>
      <c r="J94" s="90"/>
      <c r="K94" s="177"/>
      <c r="L94" s="329">
        <v>99729.919999999984</v>
      </c>
      <c r="M94" s="329">
        <v>20597</v>
      </c>
      <c r="N94" s="181"/>
      <c r="O94" s="329"/>
      <c r="P94" s="181">
        <f t="shared" si="16"/>
        <v>120326.91999999998</v>
      </c>
      <c r="Q94" s="178"/>
      <c r="R94" s="182">
        <v>50.36</v>
      </c>
      <c r="S94" s="178"/>
      <c r="T94" s="183">
        <f t="shared" si="14"/>
        <v>104748.8</v>
      </c>
      <c r="U94" s="183">
        <f t="shared" si="12"/>
        <v>21717.75</v>
      </c>
      <c r="V94" s="183"/>
      <c r="W94" s="183"/>
      <c r="X94" s="183">
        <f t="shared" si="13"/>
        <v>126466.55</v>
      </c>
      <c r="Y94" s="179"/>
      <c r="Z94" s="249">
        <f t="shared" si="11"/>
        <v>6139.6300000000192</v>
      </c>
      <c r="AB94" s="283"/>
    </row>
    <row r="95" spans="1:28">
      <c r="A95" s="1">
        <f t="shared" si="15"/>
        <v>84</v>
      </c>
      <c r="C95" s="1">
        <v>84</v>
      </c>
      <c r="D95" s="1">
        <v>1084</v>
      </c>
      <c r="E95" s="131"/>
      <c r="H95" s="31">
        <v>2064</v>
      </c>
      <c r="I95" s="90">
        <v>0</v>
      </c>
      <c r="J95" s="90"/>
      <c r="K95" s="177"/>
      <c r="L95" s="329">
        <v>66048</v>
      </c>
      <c r="M95" s="329"/>
      <c r="N95" s="181"/>
      <c r="O95" s="329"/>
      <c r="P95" s="181">
        <f t="shared" si="16"/>
        <v>66048</v>
      </c>
      <c r="Q95" s="178"/>
      <c r="R95" s="182">
        <v>33.57</v>
      </c>
      <c r="S95" s="178"/>
      <c r="T95" s="183">
        <f t="shared" si="14"/>
        <v>69825.600000000006</v>
      </c>
      <c r="U95" s="183">
        <f t="shared" si="12"/>
        <v>0</v>
      </c>
      <c r="V95" s="183"/>
      <c r="W95" s="183"/>
      <c r="X95" s="183">
        <f t="shared" si="13"/>
        <v>69825.600000000006</v>
      </c>
      <c r="Y95" s="179"/>
      <c r="Z95" s="249">
        <f t="shared" si="11"/>
        <v>3777.6000000000058</v>
      </c>
      <c r="AB95" s="283"/>
    </row>
    <row r="96" spans="1:28">
      <c r="A96" s="1">
        <f t="shared" si="15"/>
        <v>85</v>
      </c>
      <c r="C96" s="1">
        <v>85</v>
      </c>
      <c r="D96" s="1">
        <v>1085</v>
      </c>
      <c r="E96" s="131"/>
      <c r="H96" s="31">
        <v>1686</v>
      </c>
      <c r="I96" s="90">
        <v>375.5</v>
      </c>
      <c r="J96" s="90"/>
      <c r="K96" s="177"/>
      <c r="L96" s="329">
        <v>80725.679999999993</v>
      </c>
      <c r="M96" s="329">
        <v>26968.41</v>
      </c>
      <c r="N96" s="181"/>
      <c r="O96" s="329"/>
      <c r="P96" s="181">
        <f t="shared" si="16"/>
        <v>107694.09</v>
      </c>
      <c r="Q96" s="178"/>
      <c r="R96" s="182">
        <v>49.86</v>
      </c>
      <c r="S96" s="178"/>
      <c r="T96" s="183">
        <f t="shared" si="14"/>
        <v>103708.8</v>
      </c>
      <c r="U96" s="183">
        <f t="shared" si="12"/>
        <v>28083.645</v>
      </c>
      <c r="V96" s="183"/>
      <c r="W96" s="183"/>
      <c r="X96" s="183">
        <f t="shared" si="13"/>
        <v>131792.44500000001</v>
      </c>
      <c r="Y96" s="179"/>
      <c r="Z96" s="249">
        <f t="shared" si="11"/>
        <v>24098.35500000001</v>
      </c>
      <c r="AB96" s="283"/>
    </row>
    <row r="97" spans="1:28">
      <c r="A97" s="1">
        <f t="shared" si="15"/>
        <v>86</v>
      </c>
      <c r="C97" s="1">
        <v>86</v>
      </c>
      <c r="D97" s="1">
        <v>1086</v>
      </c>
      <c r="E97" s="131"/>
      <c r="H97" s="31">
        <v>1856</v>
      </c>
      <c r="I97" s="90">
        <v>330</v>
      </c>
      <c r="J97" s="90"/>
      <c r="K97" s="177"/>
      <c r="L97" s="329">
        <v>88459.680000000008</v>
      </c>
      <c r="M97" s="329">
        <v>23690.47</v>
      </c>
      <c r="N97" s="181"/>
      <c r="O97" s="329"/>
      <c r="P97" s="181">
        <f t="shared" si="16"/>
        <v>112150.15000000001</v>
      </c>
      <c r="Q97" s="178"/>
      <c r="R97" s="182">
        <v>50.36</v>
      </c>
      <c r="S97" s="178"/>
      <c r="T97" s="183">
        <f t="shared" si="14"/>
        <v>104748.8</v>
      </c>
      <c r="U97" s="183">
        <f t="shared" si="12"/>
        <v>24928.199999999997</v>
      </c>
      <c r="V97" s="183"/>
      <c r="W97" s="183"/>
      <c r="X97" s="183">
        <f t="shared" si="13"/>
        <v>129677</v>
      </c>
      <c r="Y97" s="179"/>
      <c r="Z97" s="249">
        <f t="shared" si="11"/>
        <v>17526.849999999991</v>
      </c>
      <c r="AB97" s="283"/>
    </row>
    <row r="98" spans="1:28">
      <c r="A98" s="1">
        <f t="shared" si="15"/>
        <v>87</v>
      </c>
      <c r="C98" s="1">
        <v>87</v>
      </c>
      <c r="D98" s="1">
        <v>1087</v>
      </c>
      <c r="E98" s="131"/>
      <c r="H98" s="31">
        <v>1336</v>
      </c>
      <c r="I98" s="90">
        <v>327.5</v>
      </c>
      <c r="J98" s="90"/>
      <c r="K98" s="177"/>
      <c r="L98" s="329">
        <v>37354.560000000005</v>
      </c>
      <c r="M98" s="329">
        <v>13735.35</v>
      </c>
      <c r="N98" s="181"/>
      <c r="O98" s="329"/>
      <c r="P98" s="181">
        <f t="shared" si="16"/>
        <v>51089.91</v>
      </c>
      <c r="Q98" s="178"/>
      <c r="R98" s="182">
        <v>28.49</v>
      </c>
      <c r="S98" s="178"/>
      <c r="T98" s="183">
        <f t="shared" si="14"/>
        <v>59259.199999999997</v>
      </c>
      <c r="U98" s="183">
        <f t="shared" si="12"/>
        <v>13995.712500000001</v>
      </c>
      <c r="V98" s="183"/>
      <c r="W98" s="183"/>
      <c r="X98" s="183">
        <f t="shared" si="13"/>
        <v>73254.912500000006</v>
      </c>
      <c r="Y98" s="179"/>
      <c r="Z98" s="249">
        <f t="shared" si="11"/>
        <v>22165.002500000002</v>
      </c>
      <c r="AB98" s="283"/>
    </row>
    <row r="99" spans="1:28">
      <c r="A99" s="1">
        <f t="shared" si="15"/>
        <v>88</v>
      </c>
      <c r="C99" s="1">
        <v>88</v>
      </c>
      <c r="D99" s="1">
        <v>1088</v>
      </c>
      <c r="E99" s="131"/>
      <c r="H99" s="31">
        <v>2036.5</v>
      </c>
      <c r="I99" s="90">
        <v>0</v>
      </c>
      <c r="J99" s="90"/>
      <c r="K99" s="177"/>
      <c r="L99" s="329">
        <v>53785.59</v>
      </c>
      <c r="M99" s="329"/>
      <c r="N99" s="181"/>
      <c r="O99" s="329"/>
      <c r="P99" s="181">
        <f t="shared" si="16"/>
        <v>53785.59</v>
      </c>
      <c r="Q99" s="178"/>
      <c r="R99" s="182">
        <v>28.83</v>
      </c>
      <c r="S99" s="178"/>
      <c r="T99" s="183">
        <f t="shared" si="14"/>
        <v>59966.399999999994</v>
      </c>
      <c r="U99" s="183">
        <f t="shared" si="12"/>
        <v>0</v>
      </c>
      <c r="V99" s="183"/>
      <c r="W99" s="183"/>
      <c r="X99" s="183">
        <f t="shared" si="13"/>
        <v>59966.399999999994</v>
      </c>
      <c r="Y99" s="179"/>
      <c r="Z99" s="249">
        <f t="shared" si="11"/>
        <v>6180.8099999999977</v>
      </c>
      <c r="AB99" s="283"/>
    </row>
    <row r="100" spans="1:28">
      <c r="A100" s="1">
        <f t="shared" si="15"/>
        <v>89</v>
      </c>
      <c r="C100" s="1">
        <v>89</v>
      </c>
      <c r="D100" s="1">
        <v>1089</v>
      </c>
      <c r="E100" s="131"/>
      <c r="H100" s="31">
        <v>2096</v>
      </c>
      <c r="I100" s="90">
        <v>275.5</v>
      </c>
      <c r="J100" s="90"/>
      <c r="K100" s="177"/>
      <c r="L100" s="329">
        <v>70085.239999999991</v>
      </c>
      <c r="M100" s="329">
        <v>13969.09</v>
      </c>
      <c r="N100" s="181"/>
      <c r="O100" s="329"/>
      <c r="P100" s="181">
        <f t="shared" si="16"/>
        <v>84054.329999999987</v>
      </c>
      <c r="Q100" s="178"/>
      <c r="R100" s="182">
        <v>38.01</v>
      </c>
      <c r="S100" s="178"/>
      <c r="T100" s="183">
        <f t="shared" si="14"/>
        <v>79060.800000000003</v>
      </c>
      <c r="U100" s="183">
        <f t="shared" si="12"/>
        <v>15707.6325</v>
      </c>
      <c r="V100" s="183"/>
      <c r="W100" s="183"/>
      <c r="X100" s="183">
        <f t="shared" si="13"/>
        <v>94768.432499999995</v>
      </c>
      <c r="Y100" s="179"/>
      <c r="Z100" s="249">
        <f t="shared" si="11"/>
        <v>10714.102500000008</v>
      </c>
      <c r="AB100" s="283"/>
    </row>
    <row r="101" spans="1:28">
      <c r="A101" s="1">
        <f t="shared" si="15"/>
        <v>90</v>
      </c>
      <c r="C101" s="1">
        <v>90</v>
      </c>
      <c r="D101" s="1">
        <v>1090</v>
      </c>
      <c r="E101" s="131"/>
      <c r="H101" s="31">
        <v>1457</v>
      </c>
      <c r="I101" s="90">
        <v>19.5</v>
      </c>
      <c r="J101" s="90"/>
      <c r="K101" s="177"/>
      <c r="L101" s="329">
        <v>31654.79</v>
      </c>
      <c r="M101" s="329">
        <v>629.46</v>
      </c>
      <c r="N101" s="181"/>
      <c r="O101" s="329"/>
      <c r="P101" s="181">
        <f t="shared" si="16"/>
        <v>32284.25</v>
      </c>
      <c r="Q101" s="178"/>
      <c r="R101" s="182">
        <v>23.1</v>
      </c>
      <c r="S101" s="178"/>
      <c r="T101" s="183">
        <f t="shared" si="14"/>
        <v>48048</v>
      </c>
      <c r="U101" s="183">
        <f t="shared" si="12"/>
        <v>675.67500000000007</v>
      </c>
      <c r="V101" s="183"/>
      <c r="W101" s="183"/>
      <c r="X101" s="183">
        <f t="shared" si="13"/>
        <v>48723.675000000003</v>
      </c>
      <c r="Y101" s="179"/>
      <c r="Z101" s="249">
        <f t="shared" si="11"/>
        <v>16439.425000000003</v>
      </c>
      <c r="AB101" s="283"/>
    </row>
    <row r="102" spans="1:28">
      <c r="A102" s="1">
        <f t="shared" si="15"/>
        <v>91</v>
      </c>
      <c r="C102" s="1">
        <v>91</v>
      </c>
      <c r="D102" s="1">
        <v>1091</v>
      </c>
      <c r="E102" s="131"/>
      <c r="H102" s="31">
        <v>2096</v>
      </c>
      <c r="I102" s="90">
        <v>365</v>
      </c>
      <c r="J102" s="90"/>
      <c r="K102" s="177"/>
      <c r="L102" s="329">
        <v>100183.68000000001</v>
      </c>
      <c r="M102" s="329">
        <v>26298.21</v>
      </c>
      <c r="N102" s="181"/>
      <c r="O102" s="329"/>
      <c r="P102" s="181">
        <f t="shared" si="16"/>
        <v>126481.89000000001</v>
      </c>
      <c r="Q102" s="178"/>
      <c r="R102" s="182">
        <v>49.86</v>
      </c>
      <c r="S102" s="178"/>
      <c r="T102" s="183">
        <f t="shared" si="14"/>
        <v>103708.8</v>
      </c>
      <c r="U102" s="183">
        <f t="shared" si="12"/>
        <v>27298.350000000002</v>
      </c>
      <c r="V102" s="183"/>
      <c r="W102" s="183"/>
      <c r="X102" s="183">
        <f t="shared" si="13"/>
        <v>131007.15000000001</v>
      </c>
      <c r="Y102" s="179"/>
      <c r="Z102" s="249">
        <f t="shared" si="11"/>
        <v>4525.2599999999948</v>
      </c>
      <c r="AB102" s="283"/>
    </row>
    <row r="103" spans="1:28">
      <c r="A103" s="1">
        <f t="shared" si="15"/>
        <v>92</v>
      </c>
      <c r="C103" s="1">
        <v>92</v>
      </c>
      <c r="D103" s="1">
        <v>1092</v>
      </c>
      <c r="E103" s="131"/>
      <c r="F103" s="1" t="s">
        <v>137</v>
      </c>
      <c r="H103" s="31">
        <v>568</v>
      </c>
      <c r="I103" s="90">
        <v>3</v>
      </c>
      <c r="J103" s="90"/>
      <c r="K103" s="177"/>
      <c r="L103" s="329">
        <v>12780</v>
      </c>
      <c r="M103" s="329">
        <v>101.27</v>
      </c>
      <c r="N103" s="181"/>
      <c r="O103" s="329"/>
      <c r="P103" s="181">
        <f t="shared" si="16"/>
        <v>12881.27</v>
      </c>
      <c r="Q103" s="178"/>
      <c r="R103" s="182"/>
      <c r="S103" s="178"/>
      <c r="T103" s="183">
        <f t="shared" si="14"/>
        <v>0</v>
      </c>
      <c r="U103" s="183">
        <f t="shared" si="12"/>
        <v>0</v>
      </c>
      <c r="V103" s="183"/>
      <c r="W103" s="183"/>
      <c r="X103" s="183">
        <f t="shared" si="13"/>
        <v>0</v>
      </c>
      <c r="Y103" s="179"/>
      <c r="Z103" s="249">
        <f t="shared" si="11"/>
        <v>-12881.27</v>
      </c>
      <c r="AB103" s="283"/>
    </row>
    <row r="104" spans="1:28">
      <c r="A104" s="1">
        <f t="shared" si="15"/>
        <v>93</v>
      </c>
      <c r="C104" s="1">
        <v>93</v>
      </c>
      <c r="D104" s="1">
        <v>1093</v>
      </c>
      <c r="E104" s="131"/>
      <c r="F104" s="1" t="s">
        <v>137</v>
      </c>
      <c r="H104" s="31">
        <v>1392</v>
      </c>
      <c r="I104" s="90">
        <v>0</v>
      </c>
      <c r="J104" s="90"/>
      <c r="K104" s="177"/>
      <c r="L104" s="329">
        <v>52495.79</v>
      </c>
      <c r="M104" s="329">
        <v>0</v>
      </c>
      <c r="N104" s="181"/>
      <c r="O104" s="329"/>
      <c r="P104" s="181">
        <f t="shared" si="16"/>
        <v>52495.79</v>
      </c>
      <c r="Q104" s="178"/>
      <c r="R104" s="182"/>
      <c r="S104" s="178"/>
      <c r="T104" s="183">
        <f t="shared" si="14"/>
        <v>0</v>
      </c>
      <c r="U104" s="183">
        <f t="shared" si="12"/>
        <v>0</v>
      </c>
      <c r="V104" s="183"/>
      <c r="W104" s="183"/>
      <c r="X104" s="183">
        <f t="shared" si="13"/>
        <v>0</v>
      </c>
      <c r="Y104" s="179"/>
      <c r="Z104" s="249">
        <f t="shared" si="11"/>
        <v>-52495.79</v>
      </c>
      <c r="AB104" s="283"/>
    </row>
    <row r="105" spans="1:28">
      <c r="A105" s="1">
        <f t="shared" si="15"/>
        <v>94</v>
      </c>
      <c r="C105" s="1">
        <v>94</v>
      </c>
      <c r="D105" s="1">
        <v>1094</v>
      </c>
      <c r="E105" s="131"/>
      <c r="H105" s="31">
        <v>2096</v>
      </c>
      <c r="I105" s="90">
        <v>338.5</v>
      </c>
      <c r="J105" s="90"/>
      <c r="K105" s="177"/>
      <c r="L105" s="329">
        <v>95191.96</v>
      </c>
      <c r="M105" s="329">
        <v>23260.83</v>
      </c>
      <c r="N105" s="181"/>
      <c r="O105" s="329"/>
      <c r="P105" s="181">
        <f t="shared" si="16"/>
        <v>118452.79000000001</v>
      </c>
      <c r="Q105" s="178"/>
      <c r="R105" s="182">
        <v>47.4</v>
      </c>
      <c r="S105" s="178"/>
      <c r="T105" s="183">
        <f t="shared" si="14"/>
        <v>98592</v>
      </c>
      <c r="U105" s="183">
        <f t="shared" si="12"/>
        <v>24067.35</v>
      </c>
      <c r="V105" s="183"/>
      <c r="W105" s="183"/>
      <c r="X105" s="183">
        <f t="shared" si="13"/>
        <v>122659.35</v>
      </c>
      <c r="Y105" s="179"/>
      <c r="Z105" s="249">
        <f t="shared" si="11"/>
        <v>4206.5599999999977</v>
      </c>
      <c r="AB105" s="283"/>
    </row>
    <row r="106" spans="1:28">
      <c r="A106" s="1">
        <f t="shared" si="15"/>
        <v>95</v>
      </c>
      <c r="C106" s="1">
        <v>95</v>
      </c>
      <c r="D106" s="1">
        <v>1095</v>
      </c>
      <c r="E106" s="131"/>
      <c r="H106" s="31">
        <v>2096</v>
      </c>
      <c r="I106" s="90">
        <v>354</v>
      </c>
      <c r="J106" s="90"/>
      <c r="K106" s="177"/>
      <c r="L106" s="329">
        <v>81259.72</v>
      </c>
      <c r="M106" s="329">
        <v>20277.29</v>
      </c>
      <c r="N106" s="181"/>
      <c r="O106" s="329"/>
      <c r="P106" s="181">
        <f t="shared" si="16"/>
        <v>101537.01000000001</v>
      </c>
      <c r="Q106" s="178"/>
      <c r="R106" s="182">
        <v>47.58</v>
      </c>
      <c r="S106" s="178"/>
      <c r="T106" s="183">
        <f t="shared" si="14"/>
        <v>98966.399999999994</v>
      </c>
      <c r="U106" s="183">
        <f t="shared" si="12"/>
        <v>25264.98</v>
      </c>
      <c r="V106" s="183"/>
      <c r="W106" s="183"/>
      <c r="X106" s="183">
        <f t="shared" si="13"/>
        <v>124231.37999999999</v>
      </c>
      <c r="Y106" s="179"/>
      <c r="Z106" s="249">
        <f t="shared" si="11"/>
        <v>22694.369999999981</v>
      </c>
      <c r="AB106" s="283"/>
    </row>
    <row r="107" spans="1:28">
      <c r="A107" s="1">
        <f t="shared" si="15"/>
        <v>96</v>
      </c>
      <c r="C107" s="1">
        <v>96</v>
      </c>
      <c r="D107" s="1">
        <v>1096</v>
      </c>
      <c r="E107" s="131"/>
      <c r="H107" s="31">
        <v>2096</v>
      </c>
      <c r="I107" s="90">
        <v>214</v>
      </c>
      <c r="J107" s="90"/>
      <c r="K107" s="177"/>
      <c r="L107" s="329">
        <v>66403.680000000008</v>
      </c>
      <c r="M107" s="329">
        <v>10110.370000000001</v>
      </c>
      <c r="N107" s="181"/>
      <c r="O107" s="329"/>
      <c r="P107" s="181">
        <f t="shared" si="16"/>
        <v>76514.05</v>
      </c>
      <c r="Q107" s="178"/>
      <c r="R107" s="182">
        <v>38.01</v>
      </c>
      <c r="S107" s="178"/>
      <c r="T107" s="183">
        <f t="shared" si="14"/>
        <v>79060.800000000003</v>
      </c>
      <c r="U107" s="183">
        <f t="shared" si="12"/>
        <v>12201.21</v>
      </c>
      <c r="V107" s="183"/>
      <c r="W107" s="183"/>
      <c r="X107" s="183">
        <f t="shared" si="13"/>
        <v>91262.010000000009</v>
      </c>
      <c r="Y107" s="179"/>
      <c r="Z107" s="249">
        <f t="shared" si="11"/>
        <v>14747.960000000006</v>
      </c>
      <c r="AB107" s="283"/>
    </row>
    <row r="108" spans="1:28">
      <c r="A108" s="1">
        <f t="shared" si="15"/>
        <v>97</v>
      </c>
      <c r="C108" s="1">
        <v>97</v>
      </c>
      <c r="D108" s="1">
        <v>1097</v>
      </c>
      <c r="E108" s="131"/>
      <c r="H108" s="31">
        <v>2056</v>
      </c>
      <c r="I108" s="90">
        <v>425.5</v>
      </c>
      <c r="J108" s="90"/>
      <c r="K108" s="177"/>
      <c r="L108" s="329">
        <v>53430.94</v>
      </c>
      <c r="M108" s="329">
        <v>17180.810000000001</v>
      </c>
      <c r="N108" s="181"/>
      <c r="O108" s="329"/>
      <c r="P108" s="181">
        <f t="shared" si="16"/>
        <v>70611.75</v>
      </c>
      <c r="Q108" s="178"/>
      <c r="R108" s="182">
        <v>28.49</v>
      </c>
      <c r="S108" s="178"/>
      <c r="T108" s="183">
        <f t="shared" si="14"/>
        <v>59259.199999999997</v>
      </c>
      <c r="U108" s="183">
        <f t="shared" si="12"/>
        <v>18183.7425</v>
      </c>
      <c r="V108" s="183"/>
      <c r="W108" s="183"/>
      <c r="X108" s="183">
        <f t="shared" si="13"/>
        <v>77442.942500000005</v>
      </c>
      <c r="Y108" s="179"/>
      <c r="Z108" s="249">
        <f t="shared" si="11"/>
        <v>6831.1925000000047</v>
      </c>
      <c r="AB108" s="283"/>
    </row>
    <row r="109" spans="1:28">
      <c r="A109" s="1">
        <f t="shared" si="15"/>
        <v>98</v>
      </c>
      <c r="C109" s="1">
        <v>98</v>
      </c>
      <c r="D109" s="1">
        <v>1098</v>
      </c>
      <c r="E109" s="131"/>
      <c r="H109" s="31">
        <v>2096</v>
      </c>
      <c r="I109" s="90">
        <v>75.5</v>
      </c>
      <c r="J109" s="90"/>
      <c r="K109" s="177"/>
      <c r="L109" s="329">
        <v>45133</v>
      </c>
      <c r="M109" s="329">
        <v>2453</v>
      </c>
      <c r="N109" s="181"/>
      <c r="O109" s="329"/>
      <c r="P109" s="181">
        <f t="shared" si="16"/>
        <v>47586</v>
      </c>
      <c r="Q109" s="178"/>
      <c r="R109" s="182">
        <v>23.45</v>
      </c>
      <c r="S109" s="178"/>
      <c r="T109" s="183">
        <f t="shared" si="14"/>
        <v>48776</v>
      </c>
      <c r="U109" s="183">
        <f t="shared" si="12"/>
        <v>2655.7124999999996</v>
      </c>
      <c r="V109" s="183"/>
      <c r="W109" s="183"/>
      <c r="X109" s="183">
        <f t="shared" si="13"/>
        <v>51431.712500000001</v>
      </c>
      <c r="Y109" s="179"/>
      <c r="Z109" s="249">
        <f t="shared" si="11"/>
        <v>3845.7125000000015</v>
      </c>
      <c r="AB109" s="283"/>
    </row>
    <row r="110" spans="1:28">
      <c r="A110" s="1">
        <f t="shared" si="15"/>
        <v>99</v>
      </c>
      <c r="C110" s="1">
        <v>99</v>
      </c>
      <c r="D110" s="1">
        <v>1099</v>
      </c>
      <c r="E110" s="131"/>
      <c r="H110" s="31">
        <v>2096</v>
      </c>
      <c r="I110" s="90">
        <v>327</v>
      </c>
      <c r="J110" s="90"/>
      <c r="K110" s="177"/>
      <c r="L110" s="181">
        <v>56166.430000000008</v>
      </c>
      <c r="M110" s="181">
        <v>13280.33</v>
      </c>
      <c r="N110" s="181"/>
      <c r="O110" s="181"/>
      <c r="P110" s="181"/>
      <c r="Q110" s="178"/>
      <c r="R110" s="182">
        <v>28.49</v>
      </c>
      <c r="S110" s="178"/>
      <c r="T110" s="183">
        <f t="shared" si="14"/>
        <v>59259.199999999997</v>
      </c>
      <c r="U110" s="183">
        <f t="shared" si="12"/>
        <v>13974.344999999999</v>
      </c>
      <c r="V110" s="183"/>
      <c r="W110" s="183"/>
      <c r="X110" s="183">
        <f t="shared" si="13"/>
        <v>73233.544999999998</v>
      </c>
      <c r="Y110" s="179"/>
      <c r="Z110" s="249">
        <f t="shared" si="11"/>
        <v>73233.544999999998</v>
      </c>
      <c r="AB110" s="283"/>
    </row>
    <row r="111" spans="1:28">
      <c r="A111" s="1">
        <f t="shared" si="15"/>
        <v>100</v>
      </c>
      <c r="C111" s="1">
        <v>100</v>
      </c>
      <c r="D111" s="1">
        <v>1100</v>
      </c>
      <c r="E111" s="131"/>
      <c r="H111" s="31">
        <v>576</v>
      </c>
      <c r="I111" s="90">
        <v>0</v>
      </c>
      <c r="J111" s="90"/>
      <c r="K111" s="177"/>
      <c r="L111" s="181">
        <v>14808.960000000001</v>
      </c>
      <c r="M111" s="181">
        <v>0</v>
      </c>
      <c r="N111" s="181"/>
      <c r="O111" s="181"/>
      <c r="P111" s="181"/>
      <c r="Q111" s="178"/>
      <c r="R111" s="182">
        <v>25.71</v>
      </c>
      <c r="S111" s="178"/>
      <c r="T111" s="183">
        <f t="shared" si="14"/>
        <v>53476.800000000003</v>
      </c>
      <c r="U111" s="183">
        <f t="shared" si="12"/>
        <v>0</v>
      </c>
      <c r="V111" s="183"/>
      <c r="W111" s="183"/>
      <c r="X111" s="183">
        <f t="shared" si="13"/>
        <v>53476.800000000003</v>
      </c>
      <c r="Y111" s="179"/>
      <c r="Z111" s="249">
        <f t="shared" si="11"/>
        <v>53476.800000000003</v>
      </c>
      <c r="AB111" s="283"/>
    </row>
    <row r="112" spans="1:28">
      <c r="A112" s="1">
        <f t="shared" si="15"/>
        <v>101</v>
      </c>
      <c r="C112" s="1">
        <v>101</v>
      </c>
      <c r="D112" s="1">
        <v>1101</v>
      </c>
      <c r="E112" s="131"/>
      <c r="F112" s="1" t="s">
        <v>137</v>
      </c>
      <c r="H112" s="31">
        <v>96</v>
      </c>
      <c r="I112" s="90">
        <v>0</v>
      </c>
      <c r="J112" s="90"/>
      <c r="K112" s="177"/>
      <c r="L112" s="181">
        <v>1965.12</v>
      </c>
      <c r="M112" s="181">
        <v>0</v>
      </c>
      <c r="N112" s="181"/>
      <c r="O112" s="181"/>
      <c r="P112" s="181"/>
      <c r="Q112" s="178"/>
      <c r="R112" s="182"/>
      <c r="S112" s="178"/>
      <c r="T112" s="183">
        <f t="shared" si="14"/>
        <v>0</v>
      </c>
      <c r="U112" s="183">
        <f t="shared" si="12"/>
        <v>0</v>
      </c>
      <c r="V112" s="183"/>
      <c r="W112" s="183"/>
      <c r="X112" s="183">
        <f t="shared" si="13"/>
        <v>0</v>
      </c>
      <c r="Y112" s="179"/>
      <c r="Z112" s="249">
        <f t="shared" si="11"/>
        <v>0</v>
      </c>
      <c r="AB112" s="283"/>
    </row>
    <row r="113" spans="1:28">
      <c r="A113" s="1">
        <f t="shared" si="15"/>
        <v>102</v>
      </c>
      <c r="C113" s="1">
        <v>102</v>
      </c>
      <c r="D113" s="1">
        <v>1102</v>
      </c>
      <c r="E113" s="131"/>
      <c r="F113" s="1" t="s">
        <v>137</v>
      </c>
      <c r="H113" s="31">
        <v>488</v>
      </c>
      <c r="I113" s="90">
        <v>0.5</v>
      </c>
      <c r="J113" s="90"/>
      <c r="K113" s="177"/>
      <c r="L113" s="181">
        <v>6329.36</v>
      </c>
      <c r="M113" s="181">
        <v>9.73</v>
      </c>
      <c r="N113" s="181"/>
      <c r="O113" s="181"/>
      <c r="P113" s="181"/>
      <c r="Q113" s="178"/>
      <c r="R113" s="182"/>
      <c r="S113" s="178"/>
      <c r="T113" s="183">
        <f t="shared" si="14"/>
        <v>0</v>
      </c>
      <c r="U113" s="183">
        <f t="shared" si="12"/>
        <v>0</v>
      </c>
      <c r="V113" s="183"/>
      <c r="W113" s="183"/>
      <c r="X113" s="183">
        <f t="shared" si="13"/>
        <v>0</v>
      </c>
      <c r="Y113" s="179"/>
      <c r="Z113" s="249">
        <f t="shared" si="11"/>
        <v>0</v>
      </c>
      <c r="AB113" s="283"/>
    </row>
    <row r="114" spans="1:28">
      <c r="A114" s="1">
        <f t="shared" si="15"/>
        <v>103</v>
      </c>
      <c r="C114" s="1">
        <v>103</v>
      </c>
      <c r="D114" s="1">
        <v>1103</v>
      </c>
      <c r="E114" s="131"/>
      <c r="F114" s="1" t="s">
        <v>137</v>
      </c>
      <c r="H114" s="31">
        <v>302</v>
      </c>
      <c r="I114" s="90">
        <v>0</v>
      </c>
      <c r="J114" s="90"/>
      <c r="K114" s="177"/>
      <c r="L114" s="181">
        <v>6946</v>
      </c>
      <c r="M114" s="181">
        <v>0</v>
      </c>
      <c r="N114" s="181"/>
      <c r="O114" s="181"/>
      <c r="P114" s="181"/>
      <c r="Q114" s="178"/>
      <c r="R114" s="182"/>
      <c r="S114" s="178"/>
      <c r="T114" s="183">
        <f t="shared" si="14"/>
        <v>0</v>
      </c>
      <c r="U114" s="183">
        <f t="shared" si="12"/>
        <v>0</v>
      </c>
      <c r="V114" s="183"/>
      <c r="W114" s="183"/>
      <c r="X114" s="183">
        <f t="shared" si="13"/>
        <v>0</v>
      </c>
      <c r="Y114" s="179"/>
      <c r="Z114" s="249">
        <f t="shared" si="11"/>
        <v>0</v>
      </c>
      <c r="AB114" s="283"/>
    </row>
    <row r="115" spans="1:28">
      <c r="A115" s="1">
        <f t="shared" si="15"/>
        <v>104</v>
      </c>
      <c r="C115" s="1">
        <v>104</v>
      </c>
      <c r="D115" s="1">
        <v>1104</v>
      </c>
      <c r="E115" s="131"/>
      <c r="F115" s="1" t="s">
        <v>137</v>
      </c>
      <c r="H115" s="31">
        <v>288</v>
      </c>
      <c r="I115" s="90">
        <v>0</v>
      </c>
      <c r="J115" s="90"/>
      <c r="K115" s="177"/>
      <c r="L115" s="181">
        <v>9630.7200000000012</v>
      </c>
      <c r="M115" s="181"/>
      <c r="N115" s="181"/>
      <c r="O115" s="181"/>
      <c r="P115" s="181"/>
      <c r="Q115" s="178"/>
      <c r="R115" s="182"/>
      <c r="S115" s="178"/>
      <c r="T115" s="183">
        <f t="shared" si="14"/>
        <v>0</v>
      </c>
      <c r="U115" s="183">
        <f t="shared" si="12"/>
        <v>0</v>
      </c>
      <c r="V115" s="183"/>
      <c r="W115" s="183"/>
      <c r="X115" s="183">
        <f t="shared" si="13"/>
        <v>0</v>
      </c>
      <c r="Y115" s="179"/>
      <c r="Z115" s="249">
        <f t="shared" si="11"/>
        <v>0</v>
      </c>
      <c r="AB115" s="283"/>
    </row>
    <row r="116" spans="1:28">
      <c r="A116" s="1">
        <f t="shared" si="15"/>
        <v>105</v>
      </c>
      <c r="C116" s="1">
        <v>105</v>
      </c>
      <c r="D116" s="1">
        <v>1105</v>
      </c>
      <c r="E116" s="131"/>
      <c r="F116" s="1" t="s">
        <v>137</v>
      </c>
      <c r="H116" s="31">
        <v>172</v>
      </c>
      <c r="I116" s="90">
        <v>8</v>
      </c>
      <c r="J116" s="90"/>
      <c r="K116" s="177"/>
      <c r="L116" s="181">
        <v>4210.5600000000004</v>
      </c>
      <c r="M116" s="181">
        <v>293.76</v>
      </c>
      <c r="N116" s="181"/>
      <c r="O116" s="181"/>
      <c r="P116" s="181"/>
      <c r="Q116" s="178"/>
      <c r="R116" s="182"/>
      <c r="S116" s="178"/>
      <c r="T116" s="183">
        <f t="shared" si="14"/>
        <v>0</v>
      </c>
      <c r="U116" s="183">
        <f t="shared" si="12"/>
        <v>0</v>
      </c>
      <c r="V116" s="183"/>
      <c r="W116" s="183"/>
      <c r="X116" s="183">
        <f t="shared" si="13"/>
        <v>0</v>
      </c>
      <c r="Y116" s="179"/>
      <c r="Z116" s="249">
        <f t="shared" si="11"/>
        <v>0</v>
      </c>
      <c r="AB116" s="283"/>
    </row>
    <row r="117" spans="1:28">
      <c r="A117" s="1">
        <f t="shared" si="15"/>
        <v>106</v>
      </c>
      <c r="C117" s="1">
        <v>106</v>
      </c>
      <c r="D117" s="1">
        <v>1106</v>
      </c>
      <c r="E117" s="131"/>
      <c r="F117" s="1" t="s">
        <v>137</v>
      </c>
      <c r="H117" s="31">
        <v>552</v>
      </c>
      <c r="I117" s="90">
        <v>0</v>
      </c>
      <c r="J117" s="90"/>
      <c r="K117" s="177"/>
      <c r="L117" s="181">
        <v>48548.43</v>
      </c>
      <c r="M117" s="181">
        <v>0</v>
      </c>
      <c r="N117" s="181"/>
      <c r="O117" s="181"/>
      <c r="P117" s="181"/>
      <c r="Q117" s="178"/>
      <c r="R117" s="182"/>
      <c r="S117" s="178"/>
      <c r="T117" s="183">
        <f t="shared" si="14"/>
        <v>0</v>
      </c>
      <c r="U117" s="183">
        <f t="shared" si="12"/>
        <v>0</v>
      </c>
      <c r="V117" s="183"/>
      <c r="W117" s="183"/>
      <c r="X117" s="183">
        <f t="shared" si="13"/>
        <v>0</v>
      </c>
      <c r="Y117" s="179"/>
      <c r="Z117" s="249">
        <f t="shared" si="11"/>
        <v>0</v>
      </c>
      <c r="AB117" s="283"/>
    </row>
    <row r="118" spans="1:28">
      <c r="A118" s="1">
        <f t="shared" si="15"/>
        <v>107</v>
      </c>
      <c r="C118" s="1">
        <v>107</v>
      </c>
      <c r="D118" s="1">
        <v>1107</v>
      </c>
      <c r="E118" s="131"/>
      <c r="F118" s="1" t="s">
        <v>138</v>
      </c>
      <c r="H118" s="31"/>
      <c r="I118" s="90"/>
      <c r="J118" s="90"/>
      <c r="K118" s="177"/>
      <c r="L118" s="181"/>
      <c r="M118" s="181"/>
      <c r="N118" s="181"/>
      <c r="O118" s="181"/>
      <c r="P118" s="181"/>
      <c r="Q118" s="178"/>
      <c r="R118" s="182">
        <v>37.99</v>
      </c>
      <c r="S118" s="178"/>
      <c r="T118" s="183">
        <f t="shared" si="14"/>
        <v>79019.199999999997</v>
      </c>
      <c r="U118" s="183">
        <f t="shared" si="12"/>
        <v>0</v>
      </c>
      <c r="V118" s="183"/>
      <c r="W118" s="183"/>
      <c r="X118" s="183">
        <f t="shared" si="13"/>
        <v>79019.199999999997</v>
      </c>
      <c r="Y118" s="179"/>
      <c r="Z118" s="249">
        <f t="shared" si="11"/>
        <v>79019.199999999997</v>
      </c>
      <c r="AB118" s="283"/>
    </row>
    <row r="119" spans="1:28">
      <c r="A119" s="1">
        <f t="shared" si="15"/>
        <v>108</v>
      </c>
      <c r="C119" s="1">
        <v>108</v>
      </c>
      <c r="D119" s="1">
        <v>1108</v>
      </c>
      <c r="E119" s="131"/>
      <c r="F119" s="1" t="s">
        <v>138</v>
      </c>
      <c r="H119" s="31"/>
      <c r="I119" s="90"/>
      <c r="J119" s="90"/>
      <c r="K119" s="177"/>
      <c r="L119" s="181"/>
      <c r="M119" s="181"/>
      <c r="N119" s="181"/>
      <c r="O119" s="181"/>
      <c r="P119" s="181"/>
      <c r="Q119" s="178"/>
      <c r="R119" s="182">
        <v>21.5</v>
      </c>
      <c r="S119" s="178"/>
      <c r="T119" s="183">
        <f t="shared" si="14"/>
        <v>44720</v>
      </c>
      <c r="U119" s="183">
        <f t="shared" si="12"/>
        <v>0</v>
      </c>
      <c r="V119" s="183"/>
      <c r="W119" s="183"/>
      <c r="X119" s="183">
        <f t="shared" si="13"/>
        <v>44720</v>
      </c>
      <c r="Y119" s="179"/>
      <c r="Z119" s="249">
        <f t="shared" si="11"/>
        <v>44720</v>
      </c>
      <c r="AB119" s="283"/>
    </row>
    <row r="120" spans="1:28">
      <c r="C120" s="1">
        <v>109</v>
      </c>
      <c r="E120" s="131"/>
      <c r="F120" s="1" t="s">
        <v>137</v>
      </c>
      <c r="H120" s="31"/>
      <c r="I120" s="90"/>
      <c r="J120" s="90"/>
      <c r="K120" s="177"/>
      <c r="L120" s="181"/>
      <c r="M120" s="181"/>
      <c r="N120" s="181"/>
      <c r="O120" s="181"/>
      <c r="P120" s="181"/>
      <c r="Q120" s="178"/>
      <c r="R120" s="182"/>
      <c r="S120" s="178"/>
      <c r="T120" s="183">
        <f t="shared" si="14"/>
        <v>0</v>
      </c>
      <c r="U120" s="183">
        <f t="shared" si="12"/>
        <v>0</v>
      </c>
      <c r="V120" s="183"/>
      <c r="W120" s="183"/>
      <c r="X120" s="183"/>
      <c r="Y120" s="179"/>
      <c r="Z120" s="119"/>
      <c r="AB120" s="283"/>
    </row>
    <row r="121" spans="1:28">
      <c r="E121" s="131"/>
      <c r="H121" s="31"/>
      <c r="I121" s="90"/>
      <c r="J121" s="90"/>
      <c r="K121" s="177"/>
      <c r="L121" s="181"/>
      <c r="M121" s="181"/>
      <c r="N121" s="181"/>
      <c r="O121" s="181"/>
      <c r="P121" s="181"/>
      <c r="Q121" s="178"/>
      <c r="R121" s="182"/>
      <c r="S121" s="178"/>
      <c r="T121" s="183"/>
      <c r="U121" s="183"/>
      <c r="V121" s="183"/>
      <c r="W121" s="183"/>
      <c r="X121" s="183"/>
      <c r="Y121" s="179"/>
      <c r="Z121" s="119"/>
      <c r="AB121" s="283"/>
    </row>
    <row r="122" spans="1:28">
      <c r="E122" s="131"/>
      <c r="H122" s="31"/>
      <c r="I122" s="90"/>
      <c r="J122" s="90"/>
      <c r="K122" s="177"/>
      <c r="L122" s="181"/>
      <c r="M122" s="181"/>
      <c r="N122" s="181"/>
      <c r="O122" s="181"/>
      <c r="P122" s="181"/>
      <c r="Q122" s="178"/>
      <c r="R122" s="182"/>
      <c r="S122" s="178"/>
      <c r="T122" s="183"/>
      <c r="U122" s="183"/>
      <c r="V122" s="183"/>
      <c r="W122" s="183"/>
      <c r="X122" s="183"/>
      <c r="Y122" s="179"/>
      <c r="Z122" s="119"/>
      <c r="AB122" s="283"/>
    </row>
    <row r="123" spans="1:28">
      <c r="E123" s="131"/>
      <c r="H123" s="31"/>
      <c r="I123" s="90"/>
      <c r="J123" s="90"/>
      <c r="K123" s="177"/>
      <c r="L123" s="181"/>
      <c r="M123" s="181"/>
      <c r="N123" s="181"/>
      <c r="O123" s="181"/>
      <c r="P123" s="181"/>
      <c r="Q123" s="178"/>
      <c r="R123" s="182"/>
      <c r="S123" s="178"/>
      <c r="T123" s="183"/>
      <c r="U123" s="183"/>
      <c r="V123" s="183"/>
      <c r="W123" s="183"/>
      <c r="X123" s="183"/>
      <c r="Y123" s="179"/>
      <c r="Z123" s="119"/>
      <c r="AB123" s="283"/>
    </row>
    <row r="124" spans="1:28">
      <c r="E124" s="131"/>
      <c r="H124" s="31"/>
      <c r="I124" s="90"/>
      <c r="J124" s="90"/>
      <c r="K124" s="177"/>
      <c r="L124" s="181"/>
      <c r="M124" s="181"/>
      <c r="N124" s="181"/>
      <c r="O124" s="181"/>
      <c r="P124" s="181"/>
      <c r="Q124" s="178"/>
      <c r="R124" s="182"/>
      <c r="S124" s="178"/>
      <c r="T124" s="183"/>
      <c r="U124" s="183"/>
      <c r="V124" s="183"/>
      <c r="W124" s="183"/>
      <c r="X124" s="183"/>
      <c r="Y124" s="179"/>
      <c r="Z124" s="119"/>
      <c r="AB124" s="283"/>
    </row>
    <row r="125" spans="1:28">
      <c r="A125" s="1">
        <f>A60+1</f>
        <v>50</v>
      </c>
      <c r="C125" s="4">
        <v>109</v>
      </c>
      <c r="D125" s="184" t="s">
        <v>14</v>
      </c>
      <c r="E125" s="185" t="s">
        <v>22</v>
      </c>
      <c r="F125" s="184"/>
      <c r="H125" s="186">
        <f>SUM(H12:H124)</f>
        <v>191375</v>
      </c>
      <c r="I125" s="186">
        <f>SUM(I12:I119)</f>
        <v>16960.5</v>
      </c>
      <c r="J125" s="186">
        <f>SUM(J17:J40,J41:J60)</f>
        <v>0</v>
      </c>
      <c r="K125" s="177"/>
      <c r="L125" s="186">
        <f>SUM(L12:L124)</f>
        <v>8121520.009999997</v>
      </c>
      <c r="M125" s="186">
        <f>SUM(M12:M124)</f>
        <v>996287.62999999954</v>
      </c>
      <c r="N125" s="186">
        <f>SUM(N17:N40,N41:N60)</f>
        <v>0</v>
      </c>
      <c r="O125" s="186">
        <f>SUM(O12:O124)</f>
        <v>0</v>
      </c>
      <c r="P125" s="186">
        <f>SUM(P12:P124)</f>
        <v>8955618.2400000002</v>
      </c>
      <c r="Q125" s="178"/>
      <c r="R125" s="186"/>
      <c r="S125" s="178"/>
      <c r="T125" s="186">
        <f>SUM(T12:T119)</f>
        <v>8517495.9999999963</v>
      </c>
      <c r="U125" s="186">
        <f>SUM(U12:U119)</f>
        <v>1000265.1449999998</v>
      </c>
      <c r="V125" s="186">
        <f>SUM(V17:V40,V41:V60)</f>
        <v>0</v>
      </c>
      <c r="W125" s="186">
        <f>SUM(W12:W119)</f>
        <v>0</v>
      </c>
      <c r="X125" s="186">
        <f>SUM(X12:X119)</f>
        <v>9517761.1450000014</v>
      </c>
      <c r="Y125" s="179"/>
      <c r="Z125" s="186">
        <f>SUM(Z12:Z119)</f>
        <v>562142.90500000014</v>
      </c>
      <c r="AB125" s="133"/>
    </row>
    <row r="126" spans="1:28" s="187" customFormat="1">
      <c r="A126" s="1">
        <f t="shared" si="15"/>
        <v>51</v>
      </c>
      <c r="C126" s="188"/>
      <c r="D126" s="188"/>
      <c r="F126" s="188"/>
      <c r="G126" s="188"/>
      <c r="K126" s="177"/>
      <c r="Q126" s="178"/>
      <c r="S126" s="178"/>
      <c r="Y126" s="179"/>
      <c r="AB126" s="283"/>
    </row>
    <row r="127" spans="1:28" s="187" customFormat="1" ht="13.5" customHeight="1" thickBot="1">
      <c r="A127" s="1">
        <f t="shared" si="15"/>
        <v>52</v>
      </c>
      <c r="C127" s="189" t="s">
        <v>311</v>
      </c>
      <c r="D127" s="189"/>
      <c r="E127" s="189" t="s">
        <v>15</v>
      </c>
      <c r="F127" s="190"/>
      <c r="G127" s="190"/>
      <c r="H127" s="190"/>
      <c r="I127" s="190"/>
      <c r="J127" s="190"/>
      <c r="K127" s="177"/>
      <c r="L127" s="190"/>
      <c r="M127" s="190"/>
      <c r="N127" s="190"/>
      <c r="O127" s="190"/>
      <c r="P127" s="190"/>
      <c r="Q127" s="178"/>
      <c r="R127" s="190"/>
      <c r="S127" s="178"/>
      <c r="T127" s="190"/>
      <c r="U127" s="190"/>
      <c r="V127" s="190"/>
      <c r="W127" s="190"/>
      <c r="X127" s="190"/>
      <c r="Y127" s="179"/>
      <c r="Z127" s="191">
        <f>Z125</f>
        <v>562142.90500000014</v>
      </c>
      <c r="AB127" s="283"/>
    </row>
    <row r="128" spans="1:28" ht="13.5" thickTop="1"/>
    <row r="129" spans="1:26">
      <c r="D129" s="173" t="s">
        <v>312</v>
      </c>
      <c r="E129" s="192" t="s">
        <v>312</v>
      </c>
      <c r="H129" s="137" t="s">
        <v>137</v>
      </c>
      <c r="I129" s="193" t="s">
        <v>313</v>
      </c>
      <c r="O129" s="137" t="s">
        <v>138</v>
      </c>
      <c r="P129" s="193" t="s">
        <v>406</v>
      </c>
      <c r="W129" s="137"/>
    </row>
    <row r="130" spans="1:26">
      <c r="A130" s="188"/>
    </row>
    <row r="131" spans="1:26" ht="30" customHeight="1">
      <c r="A131" s="188"/>
      <c r="B131" s="36"/>
      <c r="C131" s="290" t="s">
        <v>314</v>
      </c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36"/>
      <c r="Z131" s="36"/>
    </row>
    <row r="133" spans="1:26">
      <c r="A133" s="188"/>
    </row>
    <row r="134" spans="1:26" ht="13.15" customHeight="1">
      <c r="A134" s="188"/>
      <c r="D134" s="194" t="s">
        <v>315</v>
      </c>
      <c r="E134" s="37" t="s">
        <v>315</v>
      </c>
      <c r="L134" s="41" t="s">
        <v>140</v>
      </c>
      <c r="M134" s="41" t="s">
        <v>139</v>
      </c>
      <c r="N134" s="41"/>
      <c r="O134" s="41"/>
      <c r="P134" s="41" t="s">
        <v>15</v>
      </c>
    </row>
    <row r="135" spans="1:26">
      <c r="A135" s="188">
        <f>A127+1</f>
        <v>53</v>
      </c>
      <c r="C135" s="2"/>
      <c r="D135" s="1" t="s">
        <v>130</v>
      </c>
      <c r="E135" s="1" t="s">
        <v>130</v>
      </c>
      <c r="F135" s="2" t="s">
        <v>131</v>
      </c>
      <c r="H135" s="1"/>
      <c r="L135" s="195">
        <v>302009</v>
      </c>
      <c r="M135" s="163">
        <f>L135/K$145</f>
        <v>3.2056401451368705E-2</v>
      </c>
      <c r="P135" s="125">
        <f>$Z$127*M135</f>
        <v>18020.278635718623</v>
      </c>
    </row>
    <row r="136" spans="1:26">
      <c r="A136" s="188">
        <f>A135+1</f>
        <v>54</v>
      </c>
      <c r="C136" s="2"/>
      <c r="D136" s="1" t="s">
        <v>132</v>
      </c>
      <c r="E136" s="1" t="s">
        <v>132</v>
      </c>
      <c r="F136" s="2" t="s">
        <v>133</v>
      </c>
      <c r="H136" s="1"/>
      <c r="L136" s="195">
        <v>1897154</v>
      </c>
      <c r="M136" s="163">
        <f>L136/K$145</f>
        <v>0.20137125131724531</v>
      </c>
      <c r="P136" s="125">
        <f>$Z$127*M136</f>
        <v>113199.42019896139</v>
      </c>
    </row>
    <row r="137" spans="1:26">
      <c r="A137" s="188">
        <f t="shared" ref="A137:A139" si="17">A136+1</f>
        <v>55</v>
      </c>
      <c r="C137" s="2"/>
      <c r="D137" s="1" t="s">
        <v>134</v>
      </c>
      <c r="E137" s="1" t="s">
        <v>134</v>
      </c>
      <c r="F137" s="2" t="s">
        <v>111</v>
      </c>
      <c r="H137" s="1"/>
      <c r="L137" s="195">
        <v>760709</v>
      </c>
      <c r="M137" s="163">
        <f>L137/K$145</f>
        <v>8.0744590696533003E-2</v>
      </c>
      <c r="P137" s="125">
        <f>$Z$127*M137</f>
        <v>45389.99877718505</v>
      </c>
    </row>
    <row r="138" spans="1:26">
      <c r="A138" s="188">
        <f t="shared" si="17"/>
        <v>56</v>
      </c>
      <c r="C138" s="2"/>
      <c r="D138" s="1" t="s">
        <v>316</v>
      </c>
      <c r="E138" s="1" t="s">
        <v>316</v>
      </c>
      <c r="F138" s="2" t="s">
        <v>83</v>
      </c>
      <c r="H138" s="1"/>
      <c r="L138" s="195">
        <v>393014</v>
      </c>
      <c r="M138" s="163">
        <f>L138/K$145</f>
        <v>4.1716023562238941E-2</v>
      </c>
      <c r="P138" s="125">
        <f>$Z$127*M138</f>
        <v>23450.366670325453</v>
      </c>
    </row>
    <row r="139" spans="1:26">
      <c r="A139" s="188">
        <f t="shared" si="17"/>
        <v>57</v>
      </c>
      <c r="C139" s="2"/>
      <c r="D139" s="1" t="s">
        <v>135</v>
      </c>
      <c r="E139" s="1" t="s">
        <v>135</v>
      </c>
      <c r="F139" s="2" t="s">
        <v>129</v>
      </c>
      <c r="H139" s="1"/>
      <c r="L139" s="195">
        <v>1991602</v>
      </c>
      <c r="M139" s="163">
        <f>L139/K$145</f>
        <v>0.21139632674307327</v>
      </c>
      <c r="P139" s="125">
        <f>$Z$127*M139</f>
        <v>118834.94522168042</v>
      </c>
    </row>
    <row r="140" spans="1:26" ht="15" customHeight="1">
      <c r="A140" s="188">
        <f>A139+1</f>
        <v>58</v>
      </c>
      <c r="C140" s="2"/>
      <c r="D140" s="196" t="s">
        <v>317</v>
      </c>
      <c r="E140" s="4"/>
      <c r="F140" s="134"/>
      <c r="G140" s="4"/>
      <c r="H140" s="4"/>
      <c r="I140" s="38"/>
      <c r="J140" s="38"/>
      <c r="K140" s="295">
        <f>SUM(L135:L139)</f>
        <v>5344488</v>
      </c>
      <c r="L140" s="295"/>
      <c r="M140" s="197">
        <f>SUM(M135:M139)</f>
        <v>0.56728459377045926</v>
      </c>
      <c r="P140" s="198">
        <f>SUM(P135:P139)</f>
        <v>318895.00950387097</v>
      </c>
    </row>
    <row r="141" spans="1:26" ht="12" customHeight="1">
      <c r="A141" s="188"/>
      <c r="C141" s="2"/>
      <c r="E141" s="1"/>
      <c r="F141" s="2"/>
      <c r="H141" s="1"/>
      <c r="K141" s="199"/>
      <c r="L141" s="199"/>
      <c r="M141" s="163"/>
    </row>
    <row r="142" spans="1:26">
      <c r="A142" s="1">
        <f>A140+1</f>
        <v>59</v>
      </c>
      <c r="C142" s="2"/>
      <c r="D142" s="1" t="s">
        <v>319</v>
      </c>
      <c r="E142" s="1" t="s">
        <v>319</v>
      </c>
      <c r="F142" s="2" t="s">
        <v>408</v>
      </c>
      <c r="H142" s="1"/>
      <c r="L142" s="195">
        <v>4076688</v>
      </c>
      <c r="M142" s="163">
        <f>L142/K$145</f>
        <v>0.43271540622954074</v>
      </c>
      <c r="P142" s="125">
        <f>$Z$127*M142</f>
        <v>243247.8954961292</v>
      </c>
    </row>
    <row r="143" spans="1:26" ht="15" customHeight="1">
      <c r="A143" s="1">
        <v>60</v>
      </c>
      <c r="C143" s="2"/>
      <c r="D143" s="4"/>
      <c r="E143" s="4"/>
      <c r="F143" s="38"/>
      <c r="G143" s="4"/>
      <c r="H143" s="4"/>
      <c r="I143" s="38" t="s">
        <v>22</v>
      </c>
      <c r="J143" s="38"/>
      <c r="K143" s="295">
        <f>SUM(L142:L142)</f>
        <v>4076688</v>
      </c>
      <c r="L143" s="295"/>
      <c r="M143" s="197">
        <f>SUM(M142:M142)</f>
        <v>0.43271540622954074</v>
      </c>
      <c r="P143" s="200">
        <f>SUM(P142:P142)</f>
        <v>243247.8954961292</v>
      </c>
    </row>
    <row r="144" spans="1:26" ht="5.25" customHeight="1">
      <c r="C144" s="2"/>
      <c r="E144" s="1"/>
      <c r="F144" s="2"/>
      <c r="H144" s="1"/>
      <c r="K144" s="199"/>
      <c r="L144" s="199"/>
      <c r="M144" s="32"/>
    </row>
    <row r="145" spans="1:16" ht="15" customHeight="1" thickBot="1">
      <c r="A145" s="1">
        <f t="shared" ref="A145" si="18">A143+1</f>
        <v>61</v>
      </c>
      <c r="C145" s="2"/>
      <c r="D145" s="39"/>
      <c r="E145" s="39"/>
      <c r="F145" s="3" t="s">
        <v>44</v>
      </c>
      <c r="G145" s="39"/>
      <c r="H145" s="39"/>
      <c r="I145" s="3"/>
      <c r="J145" s="3"/>
      <c r="K145" s="296">
        <f>K140+K143</f>
        <v>9421176</v>
      </c>
      <c r="L145" s="296"/>
      <c r="M145" s="40">
        <f>M140+M143</f>
        <v>1</v>
      </c>
      <c r="P145" s="201">
        <f>P140+P143</f>
        <v>562142.90500000014</v>
      </c>
    </row>
    <row r="146" spans="1:16" ht="13.5" thickTop="1"/>
    <row r="150" spans="1:16">
      <c r="D150" s="194"/>
      <c r="E150" s="37"/>
    </row>
    <row r="151" spans="1:16">
      <c r="J151" s="1"/>
      <c r="K151" s="1"/>
    </row>
    <row r="152" spans="1:16">
      <c r="D152" s="194"/>
      <c r="E152" s="194"/>
      <c r="F152" s="194"/>
      <c r="G152" s="194"/>
      <c r="L152" s="161"/>
      <c r="M152" s="161"/>
    </row>
    <row r="153" spans="1:16">
      <c r="E153" s="1"/>
      <c r="F153" s="2"/>
    </row>
    <row r="154" spans="1:16">
      <c r="D154" s="132"/>
      <c r="E154" s="132"/>
      <c r="F154" s="2"/>
      <c r="L154" s="202"/>
      <c r="M154" s="203"/>
    </row>
    <row r="155" spans="1:16">
      <c r="D155" s="132"/>
      <c r="E155" s="132"/>
      <c r="F155" s="2"/>
      <c r="L155" s="202"/>
      <c r="M155" s="203"/>
    </row>
    <row r="156" spans="1:16">
      <c r="D156" s="132"/>
      <c r="E156" s="132"/>
      <c r="F156" s="2"/>
      <c r="L156" s="202"/>
      <c r="M156" s="203"/>
    </row>
    <row r="157" spans="1:16">
      <c r="D157" s="132"/>
      <c r="E157" s="132"/>
      <c r="F157" s="2"/>
      <c r="L157" s="202"/>
      <c r="M157" s="203"/>
    </row>
    <row r="158" spans="1:16" ht="13.15" customHeight="1">
      <c r="D158" s="132"/>
      <c r="E158" s="132"/>
      <c r="F158" s="2"/>
      <c r="L158" s="202"/>
      <c r="M158" s="203"/>
    </row>
    <row r="159" spans="1:16" ht="13.15" customHeight="1">
      <c r="D159" s="132"/>
      <c r="E159" s="132"/>
      <c r="F159" s="2"/>
      <c r="L159" s="202"/>
      <c r="M159" s="203"/>
    </row>
    <row r="160" spans="1:16">
      <c r="F160" s="2"/>
      <c r="K160" s="297"/>
      <c r="L160" s="297"/>
      <c r="M160" s="203"/>
    </row>
  </sheetData>
  <mergeCells count="14">
    <mergeCell ref="C131:X131"/>
    <mergeCell ref="K140:L140"/>
    <mergeCell ref="K143:L143"/>
    <mergeCell ref="K145:L145"/>
    <mergeCell ref="K160:L160"/>
    <mergeCell ref="A3:Z3"/>
    <mergeCell ref="A4:Z4"/>
    <mergeCell ref="A6:Z6"/>
    <mergeCell ref="C8:F8"/>
    <mergeCell ref="H8:J8"/>
    <mergeCell ref="L8:P8"/>
    <mergeCell ref="R8:R9"/>
    <mergeCell ref="T8:X8"/>
    <mergeCell ref="Z8:Z9"/>
  </mergeCells>
  <printOptions horizontalCentered="1"/>
  <pageMargins left="0.7" right="0.7" top="0.75" bottom="0.75" header="0.3" footer="0.3"/>
  <pageSetup scale="57" fitToHeight="0" orientation="portrait" r:id="rId1"/>
  <headerFooter alignWithMargins="0">
    <oddFooter>&amp;RExhibit JW-2
Page &amp;P of &amp;N</oddFooter>
  </headerFooter>
  <rowBreaks count="1" manualBreakCount="1">
    <brk id="97" max="2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8808-D7A3-4990-9BDE-7D929C0D2CBF}">
  <sheetPr>
    <pageSetUpPr fitToPage="1"/>
  </sheetPr>
  <dimension ref="A1:T150"/>
  <sheetViews>
    <sheetView view="pageBreakPreview" topLeftCell="A119" zoomScaleNormal="75" zoomScaleSheetLayoutView="100" workbookViewId="0">
      <selection activeCell="A135" sqref="A135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6.5703125" style="2" customWidth="1"/>
    <col min="4" max="4" width="9" style="2" customWidth="1"/>
    <col min="5" max="5" width="4.28515625" style="2" customWidth="1"/>
    <col min="6" max="6" width="12.140625" style="2" customWidth="1"/>
    <col min="7" max="7" width="11.5703125" style="2" customWidth="1"/>
    <col min="8" max="8" width="11.7109375" style="2" bestFit="1" customWidth="1"/>
    <col min="9" max="9" width="11.42578125" style="2" customWidth="1"/>
    <col min="10" max="10" width="11.42578125" style="2" bestFit="1" customWidth="1"/>
    <col min="11" max="11" width="12.85546875" style="2" customWidth="1"/>
    <col min="12" max="12" width="7.85546875" style="2" customWidth="1"/>
    <col min="13" max="13" width="11.7109375" style="2" bestFit="1" customWidth="1"/>
    <col min="14" max="14" width="9.5703125" style="2" bestFit="1" customWidth="1"/>
    <col min="15" max="15" width="12.42578125" style="2" customWidth="1"/>
    <col min="16" max="16384" width="9.140625" style="2"/>
  </cols>
  <sheetData>
    <row r="1" spans="1:20">
      <c r="O1" s="128" t="s">
        <v>339</v>
      </c>
    </row>
    <row r="2" spans="1:20" ht="20.25" customHeight="1">
      <c r="C2" s="131"/>
      <c r="F2" s="128"/>
      <c r="I2" s="137"/>
    </row>
    <row r="3" spans="1:20">
      <c r="A3" s="289" t="s">
        <v>385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0">
      <c r="A4" s="289" t="s">
        <v>388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</row>
    <row r="6" spans="1:20" s="129" customFormat="1" ht="15" customHeight="1">
      <c r="A6" s="287" t="s">
        <v>291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</row>
    <row r="7" spans="1:20">
      <c r="D7" s="1"/>
      <c r="E7" s="1"/>
      <c r="G7" s="137"/>
    </row>
    <row r="8" spans="1:20" s="187" customFormat="1" ht="24" customHeight="1">
      <c r="A8" s="188"/>
      <c r="C8" s="298" t="s">
        <v>269</v>
      </c>
      <c r="D8" s="299"/>
      <c r="E8" s="299"/>
      <c r="F8" s="300"/>
      <c r="G8" s="298" t="s">
        <v>320</v>
      </c>
      <c r="H8" s="300"/>
      <c r="I8" s="298" t="s">
        <v>321</v>
      </c>
      <c r="J8" s="300"/>
      <c r="K8" s="298" t="s">
        <v>322</v>
      </c>
      <c r="L8" s="300"/>
      <c r="M8" s="298" t="s">
        <v>323</v>
      </c>
      <c r="N8" s="299"/>
      <c r="O8" s="205" t="s">
        <v>44</v>
      </c>
    </row>
    <row r="9" spans="1:20">
      <c r="A9" s="1"/>
      <c r="C9" s="206"/>
      <c r="D9" s="4"/>
      <c r="E9" s="4"/>
      <c r="F9" s="207" t="s">
        <v>324</v>
      </c>
      <c r="G9" s="208" t="s">
        <v>325</v>
      </c>
      <c r="H9" s="209" t="s">
        <v>326</v>
      </c>
      <c r="I9" s="210" t="s">
        <v>327</v>
      </c>
      <c r="J9" s="209" t="s">
        <v>326</v>
      </c>
      <c r="K9" s="209" t="s">
        <v>325</v>
      </c>
      <c r="L9" s="210" t="s">
        <v>326</v>
      </c>
      <c r="M9" s="209" t="s">
        <v>325</v>
      </c>
      <c r="N9" s="208" t="s">
        <v>326</v>
      </c>
      <c r="O9" s="211" t="s">
        <v>328</v>
      </c>
      <c r="Q9" s="187"/>
      <c r="R9" s="187"/>
      <c r="S9" s="187"/>
      <c r="T9" s="187"/>
    </row>
    <row r="10" spans="1:20">
      <c r="A10" s="1" t="s">
        <v>0</v>
      </c>
      <c r="C10" s="212" t="s">
        <v>303</v>
      </c>
      <c r="D10" s="1" t="s">
        <v>294</v>
      </c>
      <c r="E10" s="1" t="s">
        <v>305</v>
      </c>
      <c r="F10" s="213" t="s">
        <v>329</v>
      </c>
      <c r="G10" s="214">
        <v>132900</v>
      </c>
      <c r="H10" s="215">
        <v>6.2E-2</v>
      </c>
      <c r="I10" s="216" t="s">
        <v>329</v>
      </c>
      <c r="J10" s="215">
        <v>1.4500000000000001E-2</v>
      </c>
      <c r="K10" s="217">
        <v>7000</v>
      </c>
      <c r="L10" s="218">
        <v>6.0000000000000001E-3</v>
      </c>
      <c r="M10" s="217">
        <v>11400</v>
      </c>
      <c r="N10" s="219">
        <v>3.0000000000000001E-3</v>
      </c>
      <c r="O10" s="215" t="s">
        <v>330</v>
      </c>
      <c r="Q10" s="187"/>
      <c r="R10" s="187"/>
      <c r="S10" s="187"/>
      <c r="T10" s="187"/>
    </row>
    <row r="11" spans="1:20">
      <c r="A11" s="34" t="s">
        <v>21</v>
      </c>
      <c r="C11" s="220">
        <v>1</v>
      </c>
      <c r="D11" s="221">
        <f>C11+1</f>
        <v>2</v>
      </c>
      <c r="E11" s="221">
        <f>D11+1</f>
        <v>3</v>
      </c>
      <c r="F11" s="222">
        <v>4</v>
      </c>
      <c r="G11" s="221">
        <f t="shared" ref="G11:O11" si="0">F11+1</f>
        <v>5</v>
      </c>
      <c r="H11" s="223">
        <f t="shared" si="0"/>
        <v>6</v>
      </c>
      <c r="I11" s="221">
        <f t="shared" si="0"/>
        <v>7</v>
      </c>
      <c r="J11" s="223">
        <f t="shared" si="0"/>
        <v>8</v>
      </c>
      <c r="K11" s="223">
        <f t="shared" si="0"/>
        <v>9</v>
      </c>
      <c r="L11" s="221">
        <f t="shared" si="0"/>
        <v>10</v>
      </c>
      <c r="M11" s="223">
        <f t="shared" si="0"/>
        <v>11</v>
      </c>
      <c r="N11" s="223">
        <f t="shared" si="0"/>
        <v>12</v>
      </c>
      <c r="O11" s="223">
        <f t="shared" si="0"/>
        <v>13</v>
      </c>
      <c r="Q11" s="187"/>
      <c r="R11" s="187"/>
      <c r="S11" s="187"/>
      <c r="T11" s="187"/>
    </row>
    <row r="12" spans="1:20">
      <c r="A12" s="1"/>
      <c r="C12" s="1"/>
      <c r="D12" s="1"/>
      <c r="E12" s="1"/>
    </row>
    <row r="13" spans="1:20" ht="20.100000000000001" hidden="1" customHeight="1">
      <c r="A13" s="1"/>
      <c r="C13" s="1"/>
      <c r="D13" s="1"/>
      <c r="E13" s="1"/>
      <c r="F13" s="224"/>
      <c r="G13" s="33"/>
      <c r="H13" s="33"/>
      <c r="Q13" s="225"/>
    </row>
    <row r="14" spans="1:20" ht="20.100000000000001" hidden="1" customHeight="1">
      <c r="A14" s="1"/>
      <c r="C14" s="1"/>
      <c r="D14" s="226"/>
      <c r="E14" s="226"/>
      <c r="F14" s="227"/>
      <c r="G14" s="33"/>
      <c r="H14" s="33"/>
      <c r="I14" s="1"/>
      <c r="J14" s="1"/>
      <c r="K14" s="1"/>
      <c r="Q14" s="225"/>
    </row>
    <row r="15" spans="1:20" s="1" customFormat="1" ht="13.5" hidden="1" thickBot="1">
      <c r="C15" s="1" t="s">
        <v>303</v>
      </c>
      <c r="D15" s="1" t="s">
        <v>331</v>
      </c>
      <c r="F15" s="228" t="s">
        <v>44</v>
      </c>
      <c r="G15" s="151"/>
      <c r="H15" s="151"/>
      <c r="I15" s="152"/>
      <c r="J15" s="226"/>
      <c r="K15" s="226"/>
      <c r="N15" s="229"/>
      <c r="O15" s="229"/>
      <c r="P15" s="230"/>
    </row>
    <row r="16" spans="1:20">
      <c r="A16" s="1">
        <v>1</v>
      </c>
      <c r="C16" s="1">
        <f>'1.12 Wages'!C12</f>
        <v>1</v>
      </c>
      <c r="D16" s="1">
        <f>'1.12 Wages'!D12</f>
        <v>1001</v>
      </c>
      <c r="E16" s="1">
        <f>'1.12 Wages'!F12</f>
        <v>0</v>
      </c>
      <c r="F16" s="157">
        <f>'1.12 Wages'!X12</f>
        <v>76731.199999999997</v>
      </c>
      <c r="G16" s="157">
        <f>IF($F16&lt;G$10,$F16,G$10)</f>
        <v>76731.199999999997</v>
      </c>
      <c r="H16" s="157">
        <f>G16*H$10</f>
        <v>4757.3343999999997</v>
      </c>
      <c r="I16" s="157">
        <f t="shared" ref="I16:I64" si="1">F16</f>
        <v>76731.199999999997</v>
      </c>
      <c r="J16" s="157">
        <f>I16*J$10</f>
        <v>1112.6024</v>
      </c>
      <c r="K16" s="157">
        <f t="shared" ref="K16:K79" si="2">IF($F16&lt;K$10,$F16,K$10)</f>
        <v>7000</v>
      </c>
      <c r="L16" s="157">
        <f>K16*L$10</f>
        <v>42</v>
      </c>
      <c r="M16" s="157">
        <f t="shared" ref="M16:M79" si="3">IF($F16&lt;M$10,$F16,M$10)</f>
        <v>11400</v>
      </c>
      <c r="N16" s="157">
        <f>M16*N$10</f>
        <v>34.200000000000003</v>
      </c>
      <c r="O16" s="157">
        <f>H16+J16+L16+N16</f>
        <v>5946.1367999999993</v>
      </c>
    </row>
    <row r="17" spans="1:15">
      <c r="A17" s="1">
        <f>A16+1</f>
        <v>2</v>
      </c>
      <c r="C17" s="1">
        <f>'1.12 Wages'!C13</f>
        <v>2</v>
      </c>
      <c r="D17" s="1">
        <f>'1.12 Wages'!D13</f>
        <v>1002</v>
      </c>
      <c r="E17" s="1">
        <f>'1.12 Wages'!F13</f>
        <v>0</v>
      </c>
      <c r="F17" s="157">
        <f>'1.12 Wages'!X13</f>
        <v>75982.400000000009</v>
      </c>
      <c r="G17" s="157">
        <f t="shared" ref="G17:G80" si="4">IF($F17&lt;G$10,$F17,G$10)</f>
        <v>75982.400000000009</v>
      </c>
      <c r="H17" s="157">
        <f t="shared" ref="H17:H64" si="5">G17*H$10</f>
        <v>4710.9088000000002</v>
      </c>
      <c r="I17" s="157">
        <f t="shared" si="1"/>
        <v>75982.400000000009</v>
      </c>
      <c r="J17" s="157">
        <f t="shared" ref="J17:J64" si="6">I17*J$10</f>
        <v>1101.7448000000002</v>
      </c>
      <c r="K17" s="157">
        <f t="shared" si="2"/>
        <v>7000</v>
      </c>
      <c r="L17" s="157">
        <f t="shared" ref="L17:L64" si="7">K17*L$10</f>
        <v>42</v>
      </c>
      <c r="M17" s="157">
        <f t="shared" si="3"/>
        <v>11400</v>
      </c>
      <c r="N17" s="157">
        <f t="shared" ref="N17:N64" si="8">M17*N$10</f>
        <v>34.200000000000003</v>
      </c>
      <c r="O17" s="157">
        <f t="shared" ref="O17:O64" si="9">H17+J17+L17+N17</f>
        <v>5888.8536000000004</v>
      </c>
    </row>
    <row r="18" spans="1:15">
      <c r="A18" s="1">
        <f t="shared" ref="A18:A132" si="10">A17+1</f>
        <v>3</v>
      </c>
      <c r="C18" s="1">
        <f>'1.12 Wages'!C14</f>
        <v>3</v>
      </c>
      <c r="D18" s="1">
        <f>'1.12 Wages'!D14</f>
        <v>1003</v>
      </c>
      <c r="E18" s="1">
        <f>'1.12 Wages'!F14</f>
        <v>0</v>
      </c>
      <c r="F18" s="157">
        <f>'1.12 Wages'!X14</f>
        <v>54689.55</v>
      </c>
      <c r="G18" s="157">
        <f t="shared" si="4"/>
        <v>54689.55</v>
      </c>
      <c r="H18" s="157">
        <f t="shared" si="5"/>
        <v>3390.7521000000002</v>
      </c>
      <c r="I18" s="157">
        <f t="shared" si="1"/>
        <v>54689.55</v>
      </c>
      <c r="J18" s="157">
        <f t="shared" si="6"/>
        <v>792.9984750000001</v>
      </c>
      <c r="K18" s="157">
        <f t="shared" si="2"/>
        <v>7000</v>
      </c>
      <c r="L18" s="157">
        <f t="shared" si="7"/>
        <v>42</v>
      </c>
      <c r="M18" s="157">
        <f t="shared" si="3"/>
        <v>11400</v>
      </c>
      <c r="N18" s="157">
        <f t="shared" si="8"/>
        <v>34.200000000000003</v>
      </c>
      <c r="O18" s="157">
        <f t="shared" si="9"/>
        <v>4259.9505749999998</v>
      </c>
    </row>
    <row r="19" spans="1:15">
      <c r="A19" s="1">
        <f t="shared" si="10"/>
        <v>4</v>
      </c>
      <c r="C19" s="1">
        <f>'1.12 Wages'!C15</f>
        <v>4</v>
      </c>
      <c r="D19" s="1">
        <f>'1.12 Wages'!D15</f>
        <v>1004</v>
      </c>
      <c r="E19" s="1">
        <f>'1.12 Wages'!F15</f>
        <v>0</v>
      </c>
      <c r="F19" s="157">
        <f>'1.12 Wages'!X15</f>
        <v>121282.0175</v>
      </c>
      <c r="G19" s="157">
        <f t="shared" si="4"/>
        <v>121282.0175</v>
      </c>
      <c r="H19" s="157">
        <f t="shared" si="5"/>
        <v>7519.4850850000003</v>
      </c>
      <c r="I19" s="157">
        <f t="shared" si="1"/>
        <v>121282.0175</v>
      </c>
      <c r="J19" s="157">
        <f t="shared" si="6"/>
        <v>1758.5892537500001</v>
      </c>
      <c r="K19" s="157">
        <f t="shared" si="2"/>
        <v>7000</v>
      </c>
      <c r="L19" s="157">
        <f t="shared" si="7"/>
        <v>42</v>
      </c>
      <c r="M19" s="157">
        <f t="shared" si="3"/>
        <v>11400</v>
      </c>
      <c r="N19" s="157">
        <f t="shared" si="8"/>
        <v>34.200000000000003</v>
      </c>
      <c r="O19" s="157">
        <f t="shared" si="9"/>
        <v>9354.2743387500013</v>
      </c>
    </row>
    <row r="20" spans="1:15">
      <c r="A20" s="1">
        <f t="shared" si="10"/>
        <v>5</v>
      </c>
      <c r="C20" s="1">
        <f>'1.12 Wages'!C16</f>
        <v>5</v>
      </c>
      <c r="D20" s="1">
        <f>'1.12 Wages'!D16</f>
        <v>1005</v>
      </c>
      <c r="E20" s="1">
        <f>'1.12 Wages'!F16</f>
        <v>0</v>
      </c>
      <c r="F20" s="157">
        <f>'1.12 Wages'!X16</f>
        <v>127457.5575</v>
      </c>
      <c r="G20" s="157">
        <f t="shared" si="4"/>
        <v>127457.5575</v>
      </c>
      <c r="H20" s="157">
        <f t="shared" si="5"/>
        <v>7902.3685649999998</v>
      </c>
      <c r="I20" s="157">
        <f t="shared" si="1"/>
        <v>127457.5575</v>
      </c>
      <c r="J20" s="157">
        <f t="shared" si="6"/>
        <v>1848.13458375</v>
      </c>
      <c r="K20" s="157">
        <f t="shared" si="2"/>
        <v>7000</v>
      </c>
      <c r="L20" s="157">
        <f t="shared" si="7"/>
        <v>42</v>
      </c>
      <c r="M20" s="157">
        <f t="shared" si="3"/>
        <v>11400</v>
      </c>
      <c r="N20" s="157">
        <f t="shared" si="8"/>
        <v>34.200000000000003</v>
      </c>
      <c r="O20" s="157">
        <f t="shared" si="9"/>
        <v>9826.7031487500008</v>
      </c>
    </row>
    <row r="21" spans="1:15">
      <c r="A21" s="1">
        <f t="shared" si="10"/>
        <v>6</v>
      </c>
      <c r="C21" s="1">
        <f>'1.12 Wages'!C17</f>
        <v>6</v>
      </c>
      <c r="D21" s="1">
        <f>'1.12 Wages'!D17</f>
        <v>1006</v>
      </c>
      <c r="E21" s="1">
        <f>'1.12 Wages'!F17</f>
        <v>0</v>
      </c>
      <c r="F21" s="157">
        <f>'1.12 Wages'!X17</f>
        <v>135382.16</v>
      </c>
      <c r="G21" s="157">
        <f t="shared" si="4"/>
        <v>132900</v>
      </c>
      <c r="H21" s="157">
        <f t="shared" si="5"/>
        <v>8239.7999999999993</v>
      </c>
      <c r="I21" s="157">
        <f t="shared" si="1"/>
        <v>135382.16</v>
      </c>
      <c r="J21" s="157">
        <f t="shared" si="6"/>
        <v>1963.04132</v>
      </c>
      <c r="K21" s="157">
        <f t="shared" si="2"/>
        <v>7000</v>
      </c>
      <c r="L21" s="157">
        <f t="shared" si="7"/>
        <v>42</v>
      </c>
      <c r="M21" s="157">
        <f t="shared" si="3"/>
        <v>11400</v>
      </c>
      <c r="N21" s="157">
        <f t="shared" si="8"/>
        <v>34.200000000000003</v>
      </c>
      <c r="O21" s="157">
        <f t="shared" si="9"/>
        <v>10279.04132</v>
      </c>
    </row>
    <row r="22" spans="1:15">
      <c r="A22" s="1">
        <f t="shared" si="10"/>
        <v>7</v>
      </c>
      <c r="C22" s="1">
        <f>'1.12 Wages'!C18</f>
        <v>7</v>
      </c>
      <c r="D22" s="1">
        <f>'1.12 Wages'!D18</f>
        <v>1007</v>
      </c>
      <c r="E22" s="1">
        <f>'1.12 Wages'!F18</f>
        <v>0</v>
      </c>
      <c r="F22" s="157">
        <f>'1.12 Wages'!X18</f>
        <v>86334.95</v>
      </c>
      <c r="G22" s="157">
        <f t="shared" si="4"/>
        <v>86334.95</v>
      </c>
      <c r="H22" s="157">
        <f t="shared" si="5"/>
        <v>5352.7668999999996</v>
      </c>
      <c r="I22" s="157">
        <f t="shared" si="1"/>
        <v>86334.95</v>
      </c>
      <c r="J22" s="157">
        <f t="shared" si="6"/>
        <v>1251.856775</v>
      </c>
      <c r="K22" s="157">
        <f t="shared" si="2"/>
        <v>7000</v>
      </c>
      <c r="L22" s="157">
        <f t="shared" si="7"/>
        <v>42</v>
      </c>
      <c r="M22" s="157">
        <f t="shared" si="3"/>
        <v>11400</v>
      </c>
      <c r="N22" s="157">
        <f t="shared" si="8"/>
        <v>34.200000000000003</v>
      </c>
      <c r="O22" s="157">
        <f t="shared" si="9"/>
        <v>6680.8236749999996</v>
      </c>
    </row>
    <row r="23" spans="1:15">
      <c r="A23" s="1">
        <f t="shared" si="10"/>
        <v>8</v>
      </c>
      <c r="C23" s="1">
        <f>'1.12 Wages'!C19</f>
        <v>8</v>
      </c>
      <c r="D23" s="1">
        <f>'1.12 Wages'!D19</f>
        <v>1008</v>
      </c>
      <c r="E23" s="1">
        <f>'1.12 Wages'!F19</f>
        <v>0</v>
      </c>
      <c r="F23" s="157">
        <f>'1.12 Wages'!X19</f>
        <v>120815.87</v>
      </c>
      <c r="G23" s="157">
        <f t="shared" si="4"/>
        <v>120815.87</v>
      </c>
      <c r="H23" s="157">
        <f t="shared" si="5"/>
        <v>7490.5839399999995</v>
      </c>
      <c r="I23" s="157">
        <f t="shared" si="1"/>
        <v>120815.87</v>
      </c>
      <c r="J23" s="157">
        <f t="shared" si="6"/>
        <v>1751.830115</v>
      </c>
      <c r="K23" s="157">
        <f t="shared" si="2"/>
        <v>7000</v>
      </c>
      <c r="L23" s="157">
        <f t="shared" si="7"/>
        <v>42</v>
      </c>
      <c r="M23" s="157">
        <f t="shared" si="3"/>
        <v>11400</v>
      </c>
      <c r="N23" s="157">
        <f t="shared" si="8"/>
        <v>34.200000000000003</v>
      </c>
      <c r="O23" s="157">
        <f t="shared" si="9"/>
        <v>9318.614055</v>
      </c>
    </row>
    <row r="24" spans="1:15">
      <c r="A24" s="1">
        <f t="shared" si="10"/>
        <v>9</v>
      </c>
      <c r="C24" s="1">
        <f>'1.12 Wages'!C20</f>
        <v>9</v>
      </c>
      <c r="D24" s="1">
        <f>'1.12 Wages'!D20</f>
        <v>1009</v>
      </c>
      <c r="E24" s="1">
        <f>'1.12 Wages'!F20</f>
        <v>0</v>
      </c>
      <c r="F24" s="157">
        <f>'1.12 Wages'!X20</f>
        <v>123489.59999999999</v>
      </c>
      <c r="G24" s="157">
        <f t="shared" si="4"/>
        <v>123489.59999999999</v>
      </c>
      <c r="H24" s="157">
        <f t="shared" si="5"/>
        <v>7656.3551999999991</v>
      </c>
      <c r="I24" s="157">
        <f t="shared" si="1"/>
        <v>123489.59999999999</v>
      </c>
      <c r="J24" s="157">
        <f t="shared" si="6"/>
        <v>1790.5991999999999</v>
      </c>
      <c r="K24" s="157">
        <f t="shared" si="2"/>
        <v>7000</v>
      </c>
      <c r="L24" s="157">
        <f t="shared" si="7"/>
        <v>42</v>
      </c>
      <c r="M24" s="157">
        <f t="shared" si="3"/>
        <v>11400</v>
      </c>
      <c r="N24" s="157">
        <f t="shared" si="8"/>
        <v>34.200000000000003</v>
      </c>
      <c r="O24" s="157">
        <f t="shared" si="9"/>
        <v>9523.1543999999994</v>
      </c>
    </row>
    <row r="25" spans="1:15">
      <c r="A25" s="1">
        <f t="shared" si="10"/>
        <v>10</v>
      </c>
      <c r="C25" s="1">
        <f>'1.12 Wages'!C21</f>
        <v>10</v>
      </c>
      <c r="D25" s="1">
        <f>'1.12 Wages'!D21</f>
        <v>1010</v>
      </c>
      <c r="E25" s="1">
        <f>'1.12 Wages'!F21</f>
        <v>0</v>
      </c>
      <c r="F25" s="157">
        <f>'1.12 Wages'!X21</f>
        <v>128223.02</v>
      </c>
      <c r="G25" s="157">
        <f t="shared" si="4"/>
        <v>128223.02</v>
      </c>
      <c r="H25" s="157">
        <f t="shared" si="5"/>
        <v>7949.8272400000005</v>
      </c>
      <c r="I25" s="157">
        <f t="shared" si="1"/>
        <v>128223.02</v>
      </c>
      <c r="J25" s="157">
        <f t="shared" si="6"/>
        <v>1859.2337900000002</v>
      </c>
      <c r="K25" s="157">
        <f t="shared" si="2"/>
        <v>7000</v>
      </c>
      <c r="L25" s="157">
        <f t="shared" si="7"/>
        <v>42</v>
      </c>
      <c r="M25" s="157">
        <f t="shared" si="3"/>
        <v>11400</v>
      </c>
      <c r="N25" s="157">
        <f t="shared" si="8"/>
        <v>34.200000000000003</v>
      </c>
      <c r="O25" s="157">
        <f t="shared" si="9"/>
        <v>9885.2610300000015</v>
      </c>
    </row>
    <row r="26" spans="1:15">
      <c r="A26" s="1">
        <f t="shared" si="10"/>
        <v>11</v>
      </c>
      <c r="C26" s="1">
        <f>'1.12 Wages'!C22</f>
        <v>11</v>
      </c>
      <c r="D26" s="1">
        <f>'1.12 Wages'!D22</f>
        <v>1011</v>
      </c>
      <c r="E26" s="1">
        <f>'1.12 Wages'!F22</f>
        <v>0</v>
      </c>
      <c r="F26" s="157">
        <f>'1.12 Wages'!X22</f>
        <v>99840</v>
      </c>
      <c r="G26" s="157">
        <f t="shared" si="4"/>
        <v>99840</v>
      </c>
      <c r="H26" s="157">
        <f t="shared" si="5"/>
        <v>6190.08</v>
      </c>
      <c r="I26" s="157">
        <f t="shared" si="1"/>
        <v>99840</v>
      </c>
      <c r="J26" s="157">
        <f t="shared" si="6"/>
        <v>1447.68</v>
      </c>
      <c r="K26" s="157">
        <f t="shared" si="2"/>
        <v>7000</v>
      </c>
      <c r="L26" s="157">
        <f t="shared" si="7"/>
        <v>42</v>
      </c>
      <c r="M26" s="157">
        <f t="shared" si="3"/>
        <v>11400</v>
      </c>
      <c r="N26" s="157">
        <f t="shared" si="8"/>
        <v>34.200000000000003</v>
      </c>
      <c r="O26" s="157">
        <f t="shared" si="9"/>
        <v>7713.96</v>
      </c>
    </row>
    <row r="27" spans="1:15">
      <c r="A27" s="1">
        <f t="shared" si="10"/>
        <v>12</v>
      </c>
      <c r="C27" s="1">
        <f>'1.12 Wages'!C23</f>
        <v>12</v>
      </c>
      <c r="D27" s="1">
        <f>'1.12 Wages'!D23</f>
        <v>1012</v>
      </c>
      <c r="E27" s="1" t="str">
        <f>'1.12 Wages'!F23</f>
        <v>A</v>
      </c>
      <c r="F27" s="157">
        <f>'1.12 Wages'!X23</f>
        <v>0</v>
      </c>
      <c r="G27" s="157">
        <f t="shared" si="4"/>
        <v>0</v>
      </c>
      <c r="H27" s="157">
        <f t="shared" si="5"/>
        <v>0</v>
      </c>
      <c r="I27" s="157">
        <f t="shared" si="1"/>
        <v>0</v>
      </c>
      <c r="J27" s="157">
        <f t="shared" si="6"/>
        <v>0</v>
      </c>
      <c r="K27" s="157">
        <f t="shared" si="2"/>
        <v>0</v>
      </c>
      <c r="L27" s="157">
        <f t="shared" si="7"/>
        <v>0</v>
      </c>
      <c r="M27" s="157">
        <f t="shared" si="3"/>
        <v>0</v>
      </c>
      <c r="N27" s="157">
        <f t="shared" si="8"/>
        <v>0</v>
      </c>
      <c r="O27" s="157">
        <f t="shared" si="9"/>
        <v>0</v>
      </c>
    </row>
    <row r="28" spans="1:15">
      <c r="A28" s="1">
        <f t="shared" si="10"/>
        <v>13</v>
      </c>
      <c r="C28" s="1">
        <f>'1.12 Wages'!C24</f>
        <v>13</v>
      </c>
      <c r="D28" s="1">
        <f>'1.12 Wages'!D24</f>
        <v>1013</v>
      </c>
      <c r="E28" s="1">
        <f>'1.12 Wages'!F24</f>
        <v>0</v>
      </c>
      <c r="F28" s="157">
        <f>'1.12 Wages'!X24</f>
        <v>135408</v>
      </c>
      <c r="G28" s="157">
        <f t="shared" si="4"/>
        <v>132900</v>
      </c>
      <c r="H28" s="157">
        <f t="shared" si="5"/>
        <v>8239.7999999999993</v>
      </c>
      <c r="I28" s="157">
        <f t="shared" si="1"/>
        <v>135408</v>
      </c>
      <c r="J28" s="157">
        <f t="shared" si="6"/>
        <v>1963.4160000000002</v>
      </c>
      <c r="K28" s="157">
        <f t="shared" si="2"/>
        <v>7000</v>
      </c>
      <c r="L28" s="157">
        <f t="shared" si="7"/>
        <v>42</v>
      </c>
      <c r="M28" s="157">
        <f t="shared" si="3"/>
        <v>11400</v>
      </c>
      <c r="N28" s="157">
        <f t="shared" si="8"/>
        <v>34.200000000000003</v>
      </c>
      <c r="O28" s="157">
        <f t="shared" si="9"/>
        <v>10279.416000000001</v>
      </c>
    </row>
    <row r="29" spans="1:15">
      <c r="A29" s="1">
        <f t="shared" si="10"/>
        <v>14</v>
      </c>
      <c r="C29" s="1">
        <f>'1.12 Wages'!C25</f>
        <v>14</v>
      </c>
      <c r="D29" s="1">
        <f>'1.12 Wages'!D25</f>
        <v>1014</v>
      </c>
      <c r="E29" s="1">
        <f>'1.12 Wages'!F25</f>
        <v>0</v>
      </c>
      <c r="F29" s="157">
        <f>'1.12 Wages'!X25</f>
        <v>109241.60000000001</v>
      </c>
      <c r="G29" s="157">
        <f t="shared" si="4"/>
        <v>109241.60000000001</v>
      </c>
      <c r="H29" s="157">
        <f t="shared" si="5"/>
        <v>6772.9792000000007</v>
      </c>
      <c r="I29" s="157">
        <f t="shared" si="1"/>
        <v>109241.60000000001</v>
      </c>
      <c r="J29" s="157">
        <f t="shared" si="6"/>
        <v>1584.0032000000001</v>
      </c>
      <c r="K29" s="157">
        <f t="shared" si="2"/>
        <v>7000</v>
      </c>
      <c r="L29" s="157">
        <f t="shared" si="7"/>
        <v>42</v>
      </c>
      <c r="M29" s="157">
        <f t="shared" si="3"/>
        <v>11400</v>
      </c>
      <c r="N29" s="157">
        <f t="shared" si="8"/>
        <v>34.200000000000003</v>
      </c>
      <c r="O29" s="157">
        <f t="shared" si="9"/>
        <v>8433.1824000000015</v>
      </c>
    </row>
    <row r="30" spans="1:15">
      <c r="A30" s="1">
        <f t="shared" si="10"/>
        <v>15</v>
      </c>
      <c r="C30" s="1">
        <f>'1.12 Wages'!C26</f>
        <v>15</v>
      </c>
      <c r="D30" s="1">
        <f>'1.12 Wages'!D26</f>
        <v>1015</v>
      </c>
      <c r="E30" s="1">
        <f>'1.12 Wages'!F26</f>
        <v>0</v>
      </c>
      <c r="F30" s="157">
        <f>'1.12 Wages'!X26</f>
        <v>141182.93</v>
      </c>
      <c r="G30" s="157">
        <f t="shared" si="4"/>
        <v>132900</v>
      </c>
      <c r="H30" s="157">
        <f t="shared" si="5"/>
        <v>8239.7999999999993</v>
      </c>
      <c r="I30" s="157">
        <f t="shared" si="1"/>
        <v>141182.93</v>
      </c>
      <c r="J30" s="157">
        <f t="shared" si="6"/>
        <v>2047.1524850000001</v>
      </c>
      <c r="K30" s="157">
        <f t="shared" si="2"/>
        <v>7000</v>
      </c>
      <c r="L30" s="157">
        <f t="shared" si="7"/>
        <v>42</v>
      </c>
      <c r="M30" s="157">
        <f t="shared" si="3"/>
        <v>11400</v>
      </c>
      <c r="N30" s="157">
        <f t="shared" si="8"/>
        <v>34.200000000000003</v>
      </c>
      <c r="O30" s="157">
        <f t="shared" si="9"/>
        <v>10363.152485000001</v>
      </c>
    </row>
    <row r="31" spans="1:15">
      <c r="A31" s="1">
        <f t="shared" si="10"/>
        <v>16</v>
      </c>
      <c r="C31" s="1">
        <f>'1.12 Wages'!C27</f>
        <v>16</v>
      </c>
      <c r="D31" s="1">
        <f>'1.12 Wages'!D27</f>
        <v>1016</v>
      </c>
      <c r="E31" s="1">
        <f>'1.12 Wages'!F27</f>
        <v>0</v>
      </c>
      <c r="F31" s="157">
        <f>'1.12 Wages'!X27</f>
        <v>55160.875</v>
      </c>
      <c r="G31" s="157">
        <f t="shared" si="4"/>
        <v>55160.875</v>
      </c>
      <c r="H31" s="157">
        <f t="shared" si="5"/>
        <v>3419.9742499999998</v>
      </c>
      <c r="I31" s="157">
        <f t="shared" si="1"/>
        <v>55160.875</v>
      </c>
      <c r="J31" s="157">
        <f t="shared" si="6"/>
        <v>799.83268750000002</v>
      </c>
      <c r="K31" s="157">
        <f t="shared" si="2"/>
        <v>7000</v>
      </c>
      <c r="L31" s="157">
        <f t="shared" si="7"/>
        <v>42</v>
      </c>
      <c r="M31" s="157">
        <f t="shared" si="3"/>
        <v>11400</v>
      </c>
      <c r="N31" s="157">
        <f t="shared" si="8"/>
        <v>34.200000000000003</v>
      </c>
      <c r="O31" s="157">
        <f t="shared" si="9"/>
        <v>4296.0069374999994</v>
      </c>
    </row>
    <row r="32" spans="1:15">
      <c r="A32" s="1">
        <f t="shared" si="10"/>
        <v>17</v>
      </c>
      <c r="C32" s="1">
        <f>'1.12 Wages'!C28</f>
        <v>17</v>
      </c>
      <c r="D32" s="1">
        <f>'1.12 Wages'!D28</f>
        <v>1017</v>
      </c>
      <c r="E32" s="1">
        <f>'1.12 Wages'!F28</f>
        <v>0</v>
      </c>
      <c r="F32" s="157">
        <f>'1.12 Wages'!X28</f>
        <v>59009.599999999999</v>
      </c>
      <c r="G32" s="157">
        <f t="shared" si="4"/>
        <v>59009.599999999999</v>
      </c>
      <c r="H32" s="157">
        <f t="shared" si="5"/>
        <v>3658.5951999999997</v>
      </c>
      <c r="I32" s="157">
        <f t="shared" si="1"/>
        <v>59009.599999999999</v>
      </c>
      <c r="J32" s="157">
        <f t="shared" si="6"/>
        <v>855.63920000000007</v>
      </c>
      <c r="K32" s="157">
        <f t="shared" si="2"/>
        <v>7000</v>
      </c>
      <c r="L32" s="157">
        <f t="shared" si="7"/>
        <v>42</v>
      </c>
      <c r="M32" s="157">
        <f t="shared" si="3"/>
        <v>11400</v>
      </c>
      <c r="N32" s="157">
        <f t="shared" si="8"/>
        <v>34.200000000000003</v>
      </c>
      <c r="O32" s="157">
        <f t="shared" si="9"/>
        <v>4590.4343999999992</v>
      </c>
    </row>
    <row r="33" spans="1:15">
      <c r="A33" s="1">
        <f t="shared" si="10"/>
        <v>18</v>
      </c>
      <c r="C33" s="1">
        <f>'1.12 Wages'!C29</f>
        <v>18</v>
      </c>
      <c r="D33" s="1">
        <f>'1.12 Wages'!D29</f>
        <v>1018</v>
      </c>
      <c r="E33" s="1">
        <f>'1.12 Wages'!F29</f>
        <v>0</v>
      </c>
      <c r="F33" s="157">
        <f>'1.12 Wages'!X29</f>
        <v>56790.720000000008</v>
      </c>
      <c r="G33" s="157">
        <f t="shared" si="4"/>
        <v>56790.720000000008</v>
      </c>
      <c r="H33" s="157">
        <f t="shared" si="5"/>
        <v>3521.0246400000005</v>
      </c>
      <c r="I33" s="157">
        <f t="shared" si="1"/>
        <v>56790.720000000008</v>
      </c>
      <c r="J33" s="157">
        <f t="shared" si="6"/>
        <v>823.46544000000017</v>
      </c>
      <c r="K33" s="157">
        <f t="shared" si="2"/>
        <v>7000</v>
      </c>
      <c r="L33" s="157">
        <f t="shared" si="7"/>
        <v>42</v>
      </c>
      <c r="M33" s="157">
        <f t="shared" si="3"/>
        <v>11400</v>
      </c>
      <c r="N33" s="157">
        <f t="shared" si="8"/>
        <v>34.200000000000003</v>
      </c>
      <c r="O33" s="157">
        <f t="shared" si="9"/>
        <v>4420.6900800000003</v>
      </c>
    </row>
    <row r="34" spans="1:15">
      <c r="A34" s="1">
        <f t="shared" si="10"/>
        <v>19</v>
      </c>
      <c r="C34" s="1">
        <f>'1.12 Wages'!C30</f>
        <v>19</v>
      </c>
      <c r="D34" s="1">
        <f>'1.12 Wages'!D30</f>
        <v>1019</v>
      </c>
      <c r="E34" s="1">
        <f>'1.12 Wages'!F30</f>
        <v>0</v>
      </c>
      <c r="F34" s="157">
        <f>'1.12 Wages'!X30</f>
        <v>139778.59</v>
      </c>
      <c r="G34" s="157">
        <f t="shared" si="4"/>
        <v>132900</v>
      </c>
      <c r="H34" s="157">
        <f t="shared" si="5"/>
        <v>8239.7999999999993</v>
      </c>
      <c r="I34" s="157">
        <f t="shared" si="1"/>
        <v>139778.59</v>
      </c>
      <c r="J34" s="157">
        <f t="shared" si="6"/>
        <v>2026.7895550000001</v>
      </c>
      <c r="K34" s="157">
        <f t="shared" si="2"/>
        <v>7000</v>
      </c>
      <c r="L34" s="157">
        <f t="shared" si="7"/>
        <v>42</v>
      </c>
      <c r="M34" s="157">
        <f t="shared" si="3"/>
        <v>11400</v>
      </c>
      <c r="N34" s="157">
        <f t="shared" si="8"/>
        <v>34.200000000000003</v>
      </c>
      <c r="O34" s="157">
        <f t="shared" si="9"/>
        <v>10342.789554999999</v>
      </c>
    </row>
    <row r="35" spans="1:15">
      <c r="A35" s="1">
        <f t="shared" si="10"/>
        <v>20</v>
      </c>
      <c r="C35" s="1">
        <f>'1.12 Wages'!C31</f>
        <v>20</v>
      </c>
      <c r="D35" s="1">
        <f>'1.12 Wages'!D31</f>
        <v>1020</v>
      </c>
      <c r="E35" s="1">
        <f>'1.12 Wages'!F31</f>
        <v>0</v>
      </c>
      <c r="F35" s="157">
        <f>'1.12 Wages'!X31</f>
        <v>116646.39999999999</v>
      </c>
      <c r="G35" s="157">
        <f t="shared" si="4"/>
        <v>116646.39999999999</v>
      </c>
      <c r="H35" s="157">
        <f t="shared" si="5"/>
        <v>7232.0767999999998</v>
      </c>
      <c r="I35" s="157">
        <f t="shared" si="1"/>
        <v>116646.39999999999</v>
      </c>
      <c r="J35" s="157">
        <f t="shared" si="6"/>
        <v>1691.3728000000001</v>
      </c>
      <c r="K35" s="157">
        <f t="shared" si="2"/>
        <v>7000</v>
      </c>
      <c r="L35" s="157">
        <f t="shared" si="7"/>
        <v>42</v>
      </c>
      <c r="M35" s="157">
        <f t="shared" si="3"/>
        <v>11400</v>
      </c>
      <c r="N35" s="157">
        <f t="shared" si="8"/>
        <v>34.200000000000003</v>
      </c>
      <c r="O35" s="157">
        <f t="shared" si="9"/>
        <v>8999.6496000000006</v>
      </c>
    </row>
    <row r="36" spans="1:15">
      <c r="A36" s="1">
        <f t="shared" si="10"/>
        <v>21</v>
      </c>
      <c r="C36" s="1">
        <f>'1.12 Wages'!C32</f>
        <v>21</v>
      </c>
      <c r="D36" s="1">
        <f>'1.12 Wages'!D32</f>
        <v>1021</v>
      </c>
      <c r="E36" s="1">
        <f>'1.12 Wages'!F32</f>
        <v>0</v>
      </c>
      <c r="F36" s="157">
        <f>'1.12 Wages'!X32</f>
        <v>125943.49250000001</v>
      </c>
      <c r="G36" s="157">
        <f t="shared" si="4"/>
        <v>125943.49250000001</v>
      </c>
      <c r="H36" s="157">
        <f t="shared" si="5"/>
        <v>7808.4965350000002</v>
      </c>
      <c r="I36" s="157">
        <f t="shared" si="1"/>
        <v>125943.49250000001</v>
      </c>
      <c r="J36" s="157">
        <f t="shared" si="6"/>
        <v>1826.1806412500002</v>
      </c>
      <c r="K36" s="157">
        <f t="shared" si="2"/>
        <v>7000</v>
      </c>
      <c r="L36" s="157">
        <f t="shared" si="7"/>
        <v>42</v>
      </c>
      <c r="M36" s="157">
        <f t="shared" si="3"/>
        <v>11400</v>
      </c>
      <c r="N36" s="157">
        <f t="shared" si="8"/>
        <v>34.200000000000003</v>
      </c>
      <c r="O36" s="157">
        <f t="shared" si="9"/>
        <v>9710.8771762500019</v>
      </c>
    </row>
    <row r="37" spans="1:15">
      <c r="A37" s="1">
        <f t="shared" si="10"/>
        <v>22</v>
      </c>
      <c r="C37" s="1">
        <f>'1.12 Wages'!C33</f>
        <v>22</v>
      </c>
      <c r="D37" s="1">
        <f>'1.12 Wages'!D33</f>
        <v>1022</v>
      </c>
      <c r="E37" s="1">
        <f>'1.12 Wages'!F33</f>
        <v>0</v>
      </c>
      <c r="F37" s="157">
        <f>'1.12 Wages'!X33</f>
        <v>55018.5</v>
      </c>
      <c r="G37" s="157">
        <f t="shared" si="4"/>
        <v>55018.5</v>
      </c>
      <c r="H37" s="157">
        <f t="shared" si="5"/>
        <v>3411.1469999999999</v>
      </c>
      <c r="I37" s="157">
        <f t="shared" si="1"/>
        <v>55018.5</v>
      </c>
      <c r="J37" s="157">
        <f t="shared" si="6"/>
        <v>797.76825000000008</v>
      </c>
      <c r="K37" s="157">
        <f t="shared" si="2"/>
        <v>7000</v>
      </c>
      <c r="L37" s="157">
        <f t="shared" si="7"/>
        <v>42</v>
      </c>
      <c r="M37" s="157">
        <f t="shared" si="3"/>
        <v>11400</v>
      </c>
      <c r="N37" s="157">
        <f t="shared" si="8"/>
        <v>34.200000000000003</v>
      </c>
      <c r="O37" s="157">
        <f t="shared" si="9"/>
        <v>4285.1152499999998</v>
      </c>
    </row>
    <row r="38" spans="1:15">
      <c r="A38" s="1">
        <f t="shared" si="10"/>
        <v>23</v>
      </c>
      <c r="C38" s="1">
        <f>'1.12 Wages'!C34</f>
        <v>23</v>
      </c>
      <c r="D38" s="1">
        <f>'1.12 Wages'!D34</f>
        <v>1023</v>
      </c>
      <c r="E38" s="1">
        <f>'1.12 Wages'!F34</f>
        <v>0</v>
      </c>
      <c r="F38" s="157">
        <f>'1.12 Wages'!X34</f>
        <v>113429.22500000001</v>
      </c>
      <c r="G38" s="157">
        <f t="shared" si="4"/>
        <v>113429.22500000001</v>
      </c>
      <c r="H38" s="157">
        <f t="shared" si="5"/>
        <v>7032.6119500000004</v>
      </c>
      <c r="I38" s="157">
        <f t="shared" si="1"/>
        <v>113429.22500000001</v>
      </c>
      <c r="J38" s="157">
        <f t="shared" si="6"/>
        <v>1644.7237625000002</v>
      </c>
      <c r="K38" s="157">
        <f t="shared" si="2"/>
        <v>7000</v>
      </c>
      <c r="L38" s="157">
        <f t="shared" si="7"/>
        <v>42</v>
      </c>
      <c r="M38" s="157">
        <f t="shared" si="3"/>
        <v>11400</v>
      </c>
      <c r="N38" s="157">
        <f t="shared" si="8"/>
        <v>34.200000000000003</v>
      </c>
      <c r="O38" s="157">
        <f t="shared" si="9"/>
        <v>8753.535712500001</v>
      </c>
    </row>
    <row r="39" spans="1:15">
      <c r="A39" s="1">
        <f t="shared" si="10"/>
        <v>24</v>
      </c>
      <c r="C39" s="1">
        <f>'1.12 Wages'!C35</f>
        <v>24</v>
      </c>
      <c r="D39" s="1">
        <f>'1.12 Wages'!D35</f>
        <v>1024</v>
      </c>
      <c r="E39" s="1" t="str">
        <f>'1.12 Wages'!F35</f>
        <v>A</v>
      </c>
      <c r="F39" s="157">
        <f>'1.12 Wages'!X35</f>
        <v>0</v>
      </c>
      <c r="G39" s="157">
        <f t="shared" si="4"/>
        <v>0</v>
      </c>
      <c r="H39" s="157">
        <f t="shared" si="5"/>
        <v>0</v>
      </c>
      <c r="I39" s="157">
        <f t="shared" si="1"/>
        <v>0</v>
      </c>
      <c r="J39" s="157">
        <f t="shared" si="6"/>
        <v>0</v>
      </c>
      <c r="K39" s="157">
        <f t="shared" si="2"/>
        <v>0</v>
      </c>
      <c r="L39" s="157">
        <f t="shared" si="7"/>
        <v>0</v>
      </c>
      <c r="M39" s="157">
        <f t="shared" si="3"/>
        <v>0</v>
      </c>
      <c r="N39" s="157">
        <f t="shared" si="8"/>
        <v>0</v>
      </c>
      <c r="O39" s="157">
        <f t="shared" si="9"/>
        <v>0</v>
      </c>
    </row>
    <row r="40" spans="1:15">
      <c r="A40" s="1">
        <f t="shared" si="10"/>
        <v>25</v>
      </c>
      <c r="C40" s="1">
        <f>'1.12 Wages'!C36</f>
        <v>25</v>
      </c>
      <c r="D40" s="1">
        <f>'1.12 Wages'!D36</f>
        <v>1025</v>
      </c>
      <c r="E40" s="1">
        <f>'1.12 Wages'!F36</f>
        <v>0</v>
      </c>
      <c r="F40" s="157">
        <f>'1.12 Wages'!X36</f>
        <v>121963.31</v>
      </c>
      <c r="G40" s="157">
        <f t="shared" si="4"/>
        <v>121963.31</v>
      </c>
      <c r="H40" s="157">
        <f t="shared" si="5"/>
        <v>7561.7252199999994</v>
      </c>
      <c r="I40" s="157">
        <f t="shared" si="1"/>
        <v>121963.31</v>
      </c>
      <c r="J40" s="157">
        <f t="shared" si="6"/>
        <v>1768.467995</v>
      </c>
      <c r="K40" s="157">
        <f t="shared" si="2"/>
        <v>7000</v>
      </c>
      <c r="L40" s="157">
        <f t="shared" si="7"/>
        <v>42</v>
      </c>
      <c r="M40" s="157">
        <f t="shared" si="3"/>
        <v>11400</v>
      </c>
      <c r="N40" s="157">
        <f t="shared" si="8"/>
        <v>34.200000000000003</v>
      </c>
      <c r="O40" s="157">
        <f t="shared" si="9"/>
        <v>9406.3932150000001</v>
      </c>
    </row>
    <row r="41" spans="1:15">
      <c r="A41" s="1">
        <f t="shared" si="10"/>
        <v>26</v>
      </c>
      <c r="C41" s="1">
        <f>'1.12 Wages'!C37</f>
        <v>26</v>
      </c>
      <c r="D41" s="1">
        <f>'1.12 Wages'!D37</f>
        <v>1026</v>
      </c>
      <c r="E41" s="1">
        <f>'1.12 Wages'!F37</f>
        <v>0</v>
      </c>
      <c r="F41" s="157">
        <f>'1.12 Wages'!X37</f>
        <v>105664</v>
      </c>
      <c r="G41" s="157">
        <f t="shared" si="4"/>
        <v>105664</v>
      </c>
      <c r="H41" s="157">
        <f t="shared" si="5"/>
        <v>6551.1679999999997</v>
      </c>
      <c r="I41" s="157">
        <f t="shared" si="1"/>
        <v>105664</v>
      </c>
      <c r="J41" s="157">
        <f t="shared" si="6"/>
        <v>1532.1280000000002</v>
      </c>
      <c r="K41" s="157">
        <f t="shared" si="2"/>
        <v>7000</v>
      </c>
      <c r="L41" s="157">
        <f t="shared" si="7"/>
        <v>42</v>
      </c>
      <c r="M41" s="157">
        <f t="shared" si="3"/>
        <v>11400</v>
      </c>
      <c r="N41" s="157">
        <f t="shared" si="8"/>
        <v>34.200000000000003</v>
      </c>
      <c r="O41" s="157">
        <f t="shared" si="9"/>
        <v>8159.4960000000001</v>
      </c>
    </row>
    <row r="42" spans="1:15">
      <c r="A42" s="1">
        <f t="shared" si="10"/>
        <v>27</v>
      </c>
      <c r="C42" s="1">
        <f>'1.12 Wages'!C38</f>
        <v>27</v>
      </c>
      <c r="D42" s="1">
        <f>'1.12 Wages'!D38</f>
        <v>1027</v>
      </c>
      <c r="E42" s="1">
        <f>'1.12 Wages'!F38</f>
        <v>0</v>
      </c>
      <c r="F42" s="157">
        <f>'1.12 Wages'!X38</f>
        <v>121568.8775</v>
      </c>
      <c r="G42" s="157">
        <f t="shared" si="4"/>
        <v>121568.8775</v>
      </c>
      <c r="H42" s="157">
        <f t="shared" si="5"/>
        <v>7537.2704050000002</v>
      </c>
      <c r="I42" s="157">
        <f t="shared" si="1"/>
        <v>121568.8775</v>
      </c>
      <c r="J42" s="157">
        <f t="shared" si="6"/>
        <v>1762.7487237500002</v>
      </c>
      <c r="K42" s="157">
        <f t="shared" si="2"/>
        <v>7000</v>
      </c>
      <c r="L42" s="157">
        <f t="shared" si="7"/>
        <v>42</v>
      </c>
      <c r="M42" s="157">
        <f t="shared" si="3"/>
        <v>11400</v>
      </c>
      <c r="N42" s="157">
        <f t="shared" si="8"/>
        <v>34.200000000000003</v>
      </c>
      <c r="O42" s="157">
        <f t="shared" si="9"/>
        <v>9376.2191287500009</v>
      </c>
    </row>
    <row r="43" spans="1:15">
      <c r="A43" s="1">
        <f t="shared" si="10"/>
        <v>28</v>
      </c>
      <c r="C43" s="1">
        <f>'1.12 Wages'!C39</f>
        <v>28</v>
      </c>
      <c r="D43" s="1">
        <f>'1.12 Wages'!D39</f>
        <v>1028</v>
      </c>
      <c r="E43" s="1">
        <f>'1.12 Wages'!F39</f>
        <v>0</v>
      </c>
      <c r="F43" s="157">
        <f>'1.12 Wages'!X39</f>
        <v>129457.5275</v>
      </c>
      <c r="G43" s="157">
        <f t="shared" si="4"/>
        <v>129457.5275</v>
      </c>
      <c r="H43" s="157">
        <f t="shared" si="5"/>
        <v>8026.3667049999995</v>
      </c>
      <c r="I43" s="157">
        <f t="shared" si="1"/>
        <v>129457.5275</v>
      </c>
      <c r="J43" s="157">
        <f t="shared" si="6"/>
        <v>1877.1341487500001</v>
      </c>
      <c r="K43" s="157">
        <f t="shared" si="2"/>
        <v>7000</v>
      </c>
      <c r="L43" s="157">
        <f t="shared" si="7"/>
        <v>42</v>
      </c>
      <c r="M43" s="157">
        <f t="shared" si="3"/>
        <v>11400</v>
      </c>
      <c r="N43" s="157">
        <f t="shared" si="8"/>
        <v>34.200000000000003</v>
      </c>
      <c r="O43" s="157">
        <f t="shared" si="9"/>
        <v>9979.7008537500005</v>
      </c>
    </row>
    <row r="44" spans="1:15">
      <c r="A44" s="1">
        <f t="shared" si="10"/>
        <v>29</v>
      </c>
      <c r="C44" s="1">
        <f>'1.12 Wages'!C40</f>
        <v>29</v>
      </c>
      <c r="D44" s="1">
        <f>'1.12 Wages'!D40</f>
        <v>1029</v>
      </c>
      <c r="E44" s="1">
        <f>'1.12 Wages'!F40</f>
        <v>0</v>
      </c>
      <c r="F44" s="157">
        <f>'1.12 Wages'!X40</f>
        <v>142329.95000000001</v>
      </c>
      <c r="G44" s="157">
        <f t="shared" si="4"/>
        <v>132900</v>
      </c>
      <c r="H44" s="157">
        <f t="shared" si="5"/>
        <v>8239.7999999999993</v>
      </c>
      <c r="I44" s="157">
        <f t="shared" si="1"/>
        <v>142329.95000000001</v>
      </c>
      <c r="J44" s="157">
        <f t="shared" si="6"/>
        <v>2063.7842750000004</v>
      </c>
      <c r="K44" s="157">
        <f t="shared" si="2"/>
        <v>7000</v>
      </c>
      <c r="L44" s="157">
        <f t="shared" si="7"/>
        <v>42</v>
      </c>
      <c r="M44" s="157">
        <f t="shared" si="3"/>
        <v>11400</v>
      </c>
      <c r="N44" s="157">
        <f t="shared" si="8"/>
        <v>34.200000000000003</v>
      </c>
      <c r="O44" s="157">
        <f t="shared" si="9"/>
        <v>10379.784275</v>
      </c>
    </row>
    <row r="45" spans="1:15">
      <c r="A45" s="1">
        <f t="shared" si="10"/>
        <v>30</v>
      </c>
      <c r="C45" s="1">
        <f>'1.12 Wages'!C41</f>
        <v>30</v>
      </c>
      <c r="D45" s="1">
        <f>'1.12 Wages'!D41</f>
        <v>1030</v>
      </c>
      <c r="E45" s="1">
        <f>'1.12 Wages'!F41</f>
        <v>0</v>
      </c>
      <c r="F45" s="157">
        <f>'1.12 Wages'!X41</f>
        <v>95368</v>
      </c>
      <c r="G45" s="157">
        <f t="shared" si="4"/>
        <v>95368</v>
      </c>
      <c r="H45" s="157">
        <f t="shared" si="5"/>
        <v>5912.8159999999998</v>
      </c>
      <c r="I45" s="157">
        <f t="shared" si="1"/>
        <v>95368</v>
      </c>
      <c r="J45" s="157">
        <f t="shared" si="6"/>
        <v>1382.836</v>
      </c>
      <c r="K45" s="157">
        <f t="shared" si="2"/>
        <v>7000</v>
      </c>
      <c r="L45" s="157">
        <f t="shared" si="7"/>
        <v>42</v>
      </c>
      <c r="M45" s="157">
        <f t="shared" si="3"/>
        <v>11400</v>
      </c>
      <c r="N45" s="157">
        <f t="shared" si="8"/>
        <v>34.200000000000003</v>
      </c>
      <c r="O45" s="157">
        <f t="shared" si="9"/>
        <v>7371.8519999999999</v>
      </c>
    </row>
    <row r="46" spans="1:15">
      <c r="A46" s="1">
        <f t="shared" si="10"/>
        <v>31</v>
      </c>
      <c r="C46" s="1">
        <f>'1.12 Wages'!C42</f>
        <v>31</v>
      </c>
      <c r="D46" s="1">
        <f>'1.12 Wages'!D42</f>
        <v>1031</v>
      </c>
      <c r="E46" s="1">
        <f>'1.12 Wages'!F42</f>
        <v>0</v>
      </c>
      <c r="F46" s="157">
        <f>'1.12 Wages'!X42</f>
        <v>55158.36</v>
      </c>
      <c r="G46" s="157">
        <f t="shared" si="4"/>
        <v>55158.36</v>
      </c>
      <c r="H46" s="157">
        <f t="shared" si="5"/>
        <v>3419.8183199999999</v>
      </c>
      <c r="I46" s="157">
        <f t="shared" si="1"/>
        <v>55158.36</v>
      </c>
      <c r="J46" s="157">
        <f t="shared" si="6"/>
        <v>799.79622000000006</v>
      </c>
      <c r="K46" s="157">
        <f t="shared" si="2"/>
        <v>7000</v>
      </c>
      <c r="L46" s="157">
        <f t="shared" si="7"/>
        <v>42</v>
      </c>
      <c r="M46" s="157">
        <f t="shared" si="3"/>
        <v>11400</v>
      </c>
      <c r="N46" s="157">
        <f t="shared" si="8"/>
        <v>34.200000000000003</v>
      </c>
      <c r="O46" s="157">
        <f t="shared" si="9"/>
        <v>4295.8145399999994</v>
      </c>
    </row>
    <row r="47" spans="1:15">
      <c r="A47" s="1">
        <f t="shared" si="10"/>
        <v>32</v>
      </c>
      <c r="C47" s="1">
        <f>'1.12 Wages'!C43</f>
        <v>32</v>
      </c>
      <c r="D47" s="1">
        <f>'1.12 Wages'!D43</f>
        <v>1032</v>
      </c>
      <c r="E47" s="1">
        <f>'1.12 Wages'!F43</f>
        <v>0</v>
      </c>
      <c r="F47" s="157">
        <f>'1.12 Wages'!X43</f>
        <v>120027.005</v>
      </c>
      <c r="G47" s="157">
        <f t="shared" si="4"/>
        <v>120027.005</v>
      </c>
      <c r="H47" s="157">
        <f t="shared" si="5"/>
        <v>7441.6743100000003</v>
      </c>
      <c r="I47" s="157">
        <f t="shared" si="1"/>
        <v>120027.005</v>
      </c>
      <c r="J47" s="157">
        <f t="shared" si="6"/>
        <v>1740.3915725000002</v>
      </c>
      <c r="K47" s="157">
        <f t="shared" si="2"/>
        <v>7000</v>
      </c>
      <c r="L47" s="157">
        <f t="shared" si="7"/>
        <v>42</v>
      </c>
      <c r="M47" s="157">
        <f t="shared" si="3"/>
        <v>11400</v>
      </c>
      <c r="N47" s="157">
        <f t="shared" si="8"/>
        <v>34.200000000000003</v>
      </c>
      <c r="O47" s="157">
        <f t="shared" si="9"/>
        <v>9258.2658825000017</v>
      </c>
    </row>
    <row r="48" spans="1:15">
      <c r="A48" s="1">
        <f t="shared" si="10"/>
        <v>33</v>
      </c>
      <c r="C48" s="1">
        <f>'1.12 Wages'!C44</f>
        <v>33</v>
      </c>
      <c r="D48" s="1">
        <f>'1.12 Wages'!D44</f>
        <v>1033</v>
      </c>
      <c r="E48" s="1">
        <f>'1.12 Wages'!F44</f>
        <v>0</v>
      </c>
      <c r="F48" s="157">
        <f>'1.12 Wages'!X44</f>
        <v>160804.80000000002</v>
      </c>
      <c r="G48" s="157">
        <f t="shared" si="4"/>
        <v>132900</v>
      </c>
      <c r="H48" s="157">
        <f t="shared" si="5"/>
        <v>8239.7999999999993</v>
      </c>
      <c r="I48" s="157">
        <f t="shared" si="1"/>
        <v>160804.80000000002</v>
      </c>
      <c r="J48" s="157">
        <f t="shared" si="6"/>
        <v>2331.6696000000002</v>
      </c>
      <c r="K48" s="157">
        <f t="shared" si="2"/>
        <v>7000</v>
      </c>
      <c r="L48" s="157">
        <f t="shared" si="7"/>
        <v>42</v>
      </c>
      <c r="M48" s="157">
        <f t="shared" si="3"/>
        <v>11400</v>
      </c>
      <c r="N48" s="157">
        <f t="shared" si="8"/>
        <v>34.200000000000003</v>
      </c>
      <c r="O48" s="157">
        <f t="shared" si="9"/>
        <v>10647.669600000001</v>
      </c>
    </row>
    <row r="49" spans="1:15">
      <c r="A49" s="1">
        <f t="shared" si="10"/>
        <v>34</v>
      </c>
      <c r="C49" s="1">
        <f>'1.12 Wages'!C45</f>
        <v>34</v>
      </c>
      <c r="D49" s="1">
        <f>'1.12 Wages'!D45</f>
        <v>1034</v>
      </c>
      <c r="E49" s="1">
        <f>'1.12 Wages'!F45</f>
        <v>0</v>
      </c>
      <c r="F49" s="157">
        <f>'1.12 Wages'!X45</f>
        <v>131268.79999999999</v>
      </c>
      <c r="G49" s="157">
        <f t="shared" si="4"/>
        <v>131268.79999999999</v>
      </c>
      <c r="H49" s="157">
        <f t="shared" si="5"/>
        <v>8138.6655999999994</v>
      </c>
      <c r="I49" s="157">
        <f t="shared" si="1"/>
        <v>131268.79999999999</v>
      </c>
      <c r="J49" s="157">
        <f t="shared" si="6"/>
        <v>1903.3976</v>
      </c>
      <c r="K49" s="157">
        <f t="shared" si="2"/>
        <v>7000</v>
      </c>
      <c r="L49" s="157">
        <f t="shared" si="7"/>
        <v>42</v>
      </c>
      <c r="M49" s="157">
        <f t="shared" si="3"/>
        <v>11400</v>
      </c>
      <c r="N49" s="157">
        <f t="shared" si="8"/>
        <v>34.200000000000003</v>
      </c>
      <c r="O49" s="157">
        <f t="shared" si="9"/>
        <v>10118.263199999999</v>
      </c>
    </row>
    <row r="50" spans="1:15">
      <c r="A50" s="1">
        <f t="shared" si="10"/>
        <v>35</v>
      </c>
      <c r="C50" s="1">
        <f>'1.12 Wages'!C46</f>
        <v>35</v>
      </c>
      <c r="D50" s="1">
        <f>'1.12 Wages'!D46</f>
        <v>1035</v>
      </c>
      <c r="E50" s="1">
        <f>'1.12 Wages'!F46</f>
        <v>0</v>
      </c>
      <c r="F50" s="157">
        <f>'1.12 Wages'!X46</f>
        <v>53414.400000000001</v>
      </c>
      <c r="G50" s="157">
        <f t="shared" si="4"/>
        <v>53414.400000000001</v>
      </c>
      <c r="H50" s="157">
        <f t="shared" si="5"/>
        <v>3311.6928000000003</v>
      </c>
      <c r="I50" s="157">
        <f t="shared" si="1"/>
        <v>53414.400000000001</v>
      </c>
      <c r="J50" s="157">
        <f t="shared" si="6"/>
        <v>774.50880000000006</v>
      </c>
      <c r="K50" s="157">
        <f t="shared" si="2"/>
        <v>7000</v>
      </c>
      <c r="L50" s="157">
        <f t="shared" si="7"/>
        <v>42</v>
      </c>
      <c r="M50" s="157">
        <f t="shared" si="3"/>
        <v>11400</v>
      </c>
      <c r="N50" s="157">
        <f t="shared" si="8"/>
        <v>34.200000000000003</v>
      </c>
      <c r="O50" s="157">
        <f t="shared" si="9"/>
        <v>4162.4016000000001</v>
      </c>
    </row>
    <row r="51" spans="1:15">
      <c r="A51" s="1">
        <f t="shared" si="10"/>
        <v>36</v>
      </c>
      <c r="C51" s="1">
        <f>'1.12 Wages'!C47</f>
        <v>36</v>
      </c>
      <c r="D51" s="1">
        <f>'1.12 Wages'!D47</f>
        <v>1036</v>
      </c>
      <c r="E51" s="1">
        <f>'1.12 Wages'!F47</f>
        <v>0</v>
      </c>
      <c r="F51" s="157">
        <f>'1.12 Wages'!X47</f>
        <v>182852.8</v>
      </c>
      <c r="G51" s="157">
        <f t="shared" si="4"/>
        <v>132900</v>
      </c>
      <c r="H51" s="157">
        <f t="shared" si="5"/>
        <v>8239.7999999999993</v>
      </c>
      <c r="I51" s="157">
        <f t="shared" si="1"/>
        <v>182852.8</v>
      </c>
      <c r="J51" s="157">
        <f t="shared" si="6"/>
        <v>2651.3656000000001</v>
      </c>
      <c r="K51" s="157">
        <f t="shared" si="2"/>
        <v>7000</v>
      </c>
      <c r="L51" s="157">
        <f t="shared" si="7"/>
        <v>42</v>
      </c>
      <c r="M51" s="157">
        <f t="shared" si="3"/>
        <v>11400</v>
      </c>
      <c r="N51" s="157">
        <f t="shared" si="8"/>
        <v>34.200000000000003</v>
      </c>
      <c r="O51" s="157">
        <f t="shared" si="9"/>
        <v>10967.365600000001</v>
      </c>
    </row>
    <row r="52" spans="1:15">
      <c r="A52" s="1">
        <f t="shared" si="10"/>
        <v>37</v>
      </c>
      <c r="C52" s="1">
        <f>'1.12 Wages'!C48</f>
        <v>37</v>
      </c>
      <c r="D52" s="1">
        <f>'1.12 Wages'!D48</f>
        <v>1037</v>
      </c>
      <c r="E52" s="1">
        <f>'1.12 Wages'!F48</f>
        <v>0</v>
      </c>
      <c r="F52" s="157">
        <f>'1.12 Wages'!X48</f>
        <v>82604.55</v>
      </c>
      <c r="G52" s="157">
        <f t="shared" si="4"/>
        <v>82604.55</v>
      </c>
      <c r="H52" s="157">
        <f t="shared" si="5"/>
        <v>5121.4821000000002</v>
      </c>
      <c r="I52" s="157">
        <f t="shared" si="1"/>
        <v>82604.55</v>
      </c>
      <c r="J52" s="157">
        <f t="shared" si="6"/>
        <v>1197.765975</v>
      </c>
      <c r="K52" s="157">
        <f t="shared" si="2"/>
        <v>7000</v>
      </c>
      <c r="L52" s="157">
        <f t="shared" si="7"/>
        <v>42</v>
      </c>
      <c r="M52" s="157">
        <f t="shared" si="3"/>
        <v>11400</v>
      </c>
      <c r="N52" s="157">
        <f t="shared" si="8"/>
        <v>34.200000000000003</v>
      </c>
      <c r="O52" s="157">
        <f t="shared" si="9"/>
        <v>6395.4480750000002</v>
      </c>
    </row>
    <row r="53" spans="1:15">
      <c r="A53" s="1">
        <f t="shared" si="10"/>
        <v>38</v>
      </c>
      <c r="C53" s="1">
        <f>'1.12 Wages'!C49</f>
        <v>38</v>
      </c>
      <c r="D53" s="1">
        <f>'1.12 Wages'!D49</f>
        <v>1038</v>
      </c>
      <c r="E53" s="1">
        <f>'1.12 Wages'!F49</f>
        <v>0</v>
      </c>
      <c r="F53" s="157">
        <f>'1.12 Wages'!X49</f>
        <v>109925</v>
      </c>
      <c r="G53" s="157">
        <f t="shared" si="4"/>
        <v>109925</v>
      </c>
      <c r="H53" s="157">
        <f t="shared" si="5"/>
        <v>6815.35</v>
      </c>
      <c r="I53" s="157">
        <f t="shared" si="1"/>
        <v>109925</v>
      </c>
      <c r="J53" s="157">
        <f t="shared" si="6"/>
        <v>1593.9125000000001</v>
      </c>
      <c r="K53" s="157">
        <f t="shared" si="2"/>
        <v>7000</v>
      </c>
      <c r="L53" s="157">
        <f t="shared" si="7"/>
        <v>42</v>
      </c>
      <c r="M53" s="157">
        <f t="shared" si="3"/>
        <v>11400</v>
      </c>
      <c r="N53" s="157">
        <f t="shared" si="8"/>
        <v>34.200000000000003</v>
      </c>
      <c r="O53" s="157">
        <f t="shared" si="9"/>
        <v>8485.4625000000015</v>
      </c>
    </row>
    <row r="54" spans="1:15">
      <c r="A54" s="1">
        <f t="shared" si="10"/>
        <v>39</v>
      </c>
      <c r="C54" s="1">
        <f>'1.12 Wages'!C50</f>
        <v>39</v>
      </c>
      <c r="D54" s="1">
        <f>'1.12 Wages'!D50</f>
        <v>1039</v>
      </c>
      <c r="E54" s="1">
        <f>'1.12 Wages'!F50</f>
        <v>0</v>
      </c>
      <c r="F54" s="157">
        <f>'1.12 Wages'!X50</f>
        <v>101048.48250000001</v>
      </c>
      <c r="G54" s="157">
        <f t="shared" si="4"/>
        <v>101048.48250000001</v>
      </c>
      <c r="H54" s="157">
        <f t="shared" si="5"/>
        <v>6265.0059150000006</v>
      </c>
      <c r="I54" s="157">
        <f t="shared" si="1"/>
        <v>101048.48250000001</v>
      </c>
      <c r="J54" s="157">
        <f t="shared" si="6"/>
        <v>1465.2029962500003</v>
      </c>
      <c r="K54" s="157">
        <f t="shared" si="2"/>
        <v>7000</v>
      </c>
      <c r="L54" s="157">
        <f t="shared" si="7"/>
        <v>42</v>
      </c>
      <c r="M54" s="157">
        <f t="shared" si="3"/>
        <v>11400</v>
      </c>
      <c r="N54" s="157">
        <f t="shared" si="8"/>
        <v>34.200000000000003</v>
      </c>
      <c r="O54" s="157">
        <f t="shared" si="9"/>
        <v>7806.4089112500005</v>
      </c>
    </row>
    <row r="55" spans="1:15">
      <c r="A55" s="1">
        <f t="shared" si="10"/>
        <v>40</v>
      </c>
      <c r="C55" s="1">
        <f>'1.12 Wages'!C51</f>
        <v>40</v>
      </c>
      <c r="D55" s="1">
        <f>'1.12 Wages'!D51</f>
        <v>1040</v>
      </c>
      <c r="E55" s="1">
        <f>'1.12 Wages'!F51</f>
        <v>0</v>
      </c>
      <c r="F55" s="157">
        <f>'1.12 Wages'!X51</f>
        <v>167024</v>
      </c>
      <c r="G55" s="157">
        <f t="shared" si="4"/>
        <v>132900</v>
      </c>
      <c r="H55" s="157">
        <f t="shared" si="5"/>
        <v>8239.7999999999993</v>
      </c>
      <c r="I55" s="157">
        <f t="shared" si="1"/>
        <v>167024</v>
      </c>
      <c r="J55" s="157">
        <f t="shared" si="6"/>
        <v>2421.848</v>
      </c>
      <c r="K55" s="157">
        <f t="shared" si="2"/>
        <v>7000</v>
      </c>
      <c r="L55" s="157">
        <f t="shared" si="7"/>
        <v>42</v>
      </c>
      <c r="M55" s="157">
        <f t="shared" si="3"/>
        <v>11400</v>
      </c>
      <c r="N55" s="157">
        <f t="shared" si="8"/>
        <v>34.200000000000003</v>
      </c>
      <c r="O55" s="157">
        <f t="shared" si="9"/>
        <v>10737.848</v>
      </c>
    </row>
    <row r="56" spans="1:15">
      <c r="A56" s="1">
        <f t="shared" si="10"/>
        <v>41</v>
      </c>
      <c r="C56" s="1">
        <f>'1.12 Wages'!C52</f>
        <v>41</v>
      </c>
      <c r="D56" s="1">
        <f>'1.12 Wages'!D52</f>
        <v>1041</v>
      </c>
      <c r="E56" s="1">
        <f>'1.12 Wages'!F52</f>
        <v>0</v>
      </c>
      <c r="F56" s="157">
        <f>'1.12 Wages'!X52</f>
        <v>54902.400000000001</v>
      </c>
      <c r="G56" s="157">
        <f t="shared" si="4"/>
        <v>54902.400000000001</v>
      </c>
      <c r="H56" s="157">
        <f t="shared" si="5"/>
        <v>3403.9488000000001</v>
      </c>
      <c r="I56" s="157">
        <f t="shared" si="1"/>
        <v>54902.400000000001</v>
      </c>
      <c r="J56" s="157">
        <f t="shared" si="6"/>
        <v>796.08480000000009</v>
      </c>
      <c r="K56" s="157">
        <f t="shared" si="2"/>
        <v>7000</v>
      </c>
      <c r="L56" s="157">
        <f t="shared" si="7"/>
        <v>42</v>
      </c>
      <c r="M56" s="157">
        <f t="shared" si="3"/>
        <v>11400</v>
      </c>
      <c r="N56" s="157">
        <f t="shared" si="8"/>
        <v>34.200000000000003</v>
      </c>
      <c r="O56" s="157">
        <f t="shared" si="9"/>
        <v>4276.2336000000005</v>
      </c>
    </row>
    <row r="57" spans="1:15">
      <c r="A57" s="1">
        <f t="shared" si="10"/>
        <v>42</v>
      </c>
      <c r="C57" s="1">
        <f>'1.12 Wages'!C53</f>
        <v>42</v>
      </c>
      <c r="D57" s="1">
        <f>'1.12 Wages'!D53</f>
        <v>1042</v>
      </c>
      <c r="E57" s="1">
        <f>'1.12 Wages'!F53</f>
        <v>0</v>
      </c>
      <c r="F57" s="157">
        <f>'1.12 Wages'!X53</f>
        <v>77284.55</v>
      </c>
      <c r="G57" s="157">
        <f t="shared" si="4"/>
        <v>77284.55</v>
      </c>
      <c r="H57" s="157">
        <f t="shared" si="5"/>
        <v>4791.6421</v>
      </c>
      <c r="I57" s="157">
        <f t="shared" si="1"/>
        <v>77284.55</v>
      </c>
      <c r="J57" s="157">
        <f t="shared" si="6"/>
        <v>1120.6259750000002</v>
      </c>
      <c r="K57" s="157">
        <f t="shared" si="2"/>
        <v>7000</v>
      </c>
      <c r="L57" s="157">
        <f t="shared" si="7"/>
        <v>42</v>
      </c>
      <c r="M57" s="157">
        <f t="shared" si="3"/>
        <v>11400</v>
      </c>
      <c r="N57" s="157">
        <f t="shared" si="8"/>
        <v>34.200000000000003</v>
      </c>
      <c r="O57" s="157">
        <f t="shared" si="9"/>
        <v>5988.4680749999998</v>
      </c>
    </row>
    <row r="58" spans="1:15">
      <c r="A58" s="1">
        <f t="shared" si="10"/>
        <v>43</v>
      </c>
      <c r="C58" s="1">
        <f>'1.12 Wages'!C54</f>
        <v>43</v>
      </c>
      <c r="D58" s="1">
        <f>'1.12 Wages'!D54</f>
        <v>1043</v>
      </c>
      <c r="E58" s="1">
        <f>'1.12 Wages'!F54</f>
        <v>0</v>
      </c>
      <c r="F58" s="157">
        <f>'1.12 Wages'!X54</f>
        <v>143849.96000000002</v>
      </c>
      <c r="G58" s="157">
        <f t="shared" si="4"/>
        <v>132900</v>
      </c>
      <c r="H58" s="157">
        <f t="shared" si="5"/>
        <v>8239.7999999999993</v>
      </c>
      <c r="I58" s="157">
        <f t="shared" si="1"/>
        <v>143849.96000000002</v>
      </c>
      <c r="J58" s="157">
        <f t="shared" si="6"/>
        <v>2085.8244200000004</v>
      </c>
      <c r="K58" s="157">
        <f t="shared" si="2"/>
        <v>7000</v>
      </c>
      <c r="L58" s="157">
        <f t="shared" si="7"/>
        <v>42</v>
      </c>
      <c r="M58" s="157">
        <f t="shared" si="3"/>
        <v>11400</v>
      </c>
      <c r="N58" s="157">
        <f t="shared" si="8"/>
        <v>34.200000000000003</v>
      </c>
      <c r="O58" s="157">
        <f t="shared" si="9"/>
        <v>10401.824420000001</v>
      </c>
    </row>
    <row r="59" spans="1:15">
      <c r="A59" s="1">
        <f t="shared" si="10"/>
        <v>44</v>
      </c>
      <c r="C59" s="1">
        <f>'1.12 Wages'!C55</f>
        <v>44</v>
      </c>
      <c r="D59" s="1">
        <f>'1.12 Wages'!D55</f>
        <v>1044</v>
      </c>
      <c r="E59" s="1">
        <f>'1.12 Wages'!F55</f>
        <v>0</v>
      </c>
      <c r="F59" s="157">
        <f>'1.12 Wages'!X55</f>
        <v>92246.8</v>
      </c>
      <c r="G59" s="157">
        <f t="shared" si="4"/>
        <v>92246.8</v>
      </c>
      <c r="H59" s="157">
        <f t="shared" si="5"/>
        <v>5719.3015999999998</v>
      </c>
      <c r="I59" s="157">
        <f t="shared" si="1"/>
        <v>92246.8</v>
      </c>
      <c r="J59" s="157">
        <f t="shared" si="6"/>
        <v>1337.5786000000001</v>
      </c>
      <c r="K59" s="157">
        <f t="shared" si="2"/>
        <v>7000</v>
      </c>
      <c r="L59" s="157">
        <f t="shared" si="7"/>
        <v>42</v>
      </c>
      <c r="M59" s="157">
        <f t="shared" si="3"/>
        <v>11400</v>
      </c>
      <c r="N59" s="157">
        <f t="shared" si="8"/>
        <v>34.200000000000003</v>
      </c>
      <c r="O59" s="157">
        <f t="shared" si="9"/>
        <v>7133.0801999999994</v>
      </c>
    </row>
    <row r="60" spans="1:15">
      <c r="A60" s="1">
        <f t="shared" si="10"/>
        <v>45</v>
      </c>
      <c r="C60" s="1">
        <f>'1.12 Wages'!C56</f>
        <v>45</v>
      </c>
      <c r="D60" s="1">
        <f>'1.12 Wages'!D56</f>
        <v>1045</v>
      </c>
      <c r="E60" s="1">
        <f>'1.12 Wages'!F56</f>
        <v>0</v>
      </c>
      <c r="F60" s="157">
        <f>'1.12 Wages'!X56</f>
        <v>90183.134999999995</v>
      </c>
      <c r="G60" s="157">
        <f t="shared" si="4"/>
        <v>90183.134999999995</v>
      </c>
      <c r="H60" s="157">
        <f t="shared" si="5"/>
        <v>5591.35437</v>
      </c>
      <c r="I60" s="157">
        <f t="shared" si="1"/>
        <v>90183.134999999995</v>
      </c>
      <c r="J60" s="157">
        <f t="shared" si="6"/>
        <v>1307.6554575</v>
      </c>
      <c r="K60" s="157">
        <f t="shared" si="2"/>
        <v>7000</v>
      </c>
      <c r="L60" s="157">
        <f t="shared" si="7"/>
        <v>42</v>
      </c>
      <c r="M60" s="157">
        <f t="shared" si="3"/>
        <v>11400</v>
      </c>
      <c r="N60" s="157">
        <f t="shared" si="8"/>
        <v>34.200000000000003</v>
      </c>
      <c r="O60" s="157">
        <f t="shared" si="9"/>
        <v>6975.2098274999998</v>
      </c>
    </row>
    <row r="61" spans="1:15">
      <c r="A61" s="1">
        <f t="shared" si="10"/>
        <v>46</v>
      </c>
      <c r="C61" s="1">
        <f>'1.12 Wages'!C57</f>
        <v>46</v>
      </c>
      <c r="D61" s="1">
        <f>'1.12 Wages'!D57</f>
        <v>1046</v>
      </c>
      <c r="E61" s="1" t="str">
        <f>'1.12 Wages'!F57</f>
        <v>A</v>
      </c>
      <c r="F61" s="157">
        <f>'1.12 Wages'!X57</f>
        <v>0</v>
      </c>
      <c r="G61" s="157">
        <f t="shared" si="4"/>
        <v>0</v>
      </c>
      <c r="H61" s="157">
        <f t="shared" si="5"/>
        <v>0</v>
      </c>
      <c r="I61" s="157">
        <f t="shared" si="1"/>
        <v>0</v>
      </c>
      <c r="J61" s="157">
        <f t="shared" si="6"/>
        <v>0</v>
      </c>
      <c r="K61" s="157">
        <f t="shared" si="2"/>
        <v>0</v>
      </c>
      <c r="L61" s="157">
        <f t="shared" si="7"/>
        <v>0</v>
      </c>
      <c r="M61" s="157">
        <f t="shared" si="3"/>
        <v>0</v>
      </c>
      <c r="N61" s="157">
        <f t="shared" si="8"/>
        <v>0</v>
      </c>
      <c r="O61" s="157">
        <f t="shared" si="9"/>
        <v>0</v>
      </c>
    </row>
    <row r="62" spans="1:15">
      <c r="A62" s="1">
        <f t="shared" si="10"/>
        <v>47</v>
      </c>
      <c r="C62" s="1">
        <f>'1.12 Wages'!C58</f>
        <v>47</v>
      </c>
      <c r="D62" s="1">
        <f>'1.12 Wages'!D58</f>
        <v>1047</v>
      </c>
      <c r="E62" s="1">
        <f>'1.12 Wages'!F58</f>
        <v>0</v>
      </c>
      <c r="F62" s="157">
        <f>'1.12 Wages'!X58</f>
        <v>119558.39999999999</v>
      </c>
      <c r="G62" s="157">
        <f t="shared" si="4"/>
        <v>119558.39999999999</v>
      </c>
      <c r="H62" s="157">
        <f t="shared" si="5"/>
        <v>7412.6207999999997</v>
      </c>
      <c r="I62" s="157">
        <f t="shared" si="1"/>
        <v>119558.39999999999</v>
      </c>
      <c r="J62" s="157">
        <f t="shared" si="6"/>
        <v>1733.5968</v>
      </c>
      <c r="K62" s="157">
        <f t="shared" si="2"/>
        <v>7000</v>
      </c>
      <c r="L62" s="157">
        <f t="shared" si="7"/>
        <v>42</v>
      </c>
      <c r="M62" s="157">
        <f t="shared" si="3"/>
        <v>11400</v>
      </c>
      <c r="N62" s="157">
        <f t="shared" si="8"/>
        <v>34.200000000000003</v>
      </c>
      <c r="O62" s="157">
        <f t="shared" si="9"/>
        <v>9222.4176000000007</v>
      </c>
    </row>
    <row r="63" spans="1:15">
      <c r="A63" s="1">
        <f t="shared" si="10"/>
        <v>48</v>
      </c>
      <c r="C63" s="1">
        <f>'1.12 Wages'!C59</f>
        <v>48</v>
      </c>
      <c r="D63" s="1">
        <f>'1.12 Wages'!D59</f>
        <v>1048</v>
      </c>
      <c r="E63" s="1">
        <f>'1.12 Wages'!F59</f>
        <v>0</v>
      </c>
      <c r="F63" s="157">
        <f>'1.12 Wages'!X59</f>
        <v>180564.80000000002</v>
      </c>
      <c r="G63" s="157">
        <f t="shared" si="4"/>
        <v>132900</v>
      </c>
      <c r="H63" s="157">
        <f t="shared" si="5"/>
        <v>8239.7999999999993</v>
      </c>
      <c r="I63" s="157">
        <f t="shared" si="1"/>
        <v>180564.80000000002</v>
      </c>
      <c r="J63" s="157">
        <f t="shared" si="6"/>
        <v>2618.1896000000006</v>
      </c>
      <c r="K63" s="157">
        <f t="shared" si="2"/>
        <v>7000</v>
      </c>
      <c r="L63" s="157">
        <f t="shared" si="7"/>
        <v>42</v>
      </c>
      <c r="M63" s="157">
        <f t="shared" si="3"/>
        <v>11400</v>
      </c>
      <c r="N63" s="157">
        <f t="shared" si="8"/>
        <v>34.200000000000003</v>
      </c>
      <c r="O63" s="157">
        <f t="shared" si="9"/>
        <v>10934.189600000002</v>
      </c>
    </row>
    <row r="64" spans="1:15">
      <c r="A64" s="1">
        <f t="shared" si="10"/>
        <v>49</v>
      </c>
      <c r="C64" s="1">
        <f>'1.12 Wages'!C60</f>
        <v>49</v>
      </c>
      <c r="D64" s="1">
        <f>'1.12 Wages'!D60</f>
        <v>1049</v>
      </c>
      <c r="E64" s="1">
        <f>'1.12 Wages'!F60</f>
        <v>0</v>
      </c>
      <c r="F64" s="157">
        <f>'1.12 Wages'!X60</f>
        <v>55693.990000000005</v>
      </c>
      <c r="G64" s="157">
        <f t="shared" si="4"/>
        <v>55693.990000000005</v>
      </c>
      <c r="H64" s="157">
        <f t="shared" si="5"/>
        <v>3453.0273800000004</v>
      </c>
      <c r="I64" s="157">
        <f t="shared" si="1"/>
        <v>55693.990000000005</v>
      </c>
      <c r="J64" s="157">
        <f t="shared" si="6"/>
        <v>807.56285500000013</v>
      </c>
      <c r="K64" s="157">
        <f t="shared" si="2"/>
        <v>7000</v>
      </c>
      <c r="L64" s="157">
        <f t="shared" si="7"/>
        <v>42</v>
      </c>
      <c r="M64" s="157">
        <f t="shared" si="3"/>
        <v>11400</v>
      </c>
      <c r="N64" s="157">
        <f t="shared" si="8"/>
        <v>34.200000000000003</v>
      </c>
      <c r="O64" s="157">
        <f t="shared" si="9"/>
        <v>4336.7902350000004</v>
      </c>
    </row>
    <row r="65" spans="1:15">
      <c r="A65" s="1">
        <f t="shared" si="10"/>
        <v>50</v>
      </c>
      <c r="C65" s="1">
        <f>'1.12 Wages'!C61</f>
        <v>50</v>
      </c>
      <c r="D65" s="1">
        <f>'1.12 Wages'!D61</f>
        <v>1050</v>
      </c>
      <c r="E65" s="1">
        <f>'1.12 Wages'!F61</f>
        <v>0</v>
      </c>
      <c r="F65" s="157">
        <f>'1.12 Wages'!X61</f>
        <v>146202.98000000001</v>
      </c>
      <c r="G65" s="157">
        <f t="shared" si="4"/>
        <v>132900</v>
      </c>
      <c r="H65" s="157">
        <f t="shared" ref="H65:H88" si="11">G65*H$10</f>
        <v>8239.7999999999993</v>
      </c>
      <c r="I65" s="157">
        <f t="shared" ref="I65:I88" si="12">F65</f>
        <v>146202.98000000001</v>
      </c>
      <c r="J65" s="157">
        <f t="shared" ref="J65:J88" si="13">I65*J$10</f>
        <v>2119.9432100000004</v>
      </c>
      <c r="K65" s="157">
        <f t="shared" si="2"/>
        <v>7000</v>
      </c>
      <c r="L65" s="157">
        <f t="shared" ref="L65:L88" si="14">K65*L$10</f>
        <v>42</v>
      </c>
      <c r="M65" s="157">
        <f t="shared" si="3"/>
        <v>11400</v>
      </c>
      <c r="N65" s="157">
        <f t="shared" ref="N65:N88" si="15">M65*N$10</f>
        <v>34.200000000000003</v>
      </c>
      <c r="O65" s="157">
        <f t="shared" ref="O65:O88" si="16">H65+J65+L65+N65</f>
        <v>10435.943210000001</v>
      </c>
    </row>
    <row r="66" spans="1:15">
      <c r="A66" s="1">
        <f t="shared" si="10"/>
        <v>51</v>
      </c>
      <c r="C66" s="1">
        <f>'1.12 Wages'!C62</f>
        <v>51</v>
      </c>
      <c r="D66" s="1">
        <f>'1.12 Wages'!D62</f>
        <v>1051</v>
      </c>
      <c r="E66" s="1">
        <f>'1.12 Wages'!F62</f>
        <v>0</v>
      </c>
      <c r="F66" s="157">
        <f>'1.12 Wages'!X62</f>
        <v>86260.212499999994</v>
      </c>
      <c r="G66" s="157">
        <f t="shared" si="4"/>
        <v>86260.212499999994</v>
      </c>
      <c r="H66" s="157">
        <f t="shared" si="11"/>
        <v>5348.1331749999999</v>
      </c>
      <c r="I66" s="157">
        <f t="shared" si="12"/>
        <v>86260.212499999994</v>
      </c>
      <c r="J66" s="157">
        <f t="shared" si="13"/>
        <v>1250.7730812499999</v>
      </c>
      <c r="K66" s="157">
        <f t="shared" si="2"/>
        <v>7000</v>
      </c>
      <c r="L66" s="157">
        <f t="shared" si="14"/>
        <v>42</v>
      </c>
      <c r="M66" s="157">
        <f t="shared" si="3"/>
        <v>11400</v>
      </c>
      <c r="N66" s="157">
        <f t="shared" si="15"/>
        <v>34.200000000000003</v>
      </c>
      <c r="O66" s="157">
        <f t="shared" si="16"/>
        <v>6675.1062562500001</v>
      </c>
    </row>
    <row r="67" spans="1:15">
      <c r="A67" s="1">
        <f t="shared" si="10"/>
        <v>52</v>
      </c>
      <c r="C67" s="1">
        <f>'1.12 Wages'!C63</f>
        <v>52</v>
      </c>
      <c r="D67" s="1">
        <f>'1.12 Wages'!D63</f>
        <v>1052</v>
      </c>
      <c r="E67" s="1">
        <f>'1.12 Wages'!F63</f>
        <v>0</v>
      </c>
      <c r="F67" s="157">
        <f>'1.12 Wages'!X63</f>
        <v>137238.39999999999</v>
      </c>
      <c r="G67" s="157">
        <f t="shared" si="4"/>
        <v>132900</v>
      </c>
      <c r="H67" s="157">
        <f t="shared" si="11"/>
        <v>8239.7999999999993</v>
      </c>
      <c r="I67" s="157">
        <f t="shared" si="12"/>
        <v>137238.39999999999</v>
      </c>
      <c r="J67" s="157">
        <f t="shared" si="13"/>
        <v>1989.9567999999999</v>
      </c>
      <c r="K67" s="157">
        <f t="shared" si="2"/>
        <v>7000</v>
      </c>
      <c r="L67" s="157">
        <f t="shared" si="14"/>
        <v>42</v>
      </c>
      <c r="M67" s="157">
        <f t="shared" si="3"/>
        <v>11400</v>
      </c>
      <c r="N67" s="157">
        <f t="shared" si="15"/>
        <v>34.200000000000003</v>
      </c>
      <c r="O67" s="157">
        <f t="shared" si="16"/>
        <v>10305.9568</v>
      </c>
    </row>
    <row r="68" spans="1:15">
      <c r="A68" s="1">
        <f t="shared" si="10"/>
        <v>53</v>
      </c>
      <c r="C68" s="1">
        <f>'1.12 Wages'!C64</f>
        <v>53</v>
      </c>
      <c r="D68" s="1">
        <f>'1.12 Wages'!D64</f>
        <v>1053</v>
      </c>
      <c r="E68" s="1">
        <f>'1.12 Wages'!F64</f>
        <v>0</v>
      </c>
      <c r="F68" s="157">
        <f>'1.12 Wages'!X64</f>
        <v>131648.63</v>
      </c>
      <c r="G68" s="157">
        <f t="shared" si="4"/>
        <v>131648.63</v>
      </c>
      <c r="H68" s="157">
        <f t="shared" si="11"/>
        <v>8162.2150600000004</v>
      </c>
      <c r="I68" s="157">
        <f t="shared" si="12"/>
        <v>131648.63</v>
      </c>
      <c r="J68" s="157">
        <f t="shared" si="13"/>
        <v>1908.9051350000002</v>
      </c>
      <c r="K68" s="157">
        <f t="shared" si="2"/>
        <v>7000</v>
      </c>
      <c r="L68" s="157">
        <f t="shared" si="14"/>
        <v>42</v>
      </c>
      <c r="M68" s="157">
        <f t="shared" si="3"/>
        <v>11400</v>
      </c>
      <c r="N68" s="157">
        <f t="shared" si="15"/>
        <v>34.200000000000003</v>
      </c>
      <c r="O68" s="157">
        <f t="shared" si="16"/>
        <v>10147.320195000002</v>
      </c>
    </row>
    <row r="69" spans="1:15">
      <c r="A69" s="1">
        <f t="shared" si="10"/>
        <v>54</v>
      </c>
      <c r="C69" s="1">
        <f>'1.12 Wages'!C65</f>
        <v>54</v>
      </c>
      <c r="D69" s="1">
        <f>'1.12 Wages'!D65</f>
        <v>1054</v>
      </c>
      <c r="E69" s="1">
        <f>'1.12 Wages'!F65</f>
        <v>0</v>
      </c>
      <c r="F69" s="157">
        <f>'1.12 Wages'!X65</f>
        <v>130665.60000000001</v>
      </c>
      <c r="G69" s="157">
        <f t="shared" si="4"/>
        <v>130665.60000000001</v>
      </c>
      <c r="H69" s="157">
        <f t="shared" si="11"/>
        <v>8101.2672000000002</v>
      </c>
      <c r="I69" s="157">
        <f t="shared" si="12"/>
        <v>130665.60000000001</v>
      </c>
      <c r="J69" s="157">
        <f t="shared" si="13"/>
        <v>1894.6512000000002</v>
      </c>
      <c r="K69" s="157">
        <f t="shared" si="2"/>
        <v>7000</v>
      </c>
      <c r="L69" s="157">
        <f t="shared" si="14"/>
        <v>42</v>
      </c>
      <c r="M69" s="157">
        <f t="shared" si="3"/>
        <v>11400</v>
      </c>
      <c r="N69" s="157">
        <f t="shared" si="15"/>
        <v>34.200000000000003</v>
      </c>
      <c r="O69" s="157">
        <f t="shared" si="16"/>
        <v>10072.118400000001</v>
      </c>
    </row>
    <row r="70" spans="1:15">
      <c r="A70" s="1">
        <f t="shared" si="10"/>
        <v>55</v>
      </c>
      <c r="C70" s="1">
        <f>'1.12 Wages'!C66</f>
        <v>55</v>
      </c>
      <c r="D70" s="1">
        <f>'1.12 Wages'!D66</f>
        <v>1055</v>
      </c>
      <c r="E70" s="1">
        <f>'1.12 Wages'!F66</f>
        <v>0</v>
      </c>
      <c r="F70" s="157">
        <f>'1.12 Wages'!X66</f>
        <v>430019.2</v>
      </c>
      <c r="G70" s="157">
        <f t="shared" si="4"/>
        <v>132900</v>
      </c>
      <c r="H70" s="157">
        <f t="shared" si="11"/>
        <v>8239.7999999999993</v>
      </c>
      <c r="I70" s="157">
        <f t="shared" si="12"/>
        <v>430019.2</v>
      </c>
      <c r="J70" s="157">
        <f t="shared" si="13"/>
        <v>6235.2784000000001</v>
      </c>
      <c r="K70" s="157">
        <f t="shared" si="2"/>
        <v>7000</v>
      </c>
      <c r="L70" s="157">
        <f t="shared" si="14"/>
        <v>42</v>
      </c>
      <c r="M70" s="157">
        <f t="shared" si="3"/>
        <v>11400</v>
      </c>
      <c r="N70" s="157">
        <f t="shared" si="15"/>
        <v>34.200000000000003</v>
      </c>
      <c r="O70" s="157">
        <f t="shared" si="16"/>
        <v>14551.278399999999</v>
      </c>
    </row>
    <row r="71" spans="1:15">
      <c r="A71" s="1">
        <f t="shared" si="10"/>
        <v>56</v>
      </c>
      <c r="C71" s="1">
        <f>'1.12 Wages'!C67</f>
        <v>56</v>
      </c>
      <c r="D71" s="1">
        <f>'1.12 Wages'!D67</f>
        <v>1056</v>
      </c>
      <c r="E71" s="1">
        <f>'1.12 Wages'!F67</f>
        <v>0</v>
      </c>
      <c r="F71" s="157">
        <f>'1.12 Wages'!X67</f>
        <v>58501.5</v>
      </c>
      <c r="G71" s="157">
        <f t="shared" si="4"/>
        <v>58501.5</v>
      </c>
      <c r="H71" s="157">
        <f t="shared" si="11"/>
        <v>3627.0929999999998</v>
      </c>
      <c r="I71" s="157">
        <f t="shared" si="12"/>
        <v>58501.5</v>
      </c>
      <c r="J71" s="157">
        <f t="shared" si="13"/>
        <v>848.27175</v>
      </c>
      <c r="K71" s="157">
        <f t="shared" si="2"/>
        <v>7000</v>
      </c>
      <c r="L71" s="157">
        <f t="shared" si="14"/>
        <v>42</v>
      </c>
      <c r="M71" s="157">
        <f t="shared" si="3"/>
        <v>11400</v>
      </c>
      <c r="N71" s="157">
        <f t="shared" si="15"/>
        <v>34.200000000000003</v>
      </c>
      <c r="O71" s="157">
        <f t="shared" si="16"/>
        <v>4551.5647499999995</v>
      </c>
    </row>
    <row r="72" spans="1:15">
      <c r="A72" s="1">
        <f t="shared" si="10"/>
        <v>57</v>
      </c>
      <c r="C72" s="1">
        <f>'1.12 Wages'!C68</f>
        <v>57</v>
      </c>
      <c r="D72" s="1">
        <f>'1.12 Wages'!D68</f>
        <v>1057</v>
      </c>
      <c r="E72" s="1" t="str">
        <f>'1.12 Wages'!F68</f>
        <v>A</v>
      </c>
      <c r="F72" s="157">
        <f>'1.12 Wages'!X68</f>
        <v>0</v>
      </c>
      <c r="G72" s="157">
        <f t="shared" si="4"/>
        <v>0</v>
      </c>
      <c r="H72" s="157">
        <f t="shared" si="11"/>
        <v>0</v>
      </c>
      <c r="I72" s="157">
        <f t="shared" si="12"/>
        <v>0</v>
      </c>
      <c r="J72" s="157">
        <f t="shared" si="13"/>
        <v>0</v>
      </c>
      <c r="K72" s="157">
        <f t="shared" si="2"/>
        <v>0</v>
      </c>
      <c r="L72" s="157">
        <f t="shared" si="14"/>
        <v>0</v>
      </c>
      <c r="M72" s="157">
        <f t="shared" si="3"/>
        <v>0</v>
      </c>
      <c r="N72" s="157">
        <f t="shared" si="15"/>
        <v>0</v>
      </c>
      <c r="O72" s="157">
        <f t="shared" si="16"/>
        <v>0</v>
      </c>
    </row>
    <row r="73" spans="1:15">
      <c r="A73" s="1">
        <f t="shared" si="10"/>
        <v>58</v>
      </c>
      <c r="C73" s="1">
        <f>'1.12 Wages'!C69</f>
        <v>58</v>
      </c>
      <c r="D73" s="1">
        <f>'1.12 Wages'!D69</f>
        <v>1058</v>
      </c>
      <c r="E73" s="1">
        <f>'1.12 Wages'!F69</f>
        <v>0</v>
      </c>
      <c r="F73" s="157">
        <f>'1.12 Wages'!X69</f>
        <v>103418.44500000001</v>
      </c>
      <c r="G73" s="157">
        <f t="shared" si="4"/>
        <v>103418.44500000001</v>
      </c>
      <c r="H73" s="157">
        <f t="shared" si="11"/>
        <v>6411.9435900000008</v>
      </c>
      <c r="I73" s="157">
        <f t="shared" si="12"/>
        <v>103418.44500000001</v>
      </c>
      <c r="J73" s="157">
        <f t="shared" si="13"/>
        <v>1499.5674525000002</v>
      </c>
      <c r="K73" s="157">
        <f t="shared" si="2"/>
        <v>7000</v>
      </c>
      <c r="L73" s="157">
        <f t="shared" si="14"/>
        <v>42</v>
      </c>
      <c r="M73" s="157">
        <f t="shared" si="3"/>
        <v>11400</v>
      </c>
      <c r="N73" s="157">
        <f t="shared" si="15"/>
        <v>34.200000000000003</v>
      </c>
      <c r="O73" s="157">
        <f t="shared" si="16"/>
        <v>7987.711042500001</v>
      </c>
    </row>
    <row r="74" spans="1:15">
      <c r="A74" s="1">
        <f t="shared" si="10"/>
        <v>59</v>
      </c>
      <c r="C74" s="1">
        <f>'1.12 Wages'!C70</f>
        <v>59</v>
      </c>
      <c r="D74" s="1">
        <f>'1.12 Wages'!D70</f>
        <v>1059</v>
      </c>
      <c r="E74" s="1">
        <f>'1.12 Wages'!F70</f>
        <v>0</v>
      </c>
      <c r="F74" s="157">
        <f>'1.12 Wages'!X70</f>
        <v>48547.25</v>
      </c>
      <c r="G74" s="157">
        <f t="shared" si="4"/>
        <v>48547.25</v>
      </c>
      <c r="H74" s="157">
        <f t="shared" si="11"/>
        <v>3009.9295000000002</v>
      </c>
      <c r="I74" s="157">
        <f t="shared" si="12"/>
        <v>48547.25</v>
      </c>
      <c r="J74" s="157">
        <f t="shared" si="13"/>
        <v>703.93512500000008</v>
      </c>
      <c r="K74" s="157">
        <f t="shared" si="2"/>
        <v>7000</v>
      </c>
      <c r="L74" s="157">
        <f t="shared" si="14"/>
        <v>42</v>
      </c>
      <c r="M74" s="157">
        <f t="shared" si="3"/>
        <v>11400</v>
      </c>
      <c r="N74" s="157">
        <f t="shared" si="15"/>
        <v>34.200000000000003</v>
      </c>
      <c r="O74" s="157">
        <f t="shared" si="16"/>
        <v>3790.064625</v>
      </c>
    </row>
    <row r="75" spans="1:15">
      <c r="A75" s="1">
        <f t="shared" si="10"/>
        <v>60</v>
      </c>
      <c r="C75" s="1">
        <f>'1.12 Wages'!C71</f>
        <v>60</v>
      </c>
      <c r="D75" s="1">
        <f>'1.12 Wages'!D71</f>
        <v>1060</v>
      </c>
      <c r="E75" s="1">
        <f>'1.12 Wages'!F71</f>
        <v>0</v>
      </c>
      <c r="F75" s="157">
        <f>'1.12 Wages'!X71</f>
        <v>110903.67750000001</v>
      </c>
      <c r="G75" s="157">
        <f t="shared" si="4"/>
        <v>110903.67750000001</v>
      </c>
      <c r="H75" s="157">
        <f t="shared" si="11"/>
        <v>6876.0280050000001</v>
      </c>
      <c r="I75" s="157">
        <f t="shared" si="12"/>
        <v>110903.67750000001</v>
      </c>
      <c r="J75" s="157">
        <f t="shared" si="13"/>
        <v>1608.1033237500001</v>
      </c>
      <c r="K75" s="157">
        <f t="shared" si="2"/>
        <v>7000</v>
      </c>
      <c r="L75" s="157">
        <f t="shared" si="14"/>
        <v>42</v>
      </c>
      <c r="M75" s="157">
        <f t="shared" si="3"/>
        <v>11400</v>
      </c>
      <c r="N75" s="157">
        <f t="shared" si="15"/>
        <v>34.200000000000003</v>
      </c>
      <c r="O75" s="157">
        <f t="shared" si="16"/>
        <v>8560.3313287500005</v>
      </c>
    </row>
    <row r="76" spans="1:15">
      <c r="A76" s="1">
        <f t="shared" si="10"/>
        <v>61</v>
      </c>
      <c r="C76" s="1">
        <f>'1.12 Wages'!C72</f>
        <v>61</v>
      </c>
      <c r="D76" s="1">
        <f>'1.12 Wages'!D72</f>
        <v>1061</v>
      </c>
      <c r="E76" s="1">
        <f>'1.12 Wages'!F72</f>
        <v>0</v>
      </c>
      <c r="F76" s="157">
        <f>'1.12 Wages'!X72</f>
        <v>67186.542499999996</v>
      </c>
      <c r="G76" s="157">
        <f t="shared" si="4"/>
        <v>67186.542499999996</v>
      </c>
      <c r="H76" s="157">
        <f t="shared" si="11"/>
        <v>4165.5656349999999</v>
      </c>
      <c r="I76" s="157">
        <f t="shared" si="12"/>
        <v>67186.542499999996</v>
      </c>
      <c r="J76" s="157">
        <f t="shared" si="13"/>
        <v>974.20486625000001</v>
      </c>
      <c r="K76" s="157">
        <f t="shared" si="2"/>
        <v>7000</v>
      </c>
      <c r="L76" s="157">
        <f t="shared" si="14"/>
        <v>42</v>
      </c>
      <c r="M76" s="157">
        <f t="shared" si="3"/>
        <v>11400</v>
      </c>
      <c r="N76" s="157">
        <f t="shared" si="15"/>
        <v>34.200000000000003</v>
      </c>
      <c r="O76" s="157">
        <f t="shared" si="16"/>
        <v>5215.9705012499999</v>
      </c>
    </row>
    <row r="77" spans="1:15">
      <c r="A77" s="1">
        <f t="shared" si="10"/>
        <v>62</v>
      </c>
      <c r="C77" s="1">
        <f>'1.12 Wages'!C73</f>
        <v>62</v>
      </c>
      <c r="D77" s="1">
        <f>'1.12 Wages'!D73</f>
        <v>1062</v>
      </c>
      <c r="E77" s="1">
        <f>'1.12 Wages'!F73</f>
        <v>0</v>
      </c>
      <c r="F77" s="157">
        <f>'1.12 Wages'!X73</f>
        <v>219460.80000000002</v>
      </c>
      <c r="G77" s="157">
        <f t="shared" si="4"/>
        <v>132900</v>
      </c>
      <c r="H77" s="157">
        <f t="shared" si="11"/>
        <v>8239.7999999999993</v>
      </c>
      <c r="I77" s="157">
        <f t="shared" si="12"/>
        <v>219460.80000000002</v>
      </c>
      <c r="J77" s="157">
        <f t="shared" si="13"/>
        <v>3182.1816000000003</v>
      </c>
      <c r="K77" s="157">
        <f t="shared" si="2"/>
        <v>7000</v>
      </c>
      <c r="L77" s="157">
        <f t="shared" si="14"/>
        <v>42</v>
      </c>
      <c r="M77" s="157">
        <f t="shared" si="3"/>
        <v>11400</v>
      </c>
      <c r="N77" s="157">
        <f t="shared" si="15"/>
        <v>34.200000000000003</v>
      </c>
      <c r="O77" s="157">
        <f t="shared" si="16"/>
        <v>11498.1816</v>
      </c>
    </row>
    <row r="78" spans="1:15">
      <c r="A78" s="1">
        <f t="shared" si="10"/>
        <v>63</v>
      </c>
      <c r="C78" s="1">
        <f>'1.12 Wages'!C74</f>
        <v>63</v>
      </c>
      <c r="D78" s="1">
        <f>'1.12 Wages'!D74</f>
        <v>1063</v>
      </c>
      <c r="E78" s="1" t="str">
        <f>'1.12 Wages'!F74</f>
        <v>A</v>
      </c>
      <c r="F78" s="157">
        <f>'1.12 Wages'!X74</f>
        <v>0</v>
      </c>
      <c r="G78" s="157">
        <f t="shared" si="4"/>
        <v>0</v>
      </c>
      <c r="H78" s="157">
        <f t="shared" si="11"/>
        <v>0</v>
      </c>
      <c r="I78" s="157">
        <f t="shared" si="12"/>
        <v>0</v>
      </c>
      <c r="J78" s="157">
        <f t="shared" si="13"/>
        <v>0</v>
      </c>
      <c r="K78" s="157">
        <f t="shared" si="2"/>
        <v>0</v>
      </c>
      <c r="L78" s="157">
        <f t="shared" si="14"/>
        <v>0</v>
      </c>
      <c r="M78" s="157">
        <f t="shared" si="3"/>
        <v>0</v>
      </c>
      <c r="N78" s="157">
        <f t="shared" si="15"/>
        <v>0</v>
      </c>
      <c r="O78" s="157">
        <f t="shared" si="16"/>
        <v>0</v>
      </c>
    </row>
    <row r="79" spans="1:15">
      <c r="A79" s="1">
        <f t="shared" si="10"/>
        <v>64</v>
      </c>
      <c r="C79" s="1">
        <f>'1.12 Wages'!C75</f>
        <v>64</v>
      </c>
      <c r="D79" s="1">
        <f>'1.12 Wages'!D75</f>
        <v>1064</v>
      </c>
      <c r="E79" s="1">
        <f>'1.12 Wages'!F75</f>
        <v>0</v>
      </c>
      <c r="F79" s="157">
        <f>'1.12 Wages'!X75</f>
        <v>44720</v>
      </c>
      <c r="G79" s="157">
        <f t="shared" si="4"/>
        <v>44720</v>
      </c>
      <c r="H79" s="157">
        <f t="shared" si="11"/>
        <v>2772.64</v>
      </c>
      <c r="I79" s="157">
        <f t="shared" si="12"/>
        <v>44720</v>
      </c>
      <c r="J79" s="157">
        <f t="shared" si="13"/>
        <v>648.44000000000005</v>
      </c>
      <c r="K79" s="157">
        <f t="shared" si="2"/>
        <v>7000</v>
      </c>
      <c r="L79" s="157">
        <f t="shared" si="14"/>
        <v>42</v>
      </c>
      <c r="M79" s="157">
        <f t="shared" si="3"/>
        <v>11400</v>
      </c>
      <c r="N79" s="157">
        <f t="shared" si="15"/>
        <v>34.200000000000003</v>
      </c>
      <c r="O79" s="157">
        <f t="shared" si="16"/>
        <v>3497.2799999999997</v>
      </c>
    </row>
    <row r="80" spans="1:15">
      <c r="A80" s="1">
        <f t="shared" si="10"/>
        <v>65</v>
      </c>
      <c r="C80" s="1">
        <f>'1.12 Wages'!C76</f>
        <v>65</v>
      </c>
      <c r="D80" s="1">
        <f>'1.12 Wages'!D76</f>
        <v>1065</v>
      </c>
      <c r="E80" s="1">
        <f>'1.12 Wages'!F76</f>
        <v>0</v>
      </c>
      <c r="F80" s="157">
        <f>'1.12 Wages'!X76</f>
        <v>60783.1</v>
      </c>
      <c r="G80" s="157">
        <f t="shared" si="4"/>
        <v>60783.1</v>
      </c>
      <c r="H80" s="157">
        <f t="shared" si="11"/>
        <v>3768.5522000000001</v>
      </c>
      <c r="I80" s="157">
        <f t="shared" si="12"/>
        <v>60783.1</v>
      </c>
      <c r="J80" s="157">
        <f t="shared" si="13"/>
        <v>881.35495000000003</v>
      </c>
      <c r="K80" s="157">
        <f t="shared" ref="K80:K123" si="17">IF($F80&lt;K$10,$F80,K$10)</f>
        <v>7000</v>
      </c>
      <c r="L80" s="157">
        <f t="shared" si="14"/>
        <v>42</v>
      </c>
      <c r="M80" s="157">
        <f t="shared" ref="M80:M123" si="18">IF($F80&lt;M$10,$F80,M$10)</f>
        <v>11400</v>
      </c>
      <c r="N80" s="157">
        <f t="shared" si="15"/>
        <v>34.200000000000003</v>
      </c>
      <c r="O80" s="157">
        <f t="shared" si="16"/>
        <v>4726.1071499999998</v>
      </c>
    </row>
    <row r="81" spans="1:15">
      <c r="A81" s="1">
        <f t="shared" si="10"/>
        <v>66</v>
      </c>
      <c r="C81" s="1">
        <f>'1.12 Wages'!C77</f>
        <v>66</v>
      </c>
      <c r="D81" s="1">
        <f>'1.12 Wages'!D77</f>
        <v>1066</v>
      </c>
      <c r="E81" s="1">
        <f>'1.12 Wages'!F77</f>
        <v>0</v>
      </c>
      <c r="F81" s="157">
        <f>'1.12 Wages'!X77</f>
        <v>51555.547500000001</v>
      </c>
      <c r="G81" s="157">
        <f t="shared" ref="G81:G123" si="19">IF($F81&lt;G$10,$F81,G$10)</f>
        <v>51555.547500000001</v>
      </c>
      <c r="H81" s="157">
        <f t="shared" si="11"/>
        <v>3196.443945</v>
      </c>
      <c r="I81" s="157">
        <f t="shared" si="12"/>
        <v>51555.547500000001</v>
      </c>
      <c r="J81" s="157">
        <f t="shared" si="13"/>
        <v>747.55543875000001</v>
      </c>
      <c r="K81" s="157">
        <f t="shared" si="17"/>
        <v>7000</v>
      </c>
      <c r="L81" s="157">
        <f t="shared" si="14"/>
        <v>42</v>
      </c>
      <c r="M81" s="157">
        <f t="shared" si="18"/>
        <v>11400</v>
      </c>
      <c r="N81" s="157">
        <f t="shared" si="15"/>
        <v>34.200000000000003</v>
      </c>
      <c r="O81" s="157">
        <f t="shared" si="16"/>
        <v>4020.1993837499999</v>
      </c>
    </row>
    <row r="82" spans="1:15">
      <c r="A82" s="1">
        <f t="shared" si="10"/>
        <v>67</v>
      </c>
      <c r="C82" s="1">
        <f>'1.12 Wages'!C78</f>
        <v>67</v>
      </c>
      <c r="D82" s="1">
        <f>'1.12 Wages'!D78</f>
        <v>1067</v>
      </c>
      <c r="E82" s="1">
        <f>'1.12 Wages'!F78</f>
        <v>0</v>
      </c>
      <c r="F82" s="157">
        <f>'1.12 Wages'!X78</f>
        <v>124258.19</v>
      </c>
      <c r="G82" s="157">
        <f t="shared" si="19"/>
        <v>124258.19</v>
      </c>
      <c r="H82" s="157">
        <f t="shared" si="11"/>
        <v>7704.0077799999999</v>
      </c>
      <c r="I82" s="157">
        <f t="shared" si="12"/>
        <v>124258.19</v>
      </c>
      <c r="J82" s="157">
        <f t="shared" si="13"/>
        <v>1801.7437550000002</v>
      </c>
      <c r="K82" s="157">
        <f t="shared" si="17"/>
        <v>7000</v>
      </c>
      <c r="L82" s="157">
        <f t="shared" si="14"/>
        <v>42</v>
      </c>
      <c r="M82" s="157">
        <f t="shared" si="18"/>
        <v>11400</v>
      </c>
      <c r="N82" s="157">
        <f t="shared" si="15"/>
        <v>34.200000000000003</v>
      </c>
      <c r="O82" s="157">
        <f t="shared" si="16"/>
        <v>9581.9515350000001</v>
      </c>
    </row>
    <row r="83" spans="1:15">
      <c r="A83" s="1">
        <f t="shared" si="10"/>
        <v>68</v>
      </c>
      <c r="C83" s="1">
        <f>'1.12 Wages'!C79</f>
        <v>68</v>
      </c>
      <c r="D83" s="1">
        <f>'1.12 Wages'!D79</f>
        <v>1068</v>
      </c>
      <c r="E83" s="1">
        <f>'1.12 Wages'!F79</f>
        <v>0</v>
      </c>
      <c r="F83" s="157">
        <f>'1.12 Wages'!X79</f>
        <v>77436.59</v>
      </c>
      <c r="G83" s="157">
        <f t="shared" si="19"/>
        <v>77436.59</v>
      </c>
      <c r="H83" s="157">
        <f t="shared" si="11"/>
        <v>4801.0685800000001</v>
      </c>
      <c r="I83" s="157">
        <f t="shared" si="12"/>
        <v>77436.59</v>
      </c>
      <c r="J83" s="157">
        <f t="shared" si="13"/>
        <v>1122.830555</v>
      </c>
      <c r="K83" s="157">
        <f t="shared" si="17"/>
        <v>7000</v>
      </c>
      <c r="L83" s="157">
        <f t="shared" si="14"/>
        <v>42</v>
      </c>
      <c r="M83" s="157">
        <f t="shared" si="18"/>
        <v>11400</v>
      </c>
      <c r="N83" s="157">
        <f t="shared" si="15"/>
        <v>34.200000000000003</v>
      </c>
      <c r="O83" s="157">
        <f t="shared" si="16"/>
        <v>6000.0991349999995</v>
      </c>
    </row>
    <row r="84" spans="1:15">
      <c r="A84" s="1">
        <f t="shared" si="10"/>
        <v>69</v>
      </c>
      <c r="C84" s="1">
        <f>'1.12 Wages'!C80</f>
        <v>69</v>
      </c>
      <c r="D84" s="1">
        <f>'1.12 Wages'!D80</f>
        <v>1069</v>
      </c>
      <c r="E84" s="1">
        <f>'1.12 Wages'!F80</f>
        <v>0</v>
      </c>
      <c r="F84" s="157">
        <f>'1.12 Wages'!X80</f>
        <v>85155.295000000013</v>
      </c>
      <c r="G84" s="157">
        <f t="shared" si="19"/>
        <v>85155.295000000013</v>
      </c>
      <c r="H84" s="157">
        <f t="shared" si="11"/>
        <v>5279.6282900000006</v>
      </c>
      <c r="I84" s="157">
        <f t="shared" si="12"/>
        <v>85155.295000000013</v>
      </c>
      <c r="J84" s="157">
        <f t="shared" si="13"/>
        <v>1234.7517775000003</v>
      </c>
      <c r="K84" s="157">
        <f t="shared" si="17"/>
        <v>7000</v>
      </c>
      <c r="L84" s="157">
        <f t="shared" si="14"/>
        <v>42</v>
      </c>
      <c r="M84" s="157">
        <f t="shared" si="18"/>
        <v>11400</v>
      </c>
      <c r="N84" s="157">
        <f t="shared" si="15"/>
        <v>34.200000000000003</v>
      </c>
      <c r="O84" s="157">
        <f t="shared" si="16"/>
        <v>6590.580067500001</v>
      </c>
    </row>
    <row r="85" spans="1:15">
      <c r="A85" s="1">
        <f t="shared" si="10"/>
        <v>70</v>
      </c>
      <c r="C85" s="1">
        <f>'1.12 Wages'!C81</f>
        <v>70</v>
      </c>
      <c r="D85" s="1">
        <f>'1.12 Wages'!D81</f>
        <v>1070</v>
      </c>
      <c r="E85" s="1" t="str">
        <f>'1.12 Wages'!F81</f>
        <v>A</v>
      </c>
      <c r="F85" s="157">
        <f>'1.12 Wages'!X81</f>
        <v>0</v>
      </c>
      <c r="G85" s="157">
        <f t="shared" si="19"/>
        <v>0</v>
      </c>
      <c r="H85" s="157">
        <f t="shared" si="11"/>
        <v>0</v>
      </c>
      <c r="I85" s="157">
        <f t="shared" si="12"/>
        <v>0</v>
      </c>
      <c r="J85" s="157">
        <f t="shared" si="13"/>
        <v>0</v>
      </c>
      <c r="K85" s="157">
        <f t="shared" si="17"/>
        <v>0</v>
      </c>
      <c r="L85" s="157">
        <f t="shared" si="14"/>
        <v>0</v>
      </c>
      <c r="M85" s="157">
        <f t="shared" si="18"/>
        <v>0</v>
      </c>
      <c r="N85" s="157">
        <f t="shared" si="15"/>
        <v>0</v>
      </c>
      <c r="O85" s="157">
        <f t="shared" si="16"/>
        <v>0</v>
      </c>
    </row>
    <row r="86" spans="1:15">
      <c r="A86" s="1">
        <f t="shared" si="10"/>
        <v>71</v>
      </c>
      <c r="C86" s="1">
        <f>'1.12 Wages'!C82</f>
        <v>71</v>
      </c>
      <c r="D86" s="1">
        <f>'1.12 Wages'!D82</f>
        <v>1071</v>
      </c>
      <c r="E86" s="1" t="str">
        <f>'1.12 Wages'!F82</f>
        <v>A</v>
      </c>
      <c r="F86" s="157">
        <f>'1.12 Wages'!X82</f>
        <v>0</v>
      </c>
      <c r="G86" s="157">
        <f t="shared" si="19"/>
        <v>0</v>
      </c>
      <c r="H86" s="157">
        <f t="shared" si="11"/>
        <v>0</v>
      </c>
      <c r="I86" s="157">
        <f t="shared" si="12"/>
        <v>0</v>
      </c>
      <c r="J86" s="157">
        <f t="shared" si="13"/>
        <v>0</v>
      </c>
      <c r="K86" s="157">
        <f t="shared" si="17"/>
        <v>0</v>
      </c>
      <c r="L86" s="157">
        <f t="shared" si="14"/>
        <v>0</v>
      </c>
      <c r="M86" s="157">
        <f t="shared" si="18"/>
        <v>0</v>
      </c>
      <c r="N86" s="157">
        <f t="shared" si="15"/>
        <v>0</v>
      </c>
      <c r="O86" s="157">
        <f t="shared" si="16"/>
        <v>0</v>
      </c>
    </row>
    <row r="87" spans="1:15">
      <c r="A87" s="1">
        <f t="shared" si="10"/>
        <v>72</v>
      </c>
      <c r="C87" s="1">
        <f>'1.12 Wages'!C83</f>
        <v>72</v>
      </c>
      <c r="D87" s="1">
        <f>'1.12 Wages'!D83</f>
        <v>1072</v>
      </c>
      <c r="E87" s="1" t="str">
        <f>'1.12 Wages'!F83</f>
        <v>A</v>
      </c>
      <c r="F87" s="157">
        <f>'1.12 Wages'!X83</f>
        <v>0</v>
      </c>
      <c r="G87" s="157">
        <f t="shared" si="19"/>
        <v>0</v>
      </c>
      <c r="H87" s="157">
        <f t="shared" si="11"/>
        <v>0</v>
      </c>
      <c r="I87" s="157">
        <f t="shared" si="12"/>
        <v>0</v>
      </c>
      <c r="J87" s="157">
        <f t="shared" si="13"/>
        <v>0</v>
      </c>
      <c r="K87" s="157">
        <f t="shared" si="17"/>
        <v>0</v>
      </c>
      <c r="L87" s="157">
        <f t="shared" si="14"/>
        <v>0</v>
      </c>
      <c r="M87" s="157">
        <f t="shared" si="18"/>
        <v>0</v>
      </c>
      <c r="N87" s="157">
        <f t="shared" si="15"/>
        <v>0</v>
      </c>
      <c r="O87" s="157">
        <f t="shared" si="16"/>
        <v>0</v>
      </c>
    </row>
    <row r="88" spans="1:15">
      <c r="A88" s="1">
        <f t="shared" si="10"/>
        <v>73</v>
      </c>
      <c r="C88" s="1">
        <f>'1.12 Wages'!C84</f>
        <v>73</v>
      </c>
      <c r="D88" s="1">
        <f>'1.12 Wages'!D84</f>
        <v>1073</v>
      </c>
      <c r="E88" s="1">
        <f>'1.12 Wages'!F84</f>
        <v>0</v>
      </c>
      <c r="F88" s="157">
        <f>'1.12 Wages'!X84</f>
        <v>115257.9575</v>
      </c>
      <c r="G88" s="157">
        <f t="shared" si="19"/>
        <v>115257.9575</v>
      </c>
      <c r="H88" s="157">
        <f t="shared" si="11"/>
        <v>7145.9933650000003</v>
      </c>
      <c r="I88" s="157">
        <f t="shared" si="12"/>
        <v>115257.9575</v>
      </c>
      <c r="J88" s="157">
        <f t="shared" si="13"/>
        <v>1671.2403837500001</v>
      </c>
      <c r="K88" s="157">
        <f t="shared" si="17"/>
        <v>7000</v>
      </c>
      <c r="L88" s="157">
        <f t="shared" si="14"/>
        <v>42</v>
      </c>
      <c r="M88" s="157">
        <f t="shared" si="18"/>
        <v>11400</v>
      </c>
      <c r="N88" s="157">
        <f t="shared" si="15"/>
        <v>34.200000000000003</v>
      </c>
      <c r="O88" s="157">
        <f t="shared" si="16"/>
        <v>8893.4337487500015</v>
      </c>
    </row>
    <row r="89" spans="1:15">
      <c r="A89" s="1">
        <f t="shared" si="10"/>
        <v>74</v>
      </c>
      <c r="C89" s="1">
        <f>'1.12 Wages'!C85</f>
        <v>74</v>
      </c>
      <c r="D89" s="1">
        <f>'1.12 Wages'!D85</f>
        <v>1074</v>
      </c>
      <c r="E89" s="1">
        <f>'1.12 Wages'!F85</f>
        <v>0</v>
      </c>
      <c r="F89" s="157">
        <f>'1.12 Wages'!X85</f>
        <v>99403.199999999997</v>
      </c>
      <c r="G89" s="157">
        <f t="shared" si="19"/>
        <v>99403.199999999997</v>
      </c>
      <c r="H89" s="157">
        <f t="shared" ref="H89:H123" si="20">G89*H$10</f>
        <v>6162.9983999999995</v>
      </c>
      <c r="I89" s="157">
        <f t="shared" ref="I89:I123" si="21">F89</f>
        <v>99403.199999999997</v>
      </c>
      <c r="J89" s="157">
        <f t="shared" ref="J89:J123" si="22">I89*J$10</f>
        <v>1441.3464000000001</v>
      </c>
      <c r="K89" s="157">
        <f t="shared" si="17"/>
        <v>7000</v>
      </c>
      <c r="L89" s="157">
        <f t="shared" ref="L89:L123" si="23">K89*L$10</f>
        <v>42</v>
      </c>
      <c r="M89" s="157">
        <f t="shared" si="18"/>
        <v>11400</v>
      </c>
      <c r="N89" s="157">
        <f t="shared" ref="N89:N123" si="24">M89*N$10</f>
        <v>34.200000000000003</v>
      </c>
      <c r="O89" s="157">
        <f t="shared" ref="O89:O123" si="25">H89+J89+L89+N89</f>
        <v>7680.5447999999997</v>
      </c>
    </row>
    <row r="90" spans="1:15">
      <c r="A90" s="1">
        <f t="shared" si="10"/>
        <v>75</v>
      </c>
      <c r="C90" s="1">
        <f>'1.12 Wages'!C86</f>
        <v>75</v>
      </c>
      <c r="D90" s="1">
        <f>'1.12 Wages'!D86</f>
        <v>1075</v>
      </c>
      <c r="E90" s="1">
        <f>'1.12 Wages'!F86</f>
        <v>0</v>
      </c>
      <c r="F90" s="157">
        <f>'1.12 Wages'!X86</f>
        <v>91112</v>
      </c>
      <c r="G90" s="157">
        <f t="shared" si="19"/>
        <v>91112</v>
      </c>
      <c r="H90" s="157">
        <f t="shared" si="20"/>
        <v>5648.9439999999995</v>
      </c>
      <c r="I90" s="157">
        <f t="shared" si="21"/>
        <v>91112</v>
      </c>
      <c r="J90" s="157">
        <f t="shared" si="22"/>
        <v>1321.124</v>
      </c>
      <c r="K90" s="157">
        <f t="shared" si="17"/>
        <v>7000</v>
      </c>
      <c r="L90" s="157">
        <f t="shared" si="23"/>
        <v>42</v>
      </c>
      <c r="M90" s="157">
        <f t="shared" si="18"/>
        <v>11400</v>
      </c>
      <c r="N90" s="157">
        <f t="shared" si="24"/>
        <v>34.200000000000003</v>
      </c>
      <c r="O90" s="157">
        <f t="shared" si="25"/>
        <v>7046.2679999999991</v>
      </c>
    </row>
    <row r="91" spans="1:15">
      <c r="A91" s="1">
        <f t="shared" si="10"/>
        <v>76</v>
      </c>
      <c r="C91" s="1">
        <f>'1.12 Wages'!C87</f>
        <v>76</v>
      </c>
      <c r="D91" s="1">
        <f>'1.12 Wages'!D87</f>
        <v>1076</v>
      </c>
      <c r="E91" s="1">
        <f>'1.12 Wages'!F87</f>
        <v>0</v>
      </c>
      <c r="F91" s="157">
        <f>'1.12 Wages'!X87</f>
        <v>68532.694999999992</v>
      </c>
      <c r="G91" s="157">
        <f t="shared" si="19"/>
        <v>68532.694999999992</v>
      </c>
      <c r="H91" s="157">
        <f t="shared" si="20"/>
        <v>4249.0270899999996</v>
      </c>
      <c r="I91" s="157">
        <f t="shared" si="21"/>
        <v>68532.694999999992</v>
      </c>
      <c r="J91" s="157">
        <f t="shared" si="22"/>
        <v>993.72407749999991</v>
      </c>
      <c r="K91" s="157">
        <f t="shared" si="17"/>
        <v>7000</v>
      </c>
      <c r="L91" s="157">
        <f t="shared" si="23"/>
        <v>42</v>
      </c>
      <c r="M91" s="157">
        <f t="shared" si="18"/>
        <v>11400</v>
      </c>
      <c r="N91" s="157">
        <f t="shared" si="24"/>
        <v>34.200000000000003</v>
      </c>
      <c r="O91" s="157">
        <f t="shared" si="25"/>
        <v>5318.9511674999994</v>
      </c>
    </row>
    <row r="92" spans="1:15">
      <c r="A92" s="1">
        <f t="shared" si="10"/>
        <v>77</v>
      </c>
      <c r="C92" s="1">
        <f>'1.12 Wages'!C88</f>
        <v>77</v>
      </c>
      <c r="D92" s="1">
        <f>'1.12 Wages'!D88</f>
        <v>1077</v>
      </c>
      <c r="E92" s="1">
        <f>'1.12 Wages'!F88</f>
        <v>0</v>
      </c>
      <c r="F92" s="157">
        <f>'1.12 Wages'!X88</f>
        <v>64814.75</v>
      </c>
      <c r="G92" s="157">
        <f t="shared" si="19"/>
        <v>64814.75</v>
      </c>
      <c r="H92" s="157">
        <f t="shared" si="20"/>
        <v>4018.5144999999998</v>
      </c>
      <c r="I92" s="157">
        <f t="shared" si="21"/>
        <v>64814.75</v>
      </c>
      <c r="J92" s="157">
        <f t="shared" si="22"/>
        <v>939.81387500000005</v>
      </c>
      <c r="K92" s="157">
        <f t="shared" si="17"/>
        <v>7000</v>
      </c>
      <c r="L92" s="157">
        <f t="shared" si="23"/>
        <v>42</v>
      </c>
      <c r="M92" s="157">
        <f t="shared" si="18"/>
        <v>11400</v>
      </c>
      <c r="N92" s="157">
        <f t="shared" si="24"/>
        <v>34.200000000000003</v>
      </c>
      <c r="O92" s="157">
        <f t="shared" si="25"/>
        <v>5034.5283749999999</v>
      </c>
    </row>
    <row r="93" spans="1:15">
      <c r="A93" s="1">
        <f t="shared" si="10"/>
        <v>78</v>
      </c>
      <c r="C93" s="1">
        <f>'1.12 Wages'!C89</f>
        <v>78</v>
      </c>
      <c r="D93" s="1">
        <f>'1.12 Wages'!D89</f>
        <v>1078</v>
      </c>
      <c r="E93" s="1">
        <f>'1.12 Wages'!F89</f>
        <v>0</v>
      </c>
      <c r="F93" s="157">
        <f>'1.12 Wages'!X89</f>
        <v>129744.38750000001</v>
      </c>
      <c r="G93" s="157">
        <f t="shared" si="19"/>
        <v>129744.38750000001</v>
      </c>
      <c r="H93" s="157">
        <f t="shared" si="20"/>
        <v>8044.1520250000003</v>
      </c>
      <c r="I93" s="157">
        <f t="shared" si="21"/>
        <v>129744.38750000001</v>
      </c>
      <c r="J93" s="157">
        <f t="shared" si="22"/>
        <v>1881.2936187500002</v>
      </c>
      <c r="K93" s="157">
        <f t="shared" si="17"/>
        <v>7000</v>
      </c>
      <c r="L93" s="157">
        <f t="shared" si="23"/>
        <v>42</v>
      </c>
      <c r="M93" s="157">
        <f t="shared" si="18"/>
        <v>11400</v>
      </c>
      <c r="N93" s="157">
        <f t="shared" si="24"/>
        <v>34.200000000000003</v>
      </c>
      <c r="O93" s="157">
        <f t="shared" si="25"/>
        <v>10001.645643750002</v>
      </c>
    </row>
    <row r="94" spans="1:15">
      <c r="A94" s="1">
        <f t="shared" si="10"/>
        <v>79</v>
      </c>
      <c r="C94" s="1">
        <f>'1.12 Wages'!C90</f>
        <v>79</v>
      </c>
      <c r="D94" s="1">
        <f>'1.12 Wages'!D90</f>
        <v>1079</v>
      </c>
      <c r="E94" s="1">
        <f>'1.12 Wages'!F90</f>
        <v>0</v>
      </c>
      <c r="F94" s="157">
        <f>'1.12 Wages'!X90</f>
        <v>48520.505000000005</v>
      </c>
      <c r="G94" s="157">
        <f t="shared" si="19"/>
        <v>48520.505000000005</v>
      </c>
      <c r="H94" s="157">
        <f t="shared" si="20"/>
        <v>3008.2713100000001</v>
      </c>
      <c r="I94" s="157">
        <f t="shared" si="21"/>
        <v>48520.505000000005</v>
      </c>
      <c r="J94" s="157">
        <f t="shared" si="22"/>
        <v>703.54732250000006</v>
      </c>
      <c r="K94" s="157">
        <f t="shared" si="17"/>
        <v>7000</v>
      </c>
      <c r="L94" s="157">
        <f t="shared" si="23"/>
        <v>42</v>
      </c>
      <c r="M94" s="157">
        <f t="shared" si="18"/>
        <v>11400</v>
      </c>
      <c r="N94" s="157">
        <f t="shared" si="24"/>
        <v>34.200000000000003</v>
      </c>
      <c r="O94" s="157">
        <f t="shared" si="25"/>
        <v>3788.0186325</v>
      </c>
    </row>
    <row r="95" spans="1:15">
      <c r="A95" s="1">
        <f t="shared" si="10"/>
        <v>80</v>
      </c>
      <c r="C95" s="1">
        <f>'1.12 Wages'!C91</f>
        <v>80</v>
      </c>
      <c r="D95" s="1">
        <f>'1.12 Wages'!D91</f>
        <v>1080</v>
      </c>
      <c r="E95" s="1">
        <f>'1.12 Wages'!F91</f>
        <v>0</v>
      </c>
      <c r="F95" s="157">
        <f>'1.12 Wages'!X91</f>
        <v>83391.675000000003</v>
      </c>
      <c r="G95" s="157">
        <f t="shared" si="19"/>
        <v>83391.675000000003</v>
      </c>
      <c r="H95" s="157">
        <f t="shared" si="20"/>
        <v>5170.2838499999998</v>
      </c>
      <c r="I95" s="157">
        <f t="shared" si="21"/>
        <v>83391.675000000003</v>
      </c>
      <c r="J95" s="157">
        <f t="shared" si="22"/>
        <v>1209.1792875000001</v>
      </c>
      <c r="K95" s="157">
        <f t="shared" si="17"/>
        <v>7000</v>
      </c>
      <c r="L95" s="157">
        <f t="shared" si="23"/>
        <v>42</v>
      </c>
      <c r="M95" s="157">
        <f t="shared" si="18"/>
        <v>11400</v>
      </c>
      <c r="N95" s="157">
        <f t="shared" si="24"/>
        <v>34.200000000000003</v>
      </c>
      <c r="O95" s="157">
        <f t="shared" si="25"/>
        <v>6455.6631374999997</v>
      </c>
    </row>
    <row r="96" spans="1:15">
      <c r="A96" s="1">
        <f t="shared" si="10"/>
        <v>81</v>
      </c>
      <c r="C96" s="1">
        <f>'1.12 Wages'!C92</f>
        <v>81</v>
      </c>
      <c r="D96" s="1">
        <f>'1.12 Wages'!D92</f>
        <v>1081</v>
      </c>
      <c r="E96" s="1">
        <f>'1.12 Wages'!F92</f>
        <v>0</v>
      </c>
      <c r="F96" s="157">
        <f>'1.12 Wages'!X92</f>
        <v>87488</v>
      </c>
      <c r="G96" s="157">
        <f t="shared" si="19"/>
        <v>87488</v>
      </c>
      <c r="H96" s="157">
        <f t="shared" si="20"/>
        <v>5424.2560000000003</v>
      </c>
      <c r="I96" s="157">
        <f t="shared" si="21"/>
        <v>87488</v>
      </c>
      <c r="J96" s="157">
        <f t="shared" si="22"/>
        <v>1268.576</v>
      </c>
      <c r="K96" s="157">
        <f t="shared" si="17"/>
        <v>7000</v>
      </c>
      <c r="L96" s="157">
        <f t="shared" si="23"/>
        <v>42</v>
      </c>
      <c r="M96" s="157">
        <f t="shared" si="18"/>
        <v>11400</v>
      </c>
      <c r="N96" s="157">
        <f t="shared" si="24"/>
        <v>34.200000000000003</v>
      </c>
      <c r="O96" s="157">
        <f t="shared" si="25"/>
        <v>6769.0320000000002</v>
      </c>
    </row>
    <row r="97" spans="1:15">
      <c r="A97" s="1">
        <f t="shared" si="10"/>
        <v>82</v>
      </c>
      <c r="C97" s="1">
        <f>'1.12 Wages'!C93</f>
        <v>82</v>
      </c>
      <c r="D97" s="1">
        <f>'1.12 Wages'!D93</f>
        <v>1082</v>
      </c>
      <c r="E97" s="1">
        <f>'1.12 Wages'!F93</f>
        <v>0</v>
      </c>
      <c r="F97" s="157">
        <f>'1.12 Wages'!X93</f>
        <v>79972.755000000005</v>
      </c>
      <c r="G97" s="157">
        <f t="shared" si="19"/>
        <v>79972.755000000005</v>
      </c>
      <c r="H97" s="157">
        <f t="shared" si="20"/>
        <v>4958.3108099999999</v>
      </c>
      <c r="I97" s="157">
        <f t="shared" si="21"/>
        <v>79972.755000000005</v>
      </c>
      <c r="J97" s="157">
        <f t="shared" si="22"/>
        <v>1159.6049475000002</v>
      </c>
      <c r="K97" s="157">
        <f t="shared" si="17"/>
        <v>7000</v>
      </c>
      <c r="L97" s="157">
        <f t="shared" si="23"/>
        <v>42</v>
      </c>
      <c r="M97" s="157">
        <f t="shared" si="18"/>
        <v>11400</v>
      </c>
      <c r="N97" s="157">
        <f t="shared" si="24"/>
        <v>34.200000000000003</v>
      </c>
      <c r="O97" s="157">
        <f t="shared" si="25"/>
        <v>6194.1157574999997</v>
      </c>
    </row>
    <row r="98" spans="1:15">
      <c r="A98" s="1">
        <f t="shared" si="10"/>
        <v>83</v>
      </c>
      <c r="C98" s="1">
        <f>'1.12 Wages'!C94</f>
        <v>83</v>
      </c>
      <c r="D98" s="1">
        <f>'1.12 Wages'!D94</f>
        <v>1083</v>
      </c>
      <c r="E98" s="1">
        <f>'1.12 Wages'!F94</f>
        <v>0</v>
      </c>
      <c r="F98" s="157">
        <f>'1.12 Wages'!X94</f>
        <v>126466.55</v>
      </c>
      <c r="G98" s="157">
        <f t="shared" si="19"/>
        <v>126466.55</v>
      </c>
      <c r="H98" s="157">
        <f t="shared" si="20"/>
        <v>7840.9260999999997</v>
      </c>
      <c r="I98" s="157">
        <f t="shared" si="21"/>
        <v>126466.55</v>
      </c>
      <c r="J98" s="157">
        <f t="shared" si="22"/>
        <v>1833.764975</v>
      </c>
      <c r="K98" s="157">
        <f t="shared" si="17"/>
        <v>7000</v>
      </c>
      <c r="L98" s="157">
        <f t="shared" si="23"/>
        <v>42</v>
      </c>
      <c r="M98" s="157">
        <f t="shared" si="18"/>
        <v>11400</v>
      </c>
      <c r="N98" s="157">
        <f t="shared" si="24"/>
        <v>34.200000000000003</v>
      </c>
      <c r="O98" s="157">
        <f t="shared" si="25"/>
        <v>9750.8910749999995</v>
      </c>
    </row>
    <row r="99" spans="1:15">
      <c r="A99" s="1">
        <f t="shared" si="10"/>
        <v>84</v>
      </c>
      <c r="C99" s="1">
        <f>'1.12 Wages'!C95</f>
        <v>84</v>
      </c>
      <c r="D99" s="1">
        <f>'1.12 Wages'!D95</f>
        <v>1084</v>
      </c>
      <c r="E99" s="1">
        <f>'1.12 Wages'!F95</f>
        <v>0</v>
      </c>
      <c r="F99" s="157">
        <f>'1.12 Wages'!X95</f>
        <v>69825.600000000006</v>
      </c>
      <c r="G99" s="157">
        <f t="shared" si="19"/>
        <v>69825.600000000006</v>
      </c>
      <c r="H99" s="157">
        <f t="shared" si="20"/>
        <v>4329.1872000000003</v>
      </c>
      <c r="I99" s="157">
        <f t="shared" si="21"/>
        <v>69825.600000000006</v>
      </c>
      <c r="J99" s="157">
        <f t="shared" si="22"/>
        <v>1012.4712000000002</v>
      </c>
      <c r="K99" s="157">
        <f t="shared" si="17"/>
        <v>7000</v>
      </c>
      <c r="L99" s="157">
        <f t="shared" si="23"/>
        <v>42</v>
      </c>
      <c r="M99" s="157">
        <f t="shared" si="18"/>
        <v>11400</v>
      </c>
      <c r="N99" s="157">
        <f t="shared" si="24"/>
        <v>34.200000000000003</v>
      </c>
      <c r="O99" s="157">
        <f t="shared" si="25"/>
        <v>5417.8584000000001</v>
      </c>
    </row>
    <row r="100" spans="1:15">
      <c r="A100" s="1">
        <f t="shared" si="10"/>
        <v>85</v>
      </c>
      <c r="C100" s="1">
        <f>'1.12 Wages'!C96</f>
        <v>85</v>
      </c>
      <c r="D100" s="1">
        <f>'1.12 Wages'!D96</f>
        <v>1085</v>
      </c>
      <c r="E100" s="1">
        <f>'1.12 Wages'!F96</f>
        <v>0</v>
      </c>
      <c r="F100" s="157">
        <f>'1.12 Wages'!X96</f>
        <v>131792.44500000001</v>
      </c>
      <c r="G100" s="157">
        <f t="shared" si="19"/>
        <v>131792.44500000001</v>
      </c>
      <c r="H100" s="157">
        <f t="shared" si="20"/>
        <v>8171.13159</v>
      </c>
      <c r="I100" s="157">
        <f t="shared" si="21"/>
        <v>131792.44500000001</v>
      </c>
      <c r="J100" s="157">
        <f t="shared" si="22"/>
        <v>1910.9904525000002</v>
      </c>
      <c r="K100" s="157">
        <f t="shared" si="17"/>
        <v>7000</v>
      </c>
      <c r="L100" s="157">
        <f t="shared" si="23"/>
        <v>42</v>
      </c>
      <c r="M100" s="157">
        <f t="shared" si="18"/>
        <v>11400</v>
      </c>
      <c r="N100" s="157">
        <f t="shared" si="24"/>
        <v>34.200000000000003</v>
      </c>
      <c r="O100" s="157">
        <f t="shared" si="25"/>
        <v>10158.3220425</v>
      </c>
    </row>
    <row r="101" spans="1:15">
      <c r="A101" s="1">
        <f t="shared" si="10"/>
        <v>86</v>
      </c>
      <c r="C101" s="1">
        <f>'1.12 Wages'!C97</f>
        <v>86</v>
      </c>
      <c r="D101" s="1">
        <f>'1.12 Wages'!D97</f>
        <v>1086</v>
      </c>
      <c r="E101" s="1">
        <f>'1.12 Wages'!F97</f>
        <v>0</v>
      </c>
      <c r="F101" s="157">
        <f>'1.12 Wages'!X97</f>
        <v>129677</v>
      </c>
      <c r="G101" s="157">
        <f t="shared" si="19"/>
        <v>129677</v>
      </c>
      <c r="H101" s="157">
        <f t="shared" si="20"/>
        <v>8039.9740000000002</v>
      </c>
      <c r="I101" s="157">
        <f t="shared" si="21"/>
        <v>129677</v>
      </c>
      <c r="J101" s="157">
        <f t="shared" si="22"/>
        <v>1880.3165000000001</v>
      </c>
      <c r="K101" s="157">
        <f t="shared" si="17"/>
        <v>7000</v>
      </c>
      <c r="L101" s="157">
        <f t="shared" si="23"/>
        <v>42</v>
      </c>
      <c r="M101" s="157">
        <f t="shared" si="18"/>
        <v>11400</v>
      </c>
      <c r="N101" s="157">
        <f t="shared" si="24"/>
        <v>34.200000000000003</v>
      </c>
      <c r="O101" s="157">
        <f t="shared" si="25"/>
        <v>9996.4905000000017</v>
      </c>
    </row>
    <row r="102" spans="1:15">
      <c r="A102" s="1">
        <f t="shared" si="10"/>
        <v>87</v>
      </c>
      <c r="C102" s="1">
        <f>'1.12 Wages'!C98</f>
        <v>87</v>
      </c>
      <c r="D102" s="1">
        <f>'1.12 Wages'!D98</f>
        <v>1087</v>
      </c>
      <c r="E102" s="1">
        <f>'1.12 Wages'!F98</f>
        <v>0</v>
      </c>
      <c r="F102" s="157">
        <f>'1.12 Wages'!X98</f>
        <v>73254.912500000006</v>
      </c>
      <c r="G102" s="157">
        <f t="shared" si="19"/>
        <v>73254.912500000006</v>
      </c>
      <c r="H102" s="157">
        <f t="shared" si="20"/>
        <v>4541.8045750000001</v>
      </c>
      <c r="I102" s="157">
        <f t="shared" si="21"/>
        <v>73254.912500000006</v>
      </c>
      <c r="J102" s="157">
        <f t="shared" si="22"/>
        <v>1062.1962312500002</v>
      </c>
      <c r="K102" s="157">
        <f t="shared" si="17"/>
        <v>7000</v>
      </c>
      <c r="L102" s="157">
        <f t="shared" si="23"/>
        <v>42</v>
      </c>
      <c r="M102" s="157">
        <f t="shared" si="18"/>
        <v>11400</v>
      </c>
      <c r="N102" s="157">
        <f t="shared" si="24"/>
        <v>34.200000000000003</v>
      </c>
      <c r="O102" s="157">
        <f t="shared" si="25"/>
        <v>5680.2008062499999</v>
      </c>
    </row>
    <row r="103" spans="1:15">
      <c r="A103" s="1">
        <f t="shared" si="10"/>
        <v>88</v>
      </c>
      <c r="C103" s="1">
        <f>'1.12 Wages'!C99</f>
        <v>88</v>
      </c>
      <c r="D103" s="1">
        <f>'1.12 Wages'!D99</f>
        <v>1088</v>
      </c>
      <c r="E103" s="1">
        <f>'1.12 Wages'!F99</f>
        <v>0</v>
      </c>
      <c r="F103" s="157">
        <f>'1.12 Wages'!X99</f>
        <v>59966.399999999994</v>
      </c>
      <c r="G103" s="157">
        <f t="shared" si="19"/>
        <v>59966.399999999994</v>
      </c>
      <c r="H103" s="157">
        <f t="shared" si="20"/>
        <v>3717.9167999999995</v>
      </c>
      <c r="I103" s="157">
        <f t="shared" si="21"/>
        <v>59966.399999999994</v>
      </c>
      <c r="J103" s="157">
        <f t="shared" si="22"/>
        <v>869.51279999999997</v>
      </c>
      <c r="K103" s="157">
        <f t="shared" si="17"/>
        <v>7000</v>
      </c>
      <c r="L103" s="157">
        <f t="shared" si="23"/>
        <v>42</v>
      </c>
      <c r="M103" s="157">
        <f t="shared" si="18"/>
        <v>11400</v>
      </c>
      <c r="N103" s="157">
        <f t="shared" si="24"/>
        <v>34.200000000000003</v>
      </c>
      <c r="O103" s="157">
        <f t="shared" si="25"/>
        <v>4663.6295999999993</v>
      </c>
    </row>
    <row r="104" spans="1:15">
      <c r="A104" s="1">
        <f t="shared" si="10"/>
        <v>89</v>
      </c>
      <c r="C104" s="1">
        <f>'1.12 Wages'!C100</f>
        <v>89</v>
      </c>
      <c r="D104" s="1">
        <f>'1.12 Wages'!D100</f>
        <v>1089</v>
      </c>
      <c r="E104" s="1">
        <f>'1.12 Wages'!F100</f>
        <v>0</v>
      </c>
      <c r="F104" s="157">
        <f>'1.12 Wages'!X100</f>
        <v>94768.432499999995</v>
      </c>
      <c r="G104" s="157">
        <f t="shared" si="19"/>
        <v>94768.432499999995</v>
      </c>
      <c r="H104" s="157">
        <f t="shared" si="20"/>
        <v>5875.6428149999992</v>
      </c>
      <c r="I104" s="157">
        <f t="shared" si="21"/>
        <v>94768.432499999995</v>
      </c>
      <c r="J104" s="157">
        <f t="shared" si="22"/>
        <v>1374.14227125</v>
      </c>
      <c r="K104" s="157">
        <f t="shared" si="17"/>
        <v>7000</v>
      </c>
      <c r="L104" s="157">
        <f t="shared" si="23"/>
        <v>42</v>
      </c>
      <c r="M104" s="157">
        <f t="shared" si="18"/>
        <v>11400</v>
      </c>
      <c r="N104" s="157">
        <f t="shared" si="24"/>
        <v>34.200000000000003</v>
      </c>
      <c r="O104" s="157">
        <f t="shared" si="25"/>
        <v>7325.9850862499989</v>
      </c>
    </row>
    <row r="105" spans="1:15">
      <c r="A105" s="1">
        <f t="shared" si="10"/>
        <v>90</v>
      </c>
      <c r="C105" s="1">
        <f>'1.12 Wages'!C101</f>
        <v>90</v>
      </c>
      <c r="D105" s="1">
        <f>'1.12 Wages'!D101</f>
        <v>1090</v>
      </c>
      <c r="E105" s="1">
        <f>'1.12 Wages'!F101</f>
        <v>0</v>
      </c>
      <c r="F105" s="157">
        <f>'1.12 Wages'!X101</f>
        <v>48723.675000000003</v>
      </c>
      <c r="G105" s="157">
        <f t="shared" si="19"/>
        <v>48723.675000000003</v>
      </c>
      <c r="H105" s="157">
        <f t="shared" si="20"/>
        <v>3020.8678500000001</v>
      </c>
      <c r="I105" s="157">
        <f t="shared" si="21"/>
        <v>48723.675000000003</v>
      </c>
      <c r="J105" s="157">
        <f t="shared" si="22"/>
        <v>706.49328750000006</v>
      </c>
      <c r="K105" s="157">
        <f t="shared" si="17"/>
        <v>7000</v>
      </c>
      <c r="L105" s="157">
        <f t="shared" si="23"/>
        <v>42</v>
      </c>
      <c r="M105" s="157">
        <f t="shared" si="18"/>
        <v>11400</v>
      </c>
      <c r="N105" s="157">
        <f t="shared" si="24"/>
        <v>34.200000000000003</v>
      </c>
      <c r="O105" s="157">
        <f t="shared" si="25"/>
        <v>3803.5611374999999</v>
      </c>
    </row>
    <row r="106" spans="1:15">
      <c r="A106" s="1">
        <f t="shared" si="10"/>
        <v>91</v>
      </c>
      <c r="C106" s="1">
        <f>'1.12 Wages'!C102</f>
        <v>91</v>
      </c>
      <c r="D106" s="1">
        <f>'1.12 Wages'!D102</f>
        <v>1091</v>
      </c>
      <c r="E106" s="1">
        <f>'1.12 Wages'!F102</f>
        <v>0</v>
      </c>
      <c r="F106" s="157">
        <f>'1.12 Wages'!X102</f>
        <v>131007.15000000001</v>
      </c>
      <c r="G106" s="157">
        <f t="shared" si="19"/>
        <v>131007.15000000001</v>
      </c>
      <c r="H106" s="157">
        <f t="shared" si="20"/>
        <v>8122.4433000000008</v>
      </c>
      <c r="I106" s="157">
        <f t="shared" si="21"/>
        <v>131007.15000000001</v>
      </c>
      <c r="J106" s="157">
        <f t="shared" si="22"/>
        <v>1899.6036750000003</v>
      </c>
      <c r="K106" s="157">
        <f t="shared" si="17"/>
        <v>7000</v>
      </c>
      <c r="L106" s="157">
        <f t="shared" si="23"/>
        <v>42</v>
      </c>
      <c r="M106" s="157">
        <f t="shared" si="18"/>
        <v>11400</v>
      </c>
      <c r="N106" s="157">
        <f t="shared" si="24"/>
        <v>34.200000000000003</v>
      </c>
      <c r="O106" s="157">
        <f t="shared" si="25"/>
        <v>10098.246975000002</v>
      </c>
    </row>
    <row r="107" spans="1:15">
      <c r="A107" s="1">
        <f t="shared" si="10"/>
        <v>92</v>
      </c>
      <c r="C107" s="1">
        <f>'1.12 Wages'!C103</f>
        <v>92</v>
      </c>
      <c r="D107" s="1">
        <f>'1.12 Wages'!D103</f>
        <v>1092</v>
      </c>
      <c r="E107" s="1" t="str">
        <f>'1.12 Wages'!F103</f>
        <v>A</v>
      </c>
      <c r="F107" s="157">
        <f>'1.12 Wages'!X103</f>
        <v>0</v>
      </c>
      <c r="G107" s="157">
        <f t="shared" si="19"/>
        <v>0</v>
      </c>
      <c r="H107" s="157">
        <f t="shared" si="20"/>
        <v>0</v>
      </c>
      <c r="I107" s="157">
        <f t="shared" si="21"/>
        <v>0</v>
      </c>
      <c r="J107" s="157">
        <f t="shared" si="22"/>
        <v>0</v>
      </c>
      <c r="K107" s="157">
        <f t="shared" si="17"/>
        <v>0</v>
      </c>
      <c r="L107" s="157">
        <f t="shared" si="23"/>
        <v>0</v>
      </c>
      <c r="M107" s="157">
        <f t="shared" si="18"/>
        <v>0</v>
      </c>
      <c r="N107" s="157">
        <f t="shared" si="24"/>
        <v>0</v>
      </c>
      <c r="O107" s="157">
        <f t="shared" si="25"/>
        <v>0</v>
      </c>
    </row>
    <row r="108" spans="1:15">
      <c r="A108" s="1">
        <f t="shared" si="10"/>
        <v>93</v>
      </c>
      <c r="C108" s="1">
        <f>'1.12 Wages'!C104</f>
        <v>93</v>
      </c>
      <c r="D108" s="1">
        <f>'1.12 Wages'!D104</f>
        <v>1093</v>
      </c>
      <c r="E108" s="1" t="str">
        <f>'1.12 Wages'!F104</f>
        <v>A</v>
      </c>
      <c r="F108" s="157">
        <f>'1.12 Wages'!X104</f>
        <v>0</v>
      </c>
      <c r="G108" s="157">
        <f t="shared" si="19"/>
        <v>0</v>
      </c>
      <c r="H108" s="157">
        <f t="shared" si="20"/>
        <v>0</v>
      </c>
      <c r="I108" s="157">
        <f t="shared" si="21"/>
        <v>0</v>
      </c>
      <c r="J108" s="157">
        <f t="shared" si="22"/>
        <v>0</v>
      </c>
      <c r="K108" s="157">
        <f t="shared" si="17"/>
        <v>0</v>
      </c>
      <c r="L108" s="157">
        <f t="shared" si="23"/>
        <v>0</v>
      </c>
      <c r="M108" s="157">
        <f t="shared" si="18"/>
        <v>0</v>
      </c>
      <c r="N108" s="157">
        <f t="shared" si="24"/>
        <v>0</v>
      </c>
      <c r="O108" s="157">
        <f t="shared" si="25"/>
        <v>0</v>
      </c>
    </row>
    <row r="109" spans="1:15">
      <c r="A109" s="1">
        <f t="shared" si="10"/>
        <v>94</v>
      </c>
      <c r="C109" s="1">
        <f>'1.12 Wages'!C105</f>
        <v>94</v>
      </c>
      <c r="D109" s="1">
        <f>'1.12 Wages'!D105</f>
        <v>1094</v>
      </c>
      <c r="E109" s="1">
        <f>'1.12 Wages'!F105</f>
        <v>0</v>
      </c>
      <c r="F109" s="157">
        <f>'1.12 Wages'!X105</f>
        <v>122659.35</v>
      </c>
      <c r="G109" s="157">
        <f t="shared" si="19"/>
        <v>122659.35</v>
      </c>
      <c r="H109" s="157">
        <f t="shared" si="20"/>
        <v>7604.8797000000004</v>
      </c>
      <c r="I109" s="157">
        <f t="shared" si="21"/>
        <v>122659.35</v>
      </c>
      <c r="J109" s="157">
        <f t="shared" si="22"/>
        <v>1778.5605750000002</v>
      </c>
      <c r="K109" s="157">
        <f t="shared" si="17"/>
        <v>7000</v>
      </c>
      <c r="L109" s="157">
        <f t="shared" si="23"/>
        <v>42</v>
      </c>
      <c r="M109" s="157">
        <f t="shared" si="18"/>
        <v>11400</v>
      </c>
      <c r="N109" s="157">
        <f t="shared" si="24"/>
        <v>34.200000000000003</v>
      </c>
      <c r="O109" s="157">
        <f t="shared" si="25"/>
        <v>9459.6402750000016</v>
      </c>
    </row>
    <row r="110" spans="1:15">
      <c r="A110" s="1">
        <f t="shared" si="10"/>
        <v>95</v>
      </c>
      <c r="C110" s="1">
        <f>'1.12 Wages'!C106</f>
        <v>95</v>
      </c>
      <c r="D110" s="1">
        <f>'1.12 Wages'!D106</f>
        <v>1095</v>
      </c>
      <c r="E110" s="1">
        <f>'1.12 Wages'!F106</f>
        <v>0</v>
      </c>
      <c r="F110" s="157">
        <f>'1.12 Wages'!X106</f>
        <v>124231.37999999999</v>
      </c>
      <c r="G110" s="157">
        <f t="shared" si="19"/>
        <v>124231.37999999999</v>
      </c>
      <c r="H110" s="157">
        <f t="shared" si="20"/>
        <v>7702.3455599999998</v>
      </c>
      <c r="I110" s="157">
        <f t="shared" si="21"/>
        <v>124231.37999999999</v>
      </c>
      <c r="J110" s="157">
        <f t="shared" si="22"/>
        <v>1801.35501</v>
      </c>
      <c r="K110" s="157">
        <f t="shared" si="17"/>
        <v>7000</v>
      </c>
      <c r="L110" s="157">
        <f t="shared" si="23"/>
        <v>42</v>
      </c>
      <c r="M110" s="157">
        <f t="shared" si="18"/>
        <v>11400</v>
      </c>
      <c r="N110" s="157">
        <f t="shared" si="24"/>
        <v>34.200000000000003</v>
      </c>
      <c r="O110" s="157">
        <f t="shared" si="25"/>
        <v>9579.9005699999998</v>
      </c>
    </row>
    <row r="111" spans="1:15">
      <c r="A111" s="1">
        <f t="shared" si="10"/>
        <v>96</v>
      </c>
      <c r="C111" s="1">
        <f>'1.12 Wages'!C107</f>
        <v>96</v>
      </c>
      <c r="D111" s="1">
        <f>'1.12 Wages'!D107</f>
        <v>1096</v>
      </c>
      <c r="E111" s="1">
        <f>'1.12 Wages'!F107</f>
        <v>0</v>
      </c>
      <c r="F111" s="157">
        <f>'1.12 Wages'!X107</f>
        <v>91262.010000000009</v>
      </c>
      <c r="G111" s="157">
        <f t="shared" si="19"/>
        <v>91262.010000000009</v>
      </c>
      <c r="H111" s="157">
        <f t="shared" si="20"/>
        <v>5658.2446200000004</v>
      </c>
      <c r="I111" s="157">
        <f t="shared" si="21"/>
        <v>91262.010000000009</v>
      </c>
      <c r="J111" s="157">
        <f t="shared" si="22"/>
        <v>1323.2991450000002</v>
      </c>
      <c r="K111" s="157">
        <f t="shared" si="17"/>
        <v>7000</v>
      </c>
      <c r="L111" s="157">
        <f t="shared" si="23"/>
        <v>42</v>
      </c>
      <c r="M111" s="157">
        <f t="shared" si="18"/>
        <v>11400</v>
      </c>
      <c r="N111" s="157">
        <f t="shared" si="24"/>
        <v>34.200000000000003</v>
      </c>
      <c r="O111" s="157">
        <f t="shared" si="25"/>
        <v>7057.7437650000002</v>
      </c>
    </row>
    <row r="112" spans="1:15">
      <c r="A112" s="1">
        <f t="shared" si="10"/>
        <v>97</v>
      </c>
      <c r="C112" s="1">
        <f>'1.12 Wages'!C108</f>
        <v>97</v>
      </c>
      <c r="D112" s="1">
        <f>'1.12 Wages'!D108</f>
        <v>1097</v>
      </c>
      <c r="E112" s="1">
        <f>'1.12 Wages'!F108</f>
        <v>0</v>
      </c>
      <c r="F112" s="157">
        <f>'1.12 Wages'!X108</f>
        <v>77442.942500000005</v>
      </c>
      <c r="G112" s="157">
        <f t="shared" si="19"/>
        <v>77442.942500000005</v>
      </c>
      <c r="H112" s="157">
        <f t="shared" si="20"/>
        <v>4801.4624350000004</v>
      </c>
      <c r="I112" s="157">
        <f t="shared" si="21"/>
        <v>77442.942500000005</v>
      </c>
      <c r="J112" s="157">
        <f t="shared" si="22"/>
        <v>1122.92266625</v>
      </c>
      <c r="K112" s="157">
        <f t="shared" si="17"/>
        <v>7000</v>
      </c>
      <c r="L112" s="157">
        <f t="shared" si="23"/>
        <v>42</v>
      </c>
      <c r="M112" s="157">
        <f t="shared" si="18"/>
        <v>11400</v>
      </c>
      <c r="N112" s="157">
        <f t="shared" si="24"/>
        <v>34.200000000000003</v>
      </c>
      <c r="O112" s="157">
        <f t="shared" si="25"/>
        <v>6000.5851012499998</v>
      </c>
    </row>
    <row r="113" spans="1:15">
      <c r="A113" s="1">
        <f t="shared" si="10"/>
        <v>98</v>
      </c>
      <c r="C113" s="1">
        <f>'1.12 Wages'!C109</f>
        <v>98</v>
      </c>
      <c r="D113" s="1">
        <f>'1.12 Wages'!D109</f>
        <v>1098</v>
      </c>
      <c r="E113" s="1">
        <f>'1.12 Wages'!F109</f>
        <v>0</v>
      </c>
      <c r="F113" s="157">
        <f>'1.12 Wages'!X109</f>
        <v>51431.712500000001</v>
      </c>
      <c r="G113" s="157">
        <f t="shared" si="19"/>
        <v>51431.712500000001</v>
      </c>
      <c r="H113" s="157">
        <f t="shared" si="20"/>
        <v>3188.7661750000002</v>
      </c>
      <c r="I113" s="157">
        <f t="shared" si="21"/>
        <v>51431.712500000001</v>
      </c>
      <c r="J113" s="157">
        <f t="shared" si="22"/>
        <v>745.75983125000005</v>
      </c>
      <c r="K113" s="157">
        <f t="shared" si="17"/>
        <v>7000</v>
      </c>
      <c r="L113" s="157">
        <f t="shared" si="23"/>
        <v>42</v>
      </c>
      <c r="M113" s="157">
        <f t="shared" si="18"/>
        <v>11400</v>
      </c>
      <c r="N113" s="157">
        <f t="shared" si="24"/>
        <v>34.200000000000003</v>
      </c>
      <c r="O113" s="157">
        <f t="shared" si="25"/>
        <v>4010.72600625</v>
      </c>
    </row>
    <row r="114" spans="1:15">
      <c r="A114" s="1">
        <f t="shared" si="10"/>
        <v>99</v>
      </c>
      <c r="C114" s="1">
        <f>'1.12 Wages'!C110</f>
        <v>99</v>
      </c>
      <c r="D114" s="1">
        <f>'1.12 Wages'!D110</f>
        <v>1099</v>
      </c>
      <c r="E114" s="1">
        <f>'1.12 Wages'!F110</f>
        <v>0</v>
      </c>
      <c r="F114" s="157">
        <f>'1.12 Wages'!X110</f>
        <v>73233.544999999998</v>
      </c>
      <c r="G114" s="157">
        <f t="shared" si="19"/>
        <v>73233.544999999998</v>
      </c>
      <c r="H114" s="157">
        <f t="shared" si="20"/>
        <v>4540.4797899999994</v>
      </c>
      <c r="I114" s="157">
        <f t="shared" si="21"/>
        <v>73233.544999999998</v>
      </c>
      <c r="J114" s="157">
        <f t="shared" si="22"/>
        <v>1061.8864025</v>
      </c>
      <c r="K114" s="157">
        <f t="shared" si="17"/>
        <v>7000</v>
      </c>
      <c r="L114" s="157">
        <f t="shared" si="23"/>
        <v>42</v>
      </c>
      <c r="M114" s="157">
        <f t="shared" si="18"/>
        <v>11400</v>
      </c>
      <c r="N114" s="157">
        <f t="shared" si="24"/>
        <v>34.200000000000003</v>
      </c>
      <c r="O114" s="157">
        <f t="shared" si="25"/>
        <v>5678.5661924999995</v>
      </c>
    </row>
    <row r="115" spans="1:15">
      <c r="A115" s="1">
        <f t="shared" si="10"/>
        <v>100</v>
      </c>
      <c r="C115" s="1">
        <f>'1.12 Wages'!C111</f>
        <v>100</v>
      </c>
      <c r="D115" s="1">
        <f>'1.12 Wages'!D111</f>
        <v>1100</v>
      </c>
      <c r="E115" s="1">
        <f>'1.12 Wages'!F111</f>
        <v>0</v>
      </c>
      <c r="F115" s="157">
        <f>'1.12 Wages'!X111</f>
        <v>53476.800000000003</v>
      </c>
      <c r="G115" s="157">
        <f t="shared" si="19"/>
        <v>53476.800000000003</v>
      </c>
      <c r="H115" s="157">
        <f t="shared" si="20"/>
        <v>3315.5616</v>
      </c>
      <c r="I115" s="157">
        <f t="shared" si="21"/>
        <v>53476.800000000003</v>
      </c>
      <c r="J115" s="157">
        <f t="shared" si="22"/>
        <v>775.41360000000009</v>
      </c>
      <c r="K115" s="157">
        <f t="shared" si="17"/>
        <v>7000</v>
      </c>
      <c r="L115" s="157">
        <f t="shared" si="23"/>
        <v>42</v>
      </c>
      <c r="M115" s="157">
        <f t="shared" si="18"/>
        <v>11400</v>
      </c>
      <c r="N115" s="157">
        <f t="shared" si="24"/>
        <v>34.200000000000003</v>
      </c>
      <c r="O115" s="157">
        <f t="shared" si="25"/>
        <v>4167.1751999999997</v>
      </c>
    </row>
    <row r="116" spans="1:15">
      <c r="A116" s="1">
        <f t="shared" si="10"/>
        <v>101</v>
      </c>
      <c r="C116" s="1">
        <f>'1.12 Wages'!C112</f>
        <v>101</v>
      </c>
      <c r="D116" s="1">
        <f>'1.12 Wages'!D112</f>
        <v>1101</v>
      </c>
      <c r="E116" s="1" t="str">
        <f>'1.12 Wages'!F112</f>
        <v>A</v>
      </c>
      <c r="F116" s="157">
        <f>'1.12 Wages'!X112</f>
        <v>0</v>
      </c>
      <c r="G116" s="157">
        <f t="shared" si="19"/>
        <v>0</v>
      </c>
      <c r="H116" s="157">
        <f t="shared" si="20"/>
        <v>0</v>
      </c>
      <c r="I116" s="157">
        <f t="shared" si="21"/>
        <v>0</v>
      </c>
      <c r="J116" s="157">
        <f t="shared" si="22"/>
        <v>0</v>
      </c>
      <c r="K116" s="157">
        <f t="shared" si="17"/>
        <v>0</v>
      </c>
      <c r="L116" s="157">
        <f t="shared" si="23"/>
        <v>0</v>
      </c>
      <c r="M116" s="157">
        <f t="shared" si="18"/>
        <v>0</v>
      </c>
      <c r="N116" s="157">
        <f t="shared" si="24"/>
        <v>0</v>
      </c>
      <c r="O116" s="157">
        <f t="shared" si="25"/>
        <v>0</v>
      </c>
    </row>
    <row r="117" spans="1:15">
      <c r="A117" s="1">
        <f t="shared" si="10"/>
        <v>102</v>
      </c>
      <c r="C117" s="1">
        <f>'1.12 Wages'!C113</f>
        <v>102</v>
      </c>
      <c r="D117" s="1">
        <f>'1.12 Wages'!D113</f>
        <v>1102</v>
      </c>
      <c r="E117" s="1" t="str">
        <f>'1.12 Wages'!F113</f>
        <v>A</v>
      </c>
      <c r="F117" s="157">
        <f>'1.12 Wages'!X113</f>
        <v>0</v>
      </c>
      <c r="G117" s="157">
        <f t="shared" si="19"/>
        <v>0</v>
      </c>
      <c r="H117" s="157">
        <f t="shared" si="20"/>
        <v>0</v>
      </c>
      <c r="I117" s="157">
        <f t="shared" si="21"/>
        <v>0</v>
      </c>
      <c r="J117" s="157">
        <f t="shared" si="22"/>
        <v>0</v>
      </c>
      <c r="K117" s="157">
        <f t="shared" si="17"/>
        <v>0</v>
      </c>
      <c r="L117" s="157">
        <f t="shared" si="23"/>
        <v>0</v>
      </c>
      <c r="M117" s="157">
        <f t="shared" si="18"/>
        <v>0</v>
      </c>
      <c r="N117" s="157">
        <f t="shared" si="24"/>
        <v>0</v>
      </c>
      <c r="O117" s="157">
        <f t="shared" si="25"/>
        <v>0</v>
      </c>
    </row>
    <row r="118" spans="1:15">
      <c r="A118" s="1">
        <f t="shared" si="10"/>
        <v>103</v>
      </c>
      <c r="C118" s="1">
        <f>'1.12 Wages'!C114</f>
        <v>103</v>
      </c>
      <c r="D118" s="1">
        <f>'1.12 Wages'!D114</f>
        <v>1103</v>
      </c>
      <c r="E118" s="1" t="str">
        <f>'1.12 Wages'!F114</f>
        <v>A</v>
      </c>
      <c r="F118" s="157">
        <f>'1.12 Wages'!X114</f>
        <v>0</v>
      </c>
      <c r="G118" s="157">
        <f t="shared" si="19"/>
        <v>0</v>
      </c>
      <c r="H118" s="157">
        <f t="shared" si="20"/>
        <v>0</v>
      </c>
      <c r="I118" s="157">
        <f t="shared" si="21"/>
        <v>0</v>
      </c>
      <c r="J118" s="157">
        <f t="shared" si="22"/>
        <v>0</v>
      </c>
      <c r="K118" s="157">
        <f t="shared" si="17"/>
        <v>0</v>
      </c>
      <c r="L118" s="157">
        <f t="shared" si="23"/>
        <v>0</v>
      </c>
      <c r="M118" s="157">
        <f t="shared" si="18"/>
        <v>0</v>
      </c>
      <c r="N118" s="157">
        <f t="shared" si="24"/>
        <v>0</v>
      </c>
      <c r="O118" s="157">
        <f t="shared" si="25"/>
        <v>0</v>
      </c>
    </row>
    <row r="119" spans="1:15">
      <c r="A119" s="1">
        <f t="shared" si="10"/>
        <v>104</v>
      </c>
      <c r="C119" s="1">
        <f>'1.12 Wages'!C115</f>
        <v>104</v>
      </c>
      <c r="D119" s="1">
        <f>'1.12 Wages'!D115</f>
        <v>1104</v>
      </c>
      <c r="E119" s="1" t="str">
        <f>'1.12 Wages'!F115</f>
        <v>A</v>
      </c>
      <c r="F119" s="157">
        <f>'1.12 Wages'!X115</f>
        <v>0</v>
      </c>
      <c r="G119" s="157">
        <f t="shared" si="19"/>
        <v>0</v>
      </c>
      <c r="H119" s="157">
        <f t="shared" si="20"/>
        <v>0</v>
      </c>
      <c r="I119" s="157">
        <f t="shared" si="21"/>
        <v>0</v>
      </c>
      <c r="J119" s="157">
        <f t="shared" si="22"/>
        <v>0</v>
      </c>
      <c r="K119" s="157">
        <f t="shared" si="17"/>
        <v>0</v>
      </c>
      <c r="L119" s="157">
        <f t="shared" si="23"/>
        <v>0</v>
      </c>
      <c r="M119" s="157">
        <f t="shared" si="18"/>
        <v>0</v>
      </c>
      <c r="N119" s="157">
        <f t="shared" si="24"/>
        <v>0</v>
      </c>
      <c r="O119" s="157">
        <f t="shared" si="25"/>
        <v>0</v>
      </c>
    </row>
    <row r="120" spans="1:15">
      <c r="A120" s="1">
        <f t="shared" si="10"/>
        <v>105</v>
      </c>
      <c r="C120" s="1">
        <f>'1.12 Wages'!C116</f>
        <v>105</v>
      </c>
      <c r="D120" s="1">
        <f>'1.12 Wages'!D116</f>
        <v>1105</v>
      </c>
      <c r="E120" s="1" t="str">
        <f>'1.12 Wages'!F116</f>
        <v>A</v>
      </c>
      <c r="F120" s="157">
        <f>'1.12 Wages'!X116</f>
        <v>0</v>
      </c>
      <c r="G120" s="157">
        <f t="shared" si="19"/>
        <v>0</v>
      </c>
      <c r="H120" s="157">
        <f t="shared" si="20"/>
        <v>0</v>
      </c>
      <c r="I120" s="157">
        <f t="shared" si="21"/>
        <v>0</v>
      </c>
      <c r="J120" s="157">
        <f t="shared" si="22"/>
        <v>0</v>
      </c>
      <c r="K120" s="157">
        <f t="shared" si="17"/>
        <v>0</v>
      </c>
      <c r="L120" s="157">
        <f t="shared" si="23"/>
        <v>0</v>
      </c>
      <c r="M120" s="157">
        <f t="shared" si="18"/>
        <v>0</v>
      </c>
      <c r="N120" s="157">
        <f t="shared" si="24"/>
        <v>0</v>
      </c>
      <c r="O120" s="157">
        <f t="shared" si="25"/>
        <v>0</v>
      </c>
    </row>
    <row r="121" spans="1:15">
      <c r="A121" s="1">
        <f t="shared" si="10"/>
        <v>106</v>
      </c>
      <c r="C121" s="1">
        <f>'1.12 Wages'!C117</f>
        <v>106</v>
      </c>
      <c r="D121" s="1">
        <f>'1.12 Wages'!D117</f>
        <v>1106</v>
      </c>
      <c r="E121" s="1" t="str">
        <f>'1.12 Wages'!F117</f>
        <v>A</v>
      </c>
      <c r="F121" s="157">
        <f>'1.12 Wages'!X117</f>
        <v>0</v>
      </c>
      <c r="G121" s="157">
        <f t="shared" si="19"/>
        <v>0</v>
      </c>
      <c r="H121" s="157">
        <f t="shared" si="20"/>
        <v>0</v>
      </c>
      <c r="I121" s="157">
        <f t="shared" si="21"/>
        <v>0</v>
      </c>
      <c r="J121" s="157">
        <f t="shared" si="22"/>
        <v>0</v>
      </c>
      <c r="K121" s="157">
        <f t="shared" si="17"/>
        <v>0</v>
      </c>
      <c r="L121" s="157">
        <f t="shared" si="23"/>
        <v>0</v>
      </c>
      <c r="M121" s="157">
        <f t="shared" si="18"/>
        <v>0</v>
      </c>
      <c r="N121" s="157">
        <f t="shared" si="24"/>
        <v>0</v>
      </c>
      <c r="O121" s="157">
        <f t="shared" si="25"/>
        <v>0</v>
      </c>
    </row>
    <row r="122" spans="1:15">
      <c r="A122" s="1">
        <f t="shared" si="10"/>
        <v>107</v>
      </c>
      <c r="C122" s="1">
        <f>'1.12 Wages'!C118</f>
        <v>107</v>
      </c>
      <c r="D122" s="1">
        <f>'1.12 Wages'!D118</f>
        <v>1107</v>
      </c>
      <c r="E122" s="1" t="str">
        <f>'1.12 Wages'!F118</f>
        <v>B</v>
      </c>
      <c r="F122" s="157">
        <f>'1.12 Wages'!X118</f>
        <v>79019.199999999997</v>
      </c>
      <c r="G122" s="157">
        <f t="shared" si="19"/>
        <v>79019.199999999997</v>
      </c>
      <c r="H122" s="157">
        <f t="shared" si="20"/>
        <v>4899.1903999999995</v>
      </c>
      <c r="I122" s="157">
        <f t="shared" si="21"/>
        <v>79019.199999999997</v>
      </c>
      <c r="J122" s="157">
        <f t="shared" si="22"/>
        <v>1145.7783999999999</v>
      </c>
      <c r="K122" s="157">
        <f t="shared" si="17"/>
        <v>7000</v>
      </c>
      <c r="L122" s="157">
        <f t="shared" si="23"/>
        <v>42</v>
      </c>
      <c r="M122" s="157">
        <f t="shared" si="18"/>
        <v>11400</v>
      </c>
      <c r="N122" s="157">
        <f t="shared" si="24"/>
        <v>34.200000000000003</v>
      </c>
      <c r="O122" s="157">
        <f t="shared" si="25"/>
        <v>6121.1687999999995</v>
      </c>
    </row>
    <row r="123" spans="1:15">
      <c r="A123" s="1">
        <f t="shared" si="10"/>
        <v>108</v>
      </c>
      <c r="C123" s="1">
        <f>'1.12 Wages'!C119</f>
        <v>108</v>
      </c>
      <c r="D123" s="1">
        <f>'1.12 Wages'!D119</f>
        <v>1108</v>
      </c>
      <c r="E123" s="1" t="str">
        <f>'1.12 Wages'!F119</f>
        <v>B</v>
      </c>
      <c r="F123" s="157">
        <f>'1.12 Wages'!X119</f>
        <v>44720</v>
      </c>
      <c r="G123" s="157">
        <f t="shared" si="19"/>
        <v>44720</v>
      </c>
      <c r="H123" s="157">
        <f t="shared" si="20"/>
        <v>2772.64</v>
      </c>
      <c r="I123" s="157">
        <f t="shared" si="21"/>
        <v>44720</v>
      </c>
      <c r="J123" s="157">
        <f t="shared" si="22"/>
        <v>648.44000000000005</v>
      </c>
      <c r="K123" s="157">
        <f t="shared" si="17"/>
        <v>7000</v>
      </c>
      <c r="L123" s="157">
        <f t="shared" si="23"/>
        <v>42</v>
      </c>
      <c r="M123" s="157">
        <f t="shared" si="18"/>
        <v>11400</v>
      </c>
      <c r="N123" s="157">
        <f t="shared" si="24"/>
        <v>34.200000000000003</v>
      </c>
      <c r="O123" s="157">
        <f t="shared" si="25"/>
        <v>3497.2799999999997</v>
      </c>
    </row>
    <row r="124" spans="1:15">
      <c r="A124" s="1">
        <f t="shared" si="10"/>
        <v>109</v>
      </c>
      <c r="C124" s="1"/>
      <c r="D124" s="1"/>
      <c r="E124" s="1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</row>
    <row r="125" spans="1:15">
      <c r="A125" s="1">
        <f>A64+1</f>
        <v>50</v>
      </c>
      <c r="C125" s="204">
        <f>C64</f>
        <v>49</v>
      </c>
      <c r="D125" s="204" t="s">
        <v>14</v>
      </c>
      <c r="E125" s="231"/>
      <c r="F125" s="232">
        <f t="shared" ref="F125:O125" si="26">SUM(F16:F124)</f>
        <v>9517761.1450000014</v>
      </c>
      <c r="G125" s="232">
        <f t="shared" si="26"/>
        <v>8916261.7750000004</v>
      </c>
      <c r="H125" s="232">
        <f t="shared" si="26"/>
        <v>552808.23004999978</v>
      </c>
      <c r="I125" s="232">
        <f t="shared" si="26"/>
        <v>9517761.1450000014</v>
      </c>
      <c r="J125" s="232">
        <f t="shared" si="26"/>
        <v>138007.53660249998</v>
      </c>
      <c r="K125" s="232">
        <f t="shared" si="26"/>
        <v>644000</v>
      </c>
      <c r="L125" s="232">
        <f t="shared" si="26"/>
        <v>3864</v>
      </c>
      <c r="M125" s="232">
        <f t="shared" si="26"/>
        <v>1048800</v>
      </c>
      <c r="N125" s="232">
        <f t="shared" si="26"/>
        <v>3146.399999999996</v>
      </c>
      <c r="O125" s="232">
        <f t="shared" si="26"/>
        <v>697826.16665250028</v>
      </c>
    </row>
    <row r="126" spans="1:15">
      <c r="A126" s="1">
        <f t="shared" si="10"/>
        <v>51</v>
      </c>
      <c r="C126" s="188"/>
      <c r="D126" s="188"/>
      <c r="E126" s="233"/>
      <c r="F126" s="234"/>
    </row>
    <row r="127" spans="1:15">
      <c r="A127" s="1">
        <f t="shared" si="10"/>
        <v>52</v>
      </c>
      <c r="C127" s="28" t="s">
        <v>36</v>
      </c>
      <c r="E127" s="233"/>
      <c r="F127" s="234"/>
      <c r="H127" s="31">
        <v>531869</v>
      </c>
      <c r="J127" s="31">
        <v>128817</v>
      </c>
      <c r="K127" s="31"/>
      <c r="L127" s="31">
        <v>4394</v>
      </c>
      <c r="M127" s="31"/>
      <c r="N127" s="31">
        <v>3532</v>
      </c>
      <c r="O127" s="31">
        <f>H127+J127+L127+N127</f>
        <v>668612</v>
      </c>
    </row>
    <row r="128" spans="1:15">
      <c r="A128" s="1">
        <f t="shared" si="10"/>
        <v>53</v>
      </c>
      <c r="C128" s="188"/>
      <c r="D128" s="188"/>
      <c r="E128" s="233"/>
      <c r="F128" s="234"/>
      <c r="H128" s="157"/>
      <c r="J128" s="157"/>
      <c r="K128" s="157"/>
      <c r="L128" s="31"/>
      <c r="M128" s="31"/>
      <c r="N128" s="31"/>
      <c r="O128" s="157"/>
    </row>
    <row r="129" spans="1:15">
      <c r="A129" s="1">
        <f t="shared" si="10"/>
        <v>54</v>
      </c>
      <c r="C129" s="28" t="s">
        <v>167</v>
      </c>
      <c r="D129" s="188"/>
      <c r="E129" s="188"/>
      <c r="F129" s="187"/>
      <c r="H129" s="92">
        <f>H125</f>
        <v>552808.23004999978</v>
      </c>
      <c r="I129" s="235"/>
      <c r="J129" s="92">
        <f>J125</f>
        <v>138007.53660249998</v>
      </c>
      <c r="K129" s="116"/>
      <c r="L129" s="116">
        <f>L125</f>
        <v>3864</v>
      </c>
      <c r="M129" s="116"/>
      <c r="N129" s="116">
        <f>N125</f>
        <v>3146.399999999996</v>
      </c>
      <c r="O129" s="157">
        <f>H129+J129+L129+N129</f>
        <v>697826.16665249981</v>
      </c>
    </row>
    <row r="130" spans="1:15">
      <c r="A130" s="1">
        <f t="shared" si="10"/>
        <v>55</v>
      </c>
      <c r="C130" s="188"/>
      <c r="D130" s="188"/>
      <c r="E130" s="188"/>
      <c r="F130" s="187"/>
    </row>
    <row r="131" spans="1:15" ht="13.5" thickBot="1">
      <c r="A131" s="1">
        <f t="shared" si="10"/>
        <v>56</v>
      </c>
      <c r="C131" s="189" t="s">
        <v>332</v>
      </c>
      <c r="D131" s="236"/>
      <c r="E131" s="190"/>
      <c r="F131" s="190"/>
      <c r="G131" s="190"/>
      <c r="H131" s="237">
        <f>H129-H127</f>
        <v>20939.23004999978</v>
      </c>
      <c r="I131" s="190"/>
      <c r="J131" s="237">
        <f>J129-J127</f>
        <v>9190.5366024999821</v>
      </c>
      <c r="K131" s="190"/>
      <c r="L131" s="237">
        <f>L129-L127</f>
        <v>-530</v>
      </c>
      <c r="M131" s="190"/>
      <c r="N131" s="237">
        <f>N129-N127</f>
        <v>-385.600000000004</v>
      </c>
      <c r="O131" s="237">
        <f>O129-O127</f>
        <v>29214.166652499815</v>
      </c>
    </row>
    <row r="132" spans="1:15" ht="13.5" thickTop="1">
      <c r="A132" s="1">
        <f t="shared" si="10"/>
        <v>57</v>
      </c>
      <c r="C132" s="1"/>
      <c r="D132" s="1"/>
      <c r="E132" s="1"/>
    </row>
    <row r="133" spans="1:15">
      <c r="A133" s="1">
        <f t="shared" ref="A133:A149" si="27">A132+1</f>
        <v>58</v>
      </c>
      <c r="C133" s="1"/>
      <c r="D133" s="173" t="s">
        <v>312</v>
      </c>
      <c r="F133" s="137" t="s">
        <v>333</v>
      </c>
      <c r="G133" s="2" t="s">
        <v>334</v>
      </c>
      <c r="I133" s="137" t="s">
        <v>335</v>
      </c>
      <c r="J133" s="2" t="s">
        <v>409</v>
      </c>
      <c r="N133" s="137"/>
    </row>
    <row r="134" spans="1:15">
      <c r="A134" s="1">
        <f t="shared" si="27"/>
        <v>59</v>
      </c>
      <c r="C134" s="1"/>
      <c r="D134" s="1"/>
      <c r="E134" s="1"/>
    </row>
    <row r="135" spans="1:15">
      <c r="A135" s="342">
        <f t="shared" si="27"/>
        <v>60</v>
      </c>
      <c r="C135" s="290" t="s">
        <v>336</v>
      </c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</row>
    <row r="136" spans="1:15">
      <c r="A136" s="1">
        <f t="shared" si="27"/>
        <v>61</v>
      </c>
    </row>
    <row r="137" spans="1:15">
      <c r="A137" s="1">
        <f t="shared" si="27"/>
        <v>62</v>
      </c>
      <c r="C137" s="87" t="s">
        <v>337</v>
      </c>
      <c r="D137" s="1"/>
      <c r="E137" s="1"/>
      <c r="G137" s="137"/>
      <c r="H137" s="194" t="s">
        <v>139</v>
      </c>
      <c r="I137" s="161" t="s">
        <v>15</v>
      </c>
    </row>
    <row r="138" spans="1:15">
      <c r="A138" s="1">
        <f t="shared" si="27"/>
        <v>63</v>
      </c>
      <c r="D138" s="1"/>
      <c r="E138" s="1"/>
    </row>
    <row r="139" spans="1:15">
      <c r="A139" s="1">
        <f t="shared" si="27"/>
        <v>64</v>
      </c>
      <c r="C139" s="2" t="s">
        <v>130</v>
      </c>
      <c r="D139" s="131"/>
      <c r="E139" s="131" t="s">
        <v>131</v>
      </c>
      <c r="G139" s="157"/>
      <c r="H139" s="133">
        <v>3.2099999999999997E-2</v>
      </c>
      <c r="I139" s="157">
        <f>H139*$O$131</f>
        <v>937.77474954524394</v>
      </c>
    </row>
    <row r="140" spans="1:15">
      <c r="A140" s="1">
        <f t="shared" si="27"/>
        <v>65</v>
      </c>
      <c r="C140" s="2" t="s">
        <v>132</v>
      </c>
      <c r="D140" s="131"/>
      <c r="E140" s="131" t="s">
        <v>133</v>
      </c>
      <c r="G140" s="157"/>
      <c r="H140" s="133">
        <v>0.2014</v>
      </c>
      <c r="I140" s="157">
        <f t="shared" ref="I140:I143" si="28">H140*$O$131</f>
        <v>5883.7331638134629</v>
      </c>
    </row>
    <row r="141" spans="1:15">
      <c r="A141" s="1">
        <f t="shared" si="27"/>
        <v>66</v>
      </c>
      <c r="C141" s="2" t="s">
        <v>134</v>
      </c>
      <c r="D141" s="131"/>
      <c r="E141" s="131" t="s">
        <v>111</v>
      </c>
      <c r="G141" s="157"/>
      <c r="H141" s="133">
        <v>8.0699999999999994E-2</v>
      </c>
      <c r="I141" s="157">
        <f t="shared" si="28"/>
        <v>2357.5832488567348</v>
      </c>
    </row>
    <row r="142" spans="1:15">
      <c r="A142" s="1">
        <f t="shared" si="27"/>
        <v>67</v>
      </c>
      <c r="C142" s="2" t="s">
        <v>316</v>
      </c>
      <c r="D142" s="131"/>
      <c r="E142" s="131" t="s">
        <v>83</v>
      </c>
      <c r="G142" s="157"/>
      <c r="H142" s="133">
        <v>4.1700000000000001E-2</v>
      </c>
      <c r="I142" s="157">
        <f t="shared" si="28"/>
        <v>1218.2307494092422</v>
      </c>
    </row>
    <row r="143" spans="1:15">
      <c r="A143" s="1">
        <f t="shared" si="27"/>
        <v>68</v>
      </c>
      <c r="C143" s="2" t="s">
        <v>135</v>
      </c>
      <c r="D143" s="131"/>
      <c r="E143" s="131" t="s">
        <v>129</v>
      </c>
      <c r="G143" s="157"/>
      <c r="H143" s="133">
        <v>0.2114</v>
      </c>
      <c r="I143" s="157">
        <f t="shared" si="28"/>
        <v>6175.8748303384609</v>
      </c>
    </row>
    <row r="144" spans="1:15">
      <c r="A144" s="1">
        <f t="shared" si="27"/>
        <v>69</v>
      </c>
      <c r="C144" s="196" t="s">
        <v>317</v>
      </c>
      <c r="D144" s="38"/>
      <c r="E144" s="38"/>
      <c r="F144" s="38"/>
      <c r="G144" s="115"/>
      <c r="H144" s="238">
        <f>SUM(H139:H143)</f>
        <v>0.56730000000000003</v>
      </c>
      <c r="I144" s="239">
        <f>SUM(I139:I143)</f>
        <v>16573.196741963144</v>
      </c>
      <c r="J144" s="2" t="s">
        <v>318</v>
      </c>
      <c r="K144" s="87"/>
    </row>
    <row r="145" spans="1:9">
      <c r="A145" s="1">
        <f t="shared" si="27"/>
        <v>70</v>
      </c>
      <c r="D145" s="1"/>
      <c r="E145" s="1"/>
      <c r="G145" s="157"/>
      <c r="H145" s="133"/>
      <c r="I145" s="157"/>
    </row>
    <row r="146" spans="1:9">
      <c r="A146" s="1">
        <f t="shared" si="27"/>
        <v>71</v>
      </c>
      <c r="C146" s="2" t="s">
        <v>319</v>
      </c>
      <c r="D146" s="131"/>
      <c r="E146" s="131" t="s">
        <v>407</v>
      </c>
      <c r="G146" s="157"/>
      <c r="H146" s="133">
        <v>0.43269999999999997</v>
      </c>
      <c r="I146" s="157">
        <f>H146*$O$131</f>
        <v>12640.969910536669</v>
      </c>
    </row>
    <row r="147" spans="1:9">
      <c r="A147" s="1">
        <f t="shared" si="27"/>
        <v>72</v>
      </c>
      <c r="C147" s="38"/>
      <c r="D147" s="38"/>
      <c r="E147" s="38" t="s">
        <v>22</v>
      </c>
      <c r="F147" s="38"/>
      <c r="G147" s="115"/>
      <c r="H147" s="238">
        <f>SUM(H146:H146)</f>
        <v>0.43269999999999997</v>
      </c>
      <c r="I147" s="115">
        <f>SUM(I146:I146)</f>
        <v>12640.969910536669</v>
      </c>
    </row>
    <row r="148" spans="1:9">
      <c r="A148" s="1">
        <f t="shared" si="27"/>
        <v>73</v>
      </c>
      <c r="D148" s="1"/>
      <c r="E148" s="1"/>
      <c r="G148" s="157"/>
      <c r="H148" s="133"/>
      <c r="I148" s="157"/>
    </row>
    <row r="149" spans="1:9" ht="13.5" thickBot="1">
      <c r="A149" s="1">
        <f t="shared" si="27"/>
        <v>74</v>
      </c>
      <c r="C149" s="3"/>
      <c r="D149" s="3"/>
      <c r="E149" s="39" t="s">
        <v>44</v>
      </c>
      <c r="F149" s="3"/>
      <c r="G149" s="240"/>
      <c r="H149" s="241">
        <v>1</v>
      </c>
      <c r="I149" s="240">
        <f>I144+I147</f>
        <v>29214.166652499815</v>
      </c>
    </row>
    <row r="150" spans="1:9" ht="13.5" thickTop="1"/>
  </sheetData>
  <mergeCells count="9">
    <mergeCell ref="C135:N135"/>
    <mergeCell ref="A3:O3"/>
    <mergeCell ref="A4:O4"/>
    <mergeCell ref="A6:O6"/>
    <mergeCell ref="C8:F8"/>
    <mergeCell ref="G8:H8"/>
    <mergeCell ref="I8:J8"/>
    <mergeCell ref="K8:L8"/>
    <mergeCell ref="M8:N8"/>
  </mergeCells>
  <printOptions horizontalCentered="1"/>
  <pageMargins left="0.7" right="0.7" top="0.75" bottom="0.75" header="0.3" footer="0.3"/>
  <pageSetup scale="64" fitToHeight="0" orientation="portrait" r:id="rId1"/>
  <headerFooter alignWithMargins="0">
    <oddFooter>&amp;RExhibit JW-2
Page &amp;P of &amp;N</oddFooter>
  </headerFooter>
  <rowBreaks count="1" manualBreakCount="1">
    <brk id="88" max="14" man="1"/>
  </rowBreaks>
  <ignoredErrors>
    <ignoredError sqref="I90:M123 I16:M8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6B6C-B18A-43CB-B1DA-6FC18FF7BD87}">
  <sheetPr>
    <pageSetUpPr fitToPage="1"/>
  </sheetPr>
  <dimension ref="A1:K124"/>
  <sheetViews>
    <sheetView tabSelected="1" view="pageBreakPreview" topLeftCell="A96" zoomScaleNormal="75" zoomScaleSheetLayoutView="100" workbookViewId="0">
      <selection activeCell="E14" sqref="E14"/>
    </sheetView>
  </sheetViews>
  <sheetFormatPr defaultColWidth="9.140625" defaultRowHeight="12.75"/>
  <cols>
    <col min="1" max="1" width="5.42578125" style="10" customWidth="1"/>
    <col min="2" max="2" width="9.85546875" style="9" bestFit="1" customWidth="1"/>
    <col min="3" max="3" width="7.7109375" style="9" bestFit="1" customWidth="1"/>
    <col min="4" max="4" width="9.7109375" style="9" bestFit="1" customWidth="1"/>
    <col min="5" max="5" width="5.140625" style="10" bestFit="1" customWidth="1"/>
    <col min="6" max="6" width="14.28515625" style="10" bestFit="1" customWidth="1"/>
    <col min="7" max="7" width="13.85546875" style="10" bestFit="1" customWidth="1"/>
    <col min="8" max="8" width="36" style="10" bestFit="1" customWidth="1"/>
    <col min="9" max="9" width="20.140625" style="10" bestFit="1" customWidth="1"/>
    <col min="10" max="10" width="31" style="313" bestFit="1" customWidth="1"/>
    <col min="11" max="11" width="15.5703125" style="10" customWidth="1"/>
    <col min="12" max="16384" width="9.140625" style="10"/>
  </cols>
  <sheetData>
    <row r="1" spans="1:11">
      <c r="K1" s="331" t="s">
        <v>592</v>
      </c>
    </row>
    <row r="2" spans="1:11" ht="20.25" customHeight="1"/>
    <row r="3" spans="1:11">
      <c r="B3" s="284" t="str">
        <f>RevReq!A1</f>
        <v>BLUE GRASS ENERGY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1">
      <c r="B4" s="284" t="str">
        <f>RevReq!A3</f>
        <v>For the 12 Months Ended Dec 31, 2024</v>
      </c>
      <c r="C4" s="284"/>
      <c r="D4" s="284"/>
      <c r="E4" s="284"/>
      <c r="F4" s="284"/>
      <c r="G4" s="284"/>
      <c r="H4" s="284"/>
      <c r="I4" s="284"/>
      <c r="J4" s="284"/>
      <c r="K4" s="284"/>
    </row>
    <row r="5" spans="1:11">
      <c r="B5" s="349"/>
      <c r="C5" s="349"/>
      <c r="D5" s="349"/>
      <c r="E5" s="6"/>
      <c r="F5" s="6"/>
      <c r="G5" s="6"/>
      <c r="H5" s="6"/>
      <c r="I5" s="6"/>
      <c r="J5" s="335"/>
      <c r="K5" s="6"/>
    </row>
    <row r="6" spans="1:11" s="6" customFormat="1" ht="15" customHeight="1">
      <c r="B6" s="301" t="str">
        <f>'Adj List'!C19</f>
        <v>Professional Services</v>
      </c>
      <c r="C6" s="301"/>
      <c r="D6" s="301"/>
      <c r="E6" s="301"/>
      <c r="F6" s="301"/>
      <c r="G6" s="301"/>
      <c r="H6" s="301"/>
      <c r="I6" s="301"/>
      <c r="J6" s="301"/>
      <c r="K6" s="301"/>
    </row>
    <row r="8" spans="1:11">
      <c r="A8" s="153" t="s">
        <v>21</v>
      </c>
      <c r="B8" s="343" t="s">
        <v>426</v>
      </c>
      <c r="C8" s="343" t="s">
        <v>427</v>
      </c>
      <c r="D8" s="344" t="s">
        <v>428</v>
      </c>
      <c r="E8" s="345" t="s">
        <v>596</v>
      </c>
      <c r="F8" s="346" t="s">
        <v>429</v>
      </c>
      <c r="G8" s="346" t="s">
        <v>430</v>
      </c>
      <c r="H8" s="344" t="s">
        <v>431</v>
      </c>
      <c r="I8" s="344" t="s">
        <v>432</v>
      </c>
      <c r="J8" s="347" t="s">
        <v>433</v>
      </c>
      <c r="K8" s="348" t="s">
        <v>434</v>
      </c>
    </row>
    <row r="9" spans="1:11">
      <c r="A9" s="337"/>
      <c r="B9" s="352"/>
      <c r="C9" s="352"/>
      <c r="D9" s="353"/>
      <c r="E9" s="354"/>
      <c r="F9" s="355"/>
      <c r="G9" s="355"/>
      <c r="H9" s="353"/>
      <c r="I9" s="353"/>
      <c r="J9" s="356"/>
      <c r="K9" s="357"/>
    </row>
    <row r="10" spans="1:11">
      <c r="A10" s="14">
        <v>1</v>
      </c>
      <c r="B10" s="350">
        <v>242.5</v>
      </c>
      <c r="C10" s="350">
        <v>242.5</v>
      </c>
      <c r="D10" s="267" t="s">
        <v>435</v>
      </c>
      <c r="E10" s="333">
        <v>0</v>
      </c>
      <c r="F10" s="334">
        <v>0</v>
      </c>
      <c r="G10" s="334">
        <v>-10000</v>
      </c>
      <c r="H10" s="332" t="s">
        <v>436</v>
      </c>
      <c r="I10" s="332" t="s">
        <v>437</v>
      </c>
    </row>
    <row r="11" spans="1:11">
      <c r="A11" s="14">
        <v>2</v>
      </c>
      <c r="B11" s="350">
        <v>242.5</v>
      </c>
      <c r="C11" s="350">
        <v>232.1</v>
      </c>
      <c r="D11" s="267" t="s">
        <v>438</v>
      </c>
      <c r="E11" s="333">
        <v>0</v>
      </c>
      <c r="F11" s="334">
        <v>892</v>
      </c>
      <c r="G11" s="334">
        <v>0</v>
      </c>
      <c r="H11" s="332" t="s">
        <v>439</v>
      </c>
      <c r="I11" s="332" t="s">
        <v>218</v>
      </c>
      <c r="J11" s="336" t="s">
        <v>440</v>
      </c>
    </row>
    <row r="12" spans="1:11">
      <c r="A12" s="14">
        <v>3</v>
      </c>
      <c r="B12" s="350">
        <v>242.5</v>
      </c>
      <c r="C12" s="350">
        <v>232.1</v>
      </c>
      <c r="D12" s="267" t="s">
        <v>441</v>
      </c>
      <c r="E12" s="333">
        <v>0</v>
      </c>
      <c r="F12" s="334">
        <v>5955</v>
      </c>
      <c r="G12" s="334">
        <v>0</v>
      </c>
      <c r="H12" s="332" t="s">
        <v>442</v>
      </c>
      <c r="I12" s="332" t="s">
        <v>218</v>
      </c>
      <c r="J12" s="336" t="s">
        <v>443</v>
      </c>
    </row>
    <row r="13" spans="1:11">
      <c r="A13" s="14">
        <v>4</v>
      </c>
      <c r="B13" s="350">
        <v>242.5</v>
      </c>
      <c r="C13" s="350">
        <v>232.1</v>
      </c>
      <c r="D13" s="267" t="s">
        <v>441</v>
      </c>
      <c r="E13" s="333">
        <v>2</v>
      </c>
      <c r="F13" s="334">
        <v>203.9</v>
      </c>
      <c r="G13" s="334">
        <v>0</v>
      </c>
      <c r="H13" s="332" t="s">
        <v>444</v>
      </c>
      <c r="I13" s="332" t="s">
        <v>218</v>
      </c>
      <c r="J13" s="336" t="s">
        <v>445</v>
      </c>
    </row>
    <row r="14" spans="1:11">
      <c r="A14" s="14">
        <v>5</v>
      </c>
      <c r="B14" s="350">
        <v>242.5</v>
      </c>
      <c r="C14" s="350">
        <v>232.1</v>
      </c>
      <c r="D14" s="267" t="s">
        <v>441</v>
      </c>
      <c r="E14" s="333">
        <v>0</v>
      </c>
      <c r="F14" s="334">
        <v>500</v>
      </c>
      <c r="G14" s="334">
        <v>0</v>
      </c>
      <c r="H14" s="332" t="s">
        <v>446</v>
      </c>
      <c r="I14" s="332" t="s">
        <v>218</v>
      </c>
      <c r="J14" s="336" t="s">
        <v>445</v>
      </c>
    </row>
    <row r="15" spans="1:11">
      <c r="A15" s="14">
        <v>6</v>
      </c>
      <c r="B15" s="350">
        <v>242.5</v>
      </c>
      <c r="C15" s="350">
        <v>232.1</v>
      </c>
      <c r="D15" s="267" t="s">
        <v>447</v>
      </c>
      <c r="E15" s="333">
        <v>0</v>
      </c>
      <c r="F15" s="334">
        <v>1995</v>
      </c>
      <c r="G15" s="334">
        <v>0</v>
      </c>
      <c r="H15" s="332" t="s">
        <v>448</v>
      </c>
      <c r="I15" s="332" t="s">
        <v>218</v>
      </c>
      <c r="J15" s="336" t="s">
        <v>449</v>
      </c>
    </row>
    <row r="16" spans="1:11">
      <c r="A16" s="14">
        <v>7</v>
      </c>
      <c r="B16" s="350">
        <v>242.5</v>
      </c>
      <c r="C16" s="350">
        <v>232.1</v>
      </c>
      <c r="D16" s="267" t="s">
        <v>447</v>
      </c>
      <c r="E16" s="333">
        <v>0</v>
      </c>
      <c r="F16" s="334">
        <v>995</v>
      </c>
      <c r="G16" s="334">
        <v>0</v>
      </c>
      <c r="H16" s="332" t="s">
        <v>450</v>
      </c>
      <c r="I16" s="332" t="s">
        <v>218</v>
      </c>
      <c r="J16" s="336" t="s">
        <v>449</v>
      </c>
    </row>
    <row r="17" spans="1:10">
      <c r="A17" s="14">
        <v>8</v>
      </c>
      <c r="B17" s="350">
        <v>242.5</v>
      </c>
      <c r="C17" s="350">
        <v>391.1</v>
      </c>
      <c r="D17" s="267" t="s">
        <v>447</v>
      </c>
      <c r="E17" s="333">
        <v>1</v>
      </c>
      <c r="F17" s="334">
        <v>1060</v>
      </c>
      <c r="G17" s="334">
        <v>0</v>
      </c>
      <c r="H17" s="332" t="s">
        <v>451</v>
      </c>
      <c r="I17" s="332" t="s">
        <v>452</v>
      </c>
    </row>
    <row r="18" spans="1:10">
      <c r="A18" s="14">
        <v>9</v>
      </c>
      <c r="B18" s="350">
        <v>242.5</v>
      </c>
      <c r="C18" s="350">
        <v>232.3</v>
      </c>
      <c r="D18" s="267" t="s">
        <v>447</v>
      </c>
      <c r="E18" s="333">
        <v>0</v>
      </c>
      <c r="F18" s="334">
        <v>0</v>
      </c>
      <c r="G18" s="334">
        <v>-9250</v>
      </c>
      <c r="H18" s="332" t="s">
        <v>453</v>
      </c>
      <c r="I18" s="332" t="s">
        <v>452</v>
      </c>
    </row>
    <row r="19" spans="1:10">
      <c r="A19" s="14">
        <v>10</v>
      </c>
      <c r="B19" s="350">
        <v>242.5</v>
      </c>
      <c r="C19" s="350">
        <v>232.1</v>
      </c>
      <c r="D19" s="267" t="s">
        <v>454</v>
      </c>
      <c r="E19" s="333">
        <v>0</v>
      </c>
      <c r="F19" s="334">
        <v>5345</v>
      </c>
      <c r="G19" s="334">
        <v>0</v>
      </c>
      <c r="H19" s="332" t="s">
        <v>455</v>
      </c>
      <c r="I19" s="332" t="s">
        <v>218</v>
      </c>
      <c r="J19" s="336" t="s">
        <v>456</v>
      </c>
    </row>
    <row r="20" spans="1:10">
      <c r="A20" s="14">
        <v>11</v>
      </c>
      <c r="B20" s="350">
        <v>242.5</v>
      </c>
      <c r="C20" s="350">
        <v>232.1</v>
      </c>
      <c r="D20" s="267" t="s">
        <v>457</v>
      </c>
      <c r="E20" s="333">
        <v>0</v>
      </c>
      <c r="F20" s="334">
        <v>2500</v>
      </c>
      <c r="G20" s="334">
        <v>0</v>
      </c>
      <c r="H20" s="332" t="s">
        <v>458</v>
      </c>
      <c r="I20" s="332" t="s">
        <v>218</v>
      </c>
      <c r="J20" s="336" t="s">
        <v>443</v>
      </c>
    </row>
    <row r="21" spans="1:10">
      <c r="A21" s="14">
        <v>12</v>
      </c>
      <c r="B21" s="350">
        <v>242.5</v>
      </c>
      <c r="C21" s="350">
        <v>232.1</v>
      </c>
      <c r="D21" s="267" t="s">
        <v>459</v>
      </c>
      <c r="E21" s="333">
        <v>0</v>
      </c>
      <c r="F21" s="334">
        <v>130</v>
      </c>
      <c r="G21" s="334">
        <v>0</v>
      </c>
      <c r="H21" s="332" t="s">
        <v>455</v>
      </c>
      <c r="I21" s="332" t="s">
        <v>218</v>
      </c>
      <c r="J21" s="336" t="s">
        <v>456</v>
      </c>
    </row>
    <row r="22" spans="1:10">
      <c r="A22" s="14">
        <v>13</v>
      </c>
      <c r="B22" s="350">
        <v>242.5</v>
      </c>
      <c r="C22" s="350">
        <v>232.1</v>
      </c>
      <c r="D22" s="267" t="s">
        <v>460</v>
      </c>
      <c r="E22" s="333">
        <v>0</v>
      </c>
      <c r="F22" s="334">
        <v>2500</v>
      </c>
      <c r="G22" s="334">
        <v>0</v>
      </c>
      <c r="H22" s="332" t="s">
        <v>461</v>
      </c>
      <c r="I22" s="332" t="s">
        <v>218</v>
      </c>
      <c r="J22" s="336" t="s">
        <v>443</v>
      </c>
    </row>
    <row r="23" spans="1:10">
      <c r="A23" s="14">
        <v>14</v>
      </c>
      <c r="B23" s="350">
        <v>242.5</v>
      </c>
      <c r="C23" s="350">
        <v>232.1</v>
      </c>
      <c r="D23" s="267" t="s">
        <v>460</v>
      </c>
      <c r="E23" s="333">
        <v>1</v>
      </c>
      <c r="F23" s="334">
        <v>86.95</v>
      </c>
      <c r="G23" s="334">
        <v>0</v>
      </c>
      <c r="H23" s="332" t="s">
        <v>462</v>
      </c>
      <c r="I23" s="332" t="s">
        <v>218</v>
      </c>
      <c r="J23" s="336" t="s">
        <v>445</v>
      </c>
    </row>
    <row r="24" spans="1:10">
      <c r="A24" s="14">
        <v>15</v>
      </c>
      <c r="B24" s="350">
        <v>242.5</v>
      </c>
      <c r="C24" s="350">
        <v>232.1</v>
      </c>
      <c r="D24" s="267" t="s">
        <v>463</v>
      </c>
      <c r="E24" s="333">
        <v>0</v>
      </c>
      <c r="F24" s="334">
        <v>3856.33</v>
      </c>
      <c r="G24" s="334">
        <v>0</v>
      </c>
      <c r="H24" s="332" t="s">
        <v>464</v>
      </c>
      <c r="I24" s="332" t="s">
        <v>218</v>
      </c>
      <c r="J24" s="336" t="s">
        <v>465</v>
      </c>
    </row>
    <row r="25" spans="1:10">
      <c r="A25" s="14">
        <v>16</v>
      </c>
      <c r="B25" s="350">
        <v>242.5</v>
      </c>
      <c r="C25" s="350">
        <v>232.1</v>
      </c>
      <c r="D25" s="267" t="s">
        <v>463</v>
      </c>
      <c r="E25" s="333">
        <v>0</v>
      </c>
      <c r="F25" s="334">
        <v>2747.7</v>
      </c>
      <c r="G25" s="334">
        <v>0</v>
      </c>
      <c r="H25" s="332" t="s">
        <v>466</v>
      </c>
      <c r="I25" s="332" t="s">
        <v>218</v>
      </c>
      <c r="J25" s="336" t="s">
        <v>465</v>
      </c>
    </row>
    <row r="26" spans="1:10">
      <c r="A26" s="14">
        <v>17</v>
      </c>
      <c r="B26" s="350">
        <v>242.5</v>
      </c>
      <c r="C26" s="350">
        <v>232.1</v>
      </c>
      <c r="D26" s="267" t="s">
        <v>463</v>
      </c>
      <c r="E26" s="333">
        <v>0</v>
      </c>
      <c r="F26" s="334">
        <v>3765.96</v>
      </c>
      <c r="G26" s="334">
        <v>0</v>
      </c>
      <c r="H26" s="332" t="s">
        <v>466</v>
      </c>
      <c r="I26" s="332" t="s">
        <v>218</v>
      </c>
      <c r="J26" s="336" t="s">
        <v>465</v>
      </c>
    </row>
    <row r="27" spans="1:10">
      <c r="A27" s="14">
        <v>18</v>
      </c>
      <c r="B27" s="350">
        <v>242.5</v>
      </c>
      <c r="C27" s="350">
        <v>232.1</v>
      </c>
      <c r="D27" s="267" t="s">
        <v>463</v>
      </c>
      <c r="E27" s="333">
        <v>0</v>
      </c>
      <c r="F27" s="334">
        <v>320.63</v>
      </c>
      <c r="G27" s="334">
        <v>0</v>
      </c>
      <c r="H27" s="332" t="s">
        <v>467</v>
      </c>
      <c r="I27" s="332" t="s">
        <v>218</v>
      </c>
      <c r="J27" s="336" t="s">
        <v>465</v>
      </c>
    </row>
    <row r="28" spans="1:10">
      <c r="A28" s="14">
        <v>19</v>
      </c>
      <c r="B28" s="350">
        <v>242.5</v>
      </c>
      <c r="C28" s="350">
        <v>232.1</v>
      </c>
      <c r="D28" s="267" t="s">
        <v>463</v>
      </c>
      <c r="E28" s="333">
        <v>0</v>
      </c>
      <c r="F28" s="334">
        <v>3464.19</v>
      </c>
      <c r="G28" s="334">
        <v>0</v>
      </c>
      <c r="H28" s="332" t="s">
        <v>464</v>
      </c>
      <c r="I28" s="332" t="s">
        <v>218</v>
      </c>
      <c r="J28" s="336" t="s">
        <v>465</v>
      </c>
    </row>
    <row r="29" spans="1:10">
      <c r="A29" s="14">
        <v>20</v>
      </c>
      <c r="B29" s="350">
        <v>242.5</v>
      </c>
      <c r="C29" s="350">
        <v>232.1</v>
      </c>
      <c r="D29" s="267" t="s">
        <v>463</v>
      </c>
      <c r="E29" s="333">
        <v>0</v>
      </c>
      <c r="F29" s="334">
        <v>7863.5</v>
      </c>
      <c r="G29" s="334">
        <v>0</v>
      </c>
      <c r="H29" s="332" t="s">
        <v>468</v>
      </c>
      <c r="I29" s="332" t="s">
        <v>218</v>
      </c>
      <c r="J29" s="336" t="s">
        <v>465</v>
      </c>
    </row>
    <row r="30" spans="1:10">
      <c r="A30" s="14">
        <v>21</v>
      </c>
      <c r="B30" s="350">
        <v>242.5</v>
      </c>
      <c r="C30" s="350">
        <v>232.1</v>
      </c>
      <c r="D30" s="267" t="s">
        <v>463</v>
      </c>
      <c r="E30" s="333">
        <v>0</v>
      </c>
      <c r="F30" s="334">
        <v>25614.5</v>
      </c>
      <c r="G30" s="334">
        <v>0</v>
      </c>
      <c r="H30" s="332" t="s">
        <v>468</v>
      </c>
      <c r="I30" s="332" t="s">
        <v>218</v>
      </c>
      <c r="J30" s="336" t="s">
        <v>465</v>
      </c>
    </row>
    <row r="31" spans="1:10">
      <c r="A31" s="14">
        <v>22</v>
      </c>
      <c r="B31" s="350">
        <v>242.5</v>
      </c>
      <c r="C31" s="350">
        <v>232.1</v>
      </c>
      <c r="D31" s="267" t="s">
        <v>463</v>
      </c>
      <c r="E31" s="333">
        <v>0</v>
      </c>
      <c r="F31" s="334">
        <v>10199</v>
      </c>
      <c r="G31" s="334">
        <v>0</v>
      </c>
      <c r="H31" s="332" t="s">
        <v>468</v>
      </c>
      <c r="I31" s="332" t="s">
        <v>218</v>
      </c>
      <c r="J31" s="336" t="s">
        <v>465</v>
      </c>
    </row>
    <row r="32" spans="1:10">
      <c r="A32" s="14">
        <v>23</v>
      </c>
      <c r="B32" s="350">
        <v>242.5</v>
      </c>
      <c r="C32" s="350">
        <v>232.1</v>
      </c>
      <c r="D32" s="267" t="s">
        <v>463</v>
      </c>
      <c r="E32" s="333">
        <v>0</v>
      </c>
      <c r="F32" s="334">
        <v>32626.5</v>
      </c>
      <c r="G32" s="334">
        <v>0</v>
      </c>
      <c r="H32" s="332" t="s">
        <v>468</v>
      </c>
      <c r="I32" s="332" t="s">
        <v>218</v>
      </c>
      <c r="J32" s="336" t="s">
        <v>465</v>
      </c>
    </row>
    <row r="33" spans="1:11">
      <c r="A33" s="14">
        <v>24</v>
      </c>
      <c r="B33" s="350">
        <v>242.5</v>
      </c>
      <c r="C33" s="350">
        <v>232.1</v>
      </c>
      <c r="D33" s="267" t="s">
        <v>469</v>
      </c>
      <c r="E33" s="333">
        <v>0</v>
      </c>
      <c r="F33" s="334">
        <v>900</v>
      </c>
      <c r="G33" s="334">
        <v>0</v>
      </c>
      <c r="H33" s="332" t="s">
        <v>470</v>
      </c>
      <c r="I33" s="332" t="s">
        <v>218</v>
      </c>
      <c r="J33" s="336" t="s">
        <v>471</v>
      </c>
    </row>
    <row r="34" spans="1:11">
      <c r="A34" s="14">
        <v>25</v>
      </c>
      <c r="B34" s="350">
        <v>242.5</v>
      </c>
      <c r="C34" s="350">
        <v>232.1</v>
      </c>
      <c r="D34" s="267" t="s">
        <v>472</v>
      </c>
      <c r="E34" s="333">
        <v>0</v>
      </c>
      <c r="F34" s="334">
        <v>1325</v>
      </c>
      <c r="G34" s="334">
        <v>0</v>
      </c>
      <c r="H34" s="332" t="s">
        <v>473</v>
      </c>
      <c r="I34" s="332" t="s">
        <v>218</v>
      </c>
      <c r="J34" s="336" t="s">
        <v>474</v>
      </c>
    </row>
    <row r="35" spans="1:11">
      <c r="A35" s="14">
        <v>26</v>
      </c>
      <c r="B35" s="350">
        <v>242.5</v>
      </c>
      <c r="C35" s="350">
        <v>232.1</v>
      </c>
      <c r="D35" s="267" t="s">
        <v>475</v>
      </c>
      <c r="E35" s="333">
        <v>0</v>
      </c>
      <c r="F35" s="334">
        <v>1850</v>
      </c>
      <c r="G35" s="334">
        <v>0</v>
      </c>
      <c r="H35" s="332" t="s">
        <v>476</v>
      </c>
      <c r="I35" s="332" t="s">
        <v>218</v>
      </c>
      <c r="J35" s="336" t="s">
        <v>477</v>
      </c>
    </row>
    <row r="36" spans="1:11">
      <c r="A36" s="14">
        <v>27</v>
      </c>
      <c r="B36" s="350">
        <v>242.5</v>
      </c>
      <c r="C36" s="350">
        <v>232.1</v>
      </c>
      <c r="D36" s="267" t="s">
        <v>478</v>
      </c>
      <c r="E36" s="333">
        <v>0</v>
      </c>
      <c r="F36" s="334">
        <v>795</v>
      </c>
      <c r="G36" s="334">
        <v>0</v>
      </c>
      <c r="H36" s="332" t="s">
        <v>479</v>
      </c>
      <c r="I36" s="332" t="s">
        <v>218</v>
      </c>
      <c r="J36" s="336" t="s">
        <v>480</v>
      </c>
      <c r="K36" s="242"/>
    </row>
    <row r="37" spans="1:11">
      <c r="A37" s="14">
        <v>28</v>
      </c>
      <c r="B37" s="350">
        <v>242.5</v>
      </c>
      <c r="C37" s="350">
        <v>232.1</v>
      </c>
      <c r="D37" s="267" t="s">
        <v>478</v>
      </c>
      <c r="E37" s="333">
        <v>0</v>
      </c>
      <c r="F37" s="334">
        <v>0</v>
      </c>
      <c r="G37" s="334">
        <v>-795</v>
      </c>
      <c r="H37" s="332" t="s">
        <v>479</v>
      </c>
      <c r="I37" s="332" t="s">
        <v>218</v>
      </c>
      <c r="J37" s="336" t="s">
        <v>480</v>
      </c>
      <c r="K37" s="242"/>
    </row>
    <row r="38" spans="1:11">
      <c r="A38" s="14">
        <v>29</v>
      </c>
      <c r="B38" s="350">
        <v>242.5</v>
      </c>
      <c r="C38" s="350">
        <v>232.1</v>
      </c>
      <c r="D38" s="267" t="s">
        <v>478</v>
      </c>
      <c r="E38" s="333">
        <v>0</v>
      </c>
      <c r="F38" s="334">
        <v>795</v>
      </c>
      <c r="G38" s="334">
        <v>0</v>
      </c>
      <c r="H38" s="332" t="s">
        <v>479</v>
      </c>
      <c r="I38" s="332" t="s">
        <v>218</v>
      </c>
      <c r="J38" s="336" t="s">
        <v>480</v>
      </c>
      <c r="K38" s="242"/>
    </row>
    <row r="39" spans="1:11">
      <c r="A39" s="14">
        <v>30</v>
      </c>
      <c r="B39" s="350">
        <v>242.5</v>
      </c>
      <c r="C39" s="350">
        <v>232.1</v>
      </c>
      <c r="D39" s="267" t="s">
        <v>481</v>
      </c>
      <c r="E39" s="333">
        <v>0</v>
      </c>
      <c r="F39" s="334">
        <v>2885</v>
      </c>
      <c r="G39" s="334">
        <v>0</v>
      </c>
      <c r="H39" s="332" t="s">
        <v>482</v>
      </c>
      <c r="I39" s="332" t="s">
        <v>218</v>
      </c>
      <c r="J39" s="336" t="s">
        <v>443</v>
      </c>
    </row>
    <row r="40" spans="1:11">
      <c r="A40" s="14">
        <v>31</v>
      </c>
      <c r="B40" s="350">
        <v>242.5</v>
      </c>
      <c r="C40" s="350">
        <v>232.1</v>
      </c>
      <c r="D40" s="267" t="s">
        <v>481</v>
      </c>
      <c r="E40" s="333">
        <v>0</v>
      </c>
      <c r="F40" s="334">
        <v>987.63</v>
      </c>
      <c r="G40" s="334">
        <v>0</v>
      </c>
      <c r="H40" s="332" t="s">
        <v>444</v>
      </c>
      <c r="I40" s="332" t="s">
        <v>218</v>
      </c>
      <c r="J40" s="336" t="s">
        <v>445</v>
      </c>
    </row>
    <row r="41" spans="1:11">
      <c r="A41" s="14">
        <v>32</v>
      </c>
      <c r="B41" s="350">
        <v>242.5</v>
      </c>
      <c r="C41" s="350">
        <v>232.1</v>
      </c>
      <c r="D41" s="267" t="s">
        <v>483</v>
      </c>
      <c r="E41" s="333">
        <v>0</v>
      </c>
      <c r="F41" s="334">
        <v>495</v>
      </c>
      <c r="G41" s="334">
        <v>0</v>
      </c>
      <c r="H41" s="332" t="s">
        <v>484</v>
      </c>
      <c r="I41" s="332" t="s">
        <v>218</v>
      </c>
      <c r="J41" s="336" t="s">
        <v>449</v>
      </c>
    </row>
    <row r="42" spans="1:11">
      <c r="A42" s="14">
        <v>33</v>
      </c>
      <c r="B42" s="350">
        <v>242.5</v>
      </c>
      <c r="C42" s="350">
        <v>232.1</v>
      </c>
      <c r="D42" s="267" t="s">
        <v>485</v>
      </c>
      <c r="E42" s="333">
        <v>0</v>
      </c>
      <c r="F42" s="334">
        <v>150</v>
      </c>
      <c r="G42" s="334">
        <v>0</v>
      </c>
      <c r="H42" s="332" t="s">
        <v>486</v>
      </c>
      <c r="I42" s="332" t="s">
        <v>218</v>
      </c>
      <c r="J42" s="336" t="s">
        <v>487</v>
      </c>
    </row>
    <row r="43" spans="1:11">
      <c r="A43" s="14">
        <v>34</v>
      </c>
      <c r="B43" s="350">
        <v>242.5</v>
      </c>
      <c r="C43" s="350">
        <v>232.1</v>
      </c>
      <c r="D43" s="267" t="s">
        <v>488</v>
      </c>
      <c r="E43" s="333">
        <v>0</v>
      </c>
      <c r="F43" s="334">
        <v>123.71</v>
      </c>
      <c r="G43" s="334">
        <v>0</v>
      </c>
      <c r="H43" s="332" t="s">
        <v>444</v>
      </c>
      <c r="I43" s="332" t="s">
        <v>218</v>
      </c>
      <c r="J43" s="336" t="s">
        <v>445</v>
      </c>
    </row>
    <row r="44" spans="1:11">
      <c r="A44" s="14">
        <v>35</v>
      </c>
      <c r="B44" s="350">
        <v>242.5</v>
      </c>
      <c r="C44" s="350">
        <v>232.1</v>
      </c>
      <c r="D44" s="267" t="s">
        <v>488</v>
      </c>
      <c r="E44" s="333">
        <v>0</v>
      </c>
      <c r="F44" s="334">
        <v>3445</v>
      </c>
      <c r="G44" s="334">
        <v>0</v>
      </c>
      <c r="H44" s="332" t="s">
        <v>489</v>
      </c>
      <c r="I44" s="332" t="s">
        <v>218</v>
      </c>
      <c r="J44" s="336" t="s">
        <v>443</v>
      </c>
    </row>
    <row r="45" spans="1:11">
      <c r="A45" s="14">
        <v>36</v>
      </c>
      <c r="B45" s="350">
        <v>242.5</v>
      </c>
      <c r="C45" s="350">
        <v>232.1</v>
      </c>
      <c r="D45" s="267" t="s">
        <v>490</v>
      </c>
      <c r="E45" s="333">
        <v>0</v>
      </c>
      <c r="F45" s="334">
        <v>895</v>
      </c>
      <c r="G45" s="334">
        <v>0</v>
      </c>
      <c r="H45" s="332" t="s">
        <v>491</v>
      </c>
      <c r="I45" s="332" t="s">
        <v>218</v>
      </c>
      <c r="J45" s="336" t="s">
        <v>449</v>
      </c>
    </row>
    <row r="46" spans="1:11">
      <c r="A46" s="14">
        <v>37</v>
      </c>
      <c r="B46" s="350">
        <v>242.5</v>
      </c>
      <c r="C46" s="350">
        <v>232.1</v>
      </c>
      <c r="D46" s="267" t="s">
        <v>492</v>
      </c>
      <c r="E46" s="333">
        <v>0</v>
      </c>
      <c r="F46" s="334">
        <v>1166</v>
      </c>
      <c r="G46" s="334">
        <v>0</v>
      </c>
      <c r="H46" s="332" t="s">
        <v>473</v>
      </c>
      <c r="I46" s="332" t="s">
        <v>218</v>
      </c>
      <c r="J46" s="336" t="s">
        <v>474</v>
      </c>
    </row>
    <row r="47" spans="1:11">
      <c r="A47" s="14">
        <v>38</v>
      </c>
      <c r="B47" s="350">
        <v>242.5</v>
      </c>
      <c r="C47" s="350">
        <v>232.1</v>
      </c>
      <c r="D47" s="267" t="s">
        <v>493</v>
      </c>
      <c r="E47" s="333">
        <v>0</v>
      </c>
      <c r="F47" s="334">
        <v>4725</v>
      </c>
      <c r="G47" s="334">
        <v>0</v>
      </c>
      <c r="H47" s="332" t="s">
        <v>494</v>
      </c>
      <c r="I47" s="332" t="s">
        <v>218</v>
      </c>
      <c r="J47" s="336" t="s">
        <v>495</v>
      </c>
    </row>
    <row r="48" spans="1:11">
      <c r="A48" s="14">
        <v>39</v>
      </c>
      <c r="B48" s="350">
        <v>242.5</v>
      </c>
      <c r="C48" s="350">
        <v>232.1</v>
      </c>
      <c r="D48" s="267" t="s">
        <v>496</v>
      </c>
      <c r="E48" s="333">
        <v>0</v>
      </c>
      <c r="F48" s="334">
        <v>105.33</v>
      </c>
      <c r="G48" s="334">
        <v>0</v>
      </c>
      <c r="H48" s="332" t="s">
        <v>444</v>
      </c>
      <c r="I48" s="332" t="s">
        <v>218</v>
      </c>
      <c r="J48" s="336" t="s">
        <v>445</v>
      </c>
    </row>
    <row r="49" spans="1:11">
      <c r="A49" s="14">
        <v>40</v>
      </c>
      <c r="B49" s="350">
        <v>242.5</v>
      </c>
      <c r="C49" s="350">
        <v>232.1</v>
      </c>
      <c r="D49" s="267" t="s">
        <v>496</v>
      </c>
      <c r="E49" s="333">
        <v>0</v>
      </c>
      <c r="F49" s="334">
        <v>2500</v>
      </c>
      <c r="G49" s="334">
        <v>0</v>
      </c>
      <c r="H49" s="332" t="s">
        <v>497</v>
      </c>
      <c r="I49" s="332" t="s">
        <v>218</v>
      </c>
      <c r="J49" s="336" t="s">
        <v>443</v>
      </c>
    </row>
    <row r="50" spans="1:11">
      <c r="A50" s="14">
        <v>41</v>
      </c>
      <c r="B50" s="350">
        <v>242.5</v>
      </c>
      <c r="C50" s="350">
        <v>232.1</v>
      </c>
      <c r="D50" s="267" t="s">
        <v>496</v>
      </c>
      <c r="E50" s="333">
        <v>0</v>
      </c>
      <c r="F50" s="334">
        <v>12500</v>
      </c>
      <c r="G50" s="334">
        <v>0</v>
      </c>
      <c r="H50" s="332" t="s">
        <v>498</v>
      </c>
      <c r="I50" s="332" t="s">
        <v>218</v>
      </c>
      <c r="J50" s="336" t="s">
        <v>477</v>
      </c>
    </row>
    <row r="51" spans="1:11">
      <c r="A51" s="14">
        <v>42</v>
      </c>
      <c r="B51" s="350">
        <v>242.5</v>
      </c>
      <c r="C51" s="350">
        <v>232.1</v>
      </c>
      <c r="D51" s="267" t="s">
        <v>499</v>
      </c>
      <c r="E51" s="333">
        <v>0</v>
      </c>
      <c r="F51" s="334">
        <v>212</v>
      </c>
      <c r="G51" s="334">
        <v>0</v>
      </c>
      <c r="H51" s="332" t="s">
        <v>473</v>
      </c>
      <c r="I51" s="332" t="s">
        <v>218</v>
      </c>
      <c r="J51" s="336" t="s">
        <v>474</v>
      </c>
    </row>
    <row r="52" spans="1:11">
      <c r="A52" s="14">
        <v>43</v>
      </c>
      <c r="B52" s="350">
        <v>242.5</v>
      </c>
      <c r="C52" s="350">
        <v>232.1</v>
      </c>
      <c r="D52" s="267" t="s">
        <v>500</v>
      </c>
      <c r="E52" s="333">
        <v>0</v>
      </c>
      <c r="F52" s="334">
        <v>3604.5</v>
      </c>
      <c r="G52" s="334">
        <v>0</v>
      </c>
      <c r="H52" s="332" t="s">
        <v>501</v>
      </c>
      <c r="I52" s="332" t="s">
        <v>218</v>
      </c>
      <c r="J52" s="336" t="s">
        <v>443</v>
      </c>
    </row>
    <row r="53" spans="1:11">
      <c r="A53" s="14">
        <v>44</v>
      </c>
      <c r="B53" s="350">
        <v>242.5</v>
      </c>
      <c r="C53" s="350">
        <v>232.1</v>
      </c>
      <c r="D53" s="267" t="s">
        <v>502</v>
      </c>
      <c r="E53" s="333">
        <v>0</v>
      </c>
      <c r="F53" s="334">
        <v>230</v>
      </c>
      <c r="G53" s="334">
        <v>0</v>
      </c>
      <c r="H53" s="332" t="s">
        <v>503</v>
      </c>
      <c r="I53" s="332" t="s">
        <v>218</v>
      </c>
      <c r="J53" s="336" t="s">
        <v>504</v>
      </c>
      <c r="K53" s="242">
        <v>230</v>
      </c>
    </row>
    <row r="54" spans="1:11">
      <c r="A54" s="14">
        <v>45</v>
      </c>
      <c r="B54" s="350">
        <v>242.5</v>
      </c>
      <c r="C54" s="350">
        <v>232.1</v>
      </c>
      <c r="D54" s="267" t="s">
        <v>502</v>
      </c>
      <c r="E54" s="333">
        <v>0</v>
      </c>
      <c r="F54" s="334">
        <v>2382.73</v>
      </c>
      <c r="G54" s="334">
        <v>0</v>
      </c>
      <c r="H54" s="332" t="s">
        <v>464</v>
      </c>
      <c r="I54" s="332" t="s">
        <v>218</v>
      </c>
      <c r="J54" s="336" t="s">
        <v>465</v>
      </c>
    </row>
    <row r="55" spans="1:11">
      <c r="A55" s="14">
        <v>46</v>
      </c>
      <c r="B55" s="350">
        <v>242.5</v>
      </c>
      <c r="C55" s="350">
        <v>232.1</v>
      </c>
      <c r="D55" s="267" t="s">
        <v>502</v>
      </c>
      <c r="E55" s="333">
        <v>0</v>
      </c>
      <c r="F55" s="334">
        <v>3536.51</v>
      </c>
      <c r="G55" s="334">
        <v>0</v>
      </c>
      <c r="H55" s="332" t="s">
        <v>464</v>
      </c>
      <c r="I55" s="332" t="s">
        <v>218</v>
      </c>
      <c r="J55" s="336" t="s">
        <v>465</v>
      </c>
    </row>
    <row r="56" spans="1:11">
      <c r="A56" s="14">
        <v>47</v>
      </c>
      <c r="B56" s="350">
        <v>242.5</v>
      </c>
      <c r="C56" s="350">
        <v>232.1</v>
      </c>
      <c r="D56" s="267" t="s">
        <v>502</v>
      </c>
      <c r="E56" s="333">
        <v>0</v>
      </c>
      <c r="F56" s="334">
        <v>3109.89</v>
      </c>
      <c r="G56" s="334">
        <v>0</v>
      </c>
      <c r="H56" s="332" t="s">
        <v>464</v>
      </c>
      <c r="I56" s="332" t="s">
        <v>218</v>
      </c>
      <c r="J56" s="336" t="s">
        <v>465</v>
      </c>
    </row>
    <row r="57" spans="1:11">
      <c r="A57" s="14">
        <v>48</v>
      </c>
      <c r="B57" s="350">
        <v>242.5</v>
      </c>
      <c r="C57" s="350">
        <v>232.1</v>
      </c>
      <c r="D57" s="267" t="s">
        <v>502</v>
      </c>
      <c r="E57" s="333">
        <v>0</v>
      </c>
      <c r="F57" s="334">
        <v>18912</v>
      </c>
      <c r="G57" s="334">
        <v>0</v>
      </c>
      <c r="H57" s="332" t="s">
        <v>468</v>
      </c>
      <c r="I57" s="332" t="s">
        <v>218</v>
      </c>
      <c r="J57" s="336" t="s">
        <v>465</v>
      </c>
    </row>
    <row r="58" spans="1:11">
      <c r="A58" s="14">
        <v>49</v>
      </c>
      <c r="B58" s="350">
        <v>242.5</v>
      </c>
      <c r="C58" s="350">
        <v>232.1</v>
      </c>
      <c r="D58" s="267" t="s">
        <v>502</v>
      </c>
      <c r="E58" s="333">
        <v>0</v>
      </c>
      <c r="F58" s="334">
        <v>15607</v>
      </c>
      <c r="G58" s="334">
        <v>0</v>
      </c>
      <c r="H58" s="332" t="s">
        <v>468</v>
      </c>
      <c r="I58" s="332" t="s">
        <v>218</v>
      </c>
      <c r="J58" s="336" t="s">
        <v>465</v>
      </c>
    </row>
    <row r="59" spans="1:11">
      <c r="A59" s="14">
        <v>50</v>
      </c>
      <c r="B59" s="350">
        <v>242.5</v>
      </c>
      <c r="C59" s="350">
        <v>232.1</v>
      </c>
      <c r="D59" s="267" t="s">
        <v>502</v>
      </c>
      <c r="E59" s="333">
        <v>0</v>
      </c>
      <c r="F59" s="334">
        <v>12999.5</v>
      </c>
      <c r="G59" s="334">
        <v>0</v>
      </c>
      <c r="H59" s="332" t="s">
        <v>468</v>
      </c>
      <c r="I59" s="332" t="s">
        <v>218</v>
      </c>
      <c r="J59" s="336" t="s">
        <v>465</v>
      </c>
    </row>
    <row r="60" spans="1:11">
      <c r="A60" s="14">
        <v>51</v>
      </c>
      <c r="B60" s="350">
        <v>242.5</v>
      </c>
      <c r="C60" s="350">
        <v>232.1</v>
      </c>
      <c r="D60" s="267" t="s">
        <v>502</v>
      </c>
      <c r="E60" s="333">
        <v>0</v>
      </c>
      <c r="F60" s="334">
        <v>431.75</v>
      </c>
      <c r="G60" s="334">
        <v>0</v>
      </c>
      <c r="H60" s="332" t="s">
        <v>505</v>
      </c>
      <c r="I60" s="332" t="s">
        <v>218</v>
      </c>
      <c r="J60" s="336" t="s">
        <v>465</v>
      </c>
    </row>
    <row r="61" spans="1:11">
      <c r="A61" s="14">
        <v>52</v>
      </c>
      <c r="B61" s="350">
        <v>242.5</v>
      </c>
      <c r="C61" s="350">
        <v>232.1</v>
      </c>
      <c r="D61" s="267" t="s">
        <v>502</v>
      </c>
      <c r="E61" s="333">
        <v>0</v>
      </c>
      <c r="F61" s="334">
        <v>386.75</v>
      </c>
      <c r="G61" s="334">
        <v>0</v>
      </c>
      <c r="H61" s="332" t="s">
        <v>506</v>
      </c>
      <c r="I61" s="332" t="s">
        <v>218</v>
      </c>
      <c r="J61" s="336" t="s">
        <v>465</v>
      </c>
    </row>
    <row r="62" spans="1:11">
      <c r="A62" s="14">
        <v>53</v>
      </c>
      <c r="B62" s="350">
        <v>242.5</v>
      </c>
      <c r="C62" s="350">
        <v>232.1</v>
      </c>
      <c r="D62" s="267" t="s">
        <v>507</v>
      </c>
      <c r="E62" s="333">
        <v>0</v>
      </c>
      <c r="F62" s="334">
        <v>595</v>
      </c>
      <c r="G62" s="334">
        <v>0</v>
      </c>
      <c r="H62" s="332" t="s">
        <v>508</v>
      </c>
      <c r="I62" s="332" t="s">
        <v>218</v>
      </c>
      <c r="J62" s="336" t="s">
        <v>449</v>
      </c>
    </row>
    <row r="63" spans="1:11">
      <c r="A63" s="14">
        <v>54</v>
      </c>
      <c r="B63" s="350">
        <v>242.5</v>
      </c>
      <c r="C63" s="350">
        <v>232.1</v>
      </c>
      <c r="D63" s="267" t="s">
        <v>509</v>
      </c>
      <c r="E63" s="333">
        <v>0</v>
      </c>
      <c r="F63" s="334">
        <v>802</v>
      </c>
      <c r="G63" s="334">
        <v>0</v>
      </c>
      <c r="H63" s="332" t="s">
        <v>470</v>
      </c>
      <c r="I63" s="332" t="s">
        <v>218</v>
      </c>
      <c r="J63" s="336" t="s">
        <v>510</v>
      </c>
      <c r="K63" s="242">
        <v>802</v>
      </c>
    </row>
    <row r="64" spans="1:11">
      <c r="A64" s="14">
        <v>55</v>
      </c>
      <c r="B64" s="350">
        <v>242.5</v>
      </c>
      <c r="C64" s="350">
        <v>232.1</v>
      </c>
      <c r="D64" s="267" t="s">
        <v>511</v>
      </c>
      <c r="E64" s="333">
        <v>0</v>
      </c>
      <c r="F64" s="334">
        <v>901</v>
      </c>
      <c r="G64" s="334">
        <v>0</v>
      </c>
      <c r="H64" s="332" t="s">
        <v>473</v>
      </c>
      <c r="I64" s="332" t="s">
        <v>218</v>
      </c>
      <c r="J64" s="336" t="s">
        <v>474</v>
      </c>
    </row>
    <row r="65" spans="1:11">
      <c r="A65" s="14">
        <v>56</v>
      </c>
      <c r="B65" s="350">
        <v>242.5</v>
      </c>
      <c r="C65" s="350">
        <v>232.1</v>
      </c>
      <c r="D65" s="267" t="s">
        <v>511</v>
      </c>
      <c r="E65" s="333">
        <v>0</v>
      </c>
      <c r="F65" s="334">
        <v>125</v>
      </c>
      <c r="G65" s="334">
        <v>0</v>
      </c>
      <c r="H65" s="332" t="s">
        <v>512</v>
      </c>
      <c r="I65" s="332" t="s">
        <v>218</v>
      </c>
      <c r="J65" s="336" t="s">
        <v>456</v>
      </c>
    </row>
    <row r="66" spans="1:11">
      <c r="A66" s="14">
        <v>57</v>
      </c>
      <c r="B66" s="350">
        <v>242.5</v>
      </c>
      <c r="C66" s="350">
        <v>232.1</v>
      </c>
      <c r="D66" s="267" t="s">
        <v>513</v>
      </c>
      <c r="E66" s="333">
        <v>0</v>
      </c>
      <c r="F66" s="334">
        <v>20.14</v>
      </c>
      <c r="G66" s="334">
        <v>0</v>
      </c>
      <c r="H66" s="332" t="s">
        <v>514</v>
      </c>
      <c r="I66" s="332" t="s">
        <v>218</v>
      </c>
      <c r="J66" s="336" t="s">
        <v>515</v>
      </c>
    </row>
    <row r="67" spans="1:11">
      <c r="A67" s="14">
        <v>58</v>
      </c>
      <c r="B67" s="350">
        <v>242.5</v>
      </c>
      <c r="C67" s="350">
        <v>232.1</v>
      </c>
      <c r="D67" s="267" t="s">
        <v>513</v>
      </c>
      <c r="E67" s="333">
        <v>0</v>
      </c>
      <c r="F67" s="334">
        <v>2.12</v>
      </c>
      <c r="G67" s="334">
        <v>0</v>
      </c>
      <c r="H67" s="332" t="s">
        <v>516</v>
      </c>
      <c r="I67" s="332" t="s">
        <v>218</v>
      </c>
      <c r="J67" s="336" t="s">
        <v>515</v>
      </c>
    </row>
    <row r="68" spans="1:11">
      <c r="A68" s="14">
        <v>59</v>
      </c>
      <c r="B68" s="350">
        <v>242.5</v>
      </c>
      <c r="C68" s="350">
        <v>232.1</v>
      </c>
      <c r="D68" s="267" t="s">
        <v>517</v>
      </c>
      <c r="E68" s="333">
        <v>0</v>
      </c>
      <c r="F68" s="334">
        <v>19</v>
      </c>
      <c r="G68" s="334">
        <v>0</v>
      </c>
      <c r="H68" s="332" t="s">
        <v>518</v>
      </c>
      <c r="I68" s="332" t="s">
        <v>218</v>
      </c>
      <c r="J68" s="336" t="s">
        <v>480</v>
      </c>
    </row>
    <row r="69" spans="1:11">
      <c r="A69" s="14">
        <v>60</v>
      </c>
      <c r="B69" s="350">
        <v>242.5</v>
      </c>
      <c r="C69" s="350">
        <v>232.1</v>
      </c>
      <c r="D69" s="267" t="s">
        <v>519</v>
      </c>
      <c r="E69" s="333">
        <v>0</v>
      </c>
      <c r="F69" s="334">
        <v>248.27</v>
      </c>
      <c r="G69" s="334">
        <v>0</v>
      </c>
      <c r="H69" s="332" t="s">
        <v>520</v>
      </c>
      <c r="I69" s="332" t="s">
        <v>218</v>
      </c>
      <c r="J69" s="336" t="s">
        <v>487</v>
      </c>
    </row>
    <row r="70" spans="1:11">
      <c r="A70" s="14">
        <v>61</v>
      </c>
      <c r="B70" s="350">
        <v>242.5</v>
      </c>
      <c r="C70" s="350">
        <v>232.1</v>
      </c>
      <c r="D70" s="267" t="s">
        <v>521</v>
      </c>
      <c r="E70" s="333">
        <v>0</v>
      </c>
      <c r="F70" s="334">
        <v>5560</v>
      </c>
      <c r="G70" s="334">
        <v>0</v>
      </c>
      <c r="H70" s="332" t="s">
        <v>522</v>
      </c>
      <c r="I70" s="332" t="s">
        <v>218</v>
      </c>
      <c r="J70" s="336" t="s">
        <v>443</v>
      </c>
    </row>
    <row r="71" spans="1:11">
      <c r="A71" s="14">
        <v>62</v>
      </c>
      <c r="B71" s="350">
        <v>242.5</v>
      </c>
      <c r="C71" s="350">
        <v>232.1</v>
      </c>
      <c r="D71" s="267" t="s">
        <v>521</v>
      </c>
      <c r="E71" s="333">
        <v>0</v>
      </c>
      <c r="F71" s="334">
        <v>1499</v>
      </c>
      <c r="G71" s="334">
        <v>0</v>
      </c>
      <c r="H71" s="332" t="s">
        <v>470</v>
      </c>
      <c r="I71" s="332" t="s">
        <v>218</v>
      </c>
      <c r="J71" s="336" t="s">
        <v>510</v>
      </c>
      <c r="K71" s="242">
        <v>1499</v>
      </c>
    </row>
    <row r="72" spans="1:11">
      <c r="A72" s="14">
        <v>63</v>
      </c>
      <c r="B72" s="350">
        <v>242.5</v>
      </c>
      <c r="C72" s="350">
        <v>232.1</v>
      </c>
      <c r="D72" s="267" t="s">
        <v>521</v>
      </c>
      <c r="E72" s="333">
        <v>0</v>
      </c>
      <c r="F72" s="334">
        <v>145.37</v>
      </c>
      <c r="G72" s="334">
        <v>0</v>
      </c>
      <c r="H72" s="332" t="s">
        <v>444</v>
      </c>
      <c r="I72" s="332" t="s">
        <v>218</v>
      </c>
      <c r="J72" s="336" t="s">
        <v>445</v>
      </c>
    </row>
    <row r="73" spans="1:11">
      <c r="A73" s="14">
        <v>64</v>
      </c>
      <c r="B73" s="350">
        <v>242.5</v>
      </c>
      <c r="C73" s="350">
        <v>232.1</v>
      </c>
      <c r="D73" s="267" t="s">
        <v>521</v>
      </c>
      <c r="E73" s="333">
        <v>0</v>
      </c>
      <c r="F73" s="334">
        <v>17900</v>
      </c>
      <c r="G73" s="334">
        <v>0</v>
      </c>
      <c r="H73" s="332" t="s">
        <v>523</v>
      </c>
      <c r="I73" s="332" t="s">
        <v>218</v>
      </c>
      <c r="J73" s="336" t="s">
        <v>477</v>
      </c>
    </row>
    <row r="74" spans="1:11">
      <c r="A74" s="14">
        <v>65</v>
      </c>
      <c r="B74" s="350">
        <v>242.5</v>
      </c>
      <c r="C74" s="350">
        <v>232.1</v>
      </c>
      <c r="D74" s="267" t="s">
        <v>521</v>
      </c>
      <c r="E74" s="333">
        <v>0</v>
      </c>
      <c r="F74" s="334">
        <v>3000</v>
      </c>
      <c r="G74" s="334">
        <v>0</v>
      </c>
      <c r="H74" s="332" t="s">
        <v>524</v>
      </c>
      <c r="I74" s="332" t="s">
        <v>218</v>
      </c>
      <c r="J74" s="336" t="s">
        <v>477</v>
      </c>
    </row>
    <row r="75" spans="1:11">
      <c r="A75" s="14">
        <v>66</v>
      </c>
      <c r="B75" s="350">
        <v>242.5</v>
      </c>
      <c r="C75" s="350">
        <v>232.1</v>
      </c>
      <c r="D75" s="267" t="s">
        <v>521</v>
      </c>
      <c r="E75" s="333">
        <v>0</v>
      </c>
      <c r="F75" s="334">
        <v>0</v>
      </c>
      <c r="G75" s="334">
        <v>-12500</v>
      </c>
      <c r="H75" s="332" t="s">
        <v>525</v>
      </c>
      <c r="I75" s="332" t="s">
        <v>218</v>
      </c>
      <c r="J75" s="336" t="s">
        <v>477</v>
      </c>
    </row>
    <row r="76" spans="1:11">
      <c r="A76" s="14">
        <v>67</v>
      </c>
      <c r="B76" s="350">
        <v>242.5</v>
      </c>
      <c r="C76" s="350">
        <v>232.1</v>
      </c>
      <c r="D76" s="267" t="s">
        <v>526</v>
      </c>
      <c r="E76" s="333">
        <v>0</v>
      </c>
      <c r="F76" s="334">
        <v>3968.27</v>
      </c>
      <c r="G76" s="334">
        <v>0</v>
      </c>
      <c r="H76" s="332" t="s">
        <v>464</v>
      </c>
      <c r="I76" s="332" t="s">
        <v>218</v>
      </c>
      <c r="J76" s="336" t="s">
        <v>465</v>
      </c>
    </row>
    <row r="77" spans="1:11">
      <c r="A77" s="14">
        <v>68</v>
      </c>
      <c r="B77" s="350">
        <v>242.5</v>
      </c>
      <c r="C77" s="350">
        <v>143</v>
      </c>
      <c r="D77" s="267" t="s">
        <v>526</v>
      </c>
      <c r="E77" s="333">
        <v>0</v>
      </c>
      <c r="F77" s="334">
        <v>14603.03</v>
      </c>
      <c r="G77" s="334">
        <v>0</v>
      </c>
      <c r="H77" s="332" t="s">
        <v>527</v>
      </c>
      <c r="I77" s="332" t="s">
        <v>452</v>
      </c>
    </row>
    <row r="78" spans="1:11">
      <c r="A78" s="14">
        <v>69</v>
      </c>
      <c r="B78" s="350">
        <v>242.5</v>
      </c>
      <c r="C78" s="350">
        <v>232.1</v>
      </c>
      <c r="D78" s="267" t="s">
        <v>528</v>
      </c>
      <c r="E78" s="333">
        <v>0</v>
      </c>
      <c r="F78" s="334">
        <v>1219</v>
      </c>
      <c r="G78" s="334">
        <v>0</v>
      </c>
      <c r="H78" s="332" t="s">
        <v>473</v>
      </c>
      <c r="I78" s="332" t="s">
        <v>218</v>
      </c>
      <c r="J78" s="336" t="s">
        <v>474</v>
      </c>
    </row>
    <row r="79" spans="1:11">
      <c r="A79" s="14">
        <v>70</v>
      </c>
      <c r="B79" s="350">
        <v>242.5</v>
      </c>
      <c r="C79" s="350">
        <v>232.1</v>
      </c>
      <c r="D79" s="267" t="s">
        <v>529</v>
      </c>
      <c r="E79" s="333">
        <v>0</v>
      </c>
      <c r="F79" s="334">
        <v>10</v>
      </c>
      <c r="G79" s="334">
        <v>0</v>
      </c>
      <c r="H79" s="332" t="s">
        <v>530</v>
      </c>
      <c r="I79" s="332" t="s">
        <v>218</v>
      </c>
      <c r="J79" s="336" t="s">
        <v>480</v>
      </c>
    </row>
    <row r="80" spans="1:11">
      <c r="A80" s="14">
        <v>71</v>
      </c>
      <c r="B80" s="350">
        <v>242.5</v>
      </c>
      <c r="C80" s="350">
        <v>232.1</v>
      </c>
      <c r="D80" s="267" t="s">
        <v>531</v>
      </c>
      <c r="E80" s="333">
        <v>0</v>
      </c>
      <c r="F80" s="334">
        <v>2370</v>
      </c>
      <c r="G80" s="334">
        <v>0</v>
      </c>
      <c r="H80" s="332" t="s">
        <v>532</v>
      </c>
      <c r="I80" s="332" t="s">
        <v>218</v>
      </c>
      <c r="J80" s="336" t="s">
        <v>533</v>
      </c>
    </row>
    <row r="81" spans="1:10">
      <c r="A81" s="14">
        <v>72</v>
      </c>
      <c r="B81" s="350">
        <v>242.5</v>
      </c>
      <c r="C81" s="350">
        <v>242.4</v>
      </c>
      <c r="D81" s="267" t="s">
        <v>534</v>
      </c>
      <c r="E81" s="333">
        <v>0</v>
      </c>
      <c r="F81" s="334">
        <v>10</v>
      </c>
      <c r="G81" s="334">
        <v>0</v>
      </c>
      <c r="H81" s="332" t="s">
        <v>535</v>
      </c>
      <c r="I81" s="332" t="s">
        <v>452</v>
      </c>
    </row>
    <row r="82" spans="1:10">
      <c r="A82" s="14">
        <v>73</v>
      </c>
      <c r="B82" s="350">
        <v>242.5</v>
      </c>
      <c r="C82" s="350">
        <v>232.1</v>
      </c>
      <c r="D82" s="267" t="s">
        <v>536</v>
      </c>
      <c r="E82" s="333">
        <v>0</v>
      </c>
      <c r="F82" s="334">
        <v>2500</v>
      </c>
      <c r="G82" s="334">
        <v>0</v>
      </c>
      <c r="H82" s="332" t="s">
        <v>537</v>
      </c>
      <c r="I82" s="332" t="s">
        <v>218</v>
      </c>
      <c r="J82" s="336" t="s">
        <v>443</v>
      </c>
    </row>
    <row r="83" spans="1:10">
      <c r="A83" s="14">
        <v>74</v>
      </c>
      <c r="B83" s="350">
        <v>242.5</v>
      </c>
      <c r="C83" s="350">
        <v>232.1</v>
      </c>
      <c r="D83" s="267" t="s">
        <v>536</v>
      </c>
      <c r="E83" s="333">
        <v>0</v>
      </c>
      <c r="F83" s="334">
        <v>145.65</v>
      </c>
      <c r="G83" s="334">
        <v>0</v>
      </c>
      <c r="H83" s="332" t="s">
        <v>444</v>
      </c>
      <c r="I83" s="332" t="s">
        <v>218</v>
      </c>
      <c r="J83" s="336" t="s">
        <v>445</v>
      </c>
    </row>
    <row r="84" spans="1:10">
      <c r="A84" s="14">
        <v>75</v>
      </c>
      <c r="B84" s="350">
        <v>242.5</v>
      </c>
      <c r="C84" s="350">
        <v>232.1</v>
      </c>
      <c r="D84" s="267" t="s">
        <v>538</v>
      </c>
      <c r="E84" s="333">
        <v>0</v>
      </c>
      <c r="F84" s="334">
        <v>14615.5</v>
      </c>
      <c r="G84" s="334">
        <v>0</v>
      </c>
      <c r="H84" s="332" t="s">
        <v>468</v>
      </c>
      <c r="I84" s="332" t="s">
        <v>218</v>
      </c>
      <c r="J84" s="336" t="s">
        <v>465</v>
      </c>
    </row>
    <row r="85" spans="1:10">
      <c r="A85" s="14">
        <v>76</v>
      </c>
      <c r="B85" s="350">
        <v>242.5</v>
      </c>
      <c r="C85" s="350">
        <v>232.1</v>
      </c>
      <c r="D85" s="267" t="s">
        <v>538</v>
      </c>
      <c r="E85" s="333">
        <v>0</v>
      </c>
      <c r="F85" s="334">
        <v>5039.0200000000004</v>
      </c>
      <c r="G85" s="334">
        <v>0</v>
      </c>
      <c r="H85" s="332" t="s">
        <v>464</v>
      </c>
      <c r="I85" s="332" t="s">
        <v>218</v>
      </c>
      <c r="J85" s="336" t="s">
        <v>465</v>
      </c>
    </row>
    <row r="86" spans="1:10">
      <c r="A86" s="14">
        <v>77</v>
      </c>
      <c r="B86" s="350">
        <v>242.5</v>
      </c>
      <c r="C86" s="350">
        <v>920</v>
      </c>
      <c r="D86" s="267" t="s">
        <v>538</v>
      </c>
      <c r="E86" s="333">
        <v>0</v>
      </c>
      <c r="F86" s="334">
        <v>0</v>
      </c>
      <c r="G86" s="334">
        <v>-10</v>
      </c>
      <c r="H86" s="332" t="s">
        <v>539</v>
      </c>
      <c r="I86" s="332" t="s">
        <v>452</v>
      </c>
    </row>
    <row r="87" spans="1:10">
      <c r="A87" s="14">
        <v>78</v>
      </c>
      <c r="B87" s="350">
        <v>242.5</v>
      </c>
      <c r="C87" s="350">
        <v>184</v>
      </c>
      <c r="D87" s="267" t="s">
        <v>538</v>
      </c>
      <c r="E87" s="333">
        <v>0</v>
      </c>
      <c r="F87" s="334">
        <v>0</v>
      </c>
      <c r="G87" s="334">
        <v>-10</v>
      </c>
      <c r="H87" s="332" t="s">
        <v>540</v>
      </c>
      <c r="I87" s="332" t="s">
        <v>452</v>
      </c>
    </row>
    <row r="88" spans="1:10">
      <c r="A88" s="14">
        <v>79</v>
      </c>
      <c r="B88" s="350">
        <v>242.5</v>
      </c>
      <c r="C88" s="350">
        <v>232.1</v>
      </c>
      <c r="D88" s="267" t="s">
        <v>541</v>
      </c>
      <c r="E88" s="333">
        <v>0</v>
      </c>
      <c r="F88" s="334">
        <v>1983.26</v>
      </c>
      <c r="G88" s="334">
        <v>0</v>
      </c>
      <c r="H88" s="332" t="s">
        <v>542</v>
      </c>
      <c r="I88" s="332" t="s">
        <v>218</v>
      </c>
      <c r="J88" s="336" t="s">
        <v>515</v>
      </c>
    </row>
    <row r="89" spans="1:10">
      <c r="A89" s="14">
        <v>80</v>
      </c>
      <c r="B89" s="350">
        <v>242.5</v>
      </c>
      <c r="C89" s="350">
        <v>232.1</v>
      </c>
      <c r="D89" s="267" t="s">
        <v>543</v>
      </c>
      <c r="E89" s="333">
        <v>0</v>
      </c>
      <c r="F89" s="334">
        <v>8600</v>
      </c>
      <c r="G89" s="334">
        <v>0</v>
      </c>
      <c r="H89" s="332" t="s">
        <v>544</v>
      </c>
      <c r="I89" s="332" t="s">
        <v>218</v>
      </c>
      <c r="J89" s="336" t="s">
        <v>477</v>
      </c>
    </row>
    <row r="90" spans="1:10">
      <c r="A90" s="14">
        <v>81</v>
      </c>
      <c r="B90" s="350">
        <v>242.5</v>
      </c>
      <c r="C90" s="350">
        <v>107.2</v>
      </c>
      <c r="D90" s="267" t="s">
        <v>545</v>
      </c>
      <c r="E90" s="333">
        <v>0</v>
      </c>
      <c r="F90" s="334">
        <v>0</v>
      </c>
      <c r="G90" s="334">
        <v>-1400</v>
      </c>
      <c r="H90" s="332" t="s">
        <v>546</v>
      </c>
      <c r="I90" s="332" t="s">
        <v>452</v>
      </c>
    </row>
    <row r="91" spans="1:10">
      <c r="A91" s="14">
        <v>82</v>
      </c>
      <c r="B91" s="350">
        <v>242.5</v>
      </c>
      <c r="C91" s="350">
        <v>232.1</v>
      </c>
      <c r="D91" s="267" t="s">
        <v>547</v>
      </c>
      <c r="E91" s="333">
        <v>0</v>
      </c>
      <c r="F91" s="334">
        <v>126.12</v>
      </c>
      <c r="G91" s="334">
        <v>0</v>
      </c>
      <c r="H91" s="332" t="s">
        <v>444</v>
      </c>
      <c r="I91" s="332" t="s">
        <v>218</v>
      </c>
      <c r="J91" s="336" t="s">
        <v>445</v>
      </c>
    </row>
    <row r="92" spans="1:10">
      <c r="A92" s="14">
        <v>83</v>
      </c>
      <c r="B92" s="350">
        <v>242.5</v>
      </c>
      <c r="C92" s="350">
        <v>232.1</v>
      </c>
      <c r="D92" s="267" t="s">
        <v>547</v>
      </c>
      <c r="E92" s="333">
        <v>0</v>
      </c>
      <c r="F92" s="334">
        <v>4250</v>
      </c>
      <c r="G92" s="334">
        <v>0</v>
      </c>
      <c r="H92" s="332" t="s">
        <v>548</v>
      </c>
      <c r="I92" s="332" t="s">
        <v>218</v>
      </c>
      <c r="J92" s="336" t="s">
        <v>443</v>
      </c>
    </row>
    <row r="93" spans="1:10">
      <c r="A93" s="14">
        <v>84</v>
      </c>
      <c r="B93" s="350">
        <v>242.5</v>
      </c>
      <c r="C93" s="350">
        <v>232.1</v>
      </c>
      <c r="D93" s="267" t="s">
        <v>549</v>
      </c>
      <c r="E93" s="333">
        <v>0</v>
      </c>
      <c r="F93" s="334">
        <v>6222.5</v>
      </c>
      <c r="G93" s="334">
        <v>0</v>
      </c>
      <c r="H93" s="332" t="s">
        <v>468</v>
      </c>
      <c r="I93" s="332" t="s">
        <v>218</v>
      </c>
      <c r="J93" s="336" t="s">
        <v>465</v>
      </c>
    </row>
    <row r="94" spans="1:10">
      <c r="A94" s="14">
        <v>85</v>
      </c>
      <c r="B94" s="350">
        <v>242.5</v>
      </c>
      <c r="C94" s="350">
        <v>232.1</v>
      </c>
      <c r="D94" s="267" t="s">
        <v>549</v>
      </c>
      <c r="E94" s="333">
        <v>0</v>
      </c>
      <c r="F94" s="334">
        <v>4566.53</v>
      </c>
      <c r="G94" s="334">
        <v>0</v>
      </c>
      <c r="H94" s="332" t="s">
        <v>464</v>
      </c>
      <c r="I94" s="332" t="s">
        <v>218</v>
      </c>
      <c r="J94" s="336" t="s">
        <v>465</v>
      </c>
    </row>
    <row r="95" spans="1:10">
      <c r="A95" s="14">
        <v>86</v>
      </c>
      <c r="B95" s="350">
        <v>242.5</v>
      </c>
      <c r="C95" s="350">
        <v>232.1</v>
      </c>
      <c r="D95" s="267" t="s">
        <v>549</v>
      </c>
      <c r="E95" s="333">
        <v>0</v>
      </c>
      <c r="F95" s="334">
        <v>518.75</v>
      </c>
      <c r="G95" s="334">
        <v>0</v>
      </c>
      <c r="H95" s="332" t="s">
        <v>550</v>
      </c>
      <c r="I95" s="332" t="s">
        <v>218</v>
      </c>
      <c r="J95" s="336" t="s">
        <v>465</v>
      </c>
    </row>
    <row r="96" spans="1:10">
      <c r="A96" s="14">
        <v>87</v>
      </c>
      <c r="B96" s="350">
        <v>242.5</v>
      </c>
      <c r="C96" s="350">
        <v>232.1</v>
      </c>
      <c r="D96" s="267" t="s">
        <v>549</v>
      </c>
      <c r="E96" s="333">
        <v>0</v>
      </c>
      <c r="F96" s="334">
        <v>440</v>
      </c>
      <c r="G96" s="334">
        <v>0</v>
      </c>
      <c r="H96" s="332" t="s">
        <v>550</v>
      </c>
      <c r="I96" s="332" t="s">
        <v>218</v>
      </c>
      <c r="J96" s="336" t="s">
        <v>465</v>
      </c>
    </row>
    <row r="97" spans="1:10">
      <c r="A97" s="14">
        <v>88</v>
      </c>
      <c r="B97" s="350">
        <v>242.5</v>
      </c>
      <c r="C97" s="350">
        <v>232.1</v>
      </c>
      <c r="D97" s="267" t="s">
        <v>549</v>
      </c>
      <c r="E97" s="333">
        <v>0</v>
      </c>
      <c r="F97" s="334">
        <v>3798.64</v>
      </c>
      <c r="G97" s="334">
        <v>0</v>
      </c>
      <c r="H97" s="332" t="s">
        <v>464</v>
      </c>
      <c r="I97" s="332" t="s">
        <v>218</v>
      </c>
      <c r="J97" s="336" t="s">
        <v>465</v>
      </c>
    </row>
    <row r="98" spans="1:10">
      <c r="A98" s="14">
        <v>89</v>
      </c>
      <c r="B98" s="350">
        <v>242.5</v>
      </c>
      <c r="C98" s="350">
        <v>232.1</v>
      </c>
      <c r="D98" s="267" t="s">
        <v>549</v>
      </c>
      <c r="E98" s="333">
        <v>0</v>
      </c>
      <c r="F98" s="334">
        <v>7626.5</v>
      </c>
      <c r="G98" s="334">
        <v>0</v>
      </c>
      <c r="H98" s="332" t="s">
        <v>467</v>
      </c>
      <c r="I98" s="332" t="s">
        <v>218</v>
      </c>
      <c r="J98" s="336" t="s">
        <v>465</v>
      </c>
    </row>
    <row r="99" spans="1:10">
      <c r="A99" s="14">
        <v>90</v>
      </c>
      <c r="B99" s="350">
        <v>242.5</v>
      </c>
      <c r="C99" s="350">
        <v>232.1</v>
      </c>
      <c r="D99" s="267" t="s">
        <v>549</v>
      </c>
      <c r="E99" s="333">
        <v>0</v>
      </c>
      <c r="F99" s="334">
        <v>32877.5</v>
      </c>
      <c r="G99" s="334">
        <v>0</v>
      </c>
      <c r="H99" s="332" t="s">
        <v>468</v>
      </c>
      <c r="I99" s="332" t="s">
        <v>218</v>
      </c>
      <c r="J99" s="336" t="s">
        <v>465</v>
      </c>
    </row>
    <row r="100" spans="1:10">
      <c r="A100" s="14">
        <v>91</v>
      </c>
      <c r="B100" s="350">
        <v>242.5</v>
      </c>
      <c r="C100" s="350">
        <v>232.1</v>
      </c>
      <c r="D100" s="267" t="s">
        <v>549</v>
      </c>
      <c r="E100" s="333">
        <v>0</v>
      </c>
      <c r="F100" s="334">
        <v>43995.5</v>
      </c>
      <c r="G100" s="334">
        <v>0</v>
      </c>
      <c r="H100" s="332" t="s">
        <v>468</v>
      </c>
      <c r="I100" s="332" t="s">
        <v>218</v>
      </c>
      <c r="J100" s="336" t="s">
        <v>465</v>
      </c>
    </row>
    <row r="101" spans="1:10">
      <c r="A101" s="14">
        <v>92</v>
      </c>
      <c r="B101" s="350">
        <v>242.5</v>
      </c>
      <c r="C101" s="350">
        <v>143</v>
      </c>
      <c r="D101" s="267" t="s">
        <v>549</v>
      </c>
      <c r="E101" s="333">
        <v>0</v>
      </c>
      <c r="F101" s="334">
        <v>518.75</v>
      </c>
      <c r="G101" s="334">
        <v>0</v>
      </c>
      <c r="H101" s="332" t="s">
        <v>551</v>
      </c>
      <c r="I101" s="332" t="s">
        <v>452</v>
      </c>
    </row>
    <row r="102" spans="1:10">
      <c r="A102" s="14">
        <v>93</v>
      </c>
      <c r="B102" s="350">
        <v>242.5</v>
      </c>
      <c r="C102" s="350">
        <v>143</v>
      </c>
      <c r="D102" s="267" t="s">
        <v>549</v>
      </c>
      <c r="E102" s="333">
        <v>0</v>
      </c>
      <c r="F102" s="334">
        <v>29.76</v>
      </c>
      <c r="G102" s="334">
        <v>0</v>
      </c>
      <c r="H102" s="332" t="s">
        <v>552</v>
      </c>
      <c r="I102" s="332" t="s">
        <v>452</v>
      </c>
    </row>
    <row r="103" spans="1:10">
      <c r="A103" s="14">
        <v>94</v>
      </c>
      <c r="B103" s="350">
        <v>242.5</v>
      </c>
      <c r="C103" s="350">
        <v>143</v>
      </c>
      <c r="D103" s="267" t="s">
        <v>549</v>
      </c>
      <c r="E103" s="333">
        <v>0</v>
      </c>
      <c r="F103" s="334">
        <v>269.75</v>
      </c>
      <c r="G103" s="334">
        <v>0</v>
      </c>
      <c r="H103" s="332" t="s">
        <v>553</v>
      </c>
      <c r="I103" s="332" t="s">
        <v>452</v>
      </c>
    </row>
    <row r="104" spans="1:10">
      <c r="A104" s="14">
        <v>95</v>
      </c>
      <c r="B104" s="350">
        <v>242.5</v>
      </c>
      <c r="C104" s="350">
        <v>232.1</v>
      </c>
      <c r="D104" s="267" t="s">
        <v>554</v>
      </c>
      <c r="E104" s="333">
        <v>0</v>
      </c>
      <c r="F104" s="334">
        <v>1060</v>
      </c>
      <c r="G104" s="334">
        <v>0</v>
      </c>
      <c r="H104" s="332" t="s">
        <v>473</v>
      </c>
      <c r="I104" s="332" t="s">
        <v>218</v>
      </c>
      <c r="J104" s="336" t="s">
        <v>474</v>
      </c>
    </row>
    <row r="105" spans="1:10">
      <c r="A105" s="14">
        <v>96</v>
      </c>
      <c r="B105" s="350">
        <v>242.5</v>
      </c>
      <c r="C105" s="350">
        <v>232.1</v>
      </c>
      <c r="D105" s="267" t="s">
        <v>555</v>
      </c>
      <c r="E105" s="333">
        <v>1</v>
      </c>
      <c r="F105" s="334">
        <v>87.09</v>
      </c>
      <c r="G105" s="334">
        <v>0</v>
      </c>
      <c r="H105" s="332" t="s">
        <v>462</v>
      </c>
      <c r="I105" s="332" t="s">
        <v>218</v>
      </c>
      <c r="J105" s="336" t="s">
        <v>445</v>
      </c>
    </row>
    <row r="106" spans="1:10">
      <c r="A106" s="14">
        <v>97</v>
      </c>
      <c r="B106" s="350">
        <v>242.5</v>
      </c>
      <c r="C106" s="350">
        <v>232.1</v>
      </c>
      <c r="D106" s="267" t="s">
        <v>555</v>
      </c>
      <c r="E106" s="333">
        <v>0</v>
      </c>
      <c r="F106" s="334">
        <v>2500</v>
      </c>
      <c r="G106" s="334">
        <v>0</v>
      </c>
      <c r="H106" s="332" t="s">
        <v>556</v>
      </c>
      <c r="I106" s="332" t="s">
        <v>218</v>
      </c>
      <c r="J106" s="336" t="s">
        <v>443</v>
      </c>
    </row>
    <row r="107" spans="1:10">
      <c r="A107" s="14">
        <v>98</v>
      </c>
      <c r="B107" s="350">
        <v>242.5</v>
      </c>
      <c r="C107" s="350">
        <v>232.1</v>
      </c>
      <c r="D107" s="267" t="s">
        <v>557</v>
      </c>
      <c r="E107" s="333">
        <v>0</v>
      </c>
      <c r="F107" s="334">
        <v>2080.48</v>
      </c>
      <c r="G107" s="334">
        <v>0</v>
      </c>
      <c r="H107" s="332" t="s">
        <v>464</v>
      </c>
      <c r="I107" s="332" t="s">
        <v>218</v>
      </c>
      <c r="J107" s="336" t="s">
        <v>465</v>
      </c>
    </row>
    <row r="108" spans="1:10">
      <c r="A108" s="14">
        <v>99</v>
      </c>
      <c r="B108" s="350">
        <v>242.5</v>
      </c>
      <c r="C108" s="350">
        <v>232.1</v>
      </c>
      <c r="D108" s="267" t="s">
        <v>557</v>
      </c>
      <c r="E108" s="333">
        <v>0</v>
      </c>
      <c r="F108" s="334">
        <v>6364.5</v>
      </c>
      <c r="G108" s="334">
        <v>0</v>
      </c>
      <c r="H108" s="332" t="s">
        <v>468</v>
      </c>
      <c r="I108" s="332" t="s">
        <v>218</v>
      </c>
      <c r="J108" s="336" t="s">
        <v>465</v>
      </c>
    </row>
    <row r="109" spans="1:10">
      <c r="A109" s="14">
        <v>100</v>
      </c>
      <c r="B109" s="350">
        <v>242.5</v>
      </c>
      <c r="C109" s="350">
        <v>232.1</v>
      </c>
      <c r="D109" s="267" t="s">
        <v>558</v>
      </c>
      <c r="E109" s="333">
        <v>0</v>
      </c>
      <c r="F109" s="334">
        <v>250</v>
      </c>
      <c r="G109" s="334">
        <v>0</v>
      </c>
      <c r="H109" s="332" t="s">
        <v>466</v>
      </c>
      <c r="I109" s="332" t="s">
        <v>218</v>
      </c>
      <c r="J109" s="336" t="s">
        <v>456</v>
      </c>
    </row>
    <row r="110" spans="1:10">
      <c r="A110" s="14">
        <v>101</v>
      </c>
      <c r="B110" s="350">
        <v>242.5</v>
      </c>
      <c r="C110" s="350">
        <v>232.1</v>
      </c>
      <c r="D110" s="267" t="s">
        <v>559</v>
      </c>
      <c r="E110" s="333">
        <v>1</v>
      </c>
      <c r="F110" s="334">
        <v>115</v>
      </c>
      <c r="G110" s="334">
        <v>0</v>
      </c>
      <c r="H110" s="332" t="s">
        <v>560</v>
      </c>
      <c r="I110" s="332" t="s">
        <v>218</v>
      </c>
      <c r="J110" s="336" t="s">
        <v>561</v>
      </c>
    </row>
    <row r="111" spans="1:10">
      <c r="A111" s="14">
        <v>102</v>
      </c>
      <c r="B111" s="350">
        <v>242.5</v>
      </c>
      <c r="C111" s="350">
        <v>232.1</v>
      </c>
      <c r="D111" s="267" t="s">
        <v>562</v>
      </c>
      <c r="E111" s="333">
        <v>1</v>
      </c>
      <c r="F111" s="334">
        <v>87.09</v>
      </c>
      <c r="G111" s="334">
        <v>0</v>
      </c>
      <c r="H111" s="332" t="s">
        <v>462</v>
      </c>
      <c r="I111" s="332" t="s">
        <v>218</v>
      </c>
      <c r="J111" s="336" t="s">
        <v>445</v>
      </c>
    </row>
    <row r="112" spans="1:10">
      <c r="A112" s="14">
        <v>103</v>
      </c>
      <c r="B112" s="350">
        <v>242.5</v>
      </c>
      <c r="C112" s="350">
        <v>232.1</v>
      </c>
      <c r="D112" s="267" t="s">
        <v>562</v>
      </c>
      <c r="E112" s="333">
        <v>0</v>
      </c>
      <c r="F112" s="334">
        <v>2550</v>
      </c>
      <c r="G112" s="334">
        <v>0</v>
      </c>
      <c r="H112" s="332" t="s">
        <v>563</v>
      </c>
      <c r="I112" s="332" t="s">
        <v>218</v>
      </c>
      <c r="J112" s="336" t="s">
        <v>443</v>
      </c>
    </row>
    <row r="113" spans="1:11">
      <c r="A113" s="14">
        <v>104</v>
      </c>
      <c r="B113" s="350">
        <v>242.5</v>
      </c>
      <c r="C113" s="350">
        <v>143.5</v>
      </c>
      <c r="D113" s="267" t="s">
        <v>562</v>
      </c>
      <c r="E113" s="333">
        <v>-1</v>
      </c>
      <c r="F113" s="334">
        <v>0</v>
      </c>
      <c r="G113" s="334">
        <v>-2382.7600000000002</v>
      </c>
      <c r="H113" s="332" t="s">
        <v>564</v>
      </c>
      <c r="I113" s="332" t="s">
        <v>565</v>
      </c>
    </row>
    <row r="114" spans="1:11">
      <c r="A114" s="14">
        <v>105</v>
      </c>
      <c r="B114" s="350">
        <v>242.5</v>
      </c>
      <c r="C114" s="350">
        <v>143.5</v>
      </c>
      <c r="D114" s="267" t="s">
        <v>562</v>
      </c>
      <c r="E114" s="333">
        <v>-1</v>
      </c>
      <c r="F114" s="334">
        <v>0</v>
      </c>
      <c r="G114" s="334">
        <v>-20960.990000000002</v>
      </c>
      <c r="H114" s="332" t="s">
        <v>564</v>
      </c>
      <c r="I114" s="332" t="s">
        <v>565</v>
      </c>
    </row>
    <row r="115" spans="1:11">
      <c r="A115" s="14">
        <v>106</v>
      </c>
      <c r="B115" s="350">
        <v>242.5</v>
      </c>
      <c r="C115" s="350">
        <v>143.5</v>
      </c>
      <c r="D115" s="267" t="s">
        <v>562</v>
      </c>
      <c r="E115" s="333">
        <v>-1</v>
      </c>
      <c r="F115" s="334">
        <v>0</v>
      </c>
      <c r="G115" s="334">
        <v>-110.08</v>
      </c>
      <c r="H115" s="332" t="s">
        <v>564</v>
      </c>
      <c r="I115" s="332" t="s">
        <v>565</v>
      </c>
    </row>
    <row r="116" spans="1:11">
      <c r="A116" s="14">
        <v>107</v>
      </c>
      <c r="B116" s="350">
        <v>242.5</v>
      </c>
      <c r="C116" s="350">
        <v>143.5</v>
      </c>
      <c r="D116" s="267" t="s">
        <v>562</v>
      </c>
      <c r="E116" s="333">
        <v>-1</v>
      </c>
      <c r="F116" s="334">
        <v>0</v>
      </c>
      <c r="G116" s="334">
        <v>-6659.81</v>
      </c>
      <c r="H116" s="332" t="s">
        <v>564</v>
      </c>
      <c r="I116" s="332" t="s">
        <v>565</v>
      </c>
    </row>
    <row r="117" spans="1:11">
      <c r="A117" s="14">
        <v>108</v>
      </c>
      <c r="B117" s="350">
        <v>242.5</v>
      </c>
      <c r="C117" s="350">
        <v>143.5</v>
      </c>
      <c r="D117" s="267" t="s">
        <v>562</v>
      </c>
      <c r="E117" s="333">
        <v>-1</v>
      </c>
      <c r="F117" s="334">
        <v>0</v>
      </c>
      <c r="G117" s="334">
        <v>-192.64</v>
      </c>
      <c r="H117" s="332" t="s">
        <v>564</v>
      </c>
      <c r="I117" s="332" t="s">
        <v>565</v>
      </c>
    </row>
    <row r="118" spans="1:11">
      <c r="A118" s="14">
        <v>109</v>
      </c>
      <c r="B118" s="350">
        <v>242.5</v>
      </c>
      <c r="C118" s="350">
        <v>143.5</v>
      </c>
      <c r="D118" s="267" t="s">
        <v>562</v>
      </c>
      <c r="E118" s="333">
        <v>-1</v>
      </c>
      <c r="F118" s="334">
        <v>0</v>
      </c>
      <c r="G118" s="334">
        <v>-13766.83</v>
      </c>
      <c r="H118" s="332" t="s">
        <v>564</v>
      </c>
      <c r="I118" s="332" t="s">
        <v>565</v>
      </c>
    </row>
    <row r="119" spans="1:11">
      <c r="A119" s="14">
        <v>110</v>
      </c>
      <c r="B119" s="350">
        <v>242.5</v>
      </c>
      <c r="C119" s="350">
        <v>232.1</v>
      </c>
      <c r="D119" s="267" t="s">
        <v>562</v>
      </c>
      <c r="E119" s="333">
        <v>0</v>
      </c>
      <c r="F119" s="334">
        <v>3454.73</v>
      </c>
      <c r="G119" s="334">
        <v>0</v>
      </c>
      <c r="H119" s="332" t="s">
        <v>464</v>
      </c>
      <c r="I119" s="332" t="s">
        <v>218</v>
      </c>
      <c r="J119" s="336" t="s">
        <v>465</v>
      </c>
    </row>
    <row r="120" spans="1:11">
      <c r="A120" s="14">
        <v>111</v>
      </c>
      <c r="B120" s="350">
        <v>242.5</v>
      </c>
      <c r="C120" s="350">
        <v>232.1</v>
      </c>
      <c r="D120" s="267" t="s">
        <v>562</v>
      </c>
      <c r="E120" s="333">
        <v>0</v>
      </c>
      <c r="F120" s="334">
        <v>171</v>
      </c>
      <c r="G120" s="334">
        <v>0</v>
      </c>
      <c r="H120" s="332" t="s">
        <v>467</v>
      </c>
      <c r="I120" s="332" t="s">
        <v>218</v>
      </c>
      <c r="J120" s="336" t="s">
        <v>465</v>
      </c>
    </row>
    <row r="121" spans="1:11">
      <c r="A121" s="14">
        <v>112</v>
      </c>
      <c r="B121" s="351"/>
      <c r="C121" s="351"/>
      <c r="D121" s="243"/>
      <c r="E121" s="146"/>
      <c r="F121" s="146">
        <v>419517.28000000014</v>
      </c>
      <c r="G121" s="146">
        <v>-78038.11</v>
      </c>
      <c r="H121" s="244"/>
      <c r="I121" s="244"/>
      <c r="J121" s="330"/>
      <c r="K121" s="146">
        <v>3326</v>
      </c>
    </row>
    <row r="122" spans="1:11">
      <c r="A122" s="14">
        <v>113</v>
      </c>
    </row>
    <row r="123" spans="1:11">
      <c r="A123" s="14">
        <v>114</v>
      </c>
      <c r="J123" s="313" t="s">
        <v>15</v>
      </c>
      <c r="K123" s="270">
        <f>-K121</f>
        <v>-3326</v>
      </c>
    </row>
    <row r="124" spans="1:11">
      <c r="B124" s="9" t="s">
        <v>593</v>
      </c>
    </row>
  </sheetData>
  <mergeCells count="3">
    <mergeCell ref="B3:K3"/>
    <mergeCell ref="B4:K4"/>
    <mergeCell ref="B6:K6"/>
  </mergeCells>
  <printOptions horizontalCentered="1"/>
  <pageMargins left="0.7" right="0.7" top="0.75" bottom="0.75" header="0.3" footer="0.3"/>
  <pageSetup scale="53" fitToHeight="0" orientation="portrait" r:id="rId1"/>
  <headerFooter alignWithMargins="0">
    <oddFooter>&amp;RExhibit JW-2
Page &amp;P of &amp;N</oddFooter>
  </headerFooter>
  <rowBreaks count="1" manualBreakCount="1">
    <brk id="10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46"/>
  <sheetViews>
    <sheetView view="pageBreakPreview" zoomScaleNormal="100" zoomScaleSheetLayoutView="100" workbookViewId="0">
      <selection activeCell="E19" sqref="E19"/>
    </sheetView>
  </sheetViews>
  <sheetFormatPr defaultColWidth="9.140625" defaultRowHeight="12.75"/>
  <cols>
    <col min="1" max="1" width="3.5703125" style="10" customWidth="1"/>
    <col min="2" max="2" width="10.85546875" style="9" customWidth="1"/>
    <col min="3" max="3" width="31.7109375" style="10" customWidth="1"/>
    <col min="4" max="5" width="13.5703125" style="10" bestFit="1" customWidth="1"/>
    <col min="6" max="6" width="11.85546875" style="10" customWidth="1"/>
    <col min="7" max="7" width="12.140625" style="10" bestFit="1" customWidth="1"/>
    <col min="8" max="8" width="9.140625" style="10"/>
    <col min="9" max="9" width="11.7109375" style="10" bestFit="1" customWidth="1"/>
    <col min="10" max="16384" width="9.140625" style="10"/>
  </cols>
  <sheetData>
    <row r="1" spans="1:13">
      <c r="A1" s="284" t="str">
        <f>RevReq!A1</f>
        <v>BLUE GRASS ENERGY</v>
      </c>
      <c r="B1" s="284"/>
      <c r="C1" s="284"/>
      <c r="D1" s="284"/>
      <c r="E1" s="284"/>
      <c r="F1" s="284"/>
      <c r="G1" s="284"/>
    </row>
    <row r="2" spans="1:13">
      <c r="A2" s="284" t="s">
        <v>170</v>
      </c>
      <c r="B2" s="284"/>
      <c r="C2" s="284"/>
      <c r="D2" s="284"/>
      <c r="E2" s="284"/>
      <c r="F2" s="284"/>
      <c r="G2" s="284"/>
    </row>
    <row r="4" spans="1:13" ht="47.25" customHeight="1">
      <c r="B4" s="33" t="s">
        <v>175</v>
      </c>
      <c r="C4" s="26" t="s">
        <v>40</v>
      </c>
      <c r="D4" s="26" t="s">
        <v>23</v>
      </c>
      <c r="E4" s="26" t="s">
        <v>24</v>
      </c>
      <c r="F4" s="26" t="s">
        <v>172</v>
      </c>
      <c r="G4" s="26" t="s">
        <v>173</v>
      </c>
    </row>
    <row r="5" spans="1:13">
      <c r="B5" s="34" t="s">
        <v>21</v>
      </c>
      <c r="C5" s="35">
        <v>1</v>
      </c>
      <c r="D5" s="35">
        <f>C5+1</f>
        <v>2</v>
      </c>
      <c r="E5" s="35">
        <f>D5+1</f>
        <v>3</v>
      </c>
      <c r="F5" s="35">
        <f>E5+1</f>
        <v>4</v>
      </c>
      <c r="G5" s="35">
        <f>F5+1</f>
        <v>5</v>
      </c>
    </row>
    <row r="6" spans="1:13">
      <c r="B6" s="9">
        <f>'Adj IS'!C4</f>
        <v>1.01</v>
      </c>
      <c r="C6" s="10" t="s">
        <v>171</v>
      </c>
      <c r="D6" s="23">
        <f>'1.01 FAC'!F31</f>
        <v>-6921346</v>
      </c>
      <c r="E6" s="23">
        <f>'1.01 FAC'!H31</f>
        <v>-6921346</v>
      </c>
      <c r="F6" s="22">
        <v>0</v>
      </c>
      <c r="G6" s="22">
        <f>D6-E6+F6</f>
        <v>0</v>
      </c>
      <c r="K6" s="2"/>
      <c r="L6" s="2"/>
      <c r="M6" s="2"/>
    </row>
    <row r="7" spans="1:13">
      <c r="B7" s="9">
        <f>'Adj IS'!D4</f>
        <v>1.02</v>
      </c>
      <c r="C7" s="10" t="s">
        <v>125</v>
      </c>
      <c r="D7" s="23">
        <f>'1.02 ES'!F31</f>
        <v>-17673114.600000001</v>
      </c>
      <c r="E7" s="23">
        <f>'1.02 ES'!H31</f>
        <v>-17673114.600000001</v>
      </c>
      <c r="F7" s="22">
        <v>0</v>
      </c>
      <c r="G7" s="22">
        <f t="shared" ref="G7:G20" si="0">D7-E7+F7</f>
        <v>0</v>
      </c>
      <c r="K7" s="2"/>
      <c r="L7" s="2"/>
      <c r="M7" s="2"/>
    </row>
    <row r="8" spans="1:13">
      <c r="B8" s="9">
        <f>'Adj IS'!E4</f>
        <v>1.03</v>
      </c>
      <c r="C8" s="10" t="s">
        <v>30</v>
      </c>
      <c r="D8" s="23">
        <v>0</v>
      </c>
      <c r="E8" s="23">
        <f>'1.03 RC'!E23</f>
        <v>23333.33</v>
      </c>
      <c r="F8" s="22">
        <v>0</v>
      </c>
      <c r="G8" s="22">
        <f t="shared" si="0"/>
        <v>-23333.33</v>
      </c>
      <c r="K8" s="2"/>
      <c r="L8" s="2"/>
      <c r="M8" s="2"/>
    </row>
    <row r="9" spans="1:13">
      <c r="B9" s="9">
        <f>'Adj IS'!F4</f>
        <v>1.04</v>
      </c>
      <c r="C9" s="10" t="s">
        <v>240</v>
      </c>
      <c r="D9" s="23">
        <f>'1.04 CUST'!F48</f>
        <v>1156970.4201261536</v>
      </c>
      <c r="E9" s="23">
        <f>'1.04 CUST'!G48</f>
        <v>838570.79982670024</v>
      </c>
      <c r="F9" s="22">
        <v>0</v>
      </c>
      <c r="G9" s="22">
        <f t="shared" si="0"/>
        <v>318399.62029945338</v>
      </c>
      <c r="K9" s="2"/>
      <c r="L9" s="2"/>
      <c r="M9" s="2"/>
    </row>
    <row r="10" spans="1:13">
      <c r="B10" s="9">
        <f>'Adj IS'!G4</f>
        <v>1.05</v>
      </c>
      <c r="C10" s="10" t="s">
        <v>76</v>
      </c>
      <c r="D10" s="23">
        <v>0</v>
      </c>
      <c r="E10" s="23">
        <v>0</v>
      </c>
      <c r="F10" s="23">
        <f>'1.05 GTCC'!F18</f>
        <v>-772943.54</v>
      </c>
      <c r="G10" s="22">
        <f t="shared" si="0"/>
        <v>-772943.54</v>
      </c>
      <c r="K10" s="2"/>
      <c r="L10" s="2"/>
      <c r="M10" s="2"/>
    </row>
    <row r="11" spans="1:13">
      <c r="B11" s="9">
        <f>'Adj IS'!H4</f>
        <v>1.06</v>
      </c>
      <c r="C11" s="10" t="s">
        <v>586</v>
      </c>
      <c r="D11" s="23">
        <v>0</v>
      </c>
      <c r="E11" s="23">
        <f>'1.06 Retirement'!E17</f>
        <v>-53149</v>
      </c>
      <c r="F11" s="22">
        <v>0</v>
      </c>
      <c r="G11" s="22">
        <f t="shared" si="0"/>
        <v>53149</v>
      </c>
      <c r="K11" s="2"/>
      <c r="L11" s="2"/>
      <c r="M11" s="2"/>
    </row>
    <row r="12" spans="1:13">
      <c r="B12" s="9">
        <f>'Adj IS'!I4</f>
        <v>1.07</v>
      </c>
      <c r="C12" s="2" t="s">
        <v>237</v>
      </c>
      <c r="D12" s="23">
        <v>0</v>
      </c>
      <c r="E12" s="23">
        <f>'1.07 Depr'!J46</f>
        <v>294695.17000000004</v>
      </c>
      <c r="F12" s="22">
        <v>0</v>
      </c>
      <c r="G12" s="22">
        <f t="shared" si="0"/>
        <v>-294695.17000000004</v>
      </c>
      <c r="K12" s="2"/>
      <c r="L12" s="2"/>
      <c r="M12" s="2"/>
    </row>
    <row r="13" spans="1:13">
      <c r="B13" s="9">
        <f>'Adj IS'!J4</f>
        <v>1.08</v>
      </c>
      <c r="C13" s="2" t="s">
        <v>275</v>
      </c>
      <c r="D13" s="23">
        <v>0</v>
      </c>
      <c r="E13" s="23">
        <f>'1.08 AdsDonat'!F24</f>
        <v>-591747.47</v>
      </c>
      <c r="F13" s="22">
        <v>0</v>
      </c>
      <c r="G13" s="22">
        <f t="shared" si="0"/>
        <v>591747.47</v>
      </c>
      <c r="K13" s="2"/>
      <c r="L13" s="2"/>
      <c r="M13" s="2"/>
    </row>
    <row r="14" spans="1:13">
      <c r="B14" s="9">
        <f>'Adj IS'!K4</f>
        <v>1.0900000000000001</v>
      </c>
      <c r="C14" s="2" t="s">
        <v>239</v>
      </c>
      <c r="D14" s="23">
        <v>0</v>
      </c>
      <c r="E14" s="23">
        <f>'1.09 Dir'!K30</f>
        <v>-24087.01999999999</v>
      </c>
      <c r="F14" s="22">
        <v>0</v>
      </c>
      <c r="G14" s="22">
        <f t="shared" si="0"/>
        <v>24087.01999999999</v>
      </c>
      <c r="K14" s="2"/>
      <c r="L14" s="2"/>
      <c r="M14" s="2"/>
    </row>
    <row r="15" spans="1:13">
      <c r="B15" s="25">
        <f>'Adj IS'!L4</f>
        <v>1.1000000000000001</v>
      </c>
      <c r="C15" s="2" t="s">
        <v>236</v>
      </c>
      <c r="D15" s="23">
        <v>0</v>
      </c>
      <c r="E15" s="23">
        <f>'1.10 Life Insur'!L140</f>
        <v>-23543.494504673436</v>
      </c>
      <c r="F15" s="23">
        <v>0</v>
      </c>
      <c r="G15" s="23">
        <f t="shared" si="0"/>
        <v>23543.494504673436</v>
      </c>
      <c r="K15" s="2"/>
      <c r="L15" s="2"/>
      <c r="M15" s="2"/>
    </row>
    <row r="16" spans="1:13">
      <c r="B16" s="25">
        <f>'Adj IS'!M4</f>
        <v>1.1100000000000001</v>
      </c>
      <c r="C16" s="2" t="s">
        <v>340</v>
      </c>
      <c r="D16" s="23">
        <v>0</v>
      </c>
      <c r="E16" s="23">
        <f>'1.11 Int'!F48</f>
        <v>432949.29999999981</v>
      </c>
      <c r="F16" s="23">
        <v>0</v>
      </c>
      <c r="G16" s="23">
        <f t="shared" si="0"/>
        <v>-432949.29999999981</v>
      </c>
      <c r="H16" s="9"/>
      <c r="K16" s="2"/>
      <c r="L16" s="2"/>
      <c r="M16" s="2"/>
    </row>
    <row r="17" spans="2:13">
      <c r="B17" s="25">
        <f>'Adj IS'!N4</f>
        <v>1.1200000000000001</v>
      </c>
      <c r="C17" s="2" t="s">
        <v>290</v>
      </c>
      <c r="D17" s="23">
        <v>0</v>
      </c>
      <c r="E17" s="23">
        <f>'1.12 Wages'!P140</f>
        <v>318895.00950387097</v>
      </c>
      <c r="F17" s="23">
        <v>0</v>
      </c>
      <c r="G17" s="23">
        <f t="shared" si="0"/>
        <v>-318895.00950387097</v>
      </c>
      <c r="H17" s="9"/>
      <c r="K17" s="2"/>
      <c r="L17" s="2"/>
      <c r="M17" s="2"/>
    </row>
    <row r="18" spans="2:13">
      <c r="B18" s="25">
        <f>'Adj IS'!O4</f>
        <v>1.1299999999999999</v>
      </c>
      <c r="C18" s="2" t="s">
        <v>291</v>
      </c>
      <c r="D18" s="23">
        <v>0</v>
      </c>
      <c r="E18" s="23">
        <f>'1.13 PayrTx'!I144</f>
        <v>16573.196741963144</v>
      </c>
      <c r="F18" s="23">
        <v>0</v>
      </c>
      <c r="G18" s="23">
        <f t="shared" si="0"/>
        <v>-16573.196741963144</v>
      </c>
      <c r="H18" s="9"/>
      <c r="K18" s="2"/>
      <c r="L18" s="2"/>
      <c r="M18" s="2"/>
    </row>
    <row r="19" spans="2:13">
      <c r="B19" s="9">
        <f>'Adj IS'!P4</f>
        <v>1.1399999999999999</v>
      </c>
      <c r="C19" s="2" t="s">
        <v>292</v>
      </c>
      <c r="D19" s="23"/>
      <c r="E19" s="23">
        <f>'1.14 Prof'!K123</f>
        <v>-3326</v>
      </c>
      <c r="F19" s="23">
        <v>0</v>
      </c>
      <c r="G19" s="23">
        <f t="shared" si="0"/>
        <v>3326</v>
      </c>
      <c r="H19" s="9"/>
      <c r="K19" s="2"/>
      <c r="L19" s="2"/>
      <c r="M19" s="2"/>
    </row>
    <row r="20" spans="2:13" hidden="1">
      <c r="C20" s="2"/>
      <c r="D20" s="23"/>
      <c r="E20" s="23"/>
      <c r="F20" s="23"/>
      <c r="G20" s="23"/>
      <c r="H20" s="9"/>
      <c r="K20" s="2"/>
      <c r="L20" s="2"/>
      <c r="M20" s="2"/>
    </row>
    <row r="21" spans="2:13" hidden="1">
      <c r="C21" s="2"/>
      <c r="D21" s="23"/>
      <c r="E21" s="23"/>
      <c r="F21" s="23"/>
      <c r="G21" s="23"/>
      <c r="H21" s="9"/>
    </row>
    <row r="22" spans="2:13" hidden="1">
      <c r="C22" s="2"/>
      <c r="D22" s="23"/>
      <c r="E22" s="23"/>
      <c r="F22" s="23"/>
      <c r="G22" s="23"/>
      <c r="H22" s="9"/>
    </row>
    <row r="23" spans="2:13" hidden="1">
      <c r="C23" s="2"/>
      <c r="D23" s="23"/>
      <c r="E23" s="23"/>
      <c r="F23" s="23"/>
      <c r="G23" s="23"/>
      <c r="H23" s="9"/>
    </row>
    <row r="24" spans="2:13" hidden="1">
      <c r="B24" s="25"/>
      <c r="C24" s="2"/>
      <c r="D24" s="22"/>
      <c r="E24" s="22"/>
      <c r="F24" s="22"/>
      <c r="G24" s="22"/>
    </row>
    <row r="25" spans="2:13" hidden="1">
      <c r="B25" s="10"/>
    </row>
    <row r="26" spans="2:13" s="45" customFormat="1" ht="21.75" customHeight="1" thickBot="1">
      <c r="B26" s="69"/>
      <c r="C26" s="70" t="s">
        <v>44</v>
      </c>
      <c r="D26" s="71">
        <f>SUM(D6:D24)</f>
        <v>-23437490.179873846</v>
      </c>
      <c r="E26" s="71">
        <f>SUM(E6:E24)</f>
        <v>-23365296.778432138</v>
      </c>
      <c r="F26" s="71">
        <f>SUM(F6:F24)</f>
        <v>-772943.54</v>
      </c>
      <c r="G26" s="71">
        <f>SUM(G6:G24)</f>
        <v>-845136.9414417072</v>
      </c>
      <c r="I26" s="10"/>
      <c r="J26" s="10"/>
    </row>
    <row r="27" spans="2:13" ht="13.5" thickTop="1">
      <c r="D27" s="27"/>
      <c r="E27" s="27"/>
      <c r="F27" s="27"/>
      <c r="G27" s="22"/>
    </row>
    <row r="28" spans="2:13">
      <c r="D28" s="22"/>
      <c r="F28" s="22"/>
      <c r="G28" s="22"/>
    </row>
    <row r="29" spans="2:13">
      <c r="D29" s="24"/>
      <c r="E29" s="24"/>
      <c r="F29" s="24"/>
      <c r="G29" s="24"/>
    </row>
    <row r="30" spans="2:13">
      <c r="E30" s="22"/>
    </row>
    <row r="31" spans="2:13">
      <c r="B31" s="9" t="s">
        <v>248</v>
      </c>
    </row>
    <row r="32" spans="2:13">
      <c r="C32" s="10" t="s">
        <v>249</v>
      </c>
      <c r="D32" s="22">
        <f>RevReq!D11</f>
        <v>-23437490.179873846</v>
      </c>
      <c r="E32" s="22">
        <f>RevReq!D29</f>
        <v>-23365296.778432138</v>
      </c>
      <c r="F32" s="22">
        <f>RevReq!D33+RevReq!D34+RevReq!D35+RevReq!D36+RevReq!D37</f>
        <v>-772943.54</v>
      </c>
      <c r="G32" s="22">
        <f>RevReq!D39</f>
        <v>-845136.94144170824</v>
      </c>
    </row>
    <row r="33" spans="3:7" ht="14.25">
      <c r="C33" s="10" t="s">
        <v>169</v>
      </c>
      <c r="D33" s="43">
        <f>ROUND(D32-D26,0)</f>
        <v>0</v>
      </c>
      <c r="E33" s="43">
        <f t="shared" ref="E33:G33" si="1">ROUND(E32-E26,0)</f>
        <v>0</v>
      </c>
      <c r="F33" s="43">
        <f t="shared" si="1"/>
        <v>0</v>
      </c>
      <c r="G33" s="43">
        <f t="shared" si="1"/>
        <v>0</v>
      </c>
    </row>
    <row r="35" spans="3:7">
      <c r="C35" s="10" t="s">
        <v>250</v>
      </c>
      <c r="D35" s="105">
        <f>'Adj IS'!U12</f>
        <v>-23437490.179873846</v>
      </c>
      <c r="E35" s="105">
        <f>'Adj IS'!U31</f>
        <v>-23365296.778432138</v>
      </c>
      <c r="F35" s="105">
        <f>'Adj IS'!U40</f>
        <v>-772943.54</v>
      </c>
      <c r="G35" s="105">
        <f>'Adj IS'!U42</f>
        <v>-845136.9414417072</v>
      </c>
    </row>
    <row r="36" spans="3:7" ht="14.25">
      <c r="C36" s="10" t="s">
        <v>169</v>
      </c>
      <c r="D36" s="43">
        <f>ROUND(D35-D26,0)</f>
        <v>0</v>
      </c>
      <c r="E36" s="43">
        <f t="shared" ref="E36:G36" si="2">ROUND(E35-E26,0)</f>
        <v>0</v>
      </c>
      <c r="F36" s="43">
        <f t="shared" si="2"/>
        <v>0</v>
      </c>
      <c r="G36" s="43">
        <f t="shared" si="2"/>
        <v>0</v>
      </c>
    </row>
    <row r="46" spans="3:7">
      <c r="E46" s="280">
        <f>E26-E16</f>
        <v>-23798246.078432139</v>
      </c>
    </row>
  </sheetData>
  <mergeCells count="2">
    <mergeCell ref="A1:G1"/>
    <mergeCell ref="A2:G2"/>
  </mergeCells>
  <phoneticPr fontId="24" type="noConversion"/>
  <conditionalFormatting sqref="D33:G33">
    <cfRule type="cellIs" dxfId="15" priority="5" operator="notEqual">
      <formula>0</formula>
    </cfRule>
    <cfRule type="cellIs" dxfId="14" priority="6" operator="equal">
      <formula>0</formula>
    </cfRule>
  </conditionalFormatting>
  <conditionalFormatting sqref="D36:G36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1" right="0.75" top="0.75" bottom="0.5" header="0.5" footer="0.5"/>
  <pageSetup orientation="landscape" r:id="rId1"/>
  <headerFooter alignWithMargins="0">
    <oddFooter>&amp;RExhibit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74"/>
  <sheetViews>
    <sheetView view="pageBreakPreview" topLeftCell="A22" zoomScale="60" zoomScaleNormal="100" workbookViewId="0">
      <selection activeCell="H13" sqref="H13"/>
    </sheetView>
  </sheetViews>
  <sheetFormatPr defaultColWidth="9.140625" defaultRowHeight="15"/>
  <cols>
    <col min="1" max="1" width="9.140625" style="49"/>
    <col min="2" max="2" width="1.5703125" style="49" customWidth="1"/>
    <col min="3" max="3" width="40.28515625" bestFit="1" customWidth="1"/>
    <col min="4" max="4" width="15" style="91" bestFit="1" customWidth="1"/>
    <col min="5" max="5" width="16.28515625" style="84" bestFit="1" customWidth="1"/>
    <col min="6" max="6" width="17.5703125" bestFit="1" customWidth="1"/>
    <col min="7" max="7" width="4.5703125" customWidth="1"/>
    <col min="8" max="8" width="13.42578125" bestFit="1" customWidth="1"/>
    <col min="9" max="9" width="5.85546875" customWidth="1"/>
  </cols>
  <sheetData>
    <row r="1" spans="1:7">
      <c r="A1" s="285" t="str">
        <f>RevReq!A1</f>
        <v>BLUE GRASS ENERGY</v>
      </c>
      <c r="B1" s="285"/>
      <c r="C1" s="285"/>
      <c r="D1" s="285"/>
      <c r="E1" s="285"/>
      <c r="F1" s="285"/>
      <c r="G1" s="77"/>
    </row>
    <row r="2" spans="1:7">
      <c r="A2" s="285" t="s">
        <v>177</v>
      </c>
      <c r="B2" s="285"/>
      <c r="C2" s="285"/>
      <c r="D2" s="285"/>
      <c r="E2" s="285"/>
      <c r="F2" s="285"/>
      <c r="G2" s="77"/>
    </row>
    <row r="3" spans="1:7">
      <c r="A3" s="77"/>
      <c r="B3" s="77"/>
      <c r="C3" s="77"/>
      <c r="D3" s="87"/>
      <c r="E3" s="81"/>
      <c r="F3" s="77"/>
      <c r="G3" s="77"/>
    </row>
    <row r="4" spans="1:7">
      <c r="A4" s="9"/>
      <c r="B4" s="9"/>
      <c r="C4" s="10"/>
      <c r="D4" s="311">
        <v>2024</v>
      </c>
      <c r="E4" s="46"/>
      <c r="F4" s="46"/>
      <c r="G4" s="48"/>
    </row>
    <row r="5" spans="1:7">
      <c r="A5" s="46" t="s">
        <v>0</v>
      </c>
      <c r="B5" s="46"/>
      <c r="C5" s="46" t="s">
        <v>1</v>
      </c>
      <c r="D5" s="95" t="s">
        <v>115</v>
      </c>
      <c r="E5" s="82" t="s">
        <v>225</v>
      </c>
      <c r="F5" s="46" t="s">
        <v>116</v>
      </c>
      <c r="G5" s="48"/>
    </row>
    <row r="6" spans="1:7" s="76" customFormat="1">
      <c r="A6" s="74" t="s">
        <v>21</v>
      </c>
      <c r="B6" s="74"/>
      <c r="C6" s="75">
        <v>1</v>
      </c>
      <c r="D6" s="75">
        <f>C6+1</f>
        <v>2</v>
      </c>
      <c r="E6" s="75">
        <f>D6+1</f>
        <v>3</v>
      </c>
      <c r="F6" s="75" t="s">
        <v>25</v>
      </c>
    </row>
    <row r="7" spans="1:7">
      <c r="A7" s="9">
        <v>1</v>
      </c>
      <c r="B7" s="80" t="s">
        <v>178</v>
      </c>
      <c r="C7" s="10"/>
      <c r="D7" s="2"/>
      <c r="E7" s="23"/>
      <c r="F7" s="10"/>
    </row>
    <row r="8" spans="1:7">
      <c r="A8" s="9">
        <f>A7+1</f>
        <v>2</v>
      </c>
      <c r="B8" s="9"/>
      <c r="C8" s="10" t="s">
        <v>179</v>
      </c>
      <c r="D8" s="78">
        <v>344838894.56</v>
      </c>
      <c r="E8" s="78">
        <v>0</v>
      </c>
      <c r="F8" s="78">
        <f>D8+E8</f>
        <v>344838894.56</v>
      </c>
    </row>
    <row r="9" spans="1:7">
      <c r="A9" s="9">
        <f t="shared" ref="A9:A68" si="0">A8+1</f>
        <v>3</v>
      </c>
      <c r="B9" s="9"/>
      <c r="C9" s="10" t="s">
        <v>180</v>
      </c>
      <c r="D9" s="78">
        <v>4446981.82</v>
      </c>
      <c r="E9" s="78">
        <v>0</v>
      </c>
      <c r="F9" s="78">
        <f>D9+E9</f>
        <v>4446981.82</v>
      </c>
    </row>
    <row r="10" spans="1:7">
      <c r="A10" s="9">
        <f t="shared" si="0"/>
        <v>4</v>
      </c>
      <c r="B10" s="9"/>
      <c r="C10" s="10" t="s">
        <v>181</v>
      </c>
      <c r="D10" s="78">
        <f>D8+D9</f>
        <v>349285876.38</v>
      </c>
      <c r="E10" s="78">
        <v>0</v>
      </c>
      <c r="F10" s="78">
        <f>D10+E10</f>
        <v>349285876.38</v>
      </c>
    </row>
    <row r="11" spans="1:7">
      <c r="A11" s="9">
        <f t="shared" si="0"/>
        <v>5</v>
      </c>
      <c r="B11" s="9"/>
      <c r="C11" s="10" t="s">
        <v>182</v>
      </c>
      <c r="D11" s="78">
        <v>143851226.58000001</v>
      </c>
      <c r="E11" s="78">
        <v>0</v>
      </c>
      <c r="F11" s="78">
        <f>D11+E11</f>
        <v>143851226.58000001</v>
      </c>
    </row>
    <row r="12" spans="1:7">
      <c r="A12" s="9">
        <f t="shared" si="0"/>
        <v>6</v>
      </c>
      <c r="B12" s="9"/>
      <c r="C12" s="15" t="s">
        <v>183</v>
      </c>
      <c r="D12" s="83">
        <f>SUM(D10:D10)-D11</f>
        <v>205434649.79999998</v>
      </c>
      <c r="E12" s="83">
        <f t="shared" ref="E12:F12" si="1">SUM(E10:E10)-E11</f>
        <v>0</v>
      </c>
      <c r="F12" s="83">
        <f t="shared" si="1"/>
        <v>205434649.79999998</v>
      </c>
    </row>
    <row r="13" spans="1:7">
      <c r="A13" s="9">
        <f t="shared" si="0"/>
        <v>7</v>
      </c>
      <c r="B13" s="9"/>
      <c r="C13" s="10"/>
      <c r="D13" s="78"/>
      <c r="E13" s="78"/>
      <c r="F13" s="78"/>
    </row>
    <row r="14" spans="1:7">
      <c r="A14" s="9">
        <f t="shared" si="0"/>
        <v>8</v>
      </c>
      <c r="B14" s="9"/>
      <c r="C14" s="10" t="s">
        <v>258</v>
      </c>
      <c r="D14" s="78">
        <v>0</v>
      </c>
      <c r="E14" s="78">
        <v>0</v>
      </c>
      <c r="F14" s="78">
        <f t="shared" ref="F14:F20" si="2">D14+E14</f>
        <v>0</v>
      </c>
    </row>
    <row r="15" spans="1:7">
      <c r="A15" s="9">
        <f t="shared" si="0"/>
        <v>9</v>
      </c>
      <c r="B15" s="9"/>
      <c r="C15" s="10" t="s">
        <v>184</v>
      </c>
      <c r="D15" s="78">
        <v>88940717.409999996</v>
      </c>
      <c r="E15" s="78">
        <v>0</v>
      </c>
      <c r="F15" s="78">
        <f t="shared" si="2"/>
        <v>88940717.409999996</v>
      </c>
    </row>
    <row r="16" spans="1:7">
      <c r="A16" s="9">
        <f t="shared" si="0"/>
        <v>10</v>
      </c>
      <c r="B16" s="9"/>
      <c r="C16" s="10" t="s">
        <v>185</v>
      </c>
      <c r="D16" s="78">
        <v>0</v>
      </c>
      <c r="E16" s="78">
        <v>0</v>
      </c>
      <c r="F16" s="78">
        <f t="shared" si="2"/>
        <v>0</v>
      </c>
    </row>
    <row r="17" spans="1:6">
      <c r="A17" s="9">
        <f t="shared" si="0"/>
        <v>11</v>
      </c>
      <c r="B17" s="9"/>
      <c r="C17" s="10" t="s">
        <v>186</v>
      </c>
      <c r="D17" s="78">
        <v>2176525.1</v>
      </c>
      <c r="E17" s="78">
        <v>0</v>
      </c>
      <c r="F17" s="78">
        <f t="shared" si="2"/>
        <v>2176525.1</v>
      </c>
    </row>
    <row r="18" spans="1:6">
      <c r="A18" s="9">
        <f t="shared" si="0"/>
        <v>12</v>
      </c>
      <c r="B18" s="9"/>
      <c r="C18" s="10" t="s">
        <v>259</v>
      </c>
      <c r="D18" s="78">
        <v>0</v>
      </c>
      <c r="E18" s="78">
        <v>0</v>
      </c>
      <c r="F18" s="78">
        <f t="shared" si="2"/>
        <v>0</v>
      </c>
    </row>
    <row r="19" spans="1:6">
      <c r="A19" s="9">
        <f t="shared" si="0"/>
        <v>13</v>
      </c>
      <c r="B19" s="9"/>
      <c r="C19" s="10" t="s">
        <v>187</v>
      </c>
      <c r="D19" s="78">
        <v>0</v>
      </c>
      <c r="E19" s="78">
        <v>0</v>
      </c>
      <c r="F19" s="78">
        <f t="shared" si="2"/>
        <v>0</v>
      </c>
    </row>
    <row r="20" spans="1:6">
      <c r="A20" s="9">
        <f t="shared" si="0"/>
        <v>14</v>
      </c>
      <c r="B20" s="9"/>
      <c r="C20" s="10" t="s">
        <v>260</v>
      </c>
      <c r="D20" s="78">
        <v>0</v>
      </c>
      <c r="E20" s="78">
        <v>0</v>
      </c>
      <c r="F20" s="78">
        <f t="shared" si="2"/>
        <v>0</v>
      </c>
    </row>
    <row r="21" spans="1:6">
      <c r="A21" s="9">
        <f t="shared" si="0"/>
        <v>15</v>
      </c>
      <c r="B21" s="9"/>
      <c r="C21" s="15" t="s">
        <v>188</v>
      </c>
      <c r="D21" s="83">
        <f>SUM(D14:D20)</f>
        <v>91117242.50999999</v>
      </c>
      <c r="E21" s="83">
        <f t="shared" ref="E21:F21" si="3">SUM(E14:E20)</f>
        <v>0</v>
      </c>
      <c r="F21" s="83">
        <f t="shared" si="3"/>
        <v>91117242.50999999</v>
      </c>
    </row>
    <row r="22" spans="1:6">
      <c r="A22" s="9">
        <f t="shared" si="0"/>
        <v>16</v>
      </c>
      <c r="B22" s="9"/>
      <c r="C22" s="10"/>
      <c r="D22" s="78"/>
      <c r="E22" s="78"/>
      <c r="F22" s="78"/>
    </row>
    <row r="23" spans="1:6">
      <c r="A23" s="9">
        <f t="shared" si="0"/>
        <v>17</v>
      </c>
      <c r="B23" s="9"/>
      <c r="C23" s="10" t="s">
        <v>189</v>
      </c>
      <c r="D23" s="78">
        <v>1852168.18</v>
      </c>
      <c r="E23" s="78">
        <v>0</v>
      </c>
      <c r="F23" s="78">
        <f t="shared" ref="F23:F32" si="4">D23+E23</f>
        <v>1852168.18</v>
      </c>
    </row>
    <row r="24" spans="1:6">
      <c r="A24" s="9">
        <f t="shared" si="0"/>
        <v>18</v>
      </c>
      <c r="B24" s="9"/>
      <c r="C24" s="10" t="s">
        <v>190</v>
      </c>
      <c r="D24" s="78">
        <v>259.43</v>
      </c>
      <c r="E24" s="78">
        <v>0</v>
      </c>
      <c r="F24" s="78">
        <f t="shared" si="4"/>
        <v>259.43</v>
      </c>
    </row>
    <row r="25" spans="1:6">
      <c r="A25" s="9">
        <f t="shared" si="0"/>
        <v>19</v>
      </c>
      <c r="B25" s="9"/>
      <c r="C25" s="10" t="s">
        <v>191</v>
      </c>
      <c r="D25" s="78">
        <v>0</v>
      </c>
      <c r="E25" s="78">
        <v>0</v>
      </c>
      <c r="F25" s="78">
        <f t="shared" si="4"/>
        <v>0</v>
      </c>
    </row>
    <row r="26" spans="1:6">
      <c r="A26" s="9">
        <f t="shared" si="0"/>
        <v>20</v>
      </c>
      <c r="B26" s="9"/>
      <c r="C26" s="10" t="s">
        <v>192</v>
      </c>
      <c r="D26" s="78">
        <v>0</v>
      </c>
      <c r="E26" s="78">
        <v>0</v>
      </c>
      <c r="F26" s="78">
        <f t="shared" si="4"/>
        <v>0</v>
      </c>
    </row>
    <row r="27" spans="1:6">
      <c r="A27" s="9">
        <f t="shared" si="0"/>
        <v>21</v>
      </c>
      <c r="B27" s="9"/>
      <c r="C27" s="10" t="s">
        <v>194</v>
      </c>
      <c r="D27" s="78">
        <v>3868672.66</v>
      </c>
      <c r="E27" s="78">
        <v>0</v>
      </c>
      <c r="F27" s="78">
        <f t="shared" si="4"/>
        <v>3868672.66</v>
      </c>
    </row>
    <row r="28" spans="1:6">
      <c r="A28" s="9">
        <f t="shared" si="0"/>
        <v>22</v>
      </c>
      <c r="B28" s="9"/>
      <c r="C28" s="10" t="s">
        <v>193</v>
      </c>
      <c r="D28" s="78">
        <v>3494976.83</v>
      </c>
      <c r="E28" s="78">
        <v>0</v>
      </c>
      <c r="F28" s="78">
        <f t="shared" si="4"/>
        <v>3494976.83</v>
      </c>
    </row>
    <row r="29" spans="1:6">
      <c r="A29" s="9">
        <f t="shared" si="0"/>
        <v>23</v>
      </c>
      <c r="B29" s="9"/>
      <c r="C29" s="10" t="s">
        <v>195</v>
      </c>
      <c r="D29" s="310">
        <v>0</v>
      </c>
      <c r="E29" s="78">
        <v>0</v>
      </c>
      <c r="F29" s="78">
        <f t="shared" si="4"/>
        <v>0</v>
      </c>
    </row>
    <row r="30" spans="1:6">
      <c r="A30" s="9">
        <f t="shared" si="0"/>
        <v>24</v>
      </c>
      <c r="B30" s="9"/>
      <c r="C30" s="10" t="s">
        <v>196</v>
      </c>
      <c r="D30" s="78">
        <v>3271325.39</v>
      </c>
      <c r="E30" s="78">
        <v>0</v>
      </c>
      <c r="F30" s="78">
        <f t="shared" si="4"/>
        <v>3271325.39</v>
      </c>
    </row>
    <row r="31" spans="1:6">
      <c r="A31" s="9">
        <f t="shared" si="0"/>
        <v>25</v>
      </c>
      <c r="B31" s="9"/>
      <c r="C31" s="10" t="s">
        <v>197</v>
      </c>
      <c r="D31" s="78">
        <v>425103.64</v>
      </c>
      <c r="E31" s="78">
        <v>0</v>
      </c>
      <c r="F31" s="78">
        <f t="shared" si="4"/>
        <v>425103.64</v>
      </c>
    </row>
    <row r="32" spans="1:6">
      <c r="A32" s="9">
        <f t="shared" si="0"/>
        <v>26</v>
      </c>
      <c r="B32" s="9"/>
      <c r="C32" s="10" t="s">
        <v>198</v>
      </c>
      <c r="D32" s="78">
        <v>9991532.4000000004</v>
      </c>
      <c r="E32" s="78">
        <v>0</v>
      </c>
      <c r="F32" s="78">
        <f t="shared" si="4"/>
        <v>9991532.4000000004</v>
      </c>
    </row>
    <row r="33" spans="1:6">
      <c r="A33" s="9">
        <f t="shared" si="0"/>
        <v>27</v>
      </c>
      <c r="B33" s="9"/>
      <c r="C33" s="15" t="s">
        <v>199</v>
      </c>
      <c r="D33" s="83">
        <f>SUM(D23:D32)</f>
        <v>22904038.530000001</v>
      </c>
      <c r="E33" s="83">
        <f>SUM(E23:E32)</f>
        <v>0</v>
      </c>
      <c r="F33" s="83">
        <f>SUM(F23:F32)</f>
        <v>22904038.530000001</v>
      </c>
    </row>
    <row r="34" spans="1:6">
      <c r="A34" s="9">
        <f t="shared" si="0"/>
        <v>28</v>
      </c>
      <c r="B34" s="9"/>
      <c r="C34" s="10"/>
      <c r="D34" s="78"/>
      <c r="E34" s="78"/>
      <c r="F34" s="78"/>
    </row>
    <row r="35" spans="1:6">
      <c r="A35" s="9">
        <f t="shared" si="0"/>
        <v>29</v>
      </c>
      <c r="B35" s="9"/>
      <c r="C35" s="10" t="s">
        <v>200</v>
      </c>
      <c r="D35" s="78">
        <v>0</v>
      </c>
      <c r="E35" s="78">
        <v>0</v>
      </c>
      <c r="F35" s="78">
        <f>D35+E35</f>
        <v>0</v>
      </c>
    </row>
    <row r="36" spans="1:6">
      <c r="A36" s="9">
        <f t="shared" si="0"/>
        <v>30</v>
      </c>
      <c r="B36" s="9"/>
      <c r="C36" s="10" t="s">
        <v>201</v>
      </c>
      <c r="D36" s="78">
        <v>892801.26</v>
      </c>
      <c r="E36" s="78">
        <v>0</v>
      </c>
      <c r="F36" s="78">
        <f>D36+E36</f>
        <v>892801.26</v>
      </c>
    </row>
    <row r="37" spans="1:6">
      <c r="A37" s="9">
        <f t="shared" si="0"/>
        <v>31</v>
      </c>
      <c r="B37" s="9"/>
      <c r="C37" s="10"/>
      <c r="D37" s="31"/>
      <c r="E37" s="78"/>
      <c r="F37" s="78"/>
    </row>
    <row r="38" spans="1:6" ht="15.75" thickBot="1">
      <c r="A38" s="9">
        <f t="shared" si="0"/>
        <v>32</v>
      </c>
      <c r="B38" s="9"/>
      <c r="C38" s="19" t="s">
        <v>202</v>
      </c>
      <c r="D38" s="86">
        <f>D36+D35+D33+D21+D12</f>
        <v>320348732.09999996</v>
      </c>
      <c r="E38" s="86">
        <f>E36+E35+E33+E21+E12</f>
        <v>0</v>
      </c>
      <c r="F38" s="86">
        <f>F36+F35+F33+F21+F12</f>
        <v>320348732.09999996</v>
      </c>
    </row>
    <row r="39" spans="1:6" ht="15.75" thickTop="1">
      <c r="A39" s="9">
        <f t="shared" si="0"/>
        <v>33</v>
      </c>
      <c r="B39" s="9"/>
      <c r="C39" s="10"/>
      <c r="D39" s="85"/>
      <c r="E39" s="78"/>
      <c r="F39" s="78"/>
    </row>
    <row r="40" spans="1:6">
      <c r="A40" s="9">
        <f t="shared" si="0"/>
        <v>34</v>
      </c>
      <c r="B40" s="79" t="s">
        <v>203</v>
      </c>
      <c r="C40" s="10"/>
      <c r="D40" s="78"/>
      <c r="E40" s="78"/>
      <c r="F40" s="78"/>
    </row>
    <row r="41" spans="1:6">
      <c r="A41" s="9">
        <f t="shared" si="0"/>
        <v>35</v>
      </c>
      <c r="B41" s="9"/>
      <c r="C41" s="10" t="s">
        <v>204</v>
      </c>
      <c r="D41" s="78">
        <v>1197017.8</v>
      </c>
      <c r="E41" s="23">
        <v>0</v>
      </c>
      <c r="F41" s="78">
        <f t="shared" ref="F41:F46" si="5">D41+E41</f>
        <v>1197017.8</v>
      </c>
    </row>
    <row r="42" spans="1:6">
      <c r="A42" s="9">
        <f t="shared" si="0"/>
        <v>36</v>
      </c>
      <c r="B42" s="9"/>
      <c r="C42" s="10" t="s">
        <v>205</v>
      </c>
      <c r="D42" s="78">
        <v>150609809.41999999</v>
      </c>
      <c r="E42" s="78">
        <v>0</v>
      </c>
      <c r="F42" s="78">
        <f t="shared" si="5"/>
        <v>150609809.41999999</v>
      </c>
    </row>
    <row r="43" spans="1:6">
      <c r="A43" s="9">
        <f t="shared" si="0"/>
        <v>37</v>
      </c>
      <c r="B43" s="9"/>
      <c r="C43" s="10" t="s">
        <v>289</v>
      </c>
      <c r="D43" s="78">
        <v>0</v>
      </c>
      <c r="E43" s="78">
        <v>0</v>
      </c>
      <c r="F43" s="78">
        <f t="shared" si="5"/>
        <v>0</v>
      </c>
    </row>
    <row r="44" spans="1:6">
      <c r="A44" s="9">
        <f t="shared" si="0"/>
        <v>38</v>
      </c>
      <c r="B44" s="9"/>
      <c r="C44" s="10" t="s">
        <v>206</v>
      </c>
      <c r="D44" s="78">
        <v>12753.76</v>
      </c>
      <c r="E44" s="78">
        <v>0</v>
      </c>
      <c r="F44" s="78">
        <f t="shared" si="5"/>
        <v>12753.76</v>
      </c>
    </row>
    <row r="45" spans="1:6">
      <c r="A45" s="9">
        <f t="shared" si="0"/>
        <v>39</v>
      </c>
      <c r="B45" s="9"/>
      <c r="C45" s="10" t="s">
        <v>207</v>
      </c>
      <c r="D45" s="78">
        <v>1761579.34</v>
      </c>
      <c r="E45" s="78">
        <v>0</v>
      </c>
      <c r="F45" s="78">
        <f t="shared" si="5"/>
        <v>1761579.34</v>
      </c>
    </row>
    <row r="46" spans="1:6">
      <c r="A46" s="9">
        <f t="shared" si="0"/>
        <v>40</v>
      </c>
      <c r="B46" s="9"/>
      <c r="C46" s="10" t="s">
        <v>208</v>
      </c>
      <c r="D46" s="78">
        <v>16398865.710000001</v>
      </c>
      <c r="E46" s="78">
        <v>0</v>
      </c>
      <c r="F46" s="78">
        <f t="shared" si="5"/>
        <v>16398865.710000001</v>
      </c>
    </row>
    <row r="47" spans="1:6">
      <c r="A47" s="9">
        <f t="shared" si="0"/>
        <v>41</v>
      </c>
      <c r="B47" s="9"/>
      <c r="C47" s="15" t="s">
        <v>209</v>
      </c>
      <c r="D47" s="83">
        <f>SUM(D41:D46)</f>
        <v>169980026.03</v>
      </c>
      <c r="E47" s="83">
        <f>SUM(E41:E46)</f>
        <v>0</v>
      </c>
      <c r="F47" s="83">
        <f>SUM(F41:F46)</f>
        <v>169980026.03</v>
      </c>
    </row>
    <row r="48" spans="1:6">
      <c r="A48" s="9">
        <f t="shared" si="0"/>
        <v>42</v>
      </c>
      <c r="B48" s="9"/>
      <c r="C48" s="10"/>
      <c r="D48" s="78"/>
      <c r="E48" s="78"/>
      <c r="F48" s="78"/>
    </row>
    <row r="49" spans="1:6">
      <c r="A49" s="9">
        <f t="shared" si="0"/>
        <v>43</v>
      </c>
      <c r="B49" s="9"/>
      <c r="C49" s="10" t="s">
        <v>210</v>
      </c>
      <c r="D49" s="85">
        <v>0</v>
      </c>
      <c r="E49" s="78">
        <v>0</v>
      </c>
      <c r="F49" s="78">
        <f>D49+E49</f>
        <v>0</v>
      </c>
    </row>
    <row r="50" spans="1:6">
      <c r="A50" s="9">
        <f t="shared" si="0"/>
        <v>44</v>
      </c>
      <c r="B50" s="9"/>
      <c r="C50" s="10" t="s">
        <v>211</v>
      </c>
      <c r="D50" s="85">
        <v>76240168.269999996</v>
      </c>
      <c r="E50" s="78">
        <v>0</v>
      </c>
      <c r="F50" s="78">
        <f>D50+E50</f>
        <v>76240168.269999996</v>
      </c>
    </row>
    <row r="51" spans="1:6">
      <c r="A51" s="9">
        <f t="shared" si="0"/>
        <v>45</v>
      </c>
      <c r="B51" s="9"/>
      <c r="C51" s="10" t="s">
        <v>212</v>
      </c>
      <c r="D51" s="85">
        <v>0</v>
      </c>
      <c r="E51" s="78">
        <v>0</v>
      </c>
      <c r="F51" s="78">
        <f>D51+E51</f>
        <v>0</v>
      </c>
    </row>
    <row r="52" spans="1:6">
      <c r="A52" s="9">
        <f t="shared" si="0"/>
        <v>46</v>
      </c>
      <c r="B52" s="9"/>
      <c r="C52" s="10" t="s">
        <v>213</v>
      </c>
      <c r="D52" s="85">
        <v>35529092.329999998</v>
      </c>
      <c r="E52" s="78">
        <v>0</v>
      </c>
      <c r="F52" s="78">
        <f>D52+E52</f>
        <v>35529092.329999998</v>
      </c>
    </row>
    <row r="53" spans="1:6">
      <c r="A53" s="9">
        <f t="shared" si="0"/>
        <v>47</v>
      </c>
      <c r="B53" s="9"/>
      <c r="C53" s="10" t="s">
        <v>214</v>
      </c>
      <c r="D53" s="85">
        <v>0</v>
      </c>
      <c r="E53" s="78">
        <v>0</v>
      </c>
      <c r="F53" s="78">
        <f>D53+E53</f>
        <v>0</v>
      </c>
    </row>
    <row r="54" spans="1:6">
      <c r="A54" s="9">
        <f t="shared" si="0"/>
        <v>48</v>
      </c>
      <c r="B54" s="9"/>
      <c r="C54" s="15" t="s">
        <v>215</v>
      </c>
      <c r="D54" s="83">
        <f>SUM(D49:D53)</f>
        <v>111769260.59999999</v>
      </c>
      <c r="E54" s="83">
        <f>SUM(E49:E53)</f>
        <v>0</v>
      </c>
      <c r="F54" s="83">
        <f>SUM(F49:F53)</f>
        <v>111769260.59999999</v>
      </c>
    </row>
    <row r="55" spans="1:6">
      <c r="A55" s="9">
        <f t="shared" si="0"/>
        <v>49</v>
      </c>
      <c r="B55" s="9"/>
      <c r="C55" s="10"/>
      <c r="D55" s="78"/>
      <c r="E55" s="78"/>
      <c r="F55" s="78"/>
    </row>
    <row r="56" spans="1:6">
      <c r="A56" s="9">
        <f t="shared" si="0"/>
        <v>50</v>
      </c>
      <c r="B56" s="9"/>
      <c r="C56" s="10" t="s">
        <v>216</v>
      </c>
      <c r="D56" s="78">
        <v>7877617.0800000001</v>
      </c>
      <c r="E56" s="78">
        <v>0</v>
      </c>
      <c r="F56" s="78">
        <f>D56+E56</f>
        <v>7877617.0800000001</v>
      </c>
    </row>
    <row r="57" spans="1:6">
      <c r="A57" s="9">
        <f t="shared" si="0"/>
        <v>51</v>
      </c>
      <c r="B57" s="9"/>
      <c r="C57" s="10"/>
      <c r="D57" s="78"/>
      <c r="E57" s="78"/>
      <c r="F57" s="78"/>
    </row>
    <row r="58" spans="1:6">
      <c r="A58" s="9">
        <f t="shared" si="0"/>
        <v>52</v>
      </c>
      <c r="B58" s="9"/>
      <c r="C58" s="10" t="s">
        <v>217</v>
      </c>
      <c r="D58" s="78">
        <v>9473352</v>
      </c>
      <c r="E58" s="78">
        <v>0</v>
      </c>
      <c r="F58" s="78">
        <f t="shared" ref="F58:F63" si="6">D58+E58</f>
        <v>9473352</v>
      </c>
    </row>
    <row r="59" spans="1:6">
      <c r="A59" s="9">
        <f t="shared" si="0"/>
        <v>53</v>
      </c>
      <c r="B59" s="9"/>
      <c r="C59" s="10" t="s">
        <v>218</v>
      </c>
      <c r="D59" s="78">
        <v>15191875.939999999</v>
      </c>
      <c r="E59" s="78">
        <v>0</v>
      </c>
      <c r="F59" s="78">
        <f t="shared" si="6"/>
        <v>15191875.939999999</v>
      </c>
    </row>
    <row r="60" spans="1:6">
      <c r="A60" s="9">
        <f t="shared" si="0"/>
        <v>54</v>
      </c>
      <c r="B60" s="9"/>
      <c r="C60" s="10" t="s">
        <v>219</v>
      </c>
      <c r="D60" s="78">
        <v>3509523.93</v>
      </c>
      <c r="E60" s="78">
        <v>0</v>
      </c>
      <c r="F60" s="78">
        <f t="shared" si="6"/>
        <v>3509523.93</v>
      </c>
    </row>
    <row r="61" spans="1:6">
      <c r="A61" s="9">
        <f t="shared" si="0"/>
        <v>55</v>
      </c>
      <c r="B61" s="9"/>
      <c r="C61" s="10" t="s">
        <v>261</v>
      </c>
      <c r="D61" s="78">
        <v>0</v>
      </c>
      <c r="E61" s="78">
        <v>0</v>
      </c>
      <c r="F61" s="78">
        <f t="shared" si="6"/>
        <v>0</v>
      </c>
    </row>
    <row r="62" spans="1:6">
      <c r="A62" s="9">
        <f t="shared" si="0"/>
        <v>56</v>
      </c>
      <c r="B62" s="9"/>
      <c r="C62" s="10" t="s">
        <v>262</v>
      </c>
      <c r="D62" s="78">
        <v>0</v>
      </c>
      <c r="E62" s="78">
        <v>0</v>
      </c>
      <c r="F62" s="78">
        <f t="shared" si="6"/>
        <v>0</v>
      </c>
    </row>
    <row r="63" spans="1:6">
      <c r="A63" s="9">
        <f t="shared" si="0"/>
        <v>57</v>
      </c>
      <c r="B63" s="9"/>
      <c r="C63" s="10" t="s">
        <v>220</v>
      </c>
      <c r="D63" s="78">
        <v>1617736.84</v>
      </c>
      <c r="E63" s="78">
        <v>0</v>
      </c>
      <c r="F63" s="78">
        <f t="shared" si="6"/>
        <v>1617736.84</v>
      </c>
    </row>
    <row r="64" spans="1:6">
      <c r="A64" s="9">
        <f t="shared" si="0"/>
        <v>58</v>
      </c>
      <c r="B64" s="9"/>
      <c r="C64" s="15" t="s">
        <v>221</v>
      </c>
      <c r="D64" s="83">
        <f>SUM(D58:D63)</f>
        <v>29792488.709999997</v>
      </c>
      <c r="E64" s="83">
        <f>SUM(E58:E63)</f>
        <v>0</v>
      </c>
      <c r="F64" s="83">
        <f>SUM(F58:F63)</f>
        <v>29792488.709999997</v>
      </c>
    </row>
    <row r="65" spans="1:6">
      <c r="A65" s="9">
        <f t="shared" si="0"/>
        <v>59</v>
      </c>
      <c r="B65" s="9"/>
      <c r="C65" s="10"/>
      <c r="D65" s="78"/>
      <c r="E65" s="78"/>
      <c r="F65" s="78"/>
    </row>
    <row r="66" spans="1:6">
      <c r="A66" s="9">
        <f t="shared" si="0"/>
        <v>60</v>
      </c>
      <c r="B66" s="9"/>
      <c r="C66" s="10" t="s">
        <v>222</v>
      </c>
      <c r="D66" s="78">
        <v>0</v>
      </c>
      <c r="E66" s="78">
        <v>0</v>
      </c>
      <c r="F66" s="78">
        <f>D66+E66</f>
        <v>0</v>
      </c>
    </row>
    <row r="67" spans="1:6">
      <c r="A67" s="9">
        <f t="shared" si="0"/>
        <v>61</v>
      </c>
      <c r="B67" s="9"/>
      <c r="C67" s="10" t="s">
        <v>223</v>
      </c>
      <c r="D67" s="78">
        <v>929339.68</v>
      </c>
      <c r="E67" s="78">
        <v>0</v>
      </c>
      <c r="F67" s="78">
        <f>D67+E67</f>
        <v>929339.68</v>
      </c>
    </row>
    <row r="68" spans="1:6" ht="15.75" thickBot="1">
      <c r="A68" s="9">
        <f t="shared" si="0"/>
        <v>62</v>
      </c>
      <c r="B68" s="9"/>
      <c r="C68" s="19" t="s">
        <v>224</v>
      </c>
      <c r="D68" s="86">
        <f>D67+D66+D64+D56+D54+D47</f>
        <v>320348732.10000002</v>
      </c>
      <c r="E68" s="86">
        <f>E67+E66+E64+E56+E54+E47</f>
        <v>0</v>
      </c>
      <c r="F68" s="86">
        <f>F67+F66+F64+F56+F54+F47</f>
        <v>320348732.10000002</v>
      </c>
    </row>
    <row r="69" spans="1:6" ht="15.75" thickTop="1">
      <c r="A69" s="9"/>
      <c r="B69" s="9"/>
      <c r="C69" s="10"/>
      <c r="D69" s="78"/>
      <c r="E69" s="78"/>
      <c r="F69" s="78"/>
    </row>
    <row r="70" spans="1:6">
      <c r="A70" s="9"/>
      <c r="B70" s="9"/>
      <c r="C70" s="10"/>
      <c r="D70" s="31"/>
      <c r="E70" s="78"/>
      <c r="F70" s="78"/>
    </row>
    <row r="71" spans="1:6">
      <c r="A71" s="9"/>
      <c r="B71" s="9"/>
      <c r="C71" s="10"/>
      <c r="D71" s="31"/>
      <c r="E71" s="78"/>
      <c r="F71" s="78"/>
    </row>
    <row r="72" spans="1:6">
      <c r="A72" s="9"/>
      <c r="B72" s="9"/>
      <c r="C72" s="10"/>
      <c r="D72" s="31"/>
      <c r="E72" s="78"/>
      <c r="F72" s="78"/>
    </row>
    <row r="73" spans="1:6">
      <c r="A73" s="9"/>
      <c r="B73" s="9"/>
      <c r="C73" s="10"/>
      <c r="D73" s="31"/>
      <c r="E73" s="78"/>
      <c r="F73" s="78"/>
    </row>
    <row r="74" spans="1:6">
      <c r="C74" s="10"/>
      <c r="D74" s="31"/>
      <c r="E74" s="78"/>
      <c r="F74" s="78"/>
    </row>
  </sheetData>
  <mergeCells count="2">
    <mergeCell ref="A1:F1"/>
    <mergeCell ref="A2:F2"/>
  </mergeCells>
  <printOptions horizontalCentered="1"/>
  <pageMargins left="1" right="0.75" top="0.75" bottom="0.75" header="0.3" footer="0.3"/>
  <pageSetup scale="69" orientation="portrait" r:id="rId1"/>
  <headerFooter>
    <oddFooter>&amp;RExhibit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AH151"/>
  <sheetViews>
    <sheetView defaultGridColor="0" view="pageBreakPreview" colorId="22" zoomScale="60" zoomScaleNormal="75" workbookViewId="0">
      <selection activeCell="Z29" sqref="Z29"/>
    </sheetView>
  </sheetViews>
  <sheetFormatPr defaultColWidth="12.5703125" defaultRowHeight="14.25"/>
  <cols>
    <col min="1" max="1" width="6.140625" style="55" customWidth="1"/>
    <col min="2" max="2" width="33.140625" style="53" customWidth="1"/>
    <col min="3" max="3" width="13.140625" style="53" bestFit="1" customWidth="1"/>
    <col min="4" max="4" width="15.5703125" style="53" customWidth="1"/>
    <col min="5" max="5" width="13" style="53" bestFit="1" customWidth="1"/>
    <col min="6" max="6" width="14.28515625" style="53" customWidth="1"/>
    <col min="7" max="7" width="11.85546875" style="53" bestFit="1" customWidth="1"/>
    <col min="8" max="8" width="11.42578125" style="53" bestFit="1" customWidth="1"/>
    <col min="9" max="9" width="14.28515625" style="53" customWidth="1"/>
    <col min="10" max="10" width="12.85546875" style="53" bestFit="1" customWidth="1"/>
    <col min="11" max="11" width="9.7109375" style="53" bestFit="1" customWidth="1"/>
    <col min="12" max="12" width="10.7109375" style="53" customWidth="1"/>
    <col min="13" max="13" width="11.140625" style="53" customWidth="1"/>
    <col min="14" max="14" width="10" style="53" customWidth="1"/>
    <col min="15" max="15" width="11.85546875" style="53" customWidth="1"/>
    <col min="16" max="16" width="13.28515625" style="53" customWidth="1"/>
    <col min="17" max="17" width="12" style="53" hidden="1" customWidth="1"/>
    <col min="18" max="18" width="14.42578125" style="53" hidden="1" customWidth="1"/>
    <col min="19" max="19" width="11.42578125" style="53" hidden="1" customWidth="1"/>
    <col min="20" max="20" width="5.28515625" style="53" hidden="1" customWidth="1"/>
    <col min="21" max="21" width="13.140625" style="53" bestFit="1" customWidth="1"/>
    <col min="22" max="22" width="3.5703125" style="53" customWidth="1"/>
    <col min="23" max="23" width="15.5703125" style="53" bestFit="1" customWidth="1"/>
    <col min="24" max="24" width="12.7109375" style="53" bestFit="1" customWidth="1"/>
    <col min="25" max="16384" width="12.5703125" style="53"/>
  </cols>
  <sheetData>
    <row r="1" spans="1:34" ht="15">
      <c r="A1" s="54"/>
      <c r="B1" s="68" t="str">
        <f>RevReq!A1</f>
        <v>BLUE GRASS ENERGY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4" ht="15">
      <c r="A2" s="54"/>
      <c r="B2" s="68" t="s">
        <v>176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</row>
    <row r="3" spans="1:34" s="55" customForma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</row>
    <row r="4" spans="1:34">
      <c r="A4" s="54"/>
      <c r="B4" s="51" t="s">
        <v>253</v>
      </c>
      <c r="C4" s="54">
        <v>1.01</v>
      </c>
      <c r="D4" s="54">
        <v>1.02</v>
      </c>
      <c r="E4" s="54">
        <v>1.03</v>
      </c>
      <c r="F4" s="54">
        <v>1.04</v>
      </c>
      <c r="G4" s="54">
        <v>1.05</v>
      </c>
      <c r="H4" s="54">
        <v>1.06</v>
      </c>
      <c r="I4" s="54">
        <v>1.07</v>
      </c>
      <c r="J4" s="54">
        <v>1.08</v>
      </c>
      <c r="K4" s="54">
        <v>1.0900000000000001</v>
      </c>
      <c r="L4" s="56">
        <v>1.1000000000000001</v>
      </c>
      <c r="M4" s="56">
        <v>1.1100000000000001</v>
      </c>
      <c r="N4" s="56">
        <v>1.1200000000000001</v>
      </c>
      <c r="O4" s="56">
        <v>1.1299999999999999</v>
      </c>
      <c r="P4" s="54">
        <v>1.1399999999999999</v>
      </c>
      <c r="Q4" s="54">
        <v>1.1499999999999999</v>
      </c>
      <c r="R4" s="54">
        <v>1.1599999999999999</v>
      </c>
      <c r="S4" s="54">
        <v>1.17</v>
      </c>
      <c r="T4" s="54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</row>
    <row r="5" spans="1:34" ht="9" customHeight="1">
      <c r="A5" s="54"/>
      <c r="B5" s="52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7"/>
      <c r="R5" s="57"/>
      <c r="S5" s="54"/>
      <c r="T5" s="54"/>
      <c r="U5" s="54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</row>
    <row r="6" spans="1:34" s="59" customFormat="1" ht="44.25" customHeight="1">
      <c r="A6" s="58"/>
      <c r="B6" s="104" t="s">
        <v>254</v>
      </c>
      <c r="C6" s="58" t="str">
        <f>'Adj List'!C6</f>
        <v>Fuel Adjustment Clause</v>
      </c>
      <c r="D6" s="58" t="str">
        <f>'Adj List'!C7</f>
        <v>Environmental Surcharge</v>
      </c>
      <c r="E6" s="58" t="str">
        <f>'Adj List'!C8</f>
        <v>Rate Case Expenses</v>
      </c>
      <c r="F6" s="58" t="str">
        <f>'Adj List'!C9</f>
        <v>Year-End Customer Normalization</v>
      </c>
      <c r="G6" s="58" t="str">
        <f>'Adj List'!C10</f>
        <v>GTCC</v>
      </c>
      <c r="H6" s="58" t="str">
        <f>'Adj List'!C11</f>
        <v>Retirement Plans</v>
      </c>
      <c r="I6" s="58" t="str">
        <f>'Adj List'!C12</f>
        <v>Depreciation Expense Normalization</v>
      </c>
      <c r="J6" s="58" t="str">
        <f>'Adj List'!C13</f>
        <v>Donations, Advertising &amp; Dues</v>
      </c>
      <c r="K6" s="58" t="str">
        <f>'Adj List'!C14</f>
        <v>Directors Expense</v>
      </c>
      <c r="L6" s="58" t="str">
        <f>'Adj List'!C15</f>
        <v>Life Insurance Premiums</v>
      </c>
      <c r="M6" s="58" t="str">
        <f>'Adj List'!C16</f>
        <v>Interest Expense</v>
      </c>
      <c r="N6" s="58" t="str">
        <f>'Adj List'!C17</f>
        <v>Wages &amp; Salaries</v>
      </c>
      <c r="O6" s="58" t="str">
        <f>'Adj List'!C18</f>
        <v>Payroll Taxes</v>
      </c>
      <c r="P6" s="58" t="str">
        <f>'Adj List'!C19</f>
        <v>Professional Services</v>
      </c>
      <c r="Q6" s="58">
        <f>'Adj List'!C20</f>
        <v>0</v>
      </c>
      <c r="R6" s="58"/>
      <c r="S6" s="58"/>
      <c r="T6" s="58"/>
      <c r="U6" s="58" t="s">
        <v>14</v>
      </c>
      <c r="V6" s="58"/>
      <c r="W6" s="58" t="s">
        <v>251</v>
      </c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1:34">
      <c r="A7" s="54">
        <v>1</v>
      </c>
      <c r="B7" s="5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52"/>
      <c r="W7" s="52"/>
      <c r="X7" s="52"/>
      <c r="Y7" s="43"/>
      <c r="Z7" s="43"/>
      <c r="AA7" s="43"/>
      <c r="AB7" s="43"/>
      <c r="AC7" s="43"/>
      <c r="AD7" s="43"/>
      <c r="AE7" s="43"/>
      <c r="AF7" s="43"/>
      <c r="AG7" s="43"/>
      <c r="AH7" s="52"/>
    </row>
    <row r="8" spans="1:34">
      <c r="A8" s="54">
        <f t="shared" ref="A8:A42" si="0">(A7+1)</f>
        <v>2</v>
      </c>
      <c r="B8" s="60" t="s">
        <v>97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52"/>
      <c r="W8" s="52"/>
      <c r="X8" s="52"/>
      <c r="Y8" s="43"/>
      <c r="Z8" s="43"/>
      <c r="AA8" s="43"/>
      <c r="AB8" s="43"/>
      <c r="AC8" s="43"/>
      <c r="AD8" s="43"/>
      <c r="AE8" s="43"/>
      <c r="AF8" s="43"/>
      <c r="AG8" s="43"/>
      <c r="AH8" s="52"/>
    </row>
    <row r="9" spans="1:34">
      <c r="A9" s="54">
        <f t="shared" si="0"/>
        <v>3</v>
      </c>
      <c r="B9" s="52" t="s">
        <v>106</v>
      </c>
      <c r="C9" s="43"/>
      <c r="D9" s="43"/>
      <c r="E9" s="43"/>
      <c r="F9" s="43">
        <f>'Adj List'!D9</f>
        <v>1156970.4201261536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>
        <f>SUM(C9:T9)</f>
        <v>1156970.4201261536</v>
      </c>
      <c r="V9" s="52"/>
      <c r="W9" s="52"/>
      <c r="X9" s="52"/>
      <c r="Y9" s="43"/>
      <c r="Z9" s="43"/>
      <c r="AA9" s="43"/>
      <c r="AB9" s="43"/>
      <c r="AC9" s="43"/>
      <c r="AD9" s="43"/>
      <c r="AE9" s="43"/>
      <c r="AF9" s="43"/>
      <c r="AG9" s="43"/>
      <c r="AH9" s="52"/>
    </row>
    <row r="10" spans="1:34">
      <c r="A10" s="54">
        <f t="shared" si="0"/>
        <v>4</v>
      </c>
      <c r="B10" s="52" t="s">
        <v>107</v>
      </c>
      <c r="C10" s="43">
        <f>'Adj List'!D6</f>
        <v>-6921346</v>
      </c>
      <c r="D10" s="43">
        <f>'Adj List'!D7</f>
        <v>-17673114.600000001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>
        <f t="shared" ref="U10:U47" si="1">SUM(C10:T10)</f>
        <v>-24594460.600000001</v>
      </c>
      <c r="V10" s="52"/>
      <c r="W10" s="61"/>
      <c r="X10" s="61"/>
      <c r="Y10" s="43"/>
      <c r="Z10" s="43"/>
      <c r="AA10" s="43"/>
      <c r="AB10" s="43"/>
      <c r="AC10" s="43"/>
      <c r="AD10" s="43"/>
      <c r="AE10" s="43"/>
      <c r="AF10" s="43"/>
      <c r="AG10" s="43"/>
      <c r="AH10" s="52"/>
    </row>
    <row r="11" spans="1:34">
      <c r="A11" s="54">
        <f t="shared" si="0"/>
        <v>5</v>
      </c>
      <c r="B11" s="52" t="s">
        <v>108</v>
      </c>
      <c r="C11" s="43"/>
      <c r="D11" s="43"/>
      <c r="E11" s="43"/>
      <c r="F11" s="43"/>
      <c r="G11" s="43"/>
      <c r="H11" s="43">
        <f>'Adj List'!D11</f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62">
        <f t="shared" si="1"/>
        <v>0</v>
      </c>
      <c r="V11" s="52"/>
      <c r="W11" s="52"/>
      <c r="X11" s="52"/>
      <c r="Y11" s="43"/>
      <c r="Z11" s="43"/>
      <c r="AA11" s="43"/>
      <c r="AB11" s="43"/>
      <c r="AC11" s="43"/>
      <c r="AD11" s="43"/>
      <c r="AE11" s="43"/>
      <c r="AF11" s="43"/>
      <c r="AG11" s="43"/>
      <c r="AH11" s="52"/>
    </row>
    <row r="12" spans="1:34">
      <c r="A12" s="54">
        <f t="shared" si="0"/>
        <v>6</v>
      </c>
      <c r="B12" s="63" t="s">
        <v>100</v>
      </c>
      <c r="C12" s="64">
        <f t="shared" ref="C12:S12" si="2">SUM(C7:C11)</f>
        <v>-6921346</v>
      </c>
      <c r="D12" s="64">
        <f t="shared" si="2"/>
        <v>-17673114.600000001</v>
      </c>
      <c r="E12" s="64">
        <f t="shared" si="2"/>
        <v>0</v>
      </c>
      <c r="F12" s="64">
        <f t="shared" si="2"/>
        <v>1156970.4201261536</v>
      </c>
      <c r="G12" s="64">
        <f t="shared" si="2"/>
        <v>0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>
        <f t="shared" si="2"/>
        <v>0</v>
      </c>
      <c r="L12" s="64">
        <f t="shared" si="2"/>
        <v>0</v>
      </c>
      <c r="M12" s="64">
        <f t="shared" si="2"/>
        <v>0</v>
      </c>
      <c r="N12" s="64">
        <f t="shared" si="2"/>
        <v>0</v>
      </c>
      <c r="O12" s="64">
        <f t="shared" si="2"/>
        <v>0</v>
      </c>
      <c r="P12" s="64">
        <f t="shared" si="2"/>
        <v>0</v>
      </c>
      <c r="Q12" s="64">
        <f t="shared" si="2"/>
        <v>0</v>
      </c>
      <c r="R12" s="64">
        <f t="shared" si="2"/>
        <v>0</v>
      </c>
      <c r="S12" s="64">
        <f t="shared" si="2"/>
        <v>0</v>
      </c>
      <c r="T12" s="64"/>
      <c r="U12" s="64">
        <f t="shared" si="1"/>
        <v>-23437490.179873846</v>
      </c>
      <c r="V12" s="52"/>
      <c r="W12" s="43">
        <f>U12-'Adj List'!D26</f>
        <v>0</v>
      </c>
      <c r="X12" s="52"/>
      <c r="Y12" s="43"/>
      <c r="Z12" s="43"/>
      <c r="AA12" s="43"/>
      <c r="AB12" s="43"/>
      <c r="AC12" s="43"/>
      <c r="AD12" s="43"/>
      <c r="AE12" s="43"/>
      <c r="AF12" s="43"/>
      <c r="AG12" s="43"/>
      <c r="AH12" s="52"/>
    </row>
    <row r="13" spans="1:34">
      <c r="A13" s="54">
        <f t="shared" si="0"/>
        <v>7</v>
      </c>
      <c r="B13" s="5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52"/>
      <c r="W13" s="52"/>
      <c r="X13" s="52"/>
      <c r="Y13" s="43"/>
      <c r="Z13" s="43"/>
      <c r="AA13" s="43"/>
      <c r="AB13" s="43"/>
      <c r="AC13" s="43"/>
      <c r="AD13" s="43"/>
      <c r="AE13" s="43"/>
      <c r="AF13" s="43"/>
      <c r="AG13" s="43"/>
      <c r="AH13" s="52"/>
    </row>
    <row r="14" spans="1:34">
      <c r="A14" s="54">
        <f t="shared" si="0"/>
        <v>8</v>
      </c>
      <c r="B14" s="60" t="s">
        <v>78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2"/>
      <c r="W14" s="52"/>
      <c r="X14" s="52"/>
      <c r="Y14" s="43"/>
      <c r="Z14" s="43"/>
      <c r="AA14" s="43"/>
      <c r="AB14" s="43"/>
      <c r="AC14" s="43"/>
      <c r="AD14" s="43"/>
      <c r="AE14" s="43"/>
      <c r="AF14" s="43"/>
      <c r="AG14" s="43"/>
      <c r="AH14" s="52"/>
    </row>
    <row r="15" spans="1:34">
      <c r="A15" s="54">
        <f t="shared" si="0"/>
        <v>9</v>
      </c>
      <c r="B15" s="52" t="s">
        <v>79</v>
      </c>
      <c r="C15" s="43"/>
      <c r="D15" s="43"/>
      <c r="E15" s="43"/>
      <c r="F15" s="43">
        <f>'Adj List'!E9</f>
        <v>838570.79982670024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>
        <f t="shared" si="1"/>
        <v>838570.79982670024</v>
      </c>
      <c r="V15" s="52"/>
      <c r="W15" s="52"/>
      <c r="X15" s="52"/>
      <c r="Y15" s="43"/>
      <c r="Z15" s="43"/>
      <c r="AA15" s="43"/>
      <c r="AB15" s="43"/>
      <c r="AC15" s="43"/>
      <c r="AD15" s="43"/>
      <c r="AE15" s="43"/>
      <c r="AF15" s="43"/>
      <c r="AG15" s="43"/>
      <c r="AH15" s="52"/>
    </row>
    <row r="16" spans="1:34">
      <c r="A16" s="54">
        <f t="shared" si="0"/>
        <v>10</v>
      </c>
      <c r="B16" s="52" t="s">
        <v>101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>
        <f t="shared" si="1"/>
        <v>0</v>
      </c>
      <c r="V16" s="52"/>
      <c r="W16" s="52"/>
      <c r="X16" s="52"/>
      <c r="Y16" s="43"/>
      <c r="Z16" s="43"/>
      <c r="AA16" s="43"/>
      <c r="AB16" s="43"/>
      <c r="AC16" s="43"/>
      <c r="AD16" s="43"/>
      <c r="AE16" s="43"/>
      <c r="AF16" s="43"/>
      <c r="AG16" s="43"/>
      <c r="AH16" s="52"/>
    </row>
    <row r="17" spans="1:34">
      <c r="A17" s="54">
        <f t="shared" si="0"/>
        <v>11</v>
      </c>
      <c r="B17" s="52" t="s">
        <v>98</v>
      </c>
      <c r="C17" s="43">
        <f>'Adj List'!E6</f>
        <v>-6921346</v>
      </c>
      <c r="D17" s="43">
        <f>'Adj List'!E7</f>
        <v>-17673114.600000001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>
        <f t="shared" si="1"/>
        <v>-24594460.600000001</v>
      </c>
      <c r="V17" s="52"/>
      <c r="W17" s="52"/>
      <c r="X17" s="52"/>
      <c r="Y17" s="43"/>
      <c r="Z17" s="43"/>
      <c r="AA17" s="43"/>
      <c r="AB17" s="43"/>
      <c r="AC17" s="43"/>
      <c r="AD17" s="43"/>
      <c r="AE17" s="43"/>
      <c r="AF17" s="43"/>
      <c r="AG17" s="43"/>
      <c r="AH17" s="52"/>
    </row>
    <row r="18" spans="1:34">
      <c r="A18" s="54">
        <f t="shared" si="0"/>
        <v>12</v>
      </c>
      <c r="B18" s="52" t="s">
        <v>109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>
        <f t="shared" si="1"/>
        <v>0</v>
      </c>
      <c r="V18" s="52"/>
      <c r="W18" s="52"/>
      <c r="X18" s="52"/>
      <c r="Y18" s="43"/>
      <c r="Z18" s="43"/>
      <c r="AA18" s="43"/>
      <c r="AB18" s="43"/>
      <c r="AC18" s="43"/>
      <c r="AD18" s="43"/>
      <c r="AE18" s="43"/>
      <c r="AF18" s="43"/>
      <c r="AG18" s="43"/>
      <c r="AH18" s="52"/>
    </row>
    <row r="19" spans="1:34">
      <c r="A19" s="54">
        <f t="shared" si="0"/>
        <v>13</v>
      </c>
      <c r="B19" s="52" t="s">
        <v>110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f t="shared" si="1"/>
        <v>0</v>
      </c>
      <c r="V19" s="52"/>
      <c r="W19" s="52"/>
      <c r="X19" s="52"/>
      <c r="Y19" s="43"/>
      <c r="Z19" s="43"/>
      <c r="AA19" s="43"/>
      <c r="AB19" s="43"/>
      <c r="AC19" s="43"/>
      <c r="AD19" s="43"/>
      <c r="AE19" s="43"/>
      <c r="AF19" s="43"/>
      <c r="AG19" s="43"/>
      <c r="AH19" s="52"/>
    </row>
    <row r="20" spans="1:34">
      <c r="A20" s="54">
        <f t="shared" si="0"/>
        <v>14</v>
      </c>
      <c r="B20" s="52" t="s">
        <v>111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>
        <f t="shared" si="1"/>
        <v>0</v>
      </c>
      <c r="V20" s="52"/>
      <c r="W20" s="52"/>
      <c r="X20" s="52"/>
      <c r="Y20" s="43"/>
      <c r="Z20" s="43"/>
      <c r="AA20" s="43"/>
      <c r="AB20" s="43"/>
      <c r="AC20" s="43"/>
      <c r="AD20" s="43"/>
      <c r="AE20" s="43"/>
      <c r="AF20" s="43"/>
      <c r="AG20" s="43"/>
      <c r="AH20" s="52"/>
    </row>
    <row r="21" spans="1:34">
      <c r="A21" s="54">
        <f t="shared" si="0"/>
        <v>15</v>
      </c>
      <c r="B21" s="52" t="s">
        <v>83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>
        <f t="shared" si="1"/>
        <v>0</v>
      </c>
      <c r="V21" s="52"/>
      <c r="W21" s="52"/>
      <c r="X21" s="52"/>
      <c r="Y21" s="43"/>
      <c r="Z21" s="43"/>
      <c r="AA21" s="43"/>
      <c r="AB21" s="43"/>
      <c r="AC21" s="43"/>
      <c r="AD21" s="43"/>
      <c r="AE21" s="43"/>
      <c r="AF21" s="43"/>
      <c r="AG21" s="43"/>
      <c r="AH21" s="52"/>
    </row>
    <row r="22" spans="1:34">
      <c r="A22" s="54">
        <f t="shared" si="0"/>
        <v>16</v>
      </c>
      <c r="B22" s="52" t="s">
        <v>112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>
        <f t="shared" si="1"/>
        <v>0</v>
      </c>
      <c r="V22" s="52"/>
      <c r="W22" s="52"/>
      <c r="X22" s="52"/>
      <c r="Y22" s="43"/>
      <c r="Z22" s="43"/>
      <c r="AA22" s="43"/>
      <c r="AB22" s="43"/>
      <c r="AC22" s="43"/>
      <c r="AD22" s="43"/>
      <c r="AE22" s="43"/>
      <c r="AF22" s="43"/>
      <c r="AG22" s="43"/>
      <c r="AH22" s="52"/>
    </row>
    <row r="23" spans="1:34">
      <c r="A23" s="54">
        <f t="shared" si="0"/>
        <v>17</v>
      </c>
      <c r="B23" s="52" t="s">
        <v>113</v>
      </c>
      <c r="C23" s="43"/>
      <c r="D23" s="43"/>
      <c r="E23" s="43">
        <f>'Adj List'!E8</f>
        <v>23333.33</v>
      </c>
      <c r="F23" s="43"/>
      <c r="G23" s="43"/>
      <c r="H23" s="43">
        <f>'Adj List'!E11</f>
        <v>-53149</v>
      </c>
      <c r="I23" s="43"/>
      <c r="J23" s="43">
        <f>'Adj List'!E13</f>
        <v>-591747.47</v>
      </c>
      <c r="K23" s="43">
        <f>'Adj List'!E14</f>
        <v>-24087.01999999999</v>
      </c>
      <c r="L23" s="43"/>
      <c r="M23" s="43"/>
      <c r="N23" s="43">
        <f>'Adj List'!E17</f>
        <v>318895.00950387097</v>
      </c>
      <c r="O23" s="43">
        <f>'Adj List'!E18</f>
        <v>16573.196741963144</v>
      </c>
      <c r="P23" s="43">
        <f>'Adj List'!E19</f>
        <v>-3326</v>
      </c>
      <c r="Q23" s="43">
        <f>'Adj List'!E20</f>
        <v>0</v>
      </c>
      <c r="R23" s="43"/>
      <c r="S23" s="43"/>
      <c r="T23" s="43"/>
      <c r="U23" s="43">
        <f t="shared" si="1"/>
        <v>-313507.95375416591</v>
      </c>
      <c r="V23" s="52"/>
      <c r="W23" s="52"/>
      <c r="X23" s="52"/>
      <c r="Y23" s="43"/>
      <c r="Z23" s="43"/>
      <c r="AA23" s="43"/>
      <c r="AB23" s="43"/>
      <c r="AC23" s="43"/>
      <c r="AD23" s="43"/>
      <c r="AE23" s="43"/>
      <c r="AF23" s="43"/>
      <c r="AG23" s="43"/>
      <c r="AH23" s="52"/>
    </row>
    <row r="24" spans="1:34">
      <c r="A24" s="54">
        <f t="shared" si="0"/>
        <v>18</v>
      </c>
      <c r="B24" s="63" t="s">
        <v>102</v>
      </c>
      <c r="C24" s="64">
        <f t="shared" ref="C24:S24" si="3">SUM(C15:C23)</f>
        <v>-6921346</v>
      </c>
      <c r="D24" s="64">
        <f t="shared" si="3"/>
        <v>-17673114.600000001</v>
      </c>
      <c r="E24" s="64">
        <f t="shared" si="3"/>
        <v>23333.33</v>
      </c>
      <c r="F24" s="64">
        <f t="shared" si="3"/>
        <v>838570.79982670024</v>
      </c>
      <c r="G24" s="64">
        <f t="shared" si="3"/>
        <v>0</v>
      </c>
      <c r="H24" s="64">
        <f t="shared" si="3"/>
        <v>-53149</v>
      </c>
      <c r="I24" s="64">
        <f t="shared" si="3"/>
        <v>0</v>
      </c>
      <c r="J24" s="64">
        <f t="shared" si="3"/>
        <v>-591747.47</v>
      </c>
      <c r="K24" s="64">
        <f t="shared" si="3"/>
        <v>-24087.01999999999</v>
      </c>
      <c r="L24" s="64">
        <f t="shared" si="3"/>
        <v>0</v>
      </c>
      <c r="M24" s="64">
        <f t="shared" si="3"/>
        <v>0</v>
      </c>
      <c r="N24" s="64">
        <f t="shared" si="3"/>
        <v>318895.00950387097</v>
      </c>
      <c r="O24" s="64">
        <f t="shared" si="3"/>
        <v>16573.196741963144</v>
      </c>
      <c r="P24" s="64">
        <f t="shared" si="3"/>
        <v>-3326</v>
      </c>
      <c r="Q24" s="64">
        <f t="shared" si="3"/>
        <v>0</v>
      </c>
      <c r="R24" s="64">
        <f t="shared" si="3"/>
        <v>0</v>
      </c>
      <c r="S24" s="64">
        <f t="shared" si="3"/>
        <v>0</v>
      </c>
      <c r="T24" s="64">
        <f>SUM(T15:T23)</f>
        <v>0</v>
      </c>
      <c r="U24" s="64">
        <f t="shared" si="1"/>
        <v>-24069397.753927466</v>
      </c>
      <c r="V24" s="52"/>
      <c r="W24" s="43"/>
      <c r="X24" s="52"/>
      <c r="Y24" s="43"/>
      <c r="Z24" s="43"/>
      <c r="AA24" s="43"/>
      <c r="AB24" s="43"/>
      <c r="AC24" s="43"/>
      <c r="AD24" s="43"/>
      <c r="AE24" s="43"/>
      <c r="AF24" s="43"/>
      <c r="AG24" s="43"/>
      <c r="AH24" s="52"/>
    </row>
    <row r="25" spans="1:34">
      <c r="A25" s="54">
        <f t="shared" si="0"/>
        <v>19</v>
      </c>
      <c r="B25" s="52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52"/>
      <c r="W25" s="52"/>
      <c r="X25" s="52"/>
      <c r="Y25" s="43"/>
      <c r="Z25" s="43"/>
      <c r="AA25" s="43"/>
      <c r="AB25" s="43"/>
      <c r="AC25" s="43"/>
      <c r="AD25" s="43"/>
      <c r="AE25" s="43"/>
      <c r="AF25" s="43"/>
      <c r="AG25" s="43"/>
      <c r="AH25" s="52"/>
    </row>
    <row r="26" spans="1:34">
      <c r="A26" s="54">
        <f t="shared" si="0"/>
        <v>20</v>
      </c>
      <c r="B26" s="52" t="s">
        <v>29</v>
      </c>
      <c r="C26" s="43"/>
      <c r="D26" s="43"/>
      <c r="E26" s="43"/>
      <c r="F26" s="43"/>
      <c r="G26" s="43"/>
      <c r="H26" s="43"/>
      <c r="I26" s="43">
        <f>'Adj List'!E12</f>
        <v>294695.17000000004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>
        <f t="shared" si="1"/>
        <v>294695.17000000004</v>
      </c>
      <c r="V26" s="52"/>
      <c r="W26" s="52"/>
      <c r="X26" s="52"/>
      <c r="Y26" s="43"/>
      <c r="Z26" s="43"/>
      <c r="AA26" s="43"/>
      <c r="AB26" s="43"/>
      <c r="AC26" s="43"/>
      <c r="AD26" s="43"/>
      <c r="AE26" s="43"/>
      <c r="AF26" s="43"/>
      <c r="AG26" s="43"/>
      <c r="AH26" s="52"/>
    </row>
    <row r="27" spans="1:34">
      <c r="A27" s="54">
        <f t="shared" si="0"/>
        <v>21</v>
      </c>
      <c r="B27" s="52" t="s">
        <v>88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>
        <f t="shared" si="1"/>
        <v>0</v>
      </c>
      <c r="V27" s="52"/>
      <c r="W27" s="52"/>
      <c r="X27" s="52"/>
      <c r="Y27" s="43"/>
      <c r="Z27" s="43"/>
      <c r="AA27" s="43"/>
      <c r="AB27" s="43"/>
      <c r="AC27" s="43"/>
      <c r="AD27" s="43"/>
      <c r="AE27" s="43"/>
      <c r="AF27" s="43"/>
      <c r="AG27" s="43"/>
      <c r="AH27" s="52"/>
    </row>
    <row r="28" spans="1:34">
      <c r="A28" s="54">
        <f t="shared" si="0"/>
        <v>22</v>
      </c>
      <c r="B28" s="52" t="s">
        <v>104</v>
      </c>
      <c r="C28" s="43"/>
      <c r="D28" s="43"/>
      <c r="E28" s="43"/>
      <c r="F28" s="43"/>
      <c r="G28" s="43"/>
      <c r="H28" s="43"/>
      <c r="I28" s="43"/>
      <c r="J28" s="43"/>
      <c r="K28" s="43"/>
      <c r="L28" s="43">
        <f>'Adj List'!E15</f>
        <v>-23543.494504673436</v>
      </c>
      <c r="M28" s="43">
        <f>'Adj List'!E16</f>
        <v>432949.29999999981</v>
      </c>
      <c r="N28" s="43"/>
      <c r="O28" s="43"/>
      <c r="P28" s="43"/>
      <c r="Q28" s="43"/>
      <c r="R28" s="43"/>
      <c r="S28" s="43"/>
      <c r="T28" s="43"/>
      <c r="U28" s="43">
        <f t="shared" si="1"/>
        <v>409405.80549532641</v>
      </c>
      <c r="V28" s="52"/>
      <c r="W28" s="52"/>
      <c r="X28" s="52"/>
      <c r="Y28" s="43"/>
      <c r="Z28" s="43"/>
      <c r="AA28" s="43"/>
      <c r="AB28" s="43"/>
      <c r="AC28" s="43"/>
      <c r="AD28" s="43"/>
      <c r="AE28" s="43"/>
      <c r="AF28" s="43"/>
      <c r="AG28" s="43"/>
      <c r="AH28" s="52"/>
    </row>
    <row r="29" spans="1:34">
      <c r="A29" s="54">
        <f>(A28+1)</f>
        <v>23</v>
      </c>
      <c r="B29" s="52" t="s">
        <v>105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>
        <f t="shared" si="1"/>
        <v>0</v>
      </c>
      <c r="V29" s="52"/>
      <c r="W29" s="52"/>
      <c r="X29" s="52"/>
      <c r="Y29" s="43"/>
      <c r="Z29" s="43"/>
      <c r="AA29" s="43"/>
      <c r="AB29" s="43"/>
      <c r="AC29" s="43"/>
      <c r="AD29" s="43"/>
      <c r="AE29" s="43"/>
      <c r="AF29" s="43"/>
      <c r="AG29" s="43"/>
      <c r="AH29" s="52"/>
    </row>
    <row r="30" spans="1:34">
      <c r="A30" s="54">
        <f>(A29+1)</f>
        <v>24</v>
      </c>
      <c r="B30" s="52" t="s">
        <v>90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>
        <f t="shared" si="1"/>
        <v>0</v>
      </c>
      <c r="V30" s="52"/>
      <c r="W30" s="52"/>
      <c r="X30" s="52"/>
      <c r="Y30" s="43"/>
      <c r="Z30" s="43"/>
      <c r="AA30" s="43"/>
      <c r="AB30" s="43"/>
      <c r="AC30" s="43"/>
      <c r="AD30" s="43"/>
      <c r="AE30" s="43"/>
      <c r="AF30" s="43"/>
      <c r="AG30" s="43"/>
      <c r="AH30" s="52"/>
    </row>
    <row r="31" spans="1:34">
      <c r="A31" s="54">
        <f t="shared" si="0"/>
        <v>25</v>
      </c>
      <c r="B31" s="63" t="s">
        <v>33</v>
      </c>
      <c r="C31" s="64">
        <f t="shared" ref="C31:S31" si="4">SUM(C24:C30)</f>
        <v>-6921346</v>
      </c>
      <c r="D31" s="64">
        <f t="shared" si="4"/>
        <v>-17673114.600000001</v>
      </c>
      <c r="E31" s="64">
        <f t="shared" si="4"/>
        <v>23333.33</v>
      </c>
      <c r="F31" s="64">
        <f t="shared" si="4"/>
        <v>838570.79982670024</v>
      </c>
      <c r="G31" s="64">
        <f t="shared" si="4"/>
        <v>0</v>
      </c>
      <c r="H31" s="64">
        <f t="shared" si="4"/>
        <v>-53149</v>
      </c>
      <c r="I31" s="64">
        <f t="shared" si="4"/>
        <v>294695.17000000004</v>
      </c>
      <c r="J31" s="64">
        <f t="shared" si="4"/>
        <v>-591747.47</v>
      </c>
      <c r="K31" s="64">
        <f t="shared" si="4"/>
        <v>-24087.01999999999</v>
      </c>
      <c r="L31" s="64">
        <f t="shared" si="4"/>
        <v>-23543.494504673436</v>
      </c>
      <c r="M31" s="64">
        <f t="shared" si="4"/>
        <v>432949.29999999981</v>
      </c>
      <c r="N31" s="64">
        <f t="shared" si="4"/>
        <v>318895.00950387097</v>
      </c>
      <c r="O31" s="64">
        <f t="shared" si="4"/>
        <v>16573.196741963144</v>
      </c>
      <c r="P31" s="64">
        <f t="shared" si="4"/>
        <v>-3326</v>
      </c>
      <c r="Q31" s="64">
        <f t="shared" si="4"/>
        <v>0</v>
      </c>
      <c r="R31" s="64">
        <f t="shared" si="4"/>
        <v>0</v>
      </c>
      <c r="S31" s="64">
        <f t="shared" si="4"/>
        <v>0</v>
      </c>
      <c r="T31" s="64">
        <f>SUM(T24:T30)</f>
        <v>0</v>
      </c>
      <c r="U31" s="64">
        <f t="shared" si="1"/>
        <v>-23365296.778432138</v>
      </c>
      <c r="V31" s="52"/>
      <c r="W31" s="43">
        <f>U31-'Adj List'!E26</f>
        <v>0</v>
      </c>
      <c r="X31" s="52"/>
      <c r="Y31" s="43"/>
      <c r="Z31" s="43"/>
      <c r="AA31" s="43"/>
      <c r="AB31" s="43"/>
      <c r="AC31" s="43"/>
      <c r="AD31" s="43"/>
      <c r="AE31" s="43"/>
      <c r="AF31" s="43"/>
      <c r="AG31" s="43"/>
      <c r="AH31" s="52"/>
    </row>
    <row r="32" spans="1:34">
      <c r="A32" s="54">
        <f t="shared" si="0"/>
        <v>26</v>
      </c>
      <c r="B32" s="52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52"/>
      <c r="W32" s="52"/>
      <c r="X32" s="52"/>
      <c r="Y32" s="43"/>
      <c r="Z32" s="43"/>
      <c r="AA32" s="43"/>
      <c r="AB32" s="43"/>
      <c r="AC32" s="43"/>
      <c r="AD32" s="43"/>
      <c r="AE32" s="43"/>
      <c r="AF32" s="43"/>
      <c r="AG32" s="43"/>
      <c r="AH32" s="52"/>
    </row>
    <row r="33" spans="1:34">
      <c r="A33" s="54">
        <f t="shared" si="0"/>
        <v>27</v>
      </c>
      <c r="B33" s="52" t="s">
        <v>91</v>
      </c>
      <c r="C33" s="43">
        <f t="shared" ref="C33:S33" si="5">(+C12-C31)</f>
        <v>0</v>
      </c>
      <c r="D33" s="43">
        <f t="shared" si="5"/>
        <v>0</v>
      </c>
      <c r="E33" s="43">
        <f t="shared" si="5"/>
        <v>-23333.33</v>
      </c>
      <c r="F33" s="43">
        <f t="shared" si="5"/>
        <v>318399.62029945338</v>
      </c>
      <c r="G33" s="43">
        <f t="shared" si="5"/>
        <v>0</v>
      </c>
      <c r="H33" s="43">
        <f t="shared" si="5"/>
        <v>53149</v>
      </c>
      <c r="I33" s="43">
        <f t="shared" si="5"/>
        <v>-294695.17000000004</v>
      </c>
      <c r="J33" s="43">
        <f t="shared" si="5"/>
        <v>591747.47</v>
      </c>
      <c r="K33" s="43">
        <f t="shared" si="5"/>
        <v>24087.01999999999</v>
      </c>
      <c r="L33" s="43">
        <f t="shared" si="5"/>
        <v>23543.494504673436</v>
      </c>
      <c r="M33" s="43">
        <f t="shared" si="5"/>
        <v>-432949.29999999981</v>
      </c>
      <c r="N33" s="43">
        <f t="shared" si="5"/>
        <v>-318895.00950387097</v>
      </c>
      <c r="O33" s="43">
        <f t="shared" si="5"/>
        <v>-16573.196741963144</v>
      </c>
      <c r="P33" s="43">
        <f t="shared" si="5"/>
        <v>3326</v>
      </c>
      <c r="Q33" s="43">
        <f t="shared" si="5"/>
        <v>0</v>
      </c>
      <c r="R33" s="43">
        <f t="shared" si="5"/>
        <v>0</v>
      </c>
      <c r="S33" s="43">
        <f t="shared" si="5"/>
        <v>0</v>
      </c>
      <c r="T33" s="43">
        <f>(+T12-T31)</f>
        <v>0</v>
      </c>
      <c r="U33" s="43">
        <f t="shared" si="1"/>
        <v>-72193.401441707145</v>
      </c>
      <c r="V33" s="52"/>
      <c r="W33" s="52"/>
      <c r="X33" s="52"/>
      <c r="Y33" s="43"/>
      <c r="Z33" s="43"/>
      <c r="AA33" s="43"/>
      <c r="AB33" s="43"/>
      <c r="AC33" s="43"/>
      <c r="AD33" s="43"/>
      <c r="AE33" s="43"/>
      <c r="AF33" s="43"/>
      <c r="AG33" s="43"/>
      <c r="AH33" s="52"/>
    </row>
    <row r="34" spans="1:34">
      <c r="A34" s="54">
        <f t="shared" si="0"/>
        <v>28</v>
      </c>
      <c r="B34" s="5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52"/>
      <c r="W34" s="52"/>
      <c r="X34" s="52"/>
      <c r="Y34" s="43"/>
      <c r="Z34" s="43"/>
      <c r="AA34" s="43"/>
      <c r="AB34" s="43"/>
      <c r="AC34" s="43"/>
      <c r="AD34" s="43"/>
      <c r="AE34" s="43"/>
      <c r="AF34" s="43"/>
      <c r="AG34" s="43"/>
      <c r="AH34" s="52"/>
    </row>
    <row r="35" spans="1:34">
      <c r="A35" s="54">
        <f t="shared" si="0"/>
        <v>29</v>
      </c>
      <c r="B35" s="52" t="s">
        <v>34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>
        <f t="shared" si="1"/>
        <v>0</v>
      </c>
      <c r="V35" s="52"/>
      <c r="W35" s="52"/>
      <c r="X35" s="52"/>
      <c r="Y35" s="43"/>
      <c r="Z35" s="43"/>
      <c r="AA35" s="43"/>
      <c r="AB35" s="43"/>
      <c r="AC35" s="43"/>
      <c r="AD35" s="43"/>
      <c r="AE35" s="43"/>
      <c r="AF35" s="43"/>
      <c r="AG35" s="43"/>
      <c r="AH35" s="52"/>
    </row>
    <row r="36" spans="1:34">
      <c r="A36" s="54" t="s">
        <v>228</v>
      </c>
      <c r="B36" s="52" t="s">
        <v>229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52"/>
      <c r="W36" s="52"/>
      <c r="X36" s="52"/>
      <c r="Y36" s="43"/>
      <c r="Z36" s="43"/>
      <c r="AA36" s="43"/>
      <c r="AB36" s="43"/>
      <c r="AC36" s="43"/>
      <c r="AD36" s="43"/>
      <c r="AE36" s="43"/>
      <c r="AF36" s="43"/>
      <c r="AG36" s="43"/>
      <c r="AH36" s="52"/>
    </row>
    <row r="37" spans="1:34">
      <c r="A37" s="54">
        <f>(A35+1)</f>
        <v>30</v>
      </c>
      <c r="B37" s="52" t="s">
        <v>35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>
        <f t="shared" si="1"/>
        <v>0</v>
      </c>
      <c r="V37" s="52"/>
      <c r="W37" s="52"/>
      <c r="X37" s="52"/>
      <c r="Y37" s="43"/>
      <c r="Z37" s="43"/>
      <c r="AA37" s="43"/>
      <c r="AB37" s="43"/>
      <c r="AC37" s="43"/>
      <c r="AD37" s="43"/>
      <c r="AE37" s="43"/>
      <c r="AF37" s="43"/>
      <c r="AG37" s="43"/>
      <c r="AH37" s="52"/>
    </row>
    <row r="38" spans="1:34">
      <c r="A38" s="54">
        <f t="shared" si="0"/>
        <v>31</v>
      </c>
      <c r="B38" s="52" t="s">
        <v>31</v>
      </c>
      <c r="C38" s="43"/>
      <c r="D38" s="43"/>
      <c r="E38" s="43"/>
      <c r="F38" s="43"/>
      <c r="G38" s="43">
        <f>'Adj List'!F10</f>
        <v>-772943.54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>
        <f t="shared" si="1"/>
        <v>-772943.54</v>
      </c>
      <c r="V38" s="52"/>
      <c r="W38" s="52"/>
      <c r="X38" s="52"/>
      <c r="Y38" s="43"/>
      <c r="Z38" s="43"/>
      <c r="AA38" s="43"/>
      <c r="AB38" s="43"/>
      <c r="AC38" s="43"/>
      <c r="AD38" s="43"/>
      <c r="AE38" s="43"/>
      <c r="AF38" s="43"/>
      <c r="AG38" s="43"/>
      <c r="AH38" s="52"/>
    </row>
    <row r="39" spans="1:34">
      <c r="A39" s="54">
        <f t="shared" si="0"/>
        <v>32</v>
      </c>
      <c r="B39" s="52" t="s">
        <v>92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>
        <f t="shared" si="1"/>
        <v>0</v>
      </c>
      <c r="V39" s="52"/>
      <c r="W39" s="52"/>
      <c r="X39" s="52"/>
      <c r="Y39" s="43"/>
      <c r="Z39" s="43"/>
      <c r="AA39" s="43"/>
      <c r="AB39" s="43"/>
      <c r="AC39" s="43"/>
      <c r="AD39" s="43"/>
      <c r="AE39" s="43"/>
      <c r="AF39" s="43"/>
      <c r="AG39" s="43"/>
      <c r="AH39" s="52"/>
    </row>
    <row r="40" spans="1:34">
      <c r="A40" s="54">
        <f t="shared" si="0"/>
        <v>33</v>
      </c>
      <c r="B40" s="63" t="s">
        <v>103</v>
      </c>
      <c r="C40" s="64">
        <f t="shared" ref="C40:S40" si="6">SUM(C35:C39)</f>
        <v>0</v>
      </c>
      <c r="D40" s="64">
        <f t="shared" si="6"/>
        <v>0</v>
      </c>
      <c r="E40" s="64">
        <f t="shared" si="6"/>
        <v>0</v>
      </c>
      <c r="F40" s="64">
        <f t="shared" si="6"/>
        <v>0</v>
      </c>
      <c r="G40" s="64">
        <f t="shared" si="6"/>
        <v>-772943.54</v>
      </c>
      <c r="H40" s="64">
        <f t="shared" si="6"/>
        <v>0</v>
      </c>
      <c r="I40" s="64">
        <f t="shared" si="6"/>
        <v>0</v>
      </c>
      <c r="J40" s="64">
        <f t="shared" si="6"/>
        <v>0</v>
      </c>
      <c r="K40" s="64">
        <f t="shared" si="6"/>
        <v>0</v>
      </c>
      <c r="L40" s="64">
        <f t="shared" si="6"/>
        <v>0</v>
      </c>
      <c r="M40" s="64">
        <f t="shared" si="6"/>
        <v>0</v>
      </c>
      <c r="N40" s="64">
        <f t="shared" si="6"/>
        <v>0</v>
      </c>
      <c r="O40" s="64">
        <f t="shared" si="6"/>
        <v>0</v>
      </c>
      <c r="P40" s="64">
        <f t="shared" si="6"/>
        <v>0</v>
      </c>
      <c r="Q40" s="64">
        <f t="shared" si="6"/>
        <v>0</v>
      </c>
      <c r="R40" s="64">
        <f t="shared" si="6"/>
        <v>0</v>
      </c>
      <c r="S40" s="64">
        <f t="shared" si="6"/>
        <v>0</v>
      </c>
      <c r="T40" s="64">
        <f>SUM(T35:T39)</f>
        <v>0</v>
      </c>
      <c r="U40" s="64">
        <f t="shared" si="1"/>
        <v>-772943.54</v>
      </c>
      <c r="V40" s="52"/>
      <c r="W40" s="43">
        <f>U40-'Adj List'!F26</f>
        <v>0</v>
      </c>
      <c r="X40" s="52"/>
      <c r="Y40" s="43"/>
      <c r="Z40" s="43"/>
      <c r="AA40" s="43"/>
      <c r="AB40" s="43"/>
      <c r="AC40" s="43"/>
      <c r="AD40" s="43"/>
      <c r="AE40" s="43"/>
      <c r="AF40" s="43"/>
      <c r="AG40" s="43"/>
      <c r="AH40" s="52"/>
    </row>
    <row r="41" spans="1:34">
      <c r="A41" s="54">
        <f t="shared" si="0"/>
        <v>34</v>
      </c>
      <c r="B41" s="5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52"/>
      <c r="W41" s="52"/>
      <c r="X41" s="52"/>
      <c r="Y41" s="43"/>
      <c r="Z41" s="43"/>
      <c r="AA41" s="43"/>
      <c r="AB41" s="43"/>
      <c r="AC41" s="43"/>
      <c r="AD41" s="43"/>
      <c r="AE41" s="43"/>
      <c r="AF41" s="43"/>
      <c r="AG41" s="43"/>
      <c r="AH41" s="52"/>
    </row>
    <row r="42" spans="1:34" ht="15" thickBot="1">
      <c r="A42" s="54">
        <f t="shared" si="0"/>
        <v>35</v>
      </c>
      <c r="B42" s="66" t="s">
        <v>93</v>
      </c>
      <c r="C42" s="67">
        <f t="shared" ref="C42:S42" si="7">+C33+C40</f>
        <v>0</v>
      </c>
      <c r="D42" s="67">
        <f t="shared" si="7"/>
        <v>0</v>
      </c>
      <c r="E42" s="67">
        <f t="shared" si="7"/>
        <v>-23333.33</v>
      </c>
      <c r="F42" s="67">
        <f t="shared" si="7"/>
        <v>318399.62029945338</v>
      </c>
      <c r="G42" s="67">
        <f t="shared" si="7"/>
        <v>-772943.54</v>
      </c>
      <c r="H42" s="67">
        <f t="shared" si="7"/>
        <v>53149</v>
      </c>
      <c r="I42" s="67">
        <f t="shared" si="7"/>
        <v>-294695.17000000004</v>
      </c>
      <c r="J42" s="67">
        <f t="shared" si="7"/>
        <v>591747.47</v>
      </c>
      <c r="K42" s="67">
        <f t="shared" si="7"/>
        <v>24087.01999999999</v>
      </c>
      <c r="L42" s="67">
        <f t="shared" si="7"/>
        <v>23543.494504673436</v>
      </c>
      <c r="M42" s="67">
        <f t="shared" si="7"/>
        <v>-432949.29999999981</v>
      </c>
      <c r="N42" s="67">
        <f t="shared" si="7"/>
        <v>-318895.00950387097</v>
      </c>
      <c r="O42" s="67">
        <f t="shared" si="7"/>
        <v>-16573.196741963144</v>
      </c>
      <c r="P42" s="67">
        <f t="shared" si="7"/>
        <v>3326</v>
      </c>
      <c r="Q42" s="67">
        <f t="shared" si="7"/>
        <v>0</v>
      </c>
      <c r="R42" s="67">
        <f t="shared" si="7"/>
        <v>0</v>
      </c>
      <c r="S42" s="67">
        <f t="shared" si="7"/>
        <v>0</v>
      </c>
      <c r="T42" s="67">
        <f>+T33+T40</f>
        <v>0</v>
      </c>
      <c r="U42" s="67">
        <f t="shared" si="1"/>
        <v>-845136.9414417072</v>
      </c>
      <c r="V42" s="52"/>
      <c r="W42" s="43">
        <f>U42-'Adj List'!G26</f>
        <v>0</v>
      </c>
      <c r="X42" s="52"/>
      <c r="Y42" s="43"/>
      <c r="Z42" s="43"/>
      <c r="AA42" s="43"/>
      <c r="AB42" s="43"/>
      <c r="AC42" s="43"/>
      <c r="AD42" s="43"/>
      <c r="AE42" s="43"/>
      <c r="AF42" s="43"/>
      <c r="AG42" s="43"/>
      <c r="AH42" s="52"/>
    </row>
    <row r="43" spans="1:34" ht="18" customHeight="1" thickTop="1">
      <c r="A43" s="54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</row>
    <row r="44" spans="1:34" ht="18" customHeight="1">
      <c r="A44" s="54"/>
      <c r="B44" s="52" t="s">
        <v>118</v>
      </c>
      <c r="C44" s="43">
        <f>C12</f>
        <v>-6921346</v>
      </c>
      <c r="D44" s="43">
        <f t="shared" ref="D44:S44" si="8">D12</f>
        <v>-17673114.600000001</v>
      </c>
      <c r="E44" s="43">
        <f t="shared" si="8"/>
        <v>0</v>
      </c>
      <c r="F44" s="43">
        <f t="shared" si="8"/>
        <v>1156970.4201261536</v>
      </c>
      <c r="G44" s="43">
        <f t="shared" si="8"/>
        <v>0</v>
      </c>
      <c r="H44" s="43">
        <f t="shared" si="8"/>
        <v>0</v>
      </c>
      <c r="I44" s="43">
        <f t="shared" si="8"/>
        <v>0</v>
      </c>
      <c r="J44" s="43">
        <f t="shared" si="8"/>
        <v>0</v>
      </c>
      <c r="K44" s="43">
        <f t="shared" si="8"/>
        <v>0</v>
      </c>
      <c r="L44" s="43">
        <f t="shared" si="8"/>
        <v>0</v>
      </c>
      <c r="M44" s="43">
        <f t="shared" si="8"/>
        <v>0</v>
      </c>
      <c r="N44" s="43">
        <f t="shared" si="8"/>
        <v>0</v>
      </c>
      <c r="O44" s="43">
        <f t="shared" si="8"/>
        <v>0</v>
      </c>
      <c r="P44" s="43">
        <f t="shared" si="8"/>
        <v>0</v>
      </c>
      <c r="Q44" s="43">
        <f t="shared" si="8"/>
        <v>0</v>
      </c>
      <c r="R44" s="43">
        <f t="shared" si="8"/>
        <v>0</v>
      </c>
      <c r="S44" s="43">
        <f t="shared" si="8"/>
        <v>0</v>
      </c>
      <c r="T44" s="43">
        <f>T12</f>
        <v>0</v>
      </c>
      <c r="U44" s="43">
        <f t="shared" si="1"/>
        <v>-23437490.179873846</v>
      </c>
      <c r="V44" s="52"/>
      <c r="W44" s="43">
        <f>U44-'Adj List'!D26</f>
        <v>0</v>
      </c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</row>
    <row r="45" spans="1:34" ht="18" customHeight="1">
      <c r="A45" s="54"/>
      <c r="B45" s="52" t="s">
        <v>117</v>
      </c>
      <c r="C45" s="43">
        <f>C31</f>
        <v>-6921346</v>
      </c>
      <c r="D45" s="43">
        <f t="shared" ref="D45:M45" si="9">D31</f>
        <v>-17673114.600000001</v>
      </c>
      <c r="E45" s="43">
        <f t="shared" si="9"/>
        <v>23333.33</v>
      </c>
      <c r="F45" s="43">
        <f t="shared" si="9"/>
        <v>838570.79982670024</v>
      </c>
      <c r="G45" s="43">
        <f t="shared" si="9"/>
        <v>0</v>
      </c>
      <c r="H45" s="43">
        <f t="shared" si="9"/>
        <v>-53149</v>
      </c>
      <c r="I45" s="43">
        <f t="shared" si="9"/>
        <v>294695.17000000004</v>
      </c>
      <c r="J45" s="43">
        <f t="shared" si="9"/>
        <v>-591747.47</v>
      </c>
      <c r="K45" s="43">
        <f t="shared" si="9"/>
        <v>-24087.01999999999</v>
      </c>
      <c r="L45" s="43">
        <f t="shared" si="9"/>
        <v>-23543.494504673436</v>
      </c>
      <c r="M45" s="43">
        <f t="shared" si="9"/>
        <v>432949.29999999981</v>
      </c>
      <c r="N45" s="43">
        <f t="shared" ref="N45:S45" si="10">N31-N40</f>
        <v>318895.00950387097</v>
      </c>
      <c r="O45" s="43">
        <f t="shared" si="10"/>
        <v>16573.196741963144</v>
      </c>
      <c r="P45" s="43">
        <f t="shared" si="10"/>
        <v>-3326</v>
      </c>
      <c r="Q45" s="43">
        <f t="shared" si="10"/>
        <v>0</v>
      </c>
      <c r="R45" s="43">
        <f t="shared" si="10"/>
        <v>0</v>
      </c>
      <c r="S45" s="43">
        <f t="shared" si="10"/>
        <v>0</v>
      </c>
      <c r="T45" s="43">
        <f>T31-T40</f>
        <v>0</v>
      </c>
      <c r="U45" s="43">
        <f t="shared" si="1"/>
        <v>-23365296.778432138</v>
      </c>
      <c r="V45" s="52"/>
      <c r="W45" s="43">
        <f>U45-'Adj List'!E26</f>
        <v>0</v>
      </c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</row>
    <row r="46" spans="1:34" ht="18" customHeight="1">
      <c r="A46" s="54"/>
      <c r="B46" s="52" t="s">
        <v>252</v>
      </c>
      <c r="C46" s="43">
        <f>C40</f>
        <v>0</v>
      </c>
      <c r="D46" s="43">
        <f t="shared" ref="D46:M46" si="11">D40</f>
        <v>0</v>
      </c>
      <c r="E46" s="43">
        <f t="shared" si="11"/>
        <v>0</v>
      </c>
      <c r="F46" s="43">
        <f t="shared" si="11"/>
        <v>0</v>
      </c>
      <c r="G46" s="43">
        <f t="shared" si="11"/>
        <v>-772943.54</v>
      </c>
      <c r="H46" s="43">
        <f t="shared" si="11"/>
        <v>0</v>
      </c>
      <c r="I46" s="43">
        <f t="shared" si="11"/>
        <v>0</v>
      </c>
      <c r="J46" s="43">
        <f t="shared" si="11"/>
        <v>0</v>
      </c>
      <c r="K46" s="43">
        <f t="shared" si="11"/>
        <v>0</v>
      </c>
      <c r="L46" s="43">
        <f t="shared" si="11"/>
        <v>0</v>
      </c>
      <c r="M46" s="43">
        <f t="shared" si="11"/>
        <v>0</v>
      </c>
      <c r="N46" s="43"/>
      <c r="O46" s="43"/>
      <c r="P46" s="43"/>
      <c r="Q46" s="43"/>
      <c r="R46" s="43"/>
      <c r="S46" s="43"/>
      <c r="T46" s="43"/>
      <c r="U46" s="43">
        <f t="shared" si="1"/>
        <v>-772943.54</v>
      </c>
      <c r="V46" s="52"/>
      <c r="W46" s="43">
        <f>U46-'Adj List'!F26</f>
        <v>0</v>
      </c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</row>
    <row r="47" spans="1:34" ht="18" customHeight="1">
      <c r="A47" s="54"/>
      <c r="B47" s="52" t="s">
        <v>119</v>
      </c>
      <c r="C47" s="43">
        <f>C44-C45+C46</f>
        <v>0</v>
      </c>
      <c r="D47" s="43">
        <f t="shared" ref="D47:M47" si="12">D44-D45+D46</f>
        <v>0</v>
      </c>
      <c r="E47" s="43">
        <f t="shared" si="12"/>
        <v>-23333.33</v>
      </c>
      <c r="F47" s="43">
        <f t="shared" si="12"/>
        <v>318399.62029945338</v>
      </c>
      <c r="G47" s="43">
        <f t="shared" si="12"/>
        <v>-772943.54</v>
      </c>
      <c r="H47" s="43">
        <f t="shared" si="12"/>
        <v>53149</v>
      </c>
      <c r="I47" s="43">
        <f t="shared" si="12"/>
        <v>-294695.17000000004</v>
      </c>
      <c r="J47" s="43">
        <f t="shared" si="12"/>
        <v>591747.47</v>
      </c>
      <c r="K47" s="43">
        <f t="shared" si="12"/>
        <v>24087.01999999999</v>
      </c>
      <c r="L47" s="43">
        <f t="shared" si="12"/>
        <v>23543.494504673436</v>
      </c>
      <c r="M47" s="43">
        <f t="shared" si="12"/>
        <v>-432949.29999999981</v>
      </c>
      <c r="N47" s="43">
        <f t="shared" ref="N47:T47" si="13">N44-N45</f>
        <v>-318895.00950387097</v>
      </c>
      <c r="O47" s="43">
        <f t="shared" si="13"/>
        <v>-16573.196741963144</v>
      </c>
      <c r="P47" s="43">
        <f t="shared" si="13"/>
        <v>3326</v>
      </c>
      <c r="Q47" s="43">
        <f t="shared" si="13"/>
        <v>0</v>
      </c>
      <c r="R47" s="43">
        <f t="shared" si="13"/>
        <v>0</v>
      </c>
      <c r="S47" s="43">
        <f t="shared" si="13"/>
        <v>0</v>
      </c>
      <c r="T47" s="43">
        <f t="shared" si="13"/>
        <v>0</v>
      </c>
      <c r="U47" s="43">
        <f t="shared" si="1"/>
        <v>-845136.9414417072</v>
      </c>
      <c r="V47" s="52"/>
      <c r="W47" s="43">
        <f>U47-'Adj List'!G26</f>
        <v>0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1:34" ht="18" customHeight="1">
      <c r="A48" s="54"/>
      <c r="B48" s="52" t="s">
        <v>120</v>
      </c>
      <c r="C48" s="43">
        <f t="shared" ref="C48:U48" si="14">C47-C42</f>
        <v>0</v>
      </c>
      <c r="D48" s="43">
        <f t="shared" si="14"/>
        <v>0</v>
      </c>
      <c r="E48" s="43">
        <f t="shared" si="14"/>
        <v>0</v>
      </c>
      <c r="F48" s="43">
        <f t="shared" si="14"/>
        <v>0</v>
      </c>
      <c r="G48" s="43">
        <f t="shared" si="14"/>
        <v>0</v>
      </c>
      <c r="H48" s="43">
        <f t="shared" si="14"/>
        <v>0</v>
      </c>
      <c r="I48" s="43">
        <f t="shared" si="14"/>
        <v>0</v>
      </c>
      <c r="J48" s="43">
        <f t="shared" si="14"/>
        <v>0</v>
      </c>
      <c r="K48" s="43">
        <f t="shared" si="14"/>
        <v>0</v>
      </c>
      <c r="L48" s="43">
        <f t="shared" si="14"/>
        <v>0</v>
      </c>
      <c r="M48" s="43">
        <f t="shared" si="14"/>
        <v>0</v>
      </c>
      <c r="N48" s="43">
        <f t="shared" si="14"/>
        <v>0</v>
      </c>
      <c r="O48" s="43">
        <f t="shared" si="14"/>
        <v>0</v>
      </c>
      <c r="P48" s="43">
        <f t="shared" si="14"/>
        <v>0</v>
      </c>
      <c r="Q48" s="43">
        <f t="shared" si="14"/>
        <v>0</v>
      </c>
      <c r="R48" s="43">
        <f t="shared" si="14"/>
        <v>0</v>
      </c>
      <c r="S48" s="43">
        <f t="shared" si="14"/>
        <v>0</v>
      </c>
      <c r="T48" s="43">
        <f t="shared" si="14"/>
        <v>0</v>
      </c>
      <c r="U48" s="43">
        <f t="shared" si="14"/>
        <v>0</v>
      </c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</row>
    <row r="49" spans="1:34" ht="18" customHeight="1">
      <c r="A49" s="54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</row>
    <row r="50" spans="1:34" ht="18" customHeight="1">
      <c r="A50" s="54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1:34">
      <c r="A51" s="54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4">
      <c r="A52" s="54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  <row r="53" spans="1:34">
      <c r="A53" s="54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4">
      <c r="A54" s="54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</row>
    <row r="55" spans="1:34">
      <c r="A55" s="54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</row>
    <row r="56" spans="1:34">
      <c r="A56" s="54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</row>
    <row r="57" spans="1:34">
      <c r="A57" s="54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</row>
    <row r="58" spans="1:34">
      <c r="A58" s="54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</row>
    <row r="59" spans="1:34">
      <c r="A59" s="54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  <row r="60" spans="1:34">
      <c r="A60" s="54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</row>
    <row r="61" spans="1:34">
      <c r="A61" s="54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</row>
    <row r="62" spans="1:34">
      <c r="A62" s="54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</row>
    <row r="63" spans="1:34">
      <c r="A63" s="54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</row>
    <row r="64" spans="1:34">
      <c r="A64" s="54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</row>
    <row r="65" spans="1:34">
      <c r="A65" s="54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</row>
    <row r="66" spans="1:34">
      <c r="A66" s="54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</row>
    <row r="67" spans="1:34">
      <c r="A67" s="54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</row>
    <row r="68" spans="1:34">
      <c r="A68" s="54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</row>
    <row r="69" spans="1:34">
      <c r="A69" s="54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</row>
    <row r="70" spans="1:34">
      <c r="A70" s="54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</row>
    <row r="71" spans="1:34">
      <c r="A71" s="54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</row>
    <row r="72" spans="1:34">
      <c r="A72" s="54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</row>
    <row r="73" spans="1:34">
      <c r="A73" s="54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</row>
    <row r="74" spans="1:34">
      <c r="A74" s="54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</row>
    <row r="75" spans="1:34">
      <c r="A75" s="54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</row>
    <row r="76" spans="1:34">
      <c r="A76" s="54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</row>
    <row r="77" spans="1:34">
      <c r="A77" s="54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</row>
    <row r="78" spans="1:34">
      <c r="A78" s="54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</row>
    <row r="79" spans="1:34">
      <c r="A79" s="54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</row>
    <row r="80" spans="1:34">
      <c r="A80" s="54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</row>
    <row r="81" spans="1:34">
      <c r="A81" s="54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</row>
    <row r="82" spans="1:34">
      <c r="A82" s="54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</row>
    <row r="83" spans="1:34">
      <c r="A83" s="54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</row>
    <row r="84" spans="1:34">
      <c r="A84" s="54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</row>
    <row r="85" spans="1:34">
      <c r="A85" s="54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</row>
    <row r="86" spans="1:34">
      <c r="A86" s="54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</row>
    <row r="87" spans="1:34">
      <c r="A87" s="54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</row>
    <row r="88" spans="1:34">
      <c r="A88" s="54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</row>
    <row r="89" spans="1:34">
      <c r="A89" s="54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</row>
    <row r="90" spans="1:34">
      <c r="A90" s="54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</row>
    <row r="91" spans="1:34">
      <c r="A91" s="54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</row>
    <row r="92" spans="1:34">
      <c r="A92" s="54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</row>
    <row r="93" spans="1:34">
      <c r="A93" s="54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</row>
    <row r="94" spans="1:34">
      <c r="A94" s="54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</row>
    <row r="95" spans="1:34">
      <c r="A95" s="54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</row>
    <row r="96" spans="1:34">
      <c r="A96" s="54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</row>
    <row r="97" spans="1:34">
      <c r="A97" s="54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</row>
    <row r="98" spans="1:34">
      <c r="A98" s="54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</row>
    <row r="99" spans="1:34">
      <c r="A99" s="54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</row>
    <row r="100" spans="1:34">
      <c r="A100" s="54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</row>
    <row r="101" spans="1:34">
      <c r="A101" s="54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</row>
    <row r="102" spans="1:34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</row>
    <row r="103" spans="1:34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</row>
    <row r="104" spans="1:34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</row>
    <row r="105" spans="1:34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</row>
    <row r="106" spans="1:34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</row>
    <row r="107" spans="1:34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</row>
    <row r="108" spans="1:34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</row>
    <row r="109" spans="1:34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</row>
    <row r="110" spans="1:34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</row>
    <row r="111" spans="1:34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</row>
    <row r="112" spans="1:34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</row>
    <row r="113" spans="2:28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</row>
    <row r="114" spans="2:28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</row>
    <row r="115" spans="2:28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</row>
    <row r="116" spans="2:28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</row>
    <row r="117" spans="2:28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</row>
    <row r="118" spans="2:28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</row>
    <row r="119" spans="2:28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</row>
    <row r="120" spans="2:28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</row>
    <row r="121" spans="2:28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</row>
    <row r="122" spans="2:28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</row>
    <row r="123" spans="2:28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</row>
    <row r="124" spans="2:28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</row>
    <row r="125" spans="2:28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</row>
    <row r="126" spans="2:28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</row>
    <row r="127" spans="2:28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</row>
    <row r="128" spans="2:28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</row>
    <row r="129" spans="2:28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</row>
    <row r="130" spans="2:28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</row>
    <row r="131" spans="2:28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</row>
    <row r="132" spans="2:28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</row>
    <row r="133" spans="2:28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</row>
    <row r="134" spans="2:28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</row>
    <row r="135" spans="2:28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</row>
    <row r="136" spans="2:28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</row>
    <row r="137" spans="2:28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</row>
    <row r="138" spans="2:28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2:28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2:28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2:28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2:28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2:28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2:28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2:28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2:28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2:28">
      <c r="V147" s="52"/>
      <c r="W147" s="52"/>
      <c r="X147" s="52"/>
      <c r="Y147" s="52"/>
      <c r="Z147" s="52"/>
      <c r="AA147" s="52"/>
      <c r="AB147" s="52"/>
    </row>
    <row r="148" spans="2:28">
      <c r="V148" s="52"/>
      <c r="W148" s="52"/>
      <c r="X148" s="52"/>
      <c r="Y148" s="52"/>
      <c r="Z148" s="52"/>
      <c r="AA148" s="52"/>
      <c r="AB148" s="52"/>
    </row>
    <row r="149" spans="2:28">
      <c r="V149" s="52"/>
      <c r="W149" s="52"/>
      <c r="X149" s="52"/>
      <c r="Y149" s="52"/>
      <c r="Z149" s="52"/>
      <c r="AA149" s="52"/>
      <c r="AB149" s="52"/>
    </row>
    <row r="150" spans="2:28">
      <c r="V150" s="52"/>
      <c r="W150" s="52"/>
      <c r="X150" s="52"/>
      <c r="Y150" s="52"/>
      <c r="Z150" s="52"/>
      <c r="AA150" s="52"/>
      <c r="AB150" s="52"/>
    </row>
    <row r="151" spans="2:28">
      <c r="V151" s="52"/>
      <c r="W151" s="52"/>
      <c r="X151" s="52"/>
      <c r="Y151" s="52"/>
      <c r="Z151" s="52"/>
      <c r="AA151" s="52"/>
      <c r="AB151" s="52"/>
    </row>
  </sheetData>
  <conditionalFormatting sqref="C48:U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W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W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W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W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W44:W47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25" right="0.25" top="0.75" bottom="0.75" header="0.3" footer="0.3"/>
  <pageSetup scale="59" orientation="landscape" r:id="rId1"/>
  <headerFooter>
    <oddFooter>&amp;RExhibit  JW-2
Page &amp;P of &amp;N</oddFooter>
  </headerFooter>
  <ignoredErrors>
    <ignoredError sqref="C31:U37 C48:U48 C38:F38 H38:U38 C39:U44 N45:U45 N47:U4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pageSetUpPr fitToPage="1"/>
  </sheetPr>
  <dimension ref="A1:O34"/>
  <sheetViews>
    <sheetView view="pageBreakPreview" zoomScaleNormal="100" zoomScaleSheetLayoutView="100" workbookViewId="0">
      <selection activeCell="Q30" sqref="Q30"/>
    </sheetView>
  </sheetViews>
  <sheetFormatPr defaultColWidth="9.140625" defaultRowHeight="12.75"/>
  <cols>
    <col min="1" max="1" width="5.85546875" style="10" customWidth="1"/>
    <col min="2" max="2" width="2.28515625" style="10" customWidth="1"/>
    <col min="3" max="3" width="11.7109375" style="10" customWidth="1"/>
    <col min="4" max="4" width="10.85546875" style="10" customWidth="1"/>
    <col min="5" max="5" width="5.85546875" style="10" customWidth="1"/>
    <col min="6" max="6" width="15.28515625" style="2" customWidth="1"/>
    <col min="7" max="7" width="3.28515625" style="2" customWidth="1"/>
    <col min="8" max="8" width="15.7109375" style="2" customWidth="1"/>
    <col min="9" max="9" width="11.85546875" style="10" bestFit="1" customWidth="1"/>
    <col min="10" max="10" width="9.140625" style="10"/>
    <col min="11" max="11" width="12.5703125" style="10" customWidth="1"/>
    <col min="12" max="16384" width="9.140625" style="10"/>
  </cols>
  <sheetData>
    <row r="1" spans="1:15">
      <c r="G1" s="128"/>
      <c r="H1" s="128" t="s">
        <v>27</v>
      </c>
    </row>
    <row r="2" spans="1:15" ht="20.25" customHeight="1">
      <c r="G2" s="128"/>
      <c r="H2" s="128"/>
    </row>
    <row r="3" spans="1:15">
      <c r="G3" s="128"/>
      <c r="H3" s="128"/>
    </row>
    <row r="4" spans="1:15">
      <c r="A4" s="286" t="str">
        <f>RevReq!A1</f>
        <v>BLUE GRASS ENERGY</v>
      </c>
      <c r="B4" s="286"/>
      <c r="C4" s="286"/>
      <c r="D4" s="286"/>
      <c r="E4" s="286"/>
      <c r="F4" s="286"/>
      <c r="G4" s="286"/>
      <c r="H4" s="286"/>
      <c r="J4" s="7"/>
      <c r="K4" s="7"/>
      <c r="L4" s="7"/>
      <c r="M4" s="7"/>
      <c r="N4" s="7"/>
      <c r="O4" s="7"/>
    </row>
    <row r="5" spans="1:15">
      <c r="A5" s="286" t="str">
        <f>RevReq!A3</f>
        <v>For the 12 Months Ended Dec 31, 2024</v>
      </c>
      <c r="B5" s="286"/>
      <c r="C5" s="286"/>
      <c r="D5" s="286"/>
      <c r="E5" s="286"/>
      <c r="F5" s="286"/>
      <c r="G5" s="286"/>
      <c r="H5" s="286"/>
    </row>
    <row r="7" spans="1:15" s="6" customFormat="1" ht="15" customHeight="1">
      <c r="A7" s="287" t="s">
        <v>171</v>
      </c>
      <c r="B7" s="287"/>
      <c r="C7" s="287"/>
      <c r="D7" s="287"/>
      <c r="E7" s="287"/>
      <c r="F7" s="287"/>
      <c r="G7" s="287"/>
      <c r="H7" s="287"/>
    </row>
    <row r="9" spans="1:15">
      <c r="A9" s="9" t="s">
        <v>0</v>
      </c>
      <c r="C9" s="9" t="s">
        <v>16</v>
      </c>
      <c r="D9" s="9" t="s">
        <v>17</v>
      </c>
      <c r="E9" s="9"/>
      <c r="F9" s="1" t="s">
        <v>23</v>
      </c>
      <c r="G9" s="1"/>
      <c r="H9" s="1" t="s">
        <v>24</v>
      </c>
    </row>
    <row r="10" spans="1:15">
      <c r="A10" s="11" t="s">
        <v>21</v>
      </c>
      <c r="C10" s="12" t="s">
        <v>18</v>
      </c>
      <c r="D10" s="12" t="s">
        <v>20</v>
      </c>
      <c r="E10" s="9"/>
      <c r="F10" s="130" t="s">
        <v>19</v>
      </c>
      <c r="G10" s="130"/>
      <c r="H10" s="130" t="s">
        <v>25</v>
      </c>
    </row>
    <row r="11" spans="1:15">
      <c r="A11" s="9">
        <v>1</v>
      </c>
      <c r="C11" s="10" t="s">
        <v>583</v>
      </c>
      <c r="F11" s="119">
        <v>-1281425.6000000001</v>
      </c>
    </row>
    <row r="12" spans="1:15">
      <c r="A12" s="9">
        <f>A11+1</f>
        <v>2</v>
      </c>
      <c r="C12" s="9">
        <v>2023</v>
      </c>
      <c r="D12" s="1" t="s">
        <v>6</v>
      </c>
      <c r="E12" s="13"/>
      <c r="F12" s="119">
        <v>1540174.96</v>
      </c>
      <c r="G12" s="119"/>
      <c r="H12" s="119">
        <v>1494536</v>
      </c>
    </row>
    <row r="13" spans="1:15">
      <c r="A13" s="9">
        <f t="shared" ref="A13:A31" si="0">A12+1</f>
        <v>3</v>
      </c>
      <c r="C13" s="9">
        <f>C12</f>
        <v>2023</v>
      </c>
      <c r="D13" s="1" t="s">
        <v>7</v>
      </c>
      <c r="E13" s="13"/>
      <c r="F13" s="119">
        <v>1005292.57</v>
      </c>
      <c r="G13" s="119"/>
      <c r="H13" s="119">
        <v>1809235</v>
      </c>
      <c r="L13" s="140"/>
    </row>
    <row r="14" spans="1:15">
      <c r="A14" s="9">
        <f t="shared" si="0"/>
        <v>4</v>
      </c>
      <c r="C14" s="9">
        <f t="shared" ref="C14:C23" si="1">C13</f>
        <v>2023</v>
      </c>
      <c r="D14" s="1" t="s">
        <v>8</v>
      </c>
      <c r="E14" s="13"/>
      <c r="F14" s="119">
        <v>829640.47</v>
      </c>
      <c r="G14" s="119"/>
      <c r="H14" s="119">
        <v>1199213</v>
      </c>
      <c r="L14" s="140"/>
    </row>
    <row r="15" spans="1:15">
      <c r="A15" s="9">
        <f t="shared" si="0"/>
        <v>5</v>
      </c>
      <c r="C15" s="9">
        <f t="shared" si="1"/>
        <v>2023</v>
      </c>
      <c r="D15" s="1" t="s">
        <v>9</v>
      </c>
      <c r="E15" s="13"/>
      <c r="F15" s="119">
        <v>1247134.27</v>
      </c>
      <c r="G15" s="119"/>
      <c r="H15" s="119">
        <v>238057</v>
      </c>
      <c r="L15" s="140"/>
    </row>
    <row r="16" spans="1:15">
      <c r="A16" s="9">
        <f t="shared" si="0"/>
        <v>6</v>
      </c>
      <c r="C16" s="9">
        <f t="shared" si="1"/>
        <v>2023</v>
      </c>
      <c r="D16" s="1" t="s">
        <v>10</v>
      </c>
      <c r="E16" s="13"/>
      <c r="F16" s="119">
        <v>850357.78</v>
      </c>
      <c r="G16" s="119"/>
      <c r="H16" s="119">
        <v>899054</v>
      </c>
      <c r="L16" s="140"/>
    </row>
    <row r="17" spans="1:12">
      <c r="A17" s="9">
        <f t="shared" si="0"/>
        <v>7</v>
      </c>
      <c r="C17" s="9">
        <f t="shared" si="1"/>
        <v>2023</v>
      </c>
      <c r="D17" s="1" t="s">
        <v>11</v>
      </c>
      <c r="E17" s="13"/>
      <c r="F17" s="119">
        <v>749382</v>
      </c>
      <c r="G17" s="119"/>
      <c r="H17" s="119">
        <v>950416</v>
      </c>
      <c r="L17" s="140"/>
    </row>
    <row r="18" spans="1:12">
      <c r="A18" s="9">
        <f t="shared" si="0"/>
        <v>8</v>
      </c>
      <c r="C18" s="9">
        <f t="shared" si="1"/>
        <v>2023</v>
      </c>
      <c r="D18" s="1" t="s">
        <v>12</v>
      </c>
      <c r="E18" s="13"/>
      <c r="F18" s="119">
        <v>1305776.54</v>
      </c>
      <c r="G18" s="119"/>
      <c r="H18" s="119">
        <v>781803</v>
      </c>
      <c r="L18" s="140"/>
    </row>
    <row r="19" spans="1:12">
      <c r="A19" s="9">
        <f t="shared" si="0"/>
        <v>9</v>
      </c>
      <c r="C19" s="9">
        <f t="shared" si="1"/>
        <v>2023</v>
      </c>
      <c r="D19" s="1" t="s">
        <v>13</v>
      </c>
      <c r="E19" s="13"/>
      <c r="F19" s="119">
        <v>1178807.6000000001</v>
      </c>
      <c r="G19" s="119"/>
      <c r="H19" s="119">
        <v>975439</v>
      </c>
      <c r="L19" s="140"/>
    </row>
    <row r="20" spans="1:12">
      <c r="A20" s="9">
        <f t="shared" si="0"/>
        <v>10</v>
      </c>
      <c r="C20" s="9">
        <f t="shared" si="1"/>
        <v>2023</v>
      </c>
      <c r="D20" s="1" t="s">
        <v>2</v>
      </c>
      <c r="E20" s="13"/>
      <c r="F20" s="119">
        <v>682991.84</v>
      </c>
      <c r="G20" s="119"/>
      <c r="H20" s="119">
        <v>693658</v>
      </c>
      <c r="L20" s="140"/>
    </row>
    <row r="21" spans="1:12">
      <c r="A21" s="9">
        <f t="shared" si="0"/>
        <v>11</v>
      </c>
      <c r="C21" s="9">
        <f t="shared" si="1"/>
        <v>2023</v>
      </c>
      <c r="D21" s="1" t="s">
        <v>3</v>
      </c>
      <c r="E21" s="13"/>
      <c r="F21" s="119">
        <v>553729.43999999994</v>
      </c>
      <c r="G21" s="119"/>
      <c r="H21" s="119">
        <v>-441377</v>
      </c>
      <c r="L21" s="140"/>
    </row>
    <row r="22" spans="1:12">
      <c r="A22" s="9">
        <f t="shared" si="0"/>
        <v>12</v>
      </c>
      <c r="C22" s="9">
        <f t="shared" si="1"/>
        <v>2023</v>
      </c>
      <c r="D22" s="1" t="s">
        <v>4</v>
      </c>
      <c r="E22" s="13"/>
      <c r="F22" s="119">
        <v>478926.1</v>
      </c>
      <c r="G22" s="119"/>
      <c r="H22" s="119">
        <v>-683269</v>
      </c>
      <c r="L22" s="140"/>
    </row>
    <row r="23" spans="1:12">
      <c r="A23" s="9">
        <f t="shared" si="0"/>
        <v>13</v>
      </c>
      <c r="C23" s="9">
        <f t="shared" si="1"/>
        <v>2023</v>
      </c>
      <c r="D23" s="1" t="s">
        <v>5</v>
      </c>
      <c r="E23" s="13"/>
      <c r="F23" s="119">
        <v>-561939.67000000004</v>
      </c>
      <c r="G23" s="119"/>
      <c r="H23" s="119">
        <v>-995419</v>
      </c>
      <c r="L23" s="140"/>
    </row>
    <row r="24" spans="1:12">
      <c r="A24" s="9">
        <f t="shared" si="0"/>
        <v>14</v>
      </c>
      <c r="C24" s="10" t="s">
        <v>582</v>
      </c>
      <c r="F24" s="119">
        <v>-1657502.3000000007</v>
      </c>
      <c r="L24" s="140"/>
    </row>
    <row r="25" spans="1:12">
      <c r="A25" s="9">
        <f t="shared" si="0"/>
        <v>15</v>
      </c>
      <c r="C25" s="15"/>
      <c r="D25" s="4" t="s">
        <v>14</v>
      </c>
      <c r="E25" s="16"/>
      <c r="F25" s="155">
        <f>SUM(F11:F24)</f>
        <v>6921345.9999999981</v>
      </c>
      <c r="G25" s="155"/>
      <c r="H25" s="155">
        <f>SUM(H12:H23)</f>
        <v>6921346</v>
      </c>
      <c r="I25" s="140">
        <f>H25-F25</f>
        <v>0</v>
      </c>
      <c r="L25" s="140"/>
    </row>
    <row r="26" spans="1:12">
      <c r="A26" s="9">
        <f t="shared" si="0"/>
        <v>16</v>
      </c>
      <c r="D26" s="2"/>
      <c r="E26" s="17"/>
      <c r="F26" s="117"/>
      <c r="G26" s="117"/>
    </row>
    <row r="27" spans="1:12">
      <c r="A27" s="9">
        <f t="shared" si="0"/>
        <v>17</v>
      </c>
      <c r="C27" s="2" t="s">
        <v>36</v>
      </c>
      <c r="D27" s="2"/>
      <c r="E27" s="17"/>
      <c r="F27" s="107">
        <f>F25</f>
        <v>6921345.9999999981</v>
      </c>
      <c r="G27" s="107"/>
      <c r="H27" s="107">
        <f>H25</f>
        <v>6921346</v>
      </c>
    </row>
    <row r="28" spans="1:12">
      <c r="A28" s="9">
        <f t="shared" si="0"/>
        <v>18</v>
      </c>
      <c r="C28" s="2"/>
      <c r="D28" s="2"/>
      <c r="E28" s="17"/>
      <c r="F28" s="117"/>
      <c r="G28" s="117"/>
    </row>
    <row r="29" spans="1:12">
      <c r="A29" s="9">
        <f t="shared" si="0"/>
        <v>19</v>
      </c>
      <c r="C29" s="2" t="s">
        <v>37</v>
      </c>
      <c r="E29" s="13"/>
      <c r="F29" s="119">
        <v>0</v>
      </c>
      <c r="G29" s="119"/>
      <c r="H29" s="119">
        <v>0</v>
      </c>
    </row>
    <row r="30" spans="1:12">
      <c r="A30" s="9">
        <f t="shared" si="0"/>
        <v>20</v>
      </c>
      <c r="C30" s="2"/>
    </row>
    <row r="31" spans="1:12" ht="13.5" thickBot="1">
      <c r="A31" s="9">
        <f t="shared" si="0"/>
        <v>21</v>
      </c>
      <c r="C31" s="3" t="s">
        <v>15</v>
      </c>
      <c r="D31" s="19"/>
      <c r="E31" s="20"/>
      <c r="F31" s="126">
        <f>ROUND(F29-F27,2)</f>
        <v>-6921346</v>
      </c>
      <c r="G31" s="156"/>
      <c r="H31" s="126">
        <f>ROUND(H29-H27,2)</f>
        <v>-6921346</v>
      </c>
    </row>
    <row r="32" spans="1:12" ht="13.5" thickTop="1"/>
    <row r="34" spans="3:8" ht="30" customHeight="1">
      <c r="C34" s="288" t="s">
        <v>38</v>
      </c>
      <c r="D34" s="288"/>
      <c r="E34" s="288"/>
      <c r="F34" s="288"/>
      <c r="G34" s="288"/>
      <c r="H34" s="288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D10:H10 C10 D11:E11 G11:H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pageSetUpPr fitToPage="1"/>
  </sheetPr>
  <dimension ref="A1:L34"/>
  <sheetViews>
    <sheetView view="pageBreakPreview" zoomScaleNormal="100" zoomScaleSheetLayoutView="100" workbookViewId="0">
      <selection activeCell="K18" sqref="K18"/>
    </sheetView>
  </sheetViews>
  <sheetFormatPr defaultColWidth="9.140625" defaultRowHeight="12.75"/>
  <cols>
    <col min="1" max="1" width="5.85546875" style="10" customWidth="1"/>
    <col min="2" max="2" width="2.28515625" style="10" customWidth="1"/>
    <col min="3" max="3" width="11.7109375" style="10" customWidth="1"/>
    <col min="4" max="4" width="10.85546875" style="10" customWidth="1"/>
    <col min="5" max="5" width="5.85546875" style="10" customWidth="1"/>
    <col min="6" max="6" width="15.28515625" style="2" customWidth="1"/>
    <col min="7" max="7" width="3.28515625" style="2" customWidth="1"/>
    <col min="8" max="8" width="14.42578125" style="2" customWidth="1"/>
    <col min="9" max="9" width="10.28515625" style="10" bestFit="1" customWidth="1"/>
    <col min="10" max="10" width="13.140625" style="10" bestFit="1" customWidth="1"/>
    <col min="11" max="11" width="10.5703125" style="10" bestFit="1" customWidth="1"/>
    <col min="12" max="16384" width="9.140625" style="10"/>
  </cols>
  <sheetData>
    <row r="1" spans="1:12">
      <c r="G1" s="128"/>
      <c r="H1" s="128" t="s">
        <v>26</v>
      </c>
    </row>
    <row r="2" spans="1:12" ht="20.25" customHeight="1">
      <c r="G2" s="128"/>
      <c r="H2" s="128"/>
    </row>
    <row r="3" spans="1:12">
      <c r="G3" s="128"/>
      <c r="H3" s="128"/>
    </row>
    <row r="4" spans="1:12">
      <c r="A4" s="286" t="str">
        <f>RevReq!A1</f>
        <v>BLUE GRASS ENERGY</v>
      </c>
      <c r="B4" s="286"/>
      <c r="C4" s="286"/>
      <c r="D4" s="286"/>
      <c r="E4" s="286"/>
      <c r="F4" s="286"/>
      <c r="G4" s="286"/>
      <c r="H4" s="286"/>
    </row>
    <row r="5" spans="1:12">
      <c r="A5" s="286" t="str">
        <f>RevReq!A3</f>
        <v>For the 12 Months Ended Dec 31, 2024</v>
      </c>
      <c r="B5" s="286"/>
      <c r="C5" s="286"/>
      <c r="D5" s="286"/>
      <c r="E5" s="286"/>
      <c r="F5" s="286"/>
      <c r="G5" s="286"/>
      <c r="H5" s="286"/>
    </row>
    <row r="7" spans="1:12" s="6" customFormat="1" ht="15" customHeight="1">
      <c r="A7" s="287" t="s">
        <v>125</v>
      </c>
      <c r="B7" s="287"/>
      <c r="C7" s="287"/>
      <c r="D7" s="287"/>
      <c r="E7" s="287"/>
      <c r="F7" s="287"/>
      <c r="G7" s="287"/>
      <c r="H7" s="287"/>
    </row>
    <row r="9" spans="1:12">
      <c r="A9" s="9" t="s">
        <v>0</v>
      </c>
      <c r="C9" s="9" t="s">
        <v>16</v>
      </c>
      <c r="D9" s="9" t="s">
        <v>17</v>
      </c>
      <c r="E9" s="9"/>
      <c r="F9" s="1" t="s">
        <v>23</v>
      </c>
      <c r="G9" s="1"/>
      <c r="H9" s="1" t="s">
        <v>24</v>
      </c>
    </row>
    <row r="10" spans="1:12">
      <c r="A10" s="11" t="s">
        <v>21</v>
      </c>
      <c r="C10" s="12" t="s">
        <v>18</v>
      </c>
      <c r="D10" s="12" t="s">
        <v>20</v>
      </c>
      <c r="E10" s="9"/>
      <c r="F10" s="130" t="s">
        <v>19</v>
      </c>
      <c r="G10" s="130"/>
      <c r="H10" s="130" t="s">
        <v>25</v>
      </c>
    </row>
    <row r="11" spans="1:12">
      <c r="A11" s="9">
        <v>1</v>
      </c>
      <c r="C11" s="10" t="s">
        <v>585</v>
      </c>
      <c r="F11" s="119">
        <v>-179178.33</v>
      </c>
    </row>
    <row r="12" spans="1:12">
      <c r="A12" s="9">
        <f>A11+1</f>
        <v>2</v>
      </c>
      <c r="C12" s="9">
        <v>2023</v>
      </c>
      <c r="D12" s="1" t="s">
        <v>6</v>
      </c>
      <c r="E12" s="13"/>
      <c r="F12" s="119">
        <v>1902337.45</v>
      </c>
      <c r="G12" s="119"/>
      <c r="H12" s="119">
        <v>2035462</v>
      </c>
      <c r="J12" s="22"/>
      <c r="K12" s="140"/>
    </row>
    <row r="13" spans="1:12">
      <c r="A13" s="9">
        <f t="shared" ref="A13:A31" si="0">A12+1</f>
        <v>3</v>
      </c>
      <c r="C13" s="9">
        <f>C12</f>
        <v>2023</v>
      </c>
      <c r="D13" s="1" t="s">
        <v>7</v>
      </c>
      <c r="E13" s="13"/>
      <c r="F13" s="119">
        <v>1677526.52</v>
      </c>
      <c r="G13" s="119"/>
      <c r="H13" s="119">
        <v>1455660</v>
      </c>
      <c r="J13" s="22"/>
      <c r="K13" s="140"/>
      <c r="L13" s="140"/>
    </row>
    <row r="14" spans="1:12">
      <c r="A14" s="9">
        <f t="shared" si="0"/>
        <v>4</v>
      </c>
      <c r="C14" s="9">
        <f t="shared" ref="C14:C23" si="1">C13</f>
        <v>2023</v>
      </c>
      <c r="D14" s="1" t="s">
        <v>8</v>
      </c>
      <c r="E14" s="13"/>
      <c r="F14" s="119">
        <v>1225343.78</v>
      </c>
      <c r="G14" s="119"/>
      <c r="H14" s="119">
        <v>868422</v>
      </c>
      <c r="J14" s="22"/>
      <c r="K14" s="140"/>
      <c r="L14" s="140"/>
    </row>
    <row r="15" spans="1:12">
      <c r="A15" s="9">
        <f t="shared" si="0"/>
        <v>5</v>
      </c>
      <c r="C15" s="9">
        <f t="shared" si="1"/>
        <v>2023</v>
      </c>
      <c r="D15" s="1" t="s">
        <v>9</v>
      </c>
      <c r="E15" s="13"/>
      <c r="F15" s="119">
        <v>862586.93</v>
      </c>
      <c r="G15" s="119"/>
      <c r="H15" s="119">
        <v>890168</v>
      </c>
      <c r="J15" s="22"/>
      <c r="K15" s="140"/>
      <c r="L15" s="140"/>
    </row>
    <row r="16" spans="1:12">
      <c r="A16" s="9">
        <f t="shared" si="0"/>
        <v>6</v>
      </c>
      <c r="C16" s="9">
        <f t="shared" si="1"/>
        <v>2023</v>
      </c>
      <c r="D16" s="1" t="s">
        <v>10</v>
      </c>
      <c r="E16" s="13"/>
      <c r="F16" s="119">
        <v>1120052.17</v>
      </c>
      <c r="G16" s="119"/>
      <c r="H16" s="119">
        <v>1283979</v>
      </c>
      <c r="J16" s="22"/>
      <c r="K16" s="140"/>
      <c r="L16" s="140"/>
    </row>
    <row r="17" spans="1:12">
      <c r="A17" s="9">
        <f t="shared" si="0"/>
        <v>7</v>
      </c>
      <c r="C17" s="9">
        <f t="shared" si="1"/>
        <v>2023</v>
      </c>
      <c r="D17" s="1" t="s">
        <v>11</v>
      </c>
      <c r="E17" s="13"/>
      <c r="F17" s="119">
        <v>1441985.15</v>
      </c>
      <c r="G17" s="119"/>
      <c r="H17" s="119">
        <v>1809101</v>
      </c>
      <c r="J17" s="22"/>
      <c r="K17" s="140"/>
      <c r="L17" s="140"/>
    </row>
    <row r="18" spans="1:12">
      <c r="A18" s="9">
        <f t="shared" si="0"/>
        <v>8</v>
      </c>
      <c r="C18" s="9">
        <f t="shared" si="1"/>
        <v>2023</v>
      </c>
      <c r="D18" s="1" t="s">
        <v>12</v>
      </c>
      <c r="E18" s="13"/>
      <c r="F18" s="119">
        <v>2079833.59</v>
      </c>
      <c r="G18" s="119"/>
      <c r="H18" s="119">
        <v>1737724</v>
      </c>
      <c r="J18" s="22"/>
      <c r="K18" s="140"/>
      <c r="L18" s="140"/>
    </row>
    <row r="19" spans="1:12">
      <c r="A19" s="9">
        <f t="shared" si="0"/>
        <v>9</v>
      </c>
      <c r="C19" s="9">
        <f t="shared" si="1"/>
        <v>2023</v>
      </c>
      <c r="D19" s="1" t="s">
        <v>13</v>
      </c>
      <c r="E19" s="13"/>
      <c r="F19" s="119">
        <v>1962368.59</v>
      </c>
      <c r="G19" s="119"/>
      <c r="H19" s="119">
        <v>1178807.6000000001</v>
      </c>
      <c r="J19" s="22"/>
      <c r="K19" s="140"/>
      <c r="L19" s="140"/>
    </row>
    <row r="20" spans="1:12">
      <c r="A20" s="9">
        <f t="shared" si="0"/>
        <v>10</v>
      </c>
      <c r="C20" s="9">
        <f t="shared" si="1"/>
        <v>2023</v>
      </c>
      <c r="D20" s="1" t="s">
        <v>2</v>
      </c>
      <c r="E20" s="13"/>
      <c r="F20" s="119">
        <v>1629354.08</v>
      </c>
      <c r="G20" s="119"/>
      <c r="H20" s="119">
        <v>1503400</v>
      </c>
      <c r="J20" s="22"/>
      <c r="K20" s="140"/>
      <c r="L20" s="140"/>
    </row>
    <row r="21" spans="1:12">
      <c r="A21" s="9">
        <f t="shared" si="0"/>
        <v>11</v>
      </c>
      <c r="C21" s="9">
        <f t="shared" si="1"/>
        <v>2023</v>
      </c>
      <c r="D21" s="1" t="s">
        <v>3</v>
      </c>
      <c r="E21" s="13"/>
      <c r="F21" s="119">
        <v>1497595.86</v>
      </c>
      <c r="G21" s="119"/>
      <c r="H21" s="119">
        <v>1167465</v>
      </c>
      <c r="J21" s="22"/>
      <c r="K21" s="140"/>
      <c r="L21" s="140"/>
    </row>
    <row r="22" spans="1:12">
      <c r="A22" s="9">
        <f t="shared" si="0"/>
        <v>12</v>
      </c>
      <c r="C22" s="9">
        <f t="shared" si="1"/>
        <v>2023</v>
      </c>
      <c r="D22" s="1" t="s">
        <v>4</v>
      </c>
      <c r="E22" s="13"/>
      <c r="F22" s="119">
        <v>1360854.66</v>
      </c>
      <c r="G22" s="119"/>
      <c r="H22" s="119">
        <v>1494189</v>
      </c>
      <c r="J22" s="22"/>
      <c r="K22" s="140"/>
      <c r="L22" s="140"/>
    </row>
    <row r="23" spans="1:12">
      <c r="A23" s="9">
        <f t="shared" si="0"/>
        <v>13</v>
      </c>
      <c r="C23" s="9">
        <f t="shared" si="1"/>
        <v>2023</v>
      </c>
      <c r="D23" s="1" t="s">
        <v>5</v>
      </c>
      <c r="E23" s="13"/>
      <c r="F23" s="119">
        <v>1770660.4</v>
      </c>
      <c r="G23" s="119"/>
      <c r="H23" s="119">
        <v>2248737</v>
      </c>
      <c r="J23" s="22"/>
      <c r="K23" s="140"/>
      <c r="L23" s="140"/>
    </row>
    <row r="24" spans="1:12">
      <c r="A24" s="9">
        <f t="shared" si="0"/>
        <v>14</v>
      </c>
      <c r="C24" s="10" t="s">
        <v>584</v>
      </c>
      <c r="F24" s="119">
        <v>-678206.25000000023</v>
      </c>
      <c r="K24" s="140"/>
      <c r="L24" s="140"/>
    </row>
    <row r="25" spans="1:12">
      <c r="A25" s="9">
        <f t="shared" si="0"/>
        <v>15</v>
      </c>
      <c r="C25" s="15"/>
      <c r="D25" s="4" t="s">
        <v>14</v>
      </c>
      <c r="E25" s="16"/>
      <c r="F25" s="155">
        <f>SUM(F11:F24)</f>
        <v>17673114.599999998</v>
      </c>
      <c r="G25" s="155"/>
      <c r="H25" s="155">
        <f>SUM(H12:H23)</f>
        <v>17673114.600000001</v>
      </c>
      <c r="J25" s="140"/>
      <c r="K25" s="140"/>
      <c r="L25" s="140"/>
    </row>
    <row r="26" spans="1:12">
      <c r="A26" s="9">
        <f t="shared" si="0"/>
        <v>16</v>
      </c>
      <c r="D26" s="2"/>
      <c r="E26" s="17"/>
      <c r="F26" s="117"/>
      <c r="G26" s="117"/>
    </row>
    <row r="27" spans="1:12">
      <c r="A27" s="9">
        <f t="shared" si="0"/>
        <v>17</v>
      </c>
      <c r="C27" s="2" t="s">
        <v>36</v>
      </c>
      <c r="D27" s="2"/>
      <c r="E27" s="17"/>
      <c r="F27" s="107">
        <f>F25</f>
        <v>17673114.599999998</v>
      </c>
      <c r="G27" s="107"/>
      <c r="H27" s="107">
        <f>H25</f>
        <v>17673114.600000001</v>
      </c>
    </row>
    <row r="28" spans="1:12">
      <c r="A28" s="9">
        <f t="shared" si="0"/>
        <v>18</v>
      </c>
      <c r="C28" s="2"/>
      <c r="D28" s="2"/>
      <c r="E28" s="17"/>
      <c r="F28" s="107"/>
      <c r="G28" s="107"/>
    </row>
    <row r="29" spans="1:12">
      <c r="A29" s="9">
        <f t="shared" si="0"/>
        <v>19</v>
      </c>
      <c r="C29" s="2" t="s">
        <v>37</v>
      </c>
      <c r="E29" s="13"/>
      <c r="F29" s="119">
        <v>0</v>
      </c>
      <c r="G29" s="119"/>
      <c r="H29" s="119">
        <v>0</v>
      </c>
    </row>
    <row r="30" spans="1:12">
      <c r="A30" s="9">
        <f t="shared" si="0"/>
        <v>20</v>
      </c>
      <c r="C30" s="2"/>
    </row>
    <row r="31" spans="1:12" ht="13.5" thickBot="1">
      <c r="A31" s="9">
        <f t="shared" si="0"/>
        <v>21</v>
      </c>
      <c r="C31" s="3" t="s">
        <v>15</v>
      </c>
      <c r="D31" s="19"/>
      <c r="E31" s="20"/>
      <c r="F31" s="126">
        <f>ROUND(F29-F27,2)</f>
        <v>-17673114.600000001</v>
      </c>
      <c r="G31" s="156"/>
      <c r="H31" s="126">
        <f>ROUND(H29-H27,2)</f>
        <v>-17673114.600000001</v>
      </c>
      <c r="I31" s="140">
        <f>F31-H31</f>
        <v>0</v>
      </c>
    </row>
    <row r="32" spans="1:12" ht="13.5" thickTop="1"/>
    <row r="34" spans="3:8" ht="29.25" customHeight="1">
      <c r="C34" s="288" t="s">
        <v>39</v>
      </c>
      <c r="D34" s="288"/>
      <c r="E34" s="288"/>
      <c r="F34" s="288"/>
      <c r="G34" s="288"/>
      <c r="H34" s="288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E26"/>
  <sheetViews>
    <sheetView view="pageBreakPreview" zoomScaleNormal="75" zoomScaleSheetLayoutView="100" workbookViewId="0">
      <selection activeCell="G14" sqref="G14"/>
    </sheetView>
  </sheetViews>
  <sheetFormatPr defaultColWidth="9.140625" defaultRowHeight="12.75"/>
  <cols>
    <col min="1" max="1" width="5.85546875" style="10" customWidth="1"/>
    <col min="2" max="2" width="2.28515625" style="10" customWidth="1"/>
    <col min="3" max="3" width="37.7109375" style="10" bestFit="1" customWidth="1"/>
    <col min="4" max="4" width="2.42578125" style="10" customWidth="1"/>
    <col min="5" max="5" width="15.7109375" style="10" customWidth="1"/>
    <col min="6" max="16384" width="9.140625" style="10"/>
  </cols>
  <sheetData>
    <row r="1" spans="1:5">
      <c r="E1" s="5" t="s">
        <v>123</v>
      </c>
    </row>
    <row r="2" spans="1:5" ht="20.25" customHeight="1">
      <c r="E2" s="5"/>
    </row>
    <row r="3" spans="1:5">
      <c r="A3" s="286" t="str">
        <f>RevReq!A1</f>
        <v>BLUE GRASS ENERGY</v>
      </c>
      <c r="B3" s="286"/>
      <c r="C3" s="286"/>
      <c r="D3" s="286"/>
      <c r="E3" s="286"/>
    </row>
    <row r="4" spans="1:5">
      <c r="A4" s="286" t="str">
        <f>RevReq!A3</f>
        <v>For the 12 Months Ended Dec 31, 2024</v>
      </c>
      <c r="B4" s="286"/>
      <c r="C4" s="286"/>
      <c r="D4" s="286"/>
      <c r="E4" s="286"/>
    </row>
    <row r="6" spans="1:5" s="6" customFormat="1" ht="15" customHeight="1">
      <c r="A6" s="287" t="s">
        <v>30</v>
      </c>
      <c r="B6" s="287"/>
      <c r="C6" s="287"/>
      <c r="D6" s="287"/>
      <c r="E6" s="287"/>
    </row>
    <row r="8" spans="1:5">
      <c r="A8" s="9" t="s">
        <v>0</v>
      </c>
      <c r="C8" s="9" t="s">
        <v>40</v>
      </c>
      <c r="D8" s="9"/>
      <c r="E8" s="9" t="s">
        <v>24</v>
      </c>
    </row>
    <row r="9" spans="1:5">
      <c r="A9" s="11" t="s">
        <v>21</v>
      </c>
      <c r="C9" s="12" t="s">
        <v>18</v>
      </c>
      <c r="D9" s="12"/>
      <c r="E9" s="12" t="s">
        <v>20</v>
      </c>
    </row>
    <row r="10" spans="1:5">
      <c r="A10" s="9"/>
    </row>
    <row r="11" spans="1:5">
      <c r="A11" s="9">
        <v>1</v>
      </c>
      <c r="C11" s="14" t="s">
        <v>341</v>
      </c>
      <c r="E11" s="249">
        <v>50000</v>
      </c>
    </row>
    <row r="12" spans="1:5">
      <c r="A12" s="9">
        <f>A11+1</f>
        <v>2</v>
      </c>
      <c r="C12" s="14" t="s">
        <v>114</v>
      </c>
      <c r="E12" s="249">
        <v>20000</v>
      </c>
    </row>
    <row r="13" spans="1:5">
      <c r="A13" s="9">
        <f t="shared" ref="A13:A23" si="0">A12+1</f>
        <v>3</v>
      </c>
      <c r="C13" s="15" t="s">
        <v>22</v>
      </c>
      <c r="D13" s="4"/>
      <c r="E13" s="30">
        <f>SUM(E11:E12)</f>
        <v>70000</v>
      </c>
    </row>
    <row r="14" spans="1:5">
      <c r="A14" s="9">
        <f t="shared" si="0"/>
        <v>4</v>
      </c>
      <c r="D14" s="2"/>
    </row>
    <row r="15" spans="1:5">
      <c r="A15" s="9">
        <f t="shared" si="0"/>
        <v>5</v>
      </c>
      <c r="C15" s="2" t="s">
        <v>42</v>
      </c>
      <c r="D15" s="2"/>
      <c r="E15" s="18">
        <f>E13</f>
        <v>70000</v>
      </c>
    </row>
    <row r="16" spans="1:5">
      <c r="A16" s="9">
        <f t="shared" si="0"/>
        <v>6</v>
      </c>
      <c r="C16" s="2" t="s">
        <v>43</v>
      </c>
      <c r="D16" s="2"/>
      <c r="E16" s="18">
        <v>3</v>
      </c>
    </row>
    <row r="17" spans="1:5">
      <c r="A17" s="9">
        <f t="shared" si="0"/>
        <v>7</v>
      </c>
      <c r="C17" s="2" t="s">
        <v>45</v>
      </c>
      <c r="D17" s="2"/>
      <c r="E17" s="18">
        <f>E15/E16</f>
        <v>23333.333333333332</v>
      </c>
    </row>
    <row r="18" spans="1:5">
      <c r="A18" s="9">
        <f t="shared" si="0"/>
        <v>8</v>
      </c>
      <c r="C18" s="2"/>
      <c r="D18" s="2"/>
      <c r="E18" s="18"/>
    </row>
    <row r="19" spans="1:5">
      <c r="A19" s="9">
        <f t="shared" si="0"/>
        <v>9</v>
      </c>
      <c r="C19" s="2" t="s">
        <v>36</v>
      </c>
      <c r="D19" s="2"/>
      <c r="E19" s="18">
        <v>0</v>
      </c>
    </row>
    <row r="20" spans="1:5">
      <c r="A20" s="9">
        <f t="shared" si="0"/>
        <v>10</v>
      </c>
      <c r="C20" s="2"/>
      <c r="D20" s="2"/>
    </row>
    <row r="21" spans="1:5">
      <c r="A21" s="9">
        <f t="shared" si="0"/>
        <v>11</v>
      </c>
      <c r="C21" s="2" t="s">
        <v>37</v>
      </c>
      <c r="E21" s="13">
        <f>E17</f>
        <v>23333.333333333332</v>
      </c>
    </row>
    <row r="22" spans="1:5">
      <c r="A22" s="9">
        <f t="shared" si="0"/>
        <v>12</v>
      </c>
      <c r="C22" s="2"/>
    </row>
    <row r="23" spans="1:5" ht="13.5" thickBot="1">
      <c r="A23" s="9">
        <f t="shared" si="0"/>
        <v>13</v>
      </c>
      <c r="C23" s="3" t="s">
        <v>15</v>
      </c>
      <c r="D23" s="19"/>
      <c r="E23" s="21">
        <f>ROUND(E21-E19,2)</f>
        <v>23333.33</v>
      </c>
    </row>
    <row r="24" spans="1:5" ht="13.5" thickTop="1"/>
    <row r="26" spans="1:5" ht="30" customHeight="1">
      <c r="C26" s="288" t="s">
        <v>46</v>
      </c>
      <c r="D26" s="288"/>
      <c r="E26" s="288"/>
    </row>
  </sheetData>
  <mergeCells count="4">
    <mergeCell ref="C26:E26"/>
    <mergeCell ref="A3:E3"/>
    <mergeCell ref="A4:E4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C9:E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/>
  <dimension ref="A1:P62"/>
  <sheetViews>
    <sheetView view="pageBreakPreview" zoomScaleNormal="100" zoomScaleSheetLayoutView="100" workbookViewId="0">
      <selection activeCell="K46" sqref="K46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3.28515625" style="2" customWidth="1"/>
    <col min="4" max="4" width="10.85546875" style="2" customWidth="1"/>
    <col min="5" max="5" width="4.140625" style="2" customWidth="1"/>
    <col min="6" max="6" width="12.42578125" style="2" customWidth="1"/>
    <col min="7" max="7" width="14.7109375" style="2" bestFit="1" customWidth="1"/>
    <col min="8" max="8" width="9.7109375" style="2" bestFit="1" customWidth="1"/>
    <col min="9" max="9" width="12.28515625" style="2" bestFit="1" customWidth="1"/>
    <col min="10" max="10" width="11.28515625" style="2" bestFit="1" customWidth="1"/>
    <col min="11" max="11" width="14" style="2" bestFit="1" customWidth="1"/>
    <col min="12" max="12" width="12.28515625" style="2" bestFit="1" customWidth="1"/>
    <col min="13" max="13" width="11.28515625" style="2" bestFit="1" customWidth="1"/>
    <col min="14" max="14" width="12.28515625" style="2" bestFit="1" customWidth="1"/>
    <col min="15" max="15" width="11.28515625" style="2" bestFit="1" customWidth="1"/>
    <col min="16" max="16" width="13.5703125" style="2" customWidth="1"/>
    <col min="17" max="16384" width="9.140625" style="2"/>
  </cols>
  <sheetData>
    <row r="1" spans="1:16">
      <c r="P1" s="128" t="s">
        <v>122</v>
      </c>
    </row>
    <row r="2" spans="1:16" ht="20.25" customHeight="1">
      <c r="J2" s="128"/>
    </row>
    <row r="3" spans="1:16">
      <c r="G3" s="128"/>
    </row>
    <row r="4" spans="1:16">
      <c r="A4" s="289" t="str">
        <f>RevReq!A1</f>
        <v>BLUE GRASS ENERGY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</row>
    <row r="5" spans="1:16">
      <c r="A5" s="289" t="str">
        <f>RevReq!A3</f>
        <v>For the 12 Months Ended Dec 31, 2024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7" spans="1:16" s="129" customFormat="1" ht="15" customHeight="1">
      <c r="A7" s="287" t="s">
        <v>49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</row>
    <row r="9" spans="1:16">
      <c r="A9" s="1" t="s">
        <v>0</v>
      </c>
      <c r="C9" s="1" t="s">
        <v>16</v>
      </c>
      <c r="D9" s="1" t="s">
        <v>17</v>
      </c>
      <c r="E9" s="1"/>
      <c r="F9" s="1" t="s">
        <v>422</v>
      </c>
      <c r="G9" s="1" t="s">
        <v>566</v>
      </c>
      <c r="H9" s="1" t="s">
        <v>567</v>
      </c>
      <c r="I9" s="1" t="s">
        <v>423</v>
      </c>
      <c r="J9" s="1" t="s">
        <v>568</v>
      </c>
      <c r="K9" s="1" t="s">
        <v>424</v>
      </c>
      <c r="L9" s="1" t="s">
        <v>425</v>
      </c>
      <c r="M9" s="1" t="s">
        <v>569</v>
      </c>
      <c r="N9" s="1" t="s">
        <v>570</v>
      </c>
      <c r="O9" s="1" t="s">
        <v>571</v>
      </c>
      <c r="P9" s="1" t="s">
        <v>44</v>
      </c>
    </row>
    <row r="10" spans="1:16">
      <c r="A10" s="34" t="s">
        <v>21</v>
      </c>
      <c r="C10" s="130" t="s">
        <v>18</v>
      </c>
      <c r="D10" s="130" t="s">
        <v>20</v>
      </c>
      <c r="E10" s="1"/>
      <c r="F10" s="130" t="s">
        <v>19</v>
      </c>
      <c r="G10" s="130" t="s">
        <v>25</v>
      </c>
      <c r="H10" s="130" t="s">
        <v>50</v>
      </c>
      <c r="I10" s="130" t="s">
        <v>51</v>
      </c>
      <c r="J10" s="130" t="s">
        <v>52</v>
      </c>
      <c r="K10" s="130" t="s">
        <v>53</v>
      </c>
      <c r="L10" s="130" t="s">
        <v>576</v>
      </c>
      <c r="M10" s="130" t="s">
        <v>577</v>
      </c>
      <c r="N10" s="130" t="s">
        <v>578</v>
      </c>
      <c r="O10" s="130" t="s">
        <v>579</v>
      </c>
      <c r="P10" s="130" t="s">
        <v>580</v>
      </c>
    </row>
    <row r="11" spans="1:16">
      <c r="A11" s="1"/>
    </row>
    <row r="12" spans="1:16">
      <c r="A12" s="1"/>
    </row>
    <row r="13" spans="1:16">
      <c r="A13" s="1">
        <v>1</v>
      </c>
      <c r="C13" s="1">
        <v>2024</v>
      </c>
      <c r="D13" s="1" t="s">
        <v>6</v>
      </c>
      <c r="E13" s="119"/>
      <c r="F13" s="157">
        <v>59858.354838709674</v>
      </c>
      <c r="G13" s="2">
        <v>120</v>
      </c>
      <c r="H13" s="2">
        <v>19</v>
      </c>
      <c r="I13" s="157">
        <v>2984</v>
      </c>
      <c r="J13" s="157">
        <v>48</v>
      </c>
      <c r="K13" s="157">
        <v>62</v>
      </c>
      <c r="L13" s="157">
        <v>29</v>
      </c>
      <c r="M13" s="157">
        <v>3</v>
      </c>
      <c r="N13" s="157">
        <v>3</v>
      </c>
      <c r="O13" s="157">
        <v>1</v>
      </c>
      <c r="P13" s="113"/>
    </row>
    <row r="14" spans="1:16">
      <c r="A14" s="1">
        <f>A13+1</f>
        <v>2</v>
      </c>
      <c r="C14" s="1">
        <f>C13</f>
        <v>2024</v>
      </c>
      <c r="D14" s="1" t="s">
        <v>7</v>
      </c>
      <c r="E14" s="119"/>
      <c r="F14" s="157">
        <v>60093.821428571428</v>
      </c>
      <c r="G14" s="2">
        <v>119</v>
      </c>
      <c r="H14" s="2">
        <v>19</v>
      </c>
      <c r="I14" s="157">
        <v>2986</v>
      </c>
      <c r="J14" s="157">
        <v>48</v>
      </c>
      <c r="K14" s="157">
        <v>62</v>
      </c>
      <c r="L14" s="157">
        <v>29</v>
      </c>
      <c r="M14" s="157">
        <v>3</v>
      </c>
      <c r="N14" s="157">
        <v>3</v>
      </c>
      <c r="O14" s="157">
        <v>1</v>
      </c>
      <c r="P14" s="114"/>
    </row>
    <row r="15" spans="1:16">
      <c r="A15" s="1">
        <f t="shared" ref="A15:A60" si="0">A14+1</f>
        <v>3</v>
      </c>
      <c r="C15" s="1">
        <f t="shared" ref="C15:C24" si="1">C14</f>
        <v>2024</v>
      </c>
      <c r="D15" s="1" t="s">
        <v>8</v>
      </c>
      <c r="E15" s="119"/>
      <c r="F15" s="157">
        <v>59937.806451612902</v>
      </c>
      <c r="G15" s="2">
        <v>118</v>
      </c>
      <c r="H15" s="2">
        <v>19</v>
      </c>
      <c r="I15" s="157">
        <v>3000</v>
      </c>
      <c r="J15" s="157">
        <v>48</v>
      </c>
      <c r="K15" s="157">
        <v>62</v>
      </c>
      <c r="L15" s="157">
        <v>29</v>
      </c>
      <c r="M15" s="157">
        <v>3</v>
      </c>
      <c r="N15" s="157">
        <v>3</v>
      </c>
      <c r="O15" s="157">
        <v>1</v>
      </c>
      <c r="P15" s="114"/>
    </row>
    <row r="16" spans="1:16">
      <c r="A16" s="1">
        <f t="shared" si="0"/>
        <v>4</v>
      </c>
      <c r="C16" s="1">
        <f t="shared" si="1"/>
        <v>2024</v>
      </c>
      <c r="D16" s="1" t="s">
        <v>9</v>
      </c>
      <c r="E16" s="119"/>
      <c r="F16" s="157">
        <v>60155.133333333331</v>
      </c>
      <c r="G16" s="2">
        <v>117</v>
      </c>
      <c r="H16" s="2">
        <v>19</v>
      </c>
      <c r="I16" s="157">
        <v>3025</v>
      </c>
      <c r="J16" s="157">
        <v>48</v>
      </c>
      <c r="K16" s="157">
        <v>62</v>
      </c>
      <c r="L16" s="157">
        <v>29</v>
      </c>
      <c r="M16" s="157">
        <v>3</v>
      </c>
      <c r="N16" s="157">
        <v>3</v>
      </c>
      <c r="O16" s="157">
        <v>1</v>
      </c>
      <c r="P16" s="114"/>
    </row>
    <row r="17" spans="1:16">
      <c r="A17" s="1">
        <f t="shared" si="0"/>
        <v>5</v>
      </c>
      <c r="C17" s="1">
        <f t="shared" si="1"/>
        <v>2024</v>
      </c>
      <c r="D17" s="1" t="s">
        <v>10</v>
      </c>
      <c r="E17" s="119"/>
      <c r="F17" s="157">
        <v>60185.580645161288</v>
      </c>
      <c r="G17" s="2">
        <v>117</v>
      </c>
      <c r="H17" s="2">
        <v>19</v>
      </c>
      <c r="I17" s="157">
        <v>3024</v>
      </c>
      <c r="J17" s="157">
        <v>49</v>
      </c>
      <c r="K17" s="157">
        <v>62</v>
      </c>
      <c r="L17" s="157">
        <v>29</v>
      </c>
      <c r="M17" s="157">
        <v>3</v>
      </c>
      <c r="N17" s="157">
        <v>3</v>
      </c>
      <c r="O17" s="157">
        <v>1</v>
      </c>
      <c r="P17" s="114"/>
    </row>
    <row r="18" spans="1:16">
      <c r="A18" s="1">
        <f t="shared" si="0"/>
        <v>6</v>
      </c>
      <c r="C18" s="1">
        <f t="shared" si="1"/>
        <v>2024</v>
      </c>
      <c r="D18" s="1" t="s">
        <v>11</v>
      </c>
      <c r="E18" s="119"/>
      <c r="F18" s="157">
        <v>60410.3</v>
      </c>
      <c r="G18" s="2">
        <v>117</v>
      </c>
      <c r="H18" s="2">
        <v>19</v>
      </c>
      <c r="I18" s="157">
        <v>3035</v>
      </c>
      <c r="J18" s="157">
        <v>49</v>
      </c>
      <c r="K18" s="157">
        <v>62</v>
      </c>
      <c r="L18" s="157">
        <v>29</v>
      </c>
      <c r="M18" s="157">
        <v>3</v>
      </c>
      <c r="N18" s="157">
        <v>3</v>
      </c>
      <c r="O18" s="157">
        <v>1</v>
      </c>
      <c r="P18" s="114"/>
    </row>
    <row r="19" spans="1:16">
      <c r="A19" s="1">
        <f t="shared" si="0"/>
        <v>7</v>
      </c>
      <c r="C19" s="1">
        <f t="shared" si="1"/>
        <v>2024</v>
      </c>
      <c r="D19" s="1" t="s">
        <v>12</v>
      </c>
      <c r="E19" s="119"/>
      <c r="F19" s="157">
        <v>60427.193548387098</v>
      </c>
      <c r="G19" s="2">
        <v>116</v>
      </c>
      <c r="H19" s="2">
        <v>19</v>
      </c>
      <c r="I19" s="157">
        <v>3062</v>
      </c>
      <c r="J19" s="157">
        <v>49</v>
      </c>
      <c r="K19" s="157">
        <v>62</v>
      </c>
      <c r="L19" s="157">
        <v>29</v>
      </c>
      <c r="M19" s="157">
        <v>3</v>
      </c>
      <c r="N19" s="157">
        <v>3</v>
      </c>
      <c r="O19" s="157">
        <v>1</v>
      </c>
      <c r="P19" s="114"/>
    </row>
    <row r="20" spans="1:16">
      <c r="A20" s="1">
        <f t="shared" si="0"/>
        <v>8</v>
      </c>
      <c r="C20" s="1">
        <f t="shared" si="1"/>
        <v>2024</v>
      </c>
      <c r="D20" s="1" t="s">
        <v>13</v>
      </c>
      <c r="E20" s="119"/>
      <c r="F20" s="157">
        <v>60625.387096774197</v>
      </c>
      <c r="G20" s="2">
        <v>117</v>
      </c>
      <c r="H20" s="2">
        <v>19</v>
      </c>
      <c r="I20" s="157">
        <v>3063</v>
      </c>
      <c r="J20" s="157">
        <v>49</v>
      </c>
      <c r="K20" s="157">
        <v>62</v>
      </c>
      <c r="L20" s="157">
        <v>29</v>
      </c>
      <c r="M20" s="157">
        <v>3</v>
      </c>
      <c r="N20" s="157">
        <v>3</v>
      </c>
      <c r="O20" s="157">
        <v>1</v>
      </c>
      <c r="P20" s="114"/>
    </row>
    <row r="21" spans="1:16">
      <c r="A21" s="1">
        <f t="shared" si="0"/>
        <v>9</v>
      </c>
      <c r="C21" s="1">
        <f t="shared" si="1"/>
        <v>2024</v>
      </c>
      <c r="D21" s="1" t="s">
        <v>2</v>
      </c>
      <c r="E21" s="119"/>
      <c r="F21" s="157">
        <v>60573.866666666669</v>
      </c>
      <c r="G21" s="2">
        <v>116</v>
      </c>
      <c r="H21" s="2">
        <v>19</v>
      </c>
      <c r="I21" s="157">
        <v>3078</v>
      </c>
      <c r="J21" s="157">
        <v>49</v>
      </c>
      <c r="K21" s="157">
        <v>62</v>
      </c>
      <c r="L21" s="157">
        <v>31</v>
      </c>
      <c r="M21" s="157">
        <v>3</v>
      </c>
      <c r="N21" s="157">
        <v>3</v>
      </c>
      <c r="O21" s="157">
        <v>1</v>
      </c>
      <c r="P21" s="114"/>
    </row>
    <row r="22" spans="1:16">
      <c r="A22" s="1">
        <f t="shared" si="0"/>
        <v>10</v>
      </c>
      <c r="C22" s="1">
        <f t="shared" si="1"/>
        <v>2024</v>
      </c>
      <c r="D22" s="1" t="s">
        <v>3</v>
      </c>
      <c r="E22" s="119"/>
      <c r="F22" s="157">
        <v>60674.322580645159</v>
      </c>
      <c r="G22" s="2">
        <v>117</v>
      </c>
      <c r="H22" s="2">
        <v>19</v>
      </c>
      <c r="I22" s="157">
        <v>3058</v>
      </c>
      <c r="J22" s="157">
        <v>49</v>
      </c>
      <c r="K22" s="157">
        <v>62</v>
      </c>
      <c r="L22" s="157">
        <v>31</v>
      </c>
      <c r="M22" s="157">
        <v>3</v>
      </c>
      <c r="N22" s="157">
        <v>3</v>
      </c>
      <c r="O22" s="157">
        <v>1</v>
      </c>
      <c r="P22" s="114"/>
    </row>
    <row r="23" spans="1:16">
      <c r="A23" s="1">
        <f t="shared" si="0"/>
        <v>11</v>
      </c>
      <c r="C23" s="1">
        <f t="shared" si="1"/>
        <v>2024</v>
      </c>
      <c r="D23" s="1" t="s">
        <v>4</v>
      </c>
      <c r="E23" s="119"/>
      <c r="F23" s="157">
        <v>60726.166666666664</v>
      </c>
      <c r="G23" s="2">
        <v>118</v>
      </c>
      <c r="H23" s="2">
        <v>19</v>
      </c>
      <c r="I23" s="157">
        <v>3065</v>
      </c>
      <c r="J23" s="157">
        <v>49</v>
      </c>
      <c r="K23" s="157">
        <v>62</v>
      </c>
      <c r="L23" s="157">
        <v>31</v>
      </c>
      <c r="M23" s="157">
        <v>3</v>
      </c>
      <c r="N23" s="157">
        <v>3</v>
      </c>
      <c r="O23" s="157">
        <v>1</v>
      </c>
      <c r="P23" s="114"/>
    </row>
    <row r="24" spans="1:16">
      <c r="A24" s="1">
        <f t="shared" si="0"/>
        <v>12</v>
      </c>
      <c r="C24" s="1">
        <f t="shared" si="1"/>
        <v>2024</v>
      </c>
      <c r="D24" s="1" t="s">
        <v>5</v>
      </c>
      <c r="E24" s="119"/>
      <c r="F24" s="157">
        <v>60809.774193548386</v>
      </c>
      <c r="G24" s="2">
        <v>117</v>
      </c>
      <c r="H24" s="2">
        <v>19</v>
      </c>
      <c r="I24" s="157">
        <v>3066</v>
      </c>
      <c r="J24" s="157">
        <v>49</v>
      </c>
      <c r="K24" s="157">
        <v>63</v>
      </c>
      <c r="L24" s="157">
        <v>31</v>
      </c>
      <c r="M24" s="157">
        <v>3</v>
      </c>
      <c r="N24" s="157">
        <v>3</v>
      </c>
      <c r="O24" s="157">
        <v>1</v>
      </c>
      <c r="P24" s="114"/>
    </row>
    <row r="25" spans="1:16">
      <c r="A25" s="1">
        <f t="shared" si="0"/>
        <v>13</v>
      </c>
      <c r="C25" s="4" t="s">
        <v>54</v>
      </c>
      <c r="D25" s="38"/>
      <c r="E25" s="117"/>
      <c r="F25" s="115">
        <f>AVERAGE(F13:F24)</f>
        <v>60373.142287506394</v>
      </c>
      <c r="G25" s="115">
        <f t="shared" ref="G25:O25" si="2">AVERAGE(G13:G24)</f>
        <v>117.41666666666667</v>
      </c>
      <c r="H25" s="115">
        <f t="shared" si="2"/>
        <v>19</v>
      </c>
      <c r="I25" s="115">
        <f t="shared" si="2"/>
        <v>3037.1666666666665</v>
      </c>
      <c r="J25" s="115">
        <f t="shared" si="2"/>
        <v>48.666666666666664</v>
      </c>
      <c r="K25" s="115">
        <f t="shared" si="2"/>
        <v>62.083333333333336</v>
      </c>
      <c r="L25" s="115">
        <f t="shared" si="2"/>
        <v>29.666666666666668</v>
      </c>
      <c r="M25" s="115">
        <f t="shared" si="2"/>
        <v>3</v>
      </c>
      <c r="N25" s="115">
        <f t="shared" si="2"/>
        <v>3</v>
      </c>
      <c r="O25" s="115">
        <f t="shared" si="2"/>
        <v>1</v>
      </c>
      <c r="P25" s="114"/>
    </row>
    <row r="26" spans="1:16">
      <c r="A26" s="1">
        <f t="shared" si="0"/>
        <v>14</v>
      </c>
    </row>
    <row r="27" spans="1:16">
      <c r="A27" s="1">
        <f t="shared" si="0"/>
        <v>15</v>
      </c>
      <c r="C27" s="28" t="s">
        <v>69</v>
      </c>
      <c r="E27" s="117"/>
      <c r="F27" s="116">
        <f>F24-F25</f>
        <v>436.6319060419919</v>
      </c>
      <c r="G27" s="116">
        <f t="shared" ref="G27:O27" si="3">G24-G25</f>
        <v>-0.4166666666666714</v>
      </c>
      <c r="H27" s="116">
        <f t="shared" si="3"/>
        <v>0</v>
      </c>
      <c r="I27" s="116">
        <f t="shared" si="3"/>
        <v>28.833333333333485</v>
      </c>
      <c r="J27" s="116">
        <f t="shared" si="3"/>
        <v>0.3333333333333357</v>
      </c>
      <c r="K27" s="116">
        <f t="shared" si="3"/>
        <v>0.9166666666666643</v>
      </c>
      <c r="L27" s="116">
        <f t="shared" si="3"/>
        <v>1.3333333333333321</v>
      </c>
      <c r="M27" s="116">
        <f t="shared" si="3"/>
        <v>0</v>
      </c>
      <c r="N27" s="116">
        <f t="shared" si="3"/>
        <v>0</v>
      </c>
      <c r="O27" s="116">
        <f t="shared" si="3"/>
        <v>0</v>
      </c>
      <c r="P27" s="114"/>
    </row>
    <row r="28" spans="1:16">
      <c r="A28" s="1">
        <f t="shared" si="0"/>
        <v>16</v>
      </c>
      <c r="D28" s="1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1:16">
      <c r="A29" s="1">
        <f t="shared" si="0"/>
        <v>17</v>
      </c>
      <c r="C29" s="2" t="s">
        <v>55</v>
      </c>
      <c r="D29" s="1"/>
      <c r="E29" s="117"/>
      <c r="F29" s="116">
        <v>842884819</v>
      </c>
      <c r="G29" s="116">
        <v>157760</v>
      </c>
      <c r="H29" s="116">
        <v>212575</v>
      </c>
      <c r="I29" s="116">
        <v>82360082</v>
      </c>
      <c r="J29" s="116">
        <v>1396110</v>
      </c>
      <c r="K29" s="116">
        <v>36945673</v>
      </c>
      <c r="L29" s="116">
        <v>119234589</v>
      </c>
      <c r="M29" s="116">
        <v>69502841</v>
      </c>
      <c r="N29" s="116">
        <v>139574198</v>
      </c>
      <c r="O29" s="116">
        <v>94772820</v>
      </c>
      <c r="P29" s="114"/>
    </row>
    <row r="30" spans="1:16">
      <c r="A30" s="1">
        <f t="shared" si="0"/>
        <v>18</v>
      </c>
      <c r="C30" s="2" t="s">
        <v>56</v>
      </c>
      <c r="D30" s="1"/>
      <c r="E30" s="117"/>
      <c r="F30" s="116">
        <f>F29/F25</f>
        <v>13961.254741157085</v>
      </c>
      <c r="G30" s="116">
        <f t="shared" ref="G30:O30" si="4">G29/G25</f>
        <v>1343.5911994322214</v>
      </c>
      <c r="H30" s="116">
        <f t="shared" si="4"/>
        <v>11188.157894736842</v>
      </c>
      <c r="I30" s="116">
        <f t="shared" si="4"/>
        <v>27117.406135103989</v>
      </c>
      <c r="J30" s="116">
        <f t="shared" si="4"/>
        <v>28687.191780821919</v>
      </c>
      <c r="K30" s="116">
        <f t="shared" si="4"/>
        <v>595098.08859060402</v>
      </c>
      <c r="L30" s="116">
        <f t="shared" si="4"/>
        <v>4019143.4494382022</v>
      </c>
      <c r="M30" s="116">
        <f t="shared" si="4"/>
        <v>23167613.666666668</v>
      </c>
      <c r="N30" s="116">
        <f t="shared" si="4"/>
        <v>46524732.666666664</v>
      </c>
      <c r="O30" s="116">
        <f t="shared" si="4"/>
        <v>94772820</v>
      </c>
      <c r="P30" s="114"/>
    </row>
    <row r="31" spans="1:16">
      <c r="A31" s="1">
        <f t="shared" si="0"/>
        <v>19</v>
      </c>
      <c r="C31" s="2" t="s">
        <v>57</v>
      </c>
      <c r="D31" s="1"/>
      <c r="E31" s="117"/>
      <c r="F31" s="116">
        <f>F30*F27</f>
        <v>6095929.2683692146</v>
      </c>
      <c r="G31" s="116">
        <f t="shared" ref="G31:O31" si="5">G30*G27</f>
        <v>-559.82966643009865</v>
      </c>
      <c r="H31" s="116">
        <f t="shared" si="5"/>
        <v>0</v>
      </c>
      <c r="I31" s="116">
        <f t="shared" si="5"/>
        <v>781885.21022883581</v>
      </c>
      <c r="J31" s="116">
        <f t="shared" si="5"/>
        <v>9562.3972602740414</v>
      </c>
      <c r="K31" s="116">
        <f t="shared" si="5"/>
        <v>545506.58120805223</v>
      </c>
      <c r="L31" s="116">
        <f t="shared" si="5"/>
        <v>5358857.9325842652</v>
      </c>
      <c r="M31" s="116">
        <f t="shared" si="5"/>
        <v>0</v>
      </c>
      <c r="N31" s="116">
        <f t="shared" si="5"/>
        <v>0</v>
      </c>
      <c r="O31" s="116">
        <f t="shared" si="5"/>
        <v>0</v>
      </c>
      <c r="P31" s="118">
        <f>SUM(F31:O31)</f>
        <v>12791181.559984211</v>
      </c>
    </row>
    <row r="32" spans="1:16">
      <c r="A32" s="1">
        <f t="shared" si="0"/>
        <v>20</v>
      </c>
      <c r="D32" s="1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</row>
    <row r="33" spans="1:16">
      <c r="A33" s="1">
        <f t="shared" si="0"/>
        <v>21</v>
      </c>
      <c r="C33" s="87" t="s">
        <v>61</v>
      </c>
      <c r="D33" s="1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</row>
    <row r="34" spans="1:16">
      <c r="A34" s="1">
        <f t="shared" si="0"/>
        <v>22</v>
      </c>
      <c r="C34" s="2" t="s">
        <v>58</v>
      </c>
      <c r="D34" s="1"/>
      <c r="E34" s="117"/>
      <c r="F34" s="117">
        <v>87267665.560000092</v>
      </c>
      <c r="G34" s="117">
        <v>36369.769999999997</v>
      </c>
      <c r="H34" s="117">
        <v>20747.73</v>
      </c>
      <c r="I34" s="117">
        <v>9970129.6399999987</v>
      </c>
      <c r="J34" s="117">
        <v>177359.03</v>
      </c>
      <c r="K34" s="117">
        <v>3129768.0300000003</v>
      </c>
      <c r="L34" s="117">
        <v>8541394.8599999994</v>
      </c>
      <c r="M34" s="117">
        <v>4459938.7700000005</v>
      </c>
      <c r="N34" s="117">
        <v>8507333.4800000004</v>
      </c>
      <c r="O34" s="117">
        <v>5010915.05</v>
      </c>
      <c r="P34" s="114"/>
    </row>
    <row r="35" spans="1:16">
      <c r="A35" s="1">
        <f t="shared" si="0"/>
        <v>23</v>
      </c>
      <c r="C35" s="2" t="s">
        <v>59</v>
      </c>
      <c r="D35" s="1"/>
      <c r="E35" s="117"/>
      <c r="F35" s="120">
        <f>F34/F29</f>
        <v>0.1035345086218715</v>
      </c>
      <c r="G35" s="120">
        <f t="shared" ref="G35:O35" si="6">G34/G29</f>
        <v>0.23053860294117645</v>
      </c>
      <c r="H35" s="120">
        <f t="shared" si="6"/>
        <v>9.7601928731036097E-2</v>
      </c>
      <c r="I35" s="120">
        <f t="shared" si="6"/>
        <v>0.1210553632037423</v>
      </c>
      <c r="J35" s="120">
        <f t="shared" si="6"/>
        <v>0.12703800560127784</v>
      </c>
      <c r="K35" s="120">
        <f t="shared" si="6"/>
        <v>8.4712708576184292E-2</v>
      </c>
      <c r="L35" s="120">
        <f t="shared" si="6"/>
        <v>7.1635210316362136E-2</v>
      </c>
      <c r="M35" s="120">
        <f t="shared" si="6"/>
        <v>6.4169157775867042E-2</v>
      </c>
      <c r="N35" s="120">
        <f t="shared" si="6"/>
        <v>6.0952049891055085E-2</v>
      </c>
      <c r="O35" s="120">
        <f t="shared" si="6"/>
        <v>5.287291282458409E-2</v>
      </c>
      <c r="P35" s="114"/>
    </row>
    <row r="36" spans="1:16">
      <c r="A36" s="1">
        <f t="shared" si="0"/>
        <v>24</v>
      </c>
      <c r="C36" s="2" t="s">
        <v>60</v>
      </c>
      <c r="D36" s="1"/>
      <c r="E36" s="117"/>
      <c r="F36" s="117">
        <f>F35*F31</f>
        <v>631139.04139429121</v>
      </c>
      <c r="G36" s="117">
        <f t="shared" ref="G36:O36" si="7">G35*G31</f>
        <v>-129.06234918381978</v>
      </c>
      <c r="H36" s="117">
        <f t="shared" si="7"/>
        <v>0</v>
      </c>
      <c r="I36" s="117">
        <f t="shared" si="7"/>
        <v>94651.398107886125</v>
      </c>
      <c r="J36" s="117">
        <f t="shared" si="7"/>
        <v>1214.7878767123375</v>
      </c>
      <c r="K36" s="117">
        <f t="shared" si="7"/>
        <v>46211.34004026834</v>
      </c>
      <c r="L36" s="117">
        <f t="shared" si="7"/>
        <v>383882.91505617945</v>
      </c>
      <c r="M36" s="117">
        <f t="shared" si="7"/>
        <v>0</v>
      </c>
      <c r="N36" s="117">
        <f t="shared" si="7"/>
        <v>0</v>
      </c>
      <c r="O36" s="117">
        <f t="shared" si="7"/>
        <v>0</v>
      </c>
      <c r="P36" s="119">
        <f>SUM(F36:O36)</f>
        <v>1156970.4201261536</v>
      </c>
    </row>
    <row r="37" spans="1:16">
      <c r="A37" s="1">
        <f t="shared" si="0"/>
        <v>25</v>
      </c>
      <c r="D37" s="1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</row>
    <row r="38" spans="1:16">
      <c r="A38" s="1">
        <f t="shared" si="0"/>
        <v>26</v>
      </c>
      <c r="C38" s="87" t="s">
        <v>62</v>
      </c>
      <c r="D38" s="1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</row>
    <row r="39" spans="1:16">
      <c r="A39" s="1">
        <f t="shared" si="0"/>
        <v>27</v>
      </c>
      <c r="C39" s="2" t="s">
        <v>72</v>
      </c>
      <c r="D39" s="1"/>
      <c r="E39" s="117"/>
      <c r="F39" s="121">
        <f>K60</f>
        <v>6.7063991952095947E-2</v>
      </c>
      <c r="G39" s="121">
        <f>K60</f>
        <v>6.7063991952095947E-2</v>
      </c>
      <c r="H39" s="121">
        <f>K60</f>
        <v>6.7063991952095947E-2</v>
      </c>
      <c r="I39" s="121">
        <f>K60</f>
        <v>6.7063991952095947E-2</v>
      </c>
      <c r="J39" s="121">
        <f>K60</f>
        <v>6.7063991952095947E-2</v>
      </c>
      <c r="K39" s="121">
        <f>K60</f>
        <v>6.7063991952095947E-2</v>
      </c>
      <c r="L39" s="121">
        <f>I60</f>
        <v>6.3470521549981271E-2</v>
      </c>
      <c r="M39" s="121">
        <f>I60</f>
        <v>6.3470521549981271E-2</v>
      </c>
      <c r="N39" s="121">
        <f>I60</f>
        <v>6.3470521549981271E-2</v>
      </c>
      <c r="O39" s="121">
        <f>J60</f>
        <v>5.0190443273571667E-2</v>
      </c>
      <c r="P39" s="114"/>
    </row>
    <row r="40" spans="1:16">
      <c r="A40" s="1">
        <f t="shared" si="0"/>
        <v>28</v>
      </c>
      <c r="C40" s="2" t="s">
        <v>63</v>
      </c>
      <c r="D40" s="1"/>
      <c r="E40" s="117"/>
      <c r="F40" s="117">
        <f>F39*F31</f>
        <v>408817.35139445914</v>
      </c>
      <c r="G40" s="117">
        <f t="shared" ref="G40:O40" si="8">G39*G31</f>
        <v>-37.544412244012697</v>
      </c>
      <c r="H40" s="117">
        <f t="shared" si="8"/>
        <v>0</v>
      </c>
      <c r="I40" s="117">
        <f t="shared" si="8"/>
        <v>52436.343446249492</v>
      </c>
      <c r="J40" s="117">
        <f t="shared" si="8"/>
        <v>641.29253290576264</v>
      </c>
      <c r="K40" s="117">
        <f t="shared" si="8"/>
        <v>36583.848971952189</v>
      </c>
      <c r="L40" s="117">
        <f t="shared" si="8"/>
        <v>340129.50789337768</v>
      </c>
      <c r="M40" s="117">
        <f t="shared" si="8"/>
        <v>0</v>
      </c>
      <c r="N40" s="117">
        <f t="shared" si="8"/>
        <v>0</v>
      </c>
      <c r="O40" s="117">
        <f t="shared" si="8"/>
        <v>0</v>
      </c>
      <c r="P40" s="119">
        <f>SUM(F40:O40)</f>
        <v>838570.79982670024</v>
      </c>
    </row>
    <row r="41" spans="1:16">
      <c r="A41" s="1">
        <f t="shared" si="0"/>
        <v>29</v>
      </c>
      <c r="D41" s="1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9"/>
    </row>
    <row r="42" spans="1:16">
      <c r="A42" s="1">
        <f t="shared" si="0"/>
        <v>30</v>
      </c>
      <c r="C42" s="2" t="s">
        <v>581</v>
      </c>
      <c r="D42" s="1"/>
      <c r="E42" s="117"/>
      <c r="F42" s="117">
        <f>F36-F40</f>
        <v>222321.68999983207</v>
      </c>
      <c r="G42" s="117">
        <f t="shared" ref="G42:O42" si="9">G36-G40</f>
        <v>-91.517936939807072</v>
      </c>
      <c r="H42" s="117">
        <f t="shared" si="9"/>
        <v>0</v>
      </c>
      <c r="I42" s="117">
        <f t="shared" si="9"/>
        <v>42215.054661636634</v>
      </c>
      <c r="J42" s="117">
        <f t="shared" si="9"/>
        <v>573.49534380657485</v>
      </c>
      <c r="K42" s="117">
        <f t="shared" si="9"/>
        <v>9627.4910683161506</v>
      </c>
      <c r="L42" s="117">
        <f t="shared" si="9"/>
        <v>43753.40716280177</v>
      </c>
      <c r="M42" s="117">
        <f t="shared" si="9"/>
        <v>0</v>
      </c>
      <c r="N42" s="117">
        <f t="shared" si="9"/>
        <v>0</v>
      </c>
      <c r="O42" s="117">
        <f t="shared" si="9"/>
        <v>0</v>
      </c>
      <c r="P42" s="119">
        <f>SUM(F42:O42)</f>
        <v>318399.62029945338</v>
      </c>
    </row>
    <row r="43" spans="1:16" ht="13.5" thickBot="1">
      <c r="A43" s="1">
        <f t="shared" si="0"/>
        <v>31</v>
      </c>
      <c r="C43" s="123"/>
      <c r="D43" s="29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3"/>
    </row>
    <row r="44" spans="1:16" ht="13.5" thickTop="1">
      <c r="A44" s="1">
        <f t="shared" si="0"/>
        <v>32</v>
      </c>
      <c r="D44" s="1"/>
      <c r="E44" s="117"/>
    </row>
    <row r="45" spans="1:16">
      <c r="A45" s="1">
        <f t="shared" si="0"/>
        <v>33</v>
      </c>
      <c r="E45" s="117"/>
      <c r="F45" s="124" t="s">
        <v>32</v>
      </c>
      <c r="G45" s="124" t="s">
        <v>24</v>
      </c>
      <c r="H45" s="124" t="s">
        <v>73</v>
      </c>
    </row>
    <row r="46" spans="1:16">
      <c r="A46" s="1">
        <f t="shared" si="0"/>
        <v>34</v>
      </c>
      <c r="C46" s="2" t="s">
        <v>36</v>
      </c>
      <c r="E46" s="117"/>
      <c r="F46" s="107">
        <v>0</v>
      </c>
      <c r="G46" s="107">
        <v>0</v>
      </c>
      <c r="H46" s="125">
        <f>F46-G46</f>
        <v>0</v>
      </c>
    </row>
    <row r="47" spans="1:16">
      <c r="A47" s="1">
        <f t="shared" si="0"/>
        <v>35</v>
      </c>
      <c r="E47" s="117"/>
      <c r="F47" s="117"/>
    </row>
    <row r="48" spans="1:16">
      <c r="A48" s="1">
        <f t="shared" si="0"/>
        <v>36</v>
      </c>
      <c r="C48" s="2" t="s">
        <v>37</v>
      </c>
      <c r="E48" s="119"/>
      <c r="F48" s="249">
        <f>P36</f>
        <v>1156970.4201261536</v>
      </c>
      <c r="G48" s="249">
        <f>P40</f>
        <v>838570.79982670024</v>
      </c>
      <c r="H48" s="125">
        <f>F48-G48</f>
        <v>318399.62029945338</v>
      </c>
    </row>
    <row r="49" spans="1:13">
      <c r="A49" s="1">
        <f t="shared" si="0"/>
        <v>37</v>
      </c>
    </row>
    <row r="50" spans="1:13" ht="13.5" thickBot="1">
      <c r="A50" s="1">
        <f t="shared" si="0"/>
        <v>38</v>
      </c>
      <c r="C50" s="3" t="s">
        <v>15</v>
      </c>
      <c r="D50" s="3"/>
      <c r="E50" s="156"/>
      <c r="F50" s="126">
        <f>ROUND(F48-F46,2)</f>
        <v>1156970.42</v>
      </c>
      <c r="G50" s="126">
        <f>ROUND(G48-G46,2)</f>
        <v>838570.8</v>
      </c>
      <c r="H50" s="126">
        <f>ROUND(H48-H46,2)</f>
        <v>318399.62</v>
      </c>
    </row>
    <row r="51" spans="1:13" ht="13.5" thickTop="1">
      <c r="A51" s="1">
        <f t="shared" si="0"/>
        <v>39</v>
      </c>
    </row>
    <row r="52" spans="1:13">
      <c r="A52" s="1">
        <f t="shared" si="0"/>
        <v>40</v>
      </c>
      <c r="J52" s="1"/>
    </row>
    <row r="53" spans="1:13">
      <c r="A53" s="1">
        <f t="shared" si="0"/>
        <v>41</v>
      </c>
      <c r="C53" s="150" t="s">
        <v>70</v>
      </c>
      <c r="G53" s="127" t="s">
        <v>572</v>
      </c>
      <c r="I53" s="74" t="s">
        <v>573</v>
      </c>
      <c r="J53" s="74" t="s">
        <v>574</v>
      </c>
      <c r="K53" s="74" t="s">
        <v>575</v>
      </c>
    </row>
    <row r="54" spans="1:13">
      <c r="A54" s="1">
        <f t="shared" si="0"/>
        <v>42</v>
      </c>
      <c r="C54" s="2" t="s">
        <v>64</v>
      </c>
      <c r="D54" s="1"/>
      <c r="E54" s="117"/>
      <c r="G54" s="107">
        <v>119810459</v>
      </c>
      <c r="I54" s="107">
        <v>16969719</v>
      </c>
      <c r="J54" s="107">
        <v>6202522.9999999991</v>
      </c>
      <c r="K54" s="107">
        <v>96714262</v>
      </c>
      <c r="L54" s="125"/>
      <c r="M54" s="125"/>
    </row>
    <row r="55" spans="1:13">
      <c r="A55" s="1">
        <f t="shared" si="0"/>
        <v>43</v>
      </c>
      <c r="C55" s="2" t="s">
        <v>66</v>
      </c>
      <c r="D55" s="1"/>
      <c r="E55" s="117"/>
      <c r="G55" s="107">
        <v>-6921346</v>
      </c>
      <c r="I55" s="107">
        <v>-871345</v>
      </c>
      <c r="J55" s="107">
        <v>-472374</v>
      </c>
      <c r="K55" s="107">
        <v>-5577627</v>
      </c>
      <c r="L55" s="125"/>
      <c r="M55" s="125"/>
    </row>
    <row r="56" spans="1:13">
      <c r="A56" s="1">
        <f t="shared" si="0"/>
        <v>44</v>
      </c>
      <c r="C56" s="2" t="s">
        <v>65</v>
      </c>
      <c r="D56" s="1"/>
      <c r="E56" s="117"/>
      <c r="G56" s="107">
        <v>-18045623</v>
      </c>
      <c r="I56" s="107">
        <v>-2263579</v>
      </c>
      <c r="J56" s="107">
        <v>-915096</v>
      </c>
      <c r="K56" s="107">
        <v>-14866948</v>
      </c>
      <c r="L56" s="125"/>
      <c r="M56" s="125"/>
    </row>
    <row r="57" spans="1:13">
      <c r="A57" s="1">
        <f t="shared" si="0"/>
        <v>45</v>
      </c>
      <c r="C57" s="2" t="s">
        <v>71</v>
      </c>
      <c r="D57" s="1"/>
      <c r="E57" s="117"/>
      <c r="G57" s="107">
        <v>76045</v>
      </c>
      <c r="I57" s="107">
        <v>0</v>
      </c>
      <c r="J57" s="107">
        <v>0</v>
      </c>
      <c r="K57" s="107">
        <v>76045</v>
      </c>
      <c r="L57" s="125"/>
      <c r="M57" s="125"/>
    </row>
    <row r="58" spans="1:13">
      <c r="A58" s="1">
        <f t="shared" si="0"/>
        <v>46</v>
      </c>
      <c r="C58" s="2" t="s">
        <v>67</v>
      </c>
      <c r="D58" s="1"/>
      <c r="E58" s="117"/>
      <c r="G58" s="107">
        <f>SUM(G54:G57)</f>
        <v>94919535</v>
      </c>
      <c r="I58" s="107">
        <f t="shared" ref="I58:K58" si="10">SUM(I54:I57)</f>
        <v>13834795</v>
      </c>
      <c r="J58" s="107">
        <f t="shared" si="10"/>
        <v>4815052.9999999991</v>
      </c>
      <c r="K58" s="107">
        <f t="shared" si="10"/>
        <v>76345732</v>
      </c>
      <c r="L58" s="125"/>
      <c r="M58" s="125"/>
    </row>
    <row r="59" spans="1:13">
      <c r="A59" s="1">
        <f t="shared" si="0"/>
        <v>47</v>
      </c>
      <c r="C59" s="2" t="s">
        <v>68</v>
      </c>
      <c r="D59" s="1"/>
      <c r="E59" s="117"/>
      <c r="G59" s="116">
        <v>1452308876</v>
      </c>
      <c r="I59" s="116">
        <v>217971976</v>
      </c>
      <c r="J59" s="116">
        <v>95935654</v>
      </c>
      <c r="K59" s="116">
        <v>1138401246</v>
      </c>
      <c r="L59" s="125"/>
      <c r="M59" s="125"/>
    </row>
    <row r="60" spans="1:13">
      <c r="A60" s="1">
        <f t="shared" si="0"/>
        <v>48</v>
      </c>
      <c r="C60" s="2" t="s">
        <v>72</v>
      </c>
      <c r="D60" s="1"/>
      <c r="E60" s="117"/>
      <c r="G60" s="277">
        <f>G58/G59</f>
        <v>6.5357677398096406E-2</v>
      </c>
      <c r="I60" s="277">
        <f t="shared" ref="I60:K60" si="11">I58/I59</f>
        <v>6.3470521549981271E-2</v>
      </c>
      <c r="J60" s="277">
        <f t="shared" si="11"/>
        <v>5.0190443273571667E-2</v>
      </c>
      <c r="K60" s="277">
        <f t="shared" si="11"/>
        <v>6.7063991952095947E-2</v>
      </c>
      <c r="L60" s="125"/>
      <c r="M60" s="125"/>
    </row>
    <row r="62" spans="1:13">
      <c r="C62" s="278" t="s">
        <v>174</v>
      </c>
      <c r="D62" s="278"/>
      <c r="E62" s="278"/>
      <c r="F62" s="278"/>
      <c r="G62" s="278"/>
      <c r="H62" s="278"/>
      <c r="I62" s="278"/>
      <c r="J62" s="36"/>
    </row>
  </sheetData>
  <mergeCells count="3">
    <mergeCell ref="A4:P4"/>
    <mergeCell ref="A5:P5"/>
    <mergeCell ref="A7:P7"/>
  </mergeCells>
  <phoneticPr fontId="24" type="noConversion"/>
  <printOptions horizontalCentered="1"/>
  <pageMargins left="0.7" right="0.7" top="0.75" bottom="0.75" header="0.3" footer="0.3"/>
  <pageSetup scale="65" orientation="landscape" r:id="rId1"/>
  <headerFooter alignWithMargins="0">
    <oddFooter>&amp;RExhibit JW-2
Page &amp;P of &amp;N</oddFooter>
  </headerFooter>
  <ignoredErrors>
    <ignoredError sqref="C10:P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/>
  <dimension ref="A1:F21"/>
  <sheetViews>
    <sheetView view="pageBreakPreview" zoomScaleNormal="100" zoomScaleSheetLayoutView="100" workbookViewId="0">
      <selection activeCell="F12" sqref="F12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37.7109375" style="2" bestFit="1" customWidth="1"/>
    <col min="4" max="4" width="9.42578125" style="2" customWidth="1"/>
    <col min="5" max="5" width="2.42578125" style="2" customWidth="1"/>
    <col min="6" max="6" width="15.7109375" style="2" customWidth="1"/>
    <col min="7" max="16384" width="9.140625" style="2"/>
  </cols>
  <sheetData>
    <row r="1" spans="1:6">
      <c r="D1" s="128"/>
      <c r="F1" s="128" t="s">
        <v>121</v>
      </c>
    </row>
    <row r="2" spans="1:6" ht="20.25" customHeight="1">
      <c r="D2" s="128"/>
      <c r="F2" s="128"/>
    </row>
    <row r="3" spans="1:6">
      <c r="A3" s="289" t="str">
        <f>RevReq!A1</f>
        <v>BLUE GRASS ENERGY</v>
      </c>
      <c r="B3" s="289"/>
      <c r="C3" s="289"/>
      <c r="D3" s="289"/>
      <c r="E3" s="289"/>
      <c r="F3" s="289"/>
    </row>
    <row r="4" spans="1:6">
      <c r="A4" s="289" t="str">
        <f>RevReq!A3</f>
        <v>For the 12 Months Ended Dec 31, 2024</v>
      </c>
      <c r="B4" s="289"/>
      <c r="C4" s="289"/>
      <c r="D4" s="289"/>
      <c r="E4" s="289"/>
      <c r="F4" s="289"/>
    </row>
    <row r="6" spans="1:6" s="129" customFormat="1" ht="15" customHeight="1">
      <c r="A6" s="287" t="s">
        <v>31</v>
      </c>
      <c r="B6" s="287"/>
      <c r="C6" s="287"/>
      <c r="D6" s="287"/>
      <c r="E6" s="287"/>
      <c r="F6" s="287"/>
    </row>
    <row r="8" spans="1:6">
      <c r="A8" s="1" t="s">
        <v>0</v>
      </c>
      <c r="C8" s="1" t="s">
        <v>40</v>
      </c>
      <c r="D8" s="1" t="s">
        <v>41</v>
      </c>
      <c r="E8" s="1"/>
      <c r="F8" s="1" t="s">
        <v>24</v>
      </c>
    </row>
    <row r="9" spans="1:6">
      <c r="A9" s="34" t="s">
        <v>21</v>
      </c>
      <c r="C9" s="130" t="s">
        <v>18</v>
      </c>
      <c r="D9" s="130" t="s">
        <v>20</v>
      </c>
      <c r="E9" s="130"/>
      <c r="F9" s="130" t="s">
        <v>19</v>
      </c>
    </row>
    <row r="10" spans="1:6">
      <c r="A10" s="1"/>
    </row>
    <row r="11" spans="1:6">
      <c r="A11" s="1"/>
    </row>
    <row r="12" spans="1:6">
      <c r="A12" s="1">
        <v>1</v>
      </c>
      <c r="C12" s="131" t="s">
        <v>48</v>
      </c>
      <c r="D12" s="132">
        <v>424</v>
      </c>
      <c r="E12" s="1"/>
      <c r="F12" s="107">
        <f>RevReq!C36</f>
        <v>772943.54</v>
      </c>
    </row>
    <row r="13" spans="1:6">
      <c r="A13" s="1">
        <v>2</v>
      </c>
      <c r="F13" s="107"/>
    </row>
    <row r="14" spans="1:6">
      <c r="A14" s="1">
        <v>3</v>
      </c>
      <c r="C14" s="2" t="s">
        <v>36</v>
      </c>
      <c r="F14" s="107">
        <f>F12</f>
        <v>772943.54</v>
      </c>
    </row>
    <row r="15" spans="1:6">
      <c r="A15" s="1">
        <v>4</v>
      </c>
    </row>
    <row r="16" spans="1:6">
      <c r="A16" s="1">
        <v>5</v>
      </c>
      <c r="C16" s="2" t="s">
        <v>37</v>
      </c>
      <c r="F16" s="119">
        <v>0</v>
      </c>
    </row>
    <row r="17" spans="1:6">
      <c r="A17" s="1">
        <v>6</v>
      </c>
    </row>
    <row r="18" spans="1:6" ht="13.5" thickBot="1">
      <c r="A18" s="1">
        <v>7</v>
      </c>
      <c r="C18" s="3" t="s">
        <v>15</v>
      </c>
      <c r="D18" s="3"/>
      <c r="E18" s="3"/>
      <c r="F18" s="126">
        <f>ROUND(F16-F14,2)</f>
        <v>-772943.54</v>
      </c>
    </row>
    <row r="19" spans="1:6" ht="13.5" thickTop="1"/>
    <row r="21" spans="1:6" ht="30" customHeight="1">
      <c r="C21" s="290" t="s">
        <v>47</v>
      </c>
      <c r="D21" s="290"/>
      <c r="E21" s="290"/>
      <c r="F21" s="290"/>
    </row>
  </sheetData>
  <mergeCells count="4">
    <mergeCell ref="A3:F3"/>
    <mergeCell ref="A4:F4"/>
    <mergeCell ref="A6:F6"/>
    <mergeCell ref="C21:F21"/>
  </mergeCells>
  <printOptions horizontalCentered="1"/>
  <pageMargins left="1" right="0.75" top="0.75" bottom="0.5" header="0.5" footer="0.5"/>
  <pageSetup orientation="portrait" r:id="rId1"/>
  <headerFooter alignWithMargins="0">
    <oddFooter>&amp;R Exhibit JW-2
Page &amp;P of &amp;N</oddFooter>
  </headerFooter>
  <ignoredErrors>
    <ignoredError sqref="C9:D9 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RevReq</vt:lpstr>
      <vt:lpstr>Adj List</vt:lpstr>
      <vt:lpstr>Adj BS</vt:lpstr>
      <vt:lpstr>Adj IS</vt:lpstr>
      <vt:lpstr>1.01 FAC</vt:lpstr>
      <vt:lpstr>1.02 ES</vt:lpstr>
      <vt:lpstr>1.03 RC</vt:lpstr>
      <vt:lpstr>1.04 CUST</vt:lpstr>
      <vt:lpstr>1.05 GTCC</vt:lpstr>
      <vt:lpstr>1.06 Retirement</vt:lpstr>
      <vt:lpstr>1.07 Depr</vt:lpstr>
      <vt:lpstr>1.08 AdsDonat</vt:lpstr>
      <vt:lpstr>1.09 Dir</vt:lpstr>
      <vt:lpstr>1.10 Life Insur</vt:lpstr>
      <vt:lpstr>1.11 Int</vt:lpstr>
      <vt:lpstr>1.12 Wages</vt:lpstr>
      <vt:lpstr>1.13 PayrTx</vt:lpstr>
      <vt:lpstr>1.14 Prof</vt:lpstr>
      <vt:lpstr>'1.01 FAC'!Print_Area</vt:lpstr>
      <vt:lpstr>'1.02 ES'!Print_Area</vt:lpstr>
      <vt:lpstr>'1.03 RC'!Print_Area</vt:lpstr>
      <vt:lpstr>'1.04 CUST'!Print_Area</vt:lpstr>
      <vt:lpstr>'1.05 GTCC'!Print_Area</vt:lpstr>
      <vt:lpstr>'1.06 Retirement'!Print_Area</vt:lpstr>
      <vt:lpstr>'1.07 Depr'!Print_Area</vt:lpstr>
      <vt:lpstr>'1.08 AdsDonat'!Print_Area</vt:lpstr>
      <vt:lpstr>'1.09 Dir'!Print_Area</vt:lpstr>
      <vt:lpstr>'1.10 Life Insur'!Print_Area</vt:lpstr>
      <vt:lpstr>'1.11 Int'!Print_Area</vt:lpstr>
      <vt:lpstr>'1.12 Wages'!Print_Area</vt:lpstr>
      <vt:lpstr>'1.13 PayrTx'!Print_Area</vt:lpstr>
      <vt:lpstr>'1.14 Prof'!Print_Area</vt:lpstr>
      <vt:lpstr>'Adj BS'!Print_Area</vt:lpstr>
      <vt:lpstr>'Adj IS'!Print_Area</vt:lpstr>
      <vt:lpstr>'Adj List'!Print_Area</vt:lpstr>
      <vt:lpstr>RevReq!Print_Area</vt:lpstr>
      <vt:lpstr>'1.04 CUST'!Print_Titles</vt:lpstr>
      <vt:lpstr>'1.08 AdsDonat'!Print_Titles</vt:lpstr>
      <vt:lpstr>'1.10 Life Insur'!Print_Titles</vt:lpstr>
      <vt:lpstr>'1.12 Wages'!Print_Titles</vt:lpstr>
      <vt:lpstr>'1.13 PayrTx'!Print_Titles</vt:lpstr>
      <vt:lpstr>'1.14 Prof'!Print_Titles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2025-04-23T13:19:40Z</cp:lastPrinted>
  <dcterms:created xsi:type="dcterms:W3CDTF">2012-11-02T18:45:21Z</dcterms:created>
  <dcterms:modified xsi:type="dcterms:W3CDTF">2025-04-23T13:19:51Z</dcterms:modified>
</cp:coreProperties>
</file>