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ac385686f0d07d2/Documents/CATALYST Consulting/Clients/Blue Grass/2024 COS and Rates Case 2025-00xxx/COS and Rates/"/>
    </mc:Choice>
  </mc:AlternateContent>
  <xr:revisionPtr revIDLastSave="54" documentId="8_{122E72F6-A1A3-448C-8583-6704F453B40E}" xr6:coauthVersionLast="47" xr6:coauthVersionMax="47" xr10:uidLastSave="{BF831080-1F80-4D03-9FDA-487AE9D80026}"/>
  <bookViews>
    <workbookView xWindow="-135" yWindow="-135" windowWidth="29070" windowHeight="15750" xr2:uid="{5A56C961-47FC-4CB4-AEDD-3C6FC9A16749}"/>
  </bookViews>
  <sheets>
    <sheet name="Summary" sheetId="2" r:id="rId1"/>
    <sheet name="Billing Detail" sheetId="1" r:id="rId2"/>
    <sheet name="Incr-R" sheetId="5" r:id="rId3"/>
    <sheet name="Notice Table" sheetId="3" r:id="rId4"/>
    <sheet name="Reconciliation" sheetId="4" state="hidden" r:id="rId5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Print_Area" localSheetId="1">'Billing Detail'!$A$1:$M$192</definedName>
    <definedName name="_xlnm.Print_Area" localSheetId="2">'Incr-R'!$A$1:$M$39</definedName>
    <definedName name="_xlnm.Print_Area" localSheetId="3">'Notice Table'!$A$1:$G$93</definedName>
    <definedName name="_xlnm.Print_Area" localSheetId="0">Summary!$A$1:$I$23</definedName>
    <definedName name="_xlnm.Print_Titles" localSheetId="1">'Billing Detail'!$1:$4</definedName>
    <definedName name="_xlnm.Print_Titles" localSheetId="2">'Incr-R'!$1:$1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500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FALSE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82" i="1" l="1"/>
  <c r="A183" i="1"/>
  <c r="A184" i="1"/>
  <c r="A185" i="1"/>
  <c r="A186" i="1" s="1"/>
  <c r="A187" i="1" s="1"/>
  <c r="A188" i="1" s="1"/>
  <c r="A189" i="1" s="1"/>
  <c r="A190" i="1" s="1"/>
  <c r="A191" i="1" s="1"/>
  <c r="A192" i="1" s="1"/>
  <c r="A193" i="1" s="1"/>
  <c r="A194" i="1" s="1"/>
  <c r="A8" i="1"/>
  <c r="A10" i="1" s="1"/>
  <c r="A11" i="1" s="1"/>
  <c r="A12" i="1" s="1"/>
  <c r="A13" i="1" s="1"/>
  <c r="A14" i="1" s="1"/>
  <c r="A15" i="1" s="1"/>
  <c r="A16" i="1" s="1"/>
  <c r="A17" i="1" s="1"/>
  <c r="A18" i="1" s="1"/>
  <c r="A9" i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M177" i="1"/>
  <c r="M147" i="1"/>
  <c r="M133" i="1"/>
  <c r="M118" i="1"/>
  <c r="M104" i="1"/>
  <c r="M89" i="1"/>
  <c r="M74" i="1"/>
  <c r="M61" i="1"/>
  <c r="M48" i="1"/>
  <c r="M33" i="1"/>
  <c r="A22" i="1" l="1"/>
  <c r="A23" i="1" s="1"/>
  <c r="A24" i="1" s="1"/>
  <c r="A19" i="1"/>
  <c r="A20" i="1" s="1"/>
  <c r="A21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l="1"/>
  <c r="A38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39" i="1"/>
  <c r="A40" i="1" s="1"/>
  <c r="A96" i="1" l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97" i="1"/>
  <c r="J8" i="1" l="1"/>
  <c r="E18" i="1"/>
  <c r="E50" i="1" l="1"/>
  <c r="E35" i="1"/>
  <c r="H7" i="5"/>
  <c r="H37" i="5" s="1"/>
  <c r="E7" i="5"/>
  <c r="E9" i="5" s="1"/>
  <c r="D7" i="5"/>
  <c r="D37" i="5" s="1"/>
  <c r="C10" i="5"/>
  <c r="C9" i="5"/>
  <c r="J21" i="1"/>
  <c r="I44" i="1"/>
  <c r="J40" i="1"/>
  <c r="K40" i="1" s="1"/>
  <c r="I40" i="1"/>
  <c r="G40" i="1"/>
  <c r="J39" i="1"/>
  <c r="K39" i="1" s="1"/>
  <c r="L39" i="1" s="1"/>
  <c r="M39" i="1" s="1"/>
  <c r="I39" i="1"/>
  <c r="G39" i="1"/>
  <c r="I29" i="1"/>
  <c r="J24" i="1"/>
  <c r="K24" i="1" s="1"/>
  <c r="I24" i="1"/>
  <c r="G24" i="1"/>
  <c r="J23" i="1"/>
  <c r="K23" i="1" s="1"/>
  <c r="I23" i="1"/>
  <c r="G23" i="1"/>
  <c r="J22" i="1"/>
  <c r="K22" i="1" s="1"/>
  <c r="I22" i="1"/>
  <c r="G22" i="1"/>
  <c r="I12" i="1"/>
  <c r="F9" i="1"/>
  <c r="G9" i="1" s="1"/>
  <c r="J9" i="1"/>
  <c r="K9" i="1" s="1"/>
  <c r="I9" i="1"/>
  <c r="D34" i="5" l="1"/>
  <c r="J42" i="1"/>
  <c r="J41" i="1"/>
  <c r="E10" i="5"/>
  <c r="D10" i="5"/>
  <c r="D20" i="5"/>
  <c r="I7" i="5"/>
  <c r="I8" i="5" s="1"/>
  <c r="D21" i="5"/>
  <c r="D33" i="5"/>
  <c r="D11" i="5"/>
  <c r="H24" i="5"/>
  <c r="D8" i="5"/>
  <c r="D12" i="5"/>
  <c r="D26" i="5"/>
  <c r="E8" i="5"/>
  <c r="H8" i="5"/>
  <c r="D15" i="5"/>
  <c r="D29" i="5"/>
  <c r="H16" i="5"/>
  <c r="D31" i="5"/>
  <c r="D13" i="5"/>
  <c r="D28" i="5"/>
  <c r="D18" i="5"/>
  <c r="H32" i="5"/>
  <c r="D23" i="5"/>
  <c r="D36" i="5"/>
  <c r="H11" i="5"/>
  <c r="H19" i="5"/>
  <c r="H35" i="5"/>
  <c r="H38" i="5"/>
  <c r="H9" i="5"/>
  <c r="H17" i="5"/>
  <c r="H25" i="5"/>
  <c r="C11" i="5"/>
  <c r="C12" i="5" s="1"/>
  <c r="H12" i="5"/>
  <c r="D16" i="5"/>
  <c r="H20" i="5"/>
  <c r="D24" i="5"/>
  <c r="H28" i="5"/>
  <c r="D32" i="5"/>
  <c r="H36" i="5"/>
  <c r="H27" i="5"/>
  <c r="H33" i="5"/>
  <c r="H15" i="5"/>
  <c r="D19" i="5"/>
  <c r="H23" i="5"/>
  <c r="D27" i="5"/>
  <c r="H31" i="5"/>
  <c r="D35" i="5"/>
  <c r="H14" i="5"/>
  <c r="H22" i="5"/>
  <c r="H30" i="5"/>
  <c r="H10" i="5"/>
  <c r="E11" i="5"/>
  <c r="D14" i="5"/>
  <c r="H18" i="5"/>
  <c r="D22" i="5"/>
  <c r="H26" i="5"/>
  <c r="D30" i="5"/>
  <c r="H34" i="5"/>
  <c r="D38" i="5"/>
  <c r="D9" i="5"/>
  <c r="H13" i="5"/>
  <c r="D17" i="5"/>
  <c r="H21" i="5"/>
  <c r="D25" i="5"/>
  <c r="H29" i="5"/>
  <c r="J10" i="1"/>
  <c r="L40" i="1"/>
  <c r="M40" i="1"/>
  <c r="L22" i="1"/>
  <c r="M22" i="1" s="1"/>
  <c r="L24" i="1"/>
  <c r="M24" i="1" s="1"/>
  <c r="L23" i="1"/>
  <c r="M23" i="1" s="1"/>
  <c r="L9" i="1"/>
  <c r="M9" i="1" s="1"/>
  <c r="I11" i="5" l="1"/>
  <c r="I10" i="5"/>
  <c r="I12" i="5"/>
  <c r="I9" i="5"/>
  <c r="C13" i="5"/>
  <c r="E12" i="5"/>
  <c r="J38" i="1"/>
  <c r="C14" i="5" l="1"/>
  <c r="E13" i="5"/>
  <c r="I13" i="5"/>
  <c r="J153" i="1"/>
  <c r="O154" i="1"/>
  <c r="J154" i="1" s="1"/>
  <c r="H98" i="1"/>
  <c r="G98" i="1"/>
  <c r="J97" i="1"/>
  <c r="K97" i="1" s="1"/>
  <c r="I97" i="1"/>
  <c r="G97" i="1"/>
  <c r="E120" i="1"/>
  <c r="E89" i="3" s="1"/>
  <c r="J83" i="1"/>
  <c r="K83" i="1" s="1"/>
  <c r="I83" i="1"/>
  <c r="H8" i="1"/>
  <c r="I8" i="1" s="1"/>
  <c r="G8" i="1"/>
  <c r="E16" i="4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H163" i="1"/>
  <c r="H159" i="1"/>
  <c r="H157" i="1"/>
  <c r="H155" i="1"/>
  <c r="G153" i="1"/>
  <c r="C15" i="5" l="1"/>
  <c r="E14" i="5"/>
  <c r="I14" i="5"/>
  <c r="O155" i="1"/>
  <c r="O156" i="1" s="1"/>
  <c r="O157" i="1" s="1"/>
  <c r="O158" i="1" s="1"/>
  <c r="O159" i="1" s="1"/>
  <c r="O160" i="1" s="1"/>
  <c r="O161" i="1" s="1"/>
  <c r="L83" i="1"/>
  <c r="M83" i="1" s="1"/>
  <c r="L97" i="1"/>
  <c r="M97" i="1" s="1"/>
  <c r="K8" i="1"/>
  <c r="L8" i="1" s="1"/>
  <c r="M8" i="1" s="1"/>
  <c r="C16" i="5" l="1"/>
  <c r="E15" i="5"/>
  <c r="I15" i="5"/>
  <c r="J155" i="1"/>
  <c r="J156" i="1"/>
  <c r="J157" i="1"/>
  <c r="J158" i="1"/>
  <c r="J159" i="1"/>
  <c r="J160" i="1"/>
  <c r="O162" i="1"/>
  <c r="J161" i="1"/>
  <c r="C17" i="5" l="1"/>
  <c r="E16" i="5"/>
  <c r="I16" i="5"/>
  <c r="O163" i="1"/>
  <c r="J162" i="1"/>
  <c r="C18" i="5" l="1"/>
  <c r="E17" i="5"/>
  <c r="I17" i="5"/>
  <c r="O164" i="1"/>
  <c r="J163" i="1"/>
  <c r="E18" i="5" l="1"/>
  <c r="C19" i="5"/>
  <c r="I18" i="5"/>
  <c r="O165" i="1"/>
  <c r="J164" i="1"/>
  <c r="C20" i="5" l="1"/>
  <c r="E19" i="5"/>
  <c r="I19" i="5"/>
  <c r="O166" i="1"/>
  <c r="J165" i="1"/>
  <c r="C21" i="5" l="1"/>
  <c r="E20" i="5"/>
  <c r="I20" i="5"/>
  <c r="O167" i="1"/>
  <c r="J166" i="1"/>
  <c r="C22" i="5" l="1"/>
  <c r="I21" i="5"/>
  <c r="E21" i="5"/>
  <c r="O168" i="1"/>
  <c r="J167" i="1"/>
  <c r="C23" i="5" l="1"/>
  <c r="I22" i="5"/>
  <c r="E22" i="5"/>
  <c r="O169" i="1"/>
  <c r="J168" i="1"/>
  <c r="C24" i="5" l="1"/>
  <c r="E23" i="5"/>
  <c r="I23" i="5"/>
  <c r="O170" i="1"/>
  <c r="J169" i="1"/>
  <c r="I24" i="5" l="1"/>
  <c r="C25" i="5"/>
  <c r="E24" i="5"/>
  <c r="O171" i="1"/>
  <c r="J171" i="1" s="1"/>
  <c r="J170" i="1"/>
  <c r="E25" i="5" l="1"/>
  <c r="C26" i="5"/>
  <c r="I25" i="5"/>
  <c r="L191" i="1"/>
  <c r="E26" i="5" l="1"/>
  <c r="C27" i="5"/>
  <c r="I26" i="5"/>
  <c r="C15" i="2"/>
  <c r="B15" i="2"/>
  <c r="D8" i="3"/>
  <c r="J141" i="1"/>
  <c r="J124" i="1"/>
  <c r="J125" i="1"/>
  <c r="J126" i="1"/>
  <c r="J127" i="1"/>
  <c r="J123" i="1"/>
  <c r="J110" i="1"/>
  <c r="J111" i="1"/>
  <c r="J112" i="1"/>
  <c r="J109" i="1"/>
  <c r="J95" i="1"/>
  <c r="J98" i="1"/>
  <c r="J94" i="1"/>
  <c r="J80" i="1"/>
  <c r="J82" i="1"/>
  <c r="J79" i="1"/>
  <c r="J68" i="1"/>
  <c r="J67" i="1"/>
  <c r="J66" i="1"/>
  <c r="J54" i="1"/>
  <c r="J55" i="1"/>
  <c r="J53" i="1"/>
  <c r="J25" i="1"/>
  <c r="J26" i="1"/>
  <c r="J27" i="1"/>
  <c r="C28" i="5" l="1"/>
  <c r="I27" i="5"/>
  <c r="E27" i="5"/>
  <c r="G10" i="1"/>
  <c r="G16" i="1"/>
  <c r="G21" i="1"/>
  <c r="G25" i="1"/>
  <c r="G26" i="1"/>
  <c r="G27" i="1"/>
  <c r="G33" i="1"/>
  <c r="G38" i="1"/>
  <c r="G41" i="1"/>
  <c r="G42" i="1"/>
  <c r="G48" i="1"/>
  <c r="G53" i="1"/>
  <c r="G54" i="1"/>
  <c r="G55" i="1"/>
  <c r="G61" i="1"/>
  <c r="G66" i="1"/>
  <c r="G67" i="1"/>
  <c r="G68" i="1"/>
  <c r="G74" i="1"/>
  <c r="G79" i="1"/>
  <c r="G80" i="1"/>
  <c r="G81" i="1"/>
  <c r="G82" i="1"/>
  <c r="F83" i="1"/>
  <c r="G83" i="1" s="1"/>
  <c r="G89" i="1"/>
  <c r="G95" i="1"/>
  <c r="G102" i="1"/>
  <c r="G109" i="1"/>
  <c r="G110" i="1"/>
  <c r="G111" i="1"/>
  <c r="G112" i="1"/>
  <c r="G118" i="1"/>
  <c r="G154" i="1"/>
  <c r="G177" i="1"/>
  <c r="G138" i="1"/>
  <c r="G139" i="1"/>
  <c r="G141" i="1"/>
  <c r="G147" i="1"/>
  <c r="G185" i="1"/>
  <c r="F6" i="3"/>
  <c r="F7" i="3"/>
  <c r="F9" i="3"/>
  <c r="F10" i="3"/>
  <c r="F11" i="3"/>
  <c r="F12" i="3"/>
  <c r="F14" i="3"/>
  <c r="F15" i="3"/>
  <c r="F16" i="3"/>
  <c r="F18" i="3"/>
  <c r="F19" i="3"/>
  <c r="F20" i="3"/>
  <c r="F22" i="3"/>
  <c r="F23" i="3"/>
  <c r="F24" i="3"/>
  <c r="F26" i="3"/>
  <c r="F27" i="3"/>
  <c r="F28" i="3"/>
  <c r="F30" i="3"/>
  <c r="F31" i="3"/>
  <c r="F32" i="3"/>
  <c r="F34" i="3"/>
  <c r="F35" i="3"/>
  <c r="F36" i="3"/>
  <c r="F37" i="3"/>
  <c r="F39" i="3"/>
  <c r="F40" i="3"/>
  <c r="F41" i="3"/>
  <c r="F42" i="3"/>
  <c r="F49" i="3"/>
  <c r="F50" i="3"/>
  <c r="F51" i="3"/>
  <c r="F52" i="3"/>
  <c r="F53" i="3"/>
  <c r="F54" i="3"/>
  <c r="F55" i="3"/>
  <c r="F56" i="3"/>
  <c r="F57" i="3"/>
  <c r="F58" i="3"/>
  <c r="F59" i="3"/>
  <c r="F60" i="3"/>
  <c r="F44" i="3"/>
  <c r="F45" i="3"/>
  <c r="G45" i="3"/>
  <c r="F46" i="3"/>
  <c r="F47" i="3"/>
  <c r="H45" i="3" l="1"/>
  <c r="E28" i="5"/>
  <c r="C29" i="5"/>
  <c r="I28" i="5"/>
  <c r="G43" i="1"/>
  <c r="G49" i="1" s="1"/>
  <c r="G184" i="1"/>
  <c r="G133" i="1"/>
  <c r="G104" i="1"/>
  <c r="G28" i="1"/>
  <c r="G34" i="1" s="1"/>
  <c r="G113" i="1"/>
  <c r="G119" i="1" s="1"/>
  <c r="G172" i="1"/>
  <c r="G178" i="1" s="1"/>
  <c r="D16" i="2" s="1"/>
  <c r="F15" i="4" s="1"/>
  <c r="G15" i="4" s="1"/>
  <c r="H15" i="4" s="1"/>
  <c r="G56" i="1"/>
  <c r="G62" i="1" s="1"/>
  <c r="G182" i="1"/>
  <c r="G69" i="1"/>
  <c r="G75" i="1" s="1"/>
  <c r="G183" i="1"/>
  <c r="I29" i="5" l="1"/>
  <c r="C30" i="5"/>
  <c r="E29" i="5"/>
  <c r="D13" i="2"/>
  <c r="F12" i="4" s="1"/>
  <c r="G12" i="4" s="1"/>
  <c r="H12" i="4" s="1"/>
  <c r="G120" i="1"/>
  <c r="G63" i="1"/>
  <c r="D9" i="2"/>
  <c r="F8" i="4" s="1"/>
  <c r="G8" i="4" s="1"/>
  <c r="H8" i="4" s="1"/>
  <c r="G35" i="1"/>
  <c r="D7" i="2"/>
  <c r="F6" i="4" s="1"/>
  <c r="G6" i="4" s="1"/>
  <c r="H6" i="4" s="1"/>
  <c r="G76" i="1"/>
  <c r="D10" i="2"/>
  <c r="F9" i="4" s="1"/>
  <c r="G9" i="4" s="1"/>
  <c r="H9" i="4" s="1"/>
  <c r="G50" i="1"/>
  <c r="D8" i="2"/>
  <c r="F7" i="4" s="1"/>
  <c r="G7" i="4" s="1"/>
  <c r="H7" i="4" s="1"/>
  <c r="G186" i="1"/>
  <c r="C31" i="5" l="1"/>
  <c r="I30" i="5"/>
  <c r="E30" i="5"/>
  <c r="G140" i="1"/>
  <c r="G142" i="1" s="1"/>
  <c r="G148" i="1" s="1"/>
  <c r="D15" i="2" s="1"/>
  <c r="F14" i="4" s="1"/>
  <c r="G14" i="4" s="1"/>
  <c r="H14" i="4" s="1"/>
  <c r="K139" i="1"/>
  <c r="I139" i="1"/>
  <c r="I143" i="1"/>
  <c r="I114" i="1"/>
  <c r="I85" i="1"/>
  <c r="I70" i="1"/>
  <c r="I57" i="1"/>
  <c r="E56" i="3"/>
  <c r="E45" i="3"/>
  <c r="E46" i="3"/>
  <c r="E47" i="3"/>
  <c r="J140" i="1"/>
  <c r="G47" i="3"/>
  <c r="H47" i="3" s="1"/>
  <c r="E31" i="5" l="1"/>
  <c r="C32" i="5"/>
  <c r="I31" i="5"/>
  <c r="G149" i="1"/>
  <c r="G46" i="3"/>
  <c r="H46" i="3" s="1"/>
  <c r="K140" i="1"/>
  <c r="I140" i="1"/>
  <c r="C33" i="5" l="1"/>
  <c r="I32" i="5"/>
  <c r="E32" i="5"/>
  <c r="L140" i="1"/>
  <c r="M140" i="1" s="1"/>
  <c r="E33" i="5" l="1"/>
  <c r="C34" i="5"/>
  <c r="I33" i="5"/>
  <c r="G7" i="1"/>
  <c r="G11" i="1" s="1"/>
  <c r="E34" i="5" l="1"/>
  <c r="C35" i="5"/>
  <c r="I34" i="5"/>
  <c r="G17" i="1"/>
  <c r="E149" i="1"/>
  <c r="E91" i="1"/>
  <c r="E87" i="3" s="1"/>
  <c r="E76" i="1"/>
  <c r="E86" i="3" s="1"/>
  <c r="E63" i="1"/>
  <c r="E85" i="3" s="1"/>
  <c r="E84" i="3"/>
  <c r="E83" i="3"/>
  <c r="E82" i="3"/>
  <c r="C36" i="5" l="1"/>
  <c r="I35" i="5"/>
  <c r="E35" i="5"/>
  <c r="G18" i="1"/>
  <c r="D6" i="2"/>
  <c r="F5" i="4" s="1"/>
  <c r="J138" i="1"/>
  <c r="G44" i="3" s="1"/>
  <c r="H44" i="3" s="1"/>
  <c r="G126" i="1"/>
  <c r="G125" i="1"/>
  <c r="G124" i="1"/>
  <c r="G123" i="1"/>
  <c r="G94" i="1"/>
  <c r="E36" i="5" l="1"/>
  <c r="C37" i="5"/>
  <c r="I36" i="5"/>
  <c r="G5" i="4"/>
  <c r="I129" i="1"/>
  <c r="G127" i="1"/>
  <c r="G128" i="1" s="1"/>
  <c r="G134" i="1" s="1"/>
  <c r="I100" i="1"/>
  <c r="G96" i="1"/>
  <c r="G99" i="1" s="1"/>
  <c r="E135" i="1"/>
  <c r="E90" i="3" s="1"/>
  <c r="E106" i="1"/>
  <c r="E88" i="3" s="1"/>
  <c r="E42" i="3"/>
  <c r="E44" i="3"/>
  <c r="C43" i="3"/>
  <c r="D43" i="3"/>
  <c r="E50" i="3"/>
  <c r="E57" i="3"/>
  <c r="E59" i="3"/>
  <c r="E58" i="3"/>
  <c r="E51" i="3"/>
  <c r="E60" i="3"/>
  <c r="E52" i="3"/>
  <c r="E53" i="3"/>
  <c r="E54" i="3"/>
  <c r="E55" i="3"/>
  <c r="E49" i="3"/>
  <c r="C48" i="3"/>
  <c r="D48" i="3"/>
  <c r="E40" i="3"/>
  <c r="E41" i="3"/>
  <c r="E39" i="3"/>
  <c r="C38" i="3"/>
  <c r="D38" i="3"/>
  <c r="E35" i="3"/>
  <c r="E36" i="3"/>
  <c r="E37" i="3"/>
  <c r="E34" i="3"/>
  <c r="C33" i="3"/>
  <c r="D33" i="3"/>
  <c r="E32" i="3"/>
  <c r="E31" i="3"/>
  <c r="E30" i="3"/>
  <c r="C29" i="3"/>
  <c r="D29" i="3"/>
  <c r="E28" i="3"/>
  <c r="E27" i="3"/>
  <c r="E26" i="3"/>
  <c r="C25" i="3"/>
  <c r="D25" i="3"/>
  <c r="E23" i="3"/>
  <c r="E24" i="3"/>
  <c r="E22" i="3"/>
  <c r="C21" i="3"/>
  <c r="D21" i="3"/>
  <c r="E19" i="3"/>
  <c r="E20" i="3"/>
  <c r="E18" i="3"/>
  <c r="C17" i="3"/>
  <c r="D17" i="3"/>
  <c r="E15" i="3"/>
  <c r="E16" i="3"/>
  <c r="E14" i="3"/>
  <c r="C13" i="3"/>
  <c r="D13" i="3"/>
  <c r="E10" i="3"/>
  <c r="E11" i="3"/>
  <c r="E12" i="3"/>
  <c r="E9" i="3"/>
  <c r="C8" i="3"/>
  <c r="E7" i="3"/>
  <c r="E6" i="3"/>
  <c r="C5" i="3"/>
  <c r="D5" i="3"/>
  <c r="A1" i="3"/>
  <c r="I37" i="5" l="1"/>
  <c r="C38" i="5"/>
  <c r="E37" i="5"/>
  <c r="G135" i="1"/>
  <c r="D14" i="2"/>
  <c r="F13" i="4" s="1"/>
  <c r="G13" i="4" s="1"/>
  <c r="H13" i="4" s="1"/>
  <c r="H5" i="4"/>
  <c r="G105" i="1"/>
  <c r="E38" i="5" l="1"/>
  <c r="I38" i="5"/>
  <c r="G106" i="1"/>
  <c r="D12" i="2"/>
  <c r="F11" i="4" s="1"/>
  <c r="G11" i="4" s="1"/>
  <c r="H11" i="4" s="1"/>
  <c r="L185" i="1"/>
  <c r="I146" i="1"/>
  <c r="K146" i="1" s="1"/>
  <c r="I145" i="1"/>
  <c r="K145" i="1" s="1"/>
  <c r="L145" i="1" s="1"/>
  <c r="I144" i="1"/>
  <c r="K144" i="1" s="1"/>
  <c r="L144" i="1" s="1"/>
  <c r="I141" i="1"/>
  <c r="I138" i="1"/>
  <c r="K143" i="1" l="1"/>
  <c r="L143" i="1" s="1"/>
  <c r="I142" i="1"/>
  <c r="I147" i="1"/>
  <c r="K147" i="1" l="1"/>
  <c r="L147" i="1" s="1"/>
  <c r="I148" i="1"/>
  <c r="E15" i="2" s="1"/>
  <c r="I149" i="1" l="1"/>
  <c r="K138" i="1"/>
  <c r="K141" i="1"/>
  <c r="L141" i="1" s="1"/>
  <c r="M141" i="1" l="1"/>
  <c r="L138" i="1"/>
  <c r="M138" i="1" s="1"/>
  <c r="H96" i="1" l="1"/>
  <c r="J96" i="1" s="1"/>
  <c r="C11" i="2"/>
  <c r="B11" i="2"/>
  <c r="C9" i="2"/>
  <c r="H81" i="1"/>
  <c r="J81" i="1" s="1"/>
  <c r="I126" i="1"/>
  <c r="I124" i="1"/>
  <c r="I95" i="1"/>
  <c r="I82" i="1"/>
  <c r="I80" i="1"/>
  <c r="C85" i="3" l="1"/>
  <c r="C69" i="3"/>
  <c r="C87" i="3"/>
  <c r="C71" i="3"/>
  <c r="D71" i="3"/>
  <c r="D87" i="3"/>
  <c r="I67" i="1"/>
  <c r="I25" i="1"/>
  <c r="I26" i="1"/>
  <c r="I88" i="1" l="1"/>
  <c r="K88" i="1" s="1"/>
  <c r="I87" i="1"/>
  <c r="K87" i="1" s="1"/>
  <c r="L87" i="1" s="1"/>
  <c r="I86" i="1"/>
  <c r="K86" i="1" s="1"/>
  <c r="L86" i="1" s="1"/>
  <c r="K85" i="1"/>
  <c r="I81" i="1"/>
  <c r="I79" i="1"/>
  <c r="I125" i="1"/>
  <c r="I54" i="1"/>
  <c r="I41" i="1"/>
  <c r="L85" i="1" l="1"/>
  <c r="K89" i="1"/>
  <c r="I89" i="1"/>
  <c r="L89" i="1" l="1"/>
  <c r="A7" i="1"/>
  <c r="I73" i="1" l="1"/>
  <c r="K73" i="1" s="1"/>
  <c r="I72" i="1"/>
  <c r="K72" i="1" s="1"/>
  <c r="I71" i="1"/>
  <c r="K71" i="1" s="1"/>
  <c r="I132" i="1"/>
  <c r="K132" i="1" s="1"/>
  <c r="I130" i="1"/>
  <c r="K130" i="1" s="1"/>
  <c r="I117" i="1"/>
  <c r="K117" i="1" s="1"/>
  <c r="I116" i="1"/>
  <c r="I115" i="1"/>
  <c r="I103" i="1"/>
  <c r="K103" i="1" s="1"/>
  <c r="I102" i="1"/>
  <c r="I101" i="1"/>
  <c r="K101" i="1" s="1"/>
  <c r="I60" i="1"/>
  <c r="K60" i="1" s="1"/>
  <c r="I59" i="1"/>
  <c r="K59" i="1" s="1"/>
  <c r="I58" i="1"/>
  <c r="K58" i="1" s="1"/>
  <c r="I47" i="1"/>
  <c r="K47" i="1" s="1"/>
  <c r="I45" i="1"/>
  <c r="I32" i="1"/>
  <c r="K32" i="1" s="1"/>
  <c r="I31" i="1"/>
  <c r="K31" i="1" s="1"/>
  <c r="I30" i="1"/>
  <c r="K30" i="1" s="1"/>
  <c r="I15" i="1"/>
  <c r="I14" i="1"/>
  <c r="I13" i="1"/>
  <c r="I183" i="1" l="1"/>
  <c r="I185" i="1"/>
  <c r="K14" i="1"/>
  <c r="K13" i="1"/>
  <c r="K116" i="1"/>
  <c r="K15" i="1"/>
  <c r="K115" i="1"/>
  <c r="K102" i="1"/>
  <c r="I33" i="1"/>
  <c r="I61" i="1"/>
  <c r="K45" i="1"/>
  <c r="I46" i="1"/>
  <c r="K46" i="1" s="1"/>
  <c r="I131" i="1"/>
  <c r="K185" i="1" l="1"/>
  <c r="I182" i="1"/>
  <c r="I184" i="1"/>
  <c r="I118" i="1"/>
  <c r="I16" i="1"/>
  <c r="F7" i="5" s="1"/>
  <c r="I74" i="1"/>
  <c r="I104" i="1"/>
  <c r="I133" i="1"/>
  <c r="K131" i="1"/>
  <c r="I48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71" i="1"/>
  <c r="I157" i="1"/>
  <c r="I156" i="1"/>
  <c r="I155" i="1"/>
  <c r="I154" i="1"/>
  <c r="J7" i="5" l="1"/>
  <c r="F10" i="5"/>
  <c r="G10" i="5" s="1"/>
  <c r="F8" i="5"/>
  <c r="G8" i="5" s="1"/>
  <c r="F9" i="5"/>
  <c r="G9" i="5" s="1"/>
  <c r="F12" i="5"/>
  <c r="G12" i="5" s="1"/>
  <c r="F11" i="5"/>
  <c r="G11" i="5" s="1"/>
  <c r="F13" i="5"/>
  <c r="G13" i="5" s="1"/>
  <c r="F14" i="5"/>
  <c r="G14" i="5" s="1"/>
  <c r="F15" i="5"/>
  <c r="G15" i="5" s="1"/>
  <c r="F16" i="5"/>
  <c r="G16" i="5" s="1"/>
  <c r="F17" i="5"/>
  <c r="G17" i="5" s="1"/>
  <c r="F18" i="5"/>
  <c r="G18" i="5" s="1"/>
  <c r="F19" i="5"/>
  <c r="G19" i="5" s="1"/>
  <c r="F20" i="5"/>
  <c r="G20" i="5" s="1"/>
  <c r="F21" i="5"/>
  <c r="G21" i="5" s="1"/>
  <c r="F22" i="5"/>
  <c r="G22" i="5" s="1"/>
  <c r="F23" i="5"/>
  <c r="G23" i="5" s="1"/>
  <c r="F24" i="5"/>
  <c r="G24" i="5" s="1"/>
  <c r="F25" i="5"/>
  <c r="G25" i="5" s="1"/>
  <c r="F26" i="5"/>
  <c r="G26" i="5" s="1"/>
  <c r="F27" i="5"/>
  <c r="G27" i="5" s="1"/>
  <c r="F28" i="5"/>
  <c r="G28" i="5" s="1"/>
  <c r="F29" i="5"/>
  <c r="G29" i="5" s="1"/>
  <c r="F30" i="5"/>
  <c r="G30" i="5" s="1"/>
  <c r="F31" i="5"/>
  <c r="G31" i="5" s="1"/>
  <c r="F32" i="5"/>
  <c r="G32" i="5" s="1"/>
  <c r="F33" i="5"/>
  <c r="G33" i="5" s="1"/>
  <c r="F34" i="5"/>
  <c r="G34" i="5" s="1"/>
  <c r="F35" i="5"/>
  <c r="G35" i="5" s="1"/>
  <c r="F36" i="5"/>
  <c r="G36" i="5" s="1"/>
  <c r="F37" i="5"/>
  <c r="G37" i="5" s="1"/>
  <c r="F38" i="5"/>
  <c r="G38" i="5" s="1"/>
  <c r="I186" i="1"/>
  <c r="C8" i="2"/>
  <c r="C12" i="2"/>
  <c r="C13" i="2"/>
  <c r="C14" i="2"/>
  <c r="C10" i="2"/>
  <c r="C16" i="2"/>
  <c r="B16" i="2"/>
  <c r="B10" i="2"/>
  <c r="B14" i="2"/>
  <c r="B13" i="2"/>
  <c r="B12" i="2"/>
  <c r="B9" i="2"/>
  <c r="B8" i="2"/>
  <c r="D68" i="3" s="1"/>
  <c r="C7" i="2"/>
  <c r="C6" i="2"/>
  <c r="B7" i="2"/>
  <c r="D67" i="3" s="1"/>
  <c r="B6" i="2"/>
  <c r="D82" i="3" s="1"/>
  <c r="I111" i="1"/>
  <c r="L102" i="1"/>
  <c r="L101" i="1"/>
  <c r="K100" i="1"/>
  <c r="I98" i="1"/>
  <c r="I96" i="1"/>
  <c r="I94" i="1"/>
  <c r="L59" i="1"/>
  <c r="L58" i="1"/>
  <c r="K57" i="1"/>
  <c r="I55" i="1"/>
  <c r="I53" i="1"/>
  <c r="L31" i="1"/>
  <c r="L30" i="1"/>
  <c r="K29" i="1"/>
  <c r="I27" i="1"/>
  <c r="I21" i="1"/>
  <c r="L45" i="1"/>
  <c r="K44" i="1"/>
  <c r="I42" i="1"/>
  <c r="I38" i="1"/>
  <c r="L116" i="1"/>
  <c r="L115" i="1"/>
  <c r="K114" i="1"/>
  <c r="I112" i="1"/>
  <c r="I110" i="1"/>
  <c r="I109" i="1"/>
  <c r="L131" i="1"/>
  <c r="L130" i="1"/>
  <c r="K129" i="1"/>
  <c r="I127" i="1"/>
  <c r="I123" i="1"/>
  <c r="L72" i="1"/>
  <c r="L71" i="1"/>
  <c r="K70" i="1"/>
  <c r="I68" i="1"/>
  <c r="I66" i="1"/>
  <c r="J10" i="5" l="1"/>
  <c r="K10" i="5" s="1"/>
  <c r="L10" i="5" s="1"/>
  <c r="M10" i="5" s="1"/>
  <c r="J8" i="5"/>
  <c r="K8" i="5" s="1"/>
  <c r="L8" i="5" s="1"/>
  <c r="M8" i="5" s="1"/>
  <c r="J13" i="5"/>
  <c r="K13" i="5" s="1"/>
  <c r="L13" i="5" s="1"/>
  <c r="M13" i="5" s="1"/>
  <c r="J12" i="5"/>
  <c r="K12" i="5" s="1"/>
  <c r="L12" i="5" s="1"/>
  <c r="M12" i="5" s="1"/>
  <c r="J11" i="5"/>
  <c r="K11" i="5" s="1"/>
  <c r="L11" i="5" s="1"/>
  <c r="M11" i="5" s="1"/>
  <c r="J9" i="5"/>
  <c r="K9" i="5" s="1"/>
  <c r="L9" i="5" s="1"/>
  <c r="M9" i="5" s="1"/>
  <c r="J14" i="5"/>
  <c r="K14" i="5" s="1"/>
  <c r="L14" i="5" s="1"/>
  <c r="M14" i="5" s="1"/>
  <c r="J15" i="5"/>
  <c r="K15" i="5" s="1"/>
  <c r="L15" i="5" s="1"/>
  <c r="M15" i="5" s="1"/>
  <c r="J16" i="5"/>
  <c r="K16" i="5" s="1"/>
  <c r="L16" i="5" s="1"/>
  <c r="M16" i="5" s="1"/>
  <c r="J17" i="5"/>
  <c r="K17" i="5" s="1"/>
  <c r="L17" i="5" s="1"/>
  <c r="M17" i="5" s="1"/>
  <c r="J18" i="5"/>
  <c r="K18" i="5" s="1"/>
  <c r="L18" i="5" s="1"/>
  <c r="M18" i="5" s="1"/>
  <c r="J19" i="5"/>
  <c r="K19" i="5" s="1"/>
  <c r="L19" i="5" s="1"/>
  <c r="M19" i="5" s="1"/>
  <c r="J20" i="5"/>
  <c r="K20" i="5" s="1"/>
  <c r="L20" i="5" s="1"/>
  <c r="M20" i="5" s="1"/>
  <c r="J21" i="5"/>
  <c r="K21" i="5" s="1"/>
  <c r="L21" i="5" s="1"/>
  <c r="M21" i="5" s="1"/>
  <c r="J22" i="5"/>
  <c r="K22" i="5" s="1"/>
  <c r="L22" i="5" s="1"/>
  <c r="M22" i="5" s="1"/>
  <c r="J23" i="5"/>
  <c r="K23" i="5" s="1"/>
  <c r="L23" i="5" s="1"/>
  <c r="M23" i="5" s="1"/>
  <c r="J24" i="5"/>
  <c r="K24" i="5" s="1"/>
  <c r="L24" i="5" s="1"/>
  <c r="M24" i="5" s="1"/>
  <c r="J25" i="5"/>
  <c r="K25" i="5" s="1"/>
  <c r="L25" i="5" s="1"/>
  <c r="M25" i="5" s="1"/>
  <c r="J26" i="5"/>
  <c r="K26" i="5" s="1"/>
  <c r="L26" i="5" s="1"/>
  <c r="M26" i="5" s="1"/>
  <c r="J27" i="5"/>
  <c r="K27" i="5" s="1"/>
  <c r="L27" i="5" s="1"/>
  <c r="M27" i="5" s="1"/>
  <c r="J28" i="5"/>
  <c r="K28" i="5" s="1"/>
  <c r="L28" i="5" s="1"/>
  <c r="M28" i="5" s="1"/>
  <c r="J29" i="5"/>
  <c r="K29" i="5" s="1"/>
  <c r="L29" i="5" s="1"/>
  <c r="M29" i="5" s="1"/>
  <c r="J30" i="5"/>
  <c r="K30" i="5" s="1"/>
  <c r="L30" i="5" s="1"/>
  <c r="M30" i="5" s="1"/>
  <c r="J31" i="5"/>
  <c r="K31" i="5" s="1"/>
  <c r="L31" i="5" s="1"/>
  <c r="M31" i="5" s="1"/>
  <c r="J32" i="5"/>
  <c r="K32" i="5" s="1"/>
  <c r="L32" i="5" s="1"/>
  <c r="M32" i="5" s="1"/>
  <c r="J33" i="5"/>
  <c r="K33" i="5" s="1"/>
  <c r="L33" i="5" s="1"/>
  <c r="M33" i="5" s="1"/>
  <c r="J34" i="5"/>
  <c r="K34" i="5" s="1"/>
  <c r="L34" i="5" s="1"/>
  <c r="M34" i="5" s="1"/>
  <c r="J35" i="5"/>
  <c r="K35" i="5" s="1"/>
  <c r="L35" i="5" s="1"/>
  <c r="M35" i="5" s="1"/>
  <c r="J36" i="5"/>
  <c r="K36" i="5" s="1"/>
  <c r="L36" i="5" s="1"/>
  <c r="M36" i="5" s="1"/>
  <c r="J37" i="5"/>
  <c r="K37" i="5" s="1"/>
  <c r="L37" i="5" s="1"/>
  <c r="M37" i="5" s="1"/>
  <c r="J38" i="5"/>
  <c r="K38" i="5" s="1"/>
  <c r="L38" i="5" s="1"/>
  <c r="M38" i="5" s="1"/>
  <c r="D89" i="3"/>
  <c r="D73" i="3"/>
  <c r="C72" i="3"/>
  <c r="C88" i="3"/>
  <c r="C89" i="3"/>
  <c r="C73" i="3"/>
  <c r="D86" i="3"/>
  <c r="D70" i="3"/>
  <c r="D66" i="3"/>
  <c r="C66" i="3"/>
  <c r="C82" i="3"/>
  <c r="D75" i="3"/>
  <c r="D91" i="3"/>
  <c r="D90" i="3"/>
  <c r="D74" i="3"/>
  <c r="C83" i="3"/>
  <c r="C67" i="3"/>
  <c r="C91" i="3"/>
  <c r="C75" i="3"/>
  <c r="D72" i="3"/>
  <c r="D88" i="3"/>
  <c r="D83" i="3"/>
  <c r="D84" i="3"/>
  <c r="C86" i="3"/>
  <c r="C70" i="3"/>
  <c r="C68" i="3"/>
  <c r="C84" i="3"/>
  <c r="D85" i="3"/>
  <c r="D69" i="3"/>
  <c r="C90" i="3"/>
  <c r="C74" i="3"/>
  <c r="L29" i="1"/>
  <c r="K33" i="1"/>
  <c r="L70" i="1"/>
  <c r="K74" i="1"/>
  <c r="L129" i="1"/>
  <c r="K133" i="1"/>
  <c r="L114" i="1"/>
  <c r="K118" i="1"/>
  <c r="L100" i="1"/>
  <c r="K104" i="1"/>
  <c r="L57" i="1"/>
  <c r="K61" i="1"/>
  <c r="L44" i="1"/>
  <c r="K48" i="1"/>
  <c r="L48" i="1" s="1"/>
  <c r="I99" i="1"/>
  <c r="I56" i="1"/>
  <c r="I28" i="1"/>
  <c r="L46" i="1"/>
  <c r="I43" i="1"/>
  <c r="I69" i="1"/>
  <c r="I113" i="1"/>
  <c r="I128" i="1"/>
  <c r="I153" i="1"/>
  <c r="K175" i="1"/>
  <c r="K184" i="1" s="1"/>
  <c r="K174" i="1"/>
  <c r="K183" i="1" s="1"/>
  <c r="K173" i="1"/>
  <c r="K12" i="1"/>
  <c r="K16" i="1" s="1"/>
  <c r="I10" i="1"/>
  <c r="I7" i="1"/>
  <c r="A2" i="1"/>
  <c r="A1" i="1"/>
  <c r="A6" i="2"/>
  <c r="A7" i="2" s="1"/>
  <c r="L173" i="1" l="1"/>
  <c r="K182" i="1"/>
  <c r="L174" i="1"/>
  <c r="L175" i="1"/>
  <c r="L13" i="1"/>
  <c r="L14" i="1"/>
  <c r="I62" i="1"/>
  <c r="I75" i="1"/>
  <c r="I49" i="1"/>
  <c r="I119" i="1"/>
  <c r="I134" i="1"/>
  <c r="I34" i="1"/>
  <c r="I105" i="1"/>
  <c r="L61" i="1"/>
  <c r="L104" i="1"/>
  <c r="L33" i="1"/>
  <c r="L118" i="1"/>
  <c r="L133" i="1"/>
  <c r="L74" i="1"/>
  <c r="I11" i="1"/>
  <c r="I177" i="1"/>
  <c r="I172" i="1"/>
  <c r="L12" i="1"/>
  <c r="I135" i="1" l="1"/>
  <c r="E14" i="2"/>
  <c r="I50" i="1"/>
  <c r="E8" i="2"/>
  <c r="I63" i="1"/>
  <c r="E9" i="2"/>
  <c r="I106" i="1"/>
  <c r="E12" i="2"/>
  <c r="I35" i="1"/>
  <c r="E7" i="2"/>
  <c r="I120" i="1"/>
  <c r="E13" i="2"/>
  <c r="I76" i="1"/>
  <c r="E10" i="2"/>
  <c r="L183" i="1"/>
  <c r="L184" i="1"/>
  <c r="L182" i="1"/>
  <c r="K186" i="1"/>
  <c r="I178" i="1"/>
  <c r="E16" i="2" s="1"/>
  <c r="K177" i="1"/>
  <c r="I17" i="1"/>
  <c r="L16" i="1"/>
  <c r="I18" i="1" l="1"/>
  <c r="E6" i="2"/>
  <c r="L186" i="1"/>
  <c r="L177" i="1"/>
  <c r="G31" i="3" l="1"/>
  <c r="H31" i="3" s="1"/>
  <c r="G41" i="3"/>
  <c r="H41" i="3" s="1"/>
  <c r="G39" i="3"/>
  <c r="H39" i="3" s="1"/>
  <c r="G30" i="3"/>
  <c r="H30" i="3" s="1"/>
  <c r="G26" i="3"/>
  <c r="H26" i="3" s="1"/>
  <c r="G7" i="3"/>
  <c r="H7" i="3" s="1"/>
  <c r="G22" i="3"/>
  <c r="H22" i="3" s="1"/>
  <c r="K98" i="1"/>
  <c r="K155" i="1"/>
  <c r="L155" i="1" s="1"/>
  <c r="M155" i="1" s="1"/>
  <c r="G60" i="3"/>
  <c r="H60" i="3" s="1"/>
  <c r="K126" i="1"/>
  <c r="K95" i="1"/>
  <c r="K123" i="1" l="1"/>
  <c r="L123" i="1" s="1"/>
  <c r="M123" i="1" s="1"/>
  <c r="K125" i="1"/>
  <c r="L125" i="1" s="1"/>
  <c r="M125" i="1" s="1"/>
  <c r="K79" i="1"/>
  <c r="L79" i="1" s="1"/>
  <c r="M79" i="1" s="1"/>
  <c r="K94" i="1"/>
  <c r="L94" i="1" s="1"/>
  <c r="M94" i="1" s="1"/>
  <c r="G42" i="3"/>
  <c r="H42" i="3" s="1"/>
  <c r="K42" i="1"/>
  <c r="L42" i="1" s="1"/>
  <c r="M42" i="1" s="1"/>
  <c r="G16" i="3"/>
  <c r="H16" i="3" s="1"/>
  <c r="G28" i="3"/>
  <c r="H28" i="3" s="1"/>
  <c r="K81" i="1"/>
  <c r="G27" i="3"/>
  <c r="H27" i="3" s="1"/>
  <c r="K124" i="1"/>
  <c r="L124" i="1" s="1"/>
  <c r="M124" i="1" s="1"/>
  <c r="G40" i="3"/>
  <c r="H40" i="3" s="1"/>
  <c r="G32" i="3"/>
  <c r="H32" i="3" s="1"/>
  <c r="K66" i="1"/>
  <c r="L66" i="1" s="1"/>
  <c r="M66" i="1" s="1"/>
  <c r="K80" i="1"/>
  <c r="L80" i="1" s="1"/>
  <c r="G53" i="3"/>
  <c r="H53" i="3" s="1"/>
  <c r="K163" i="1"/>
  <c r="L163" i="1" s="1"/>
  <c r="M163" i="1" s="1"/>
  <c r="G58" i="3"/>
  <c r="H58" i="3" s="1"/>
  <c r="K159" i="1"/>
  <c r="L159" i="1" s="1"/>
  <c r="M159" i="1" s="1"/>
  <c r="G51" i="3"/>
  <c r="H51" i="3" s="1"/>
  <c r="K7" i="1"/>
  <c r="K171" i="1"/>
  <c r="L171" i="1" s="1"/>
  <c r="M171" i="1" s="1"/>
  <c r="K169" i="1"/>
  <c r="L169" i="1" s="1"/>
  <c r="M169" i="1" s="1"/>
  <c r="G56" i="3"/>
  <c r="H56" i="3" s="1"/>
  <c r="G14" i="3"/>
  <c r="H14" i="3" s="1"/>
  <c r="G15" i="3"/>
  <c r="H15" i="3" s="1"/>
  <c r="G59" i="3"/>
  <c r="H59" i="3" s="1"/>
  <c r="K158" i="1"/>
  <c r="L158" i="1" s="1"/>
  <c r="M158" i="1" s="1"/>
  <c r="G12" i="3"/>
  <c r="H12" i="3" s="1"/>
  <c r="K10" i="1"/>
  <c r="L10" i="1" s="1"/>
  <c r="M10" i="1" s="1"/>
  <c r="G49" i="3"/>
  <c r="H49" i="3" s="1"/>
  <c r="K82" i="1"/>
  <c r="L82" i="1" s="1"/>
  <c r="M82" i="1" s="1"/>
  <c r="K164" i="1"/>
  <c r="L164" i="1" s="1"/>
  <c r="M164" i="1" s="1"/>
  <c r="K127" i="1"/>
  <c r="G34" i="3"/>
  <c r="H34" i="3" s="1"/>
  <c r="K157" i="1"/>
  <c r="L157" i="1" s="1"/>
  <c r="M157" i="1" s="1"/>
  <c r="L139" i="1"/>
  <c r="K142" i="1"/>
  <c r="L95" i="1"/>
  <c r="L98" i="1"/>
  <c r="M98" i="1" s="1"/>
  <c r="K96" i="1"/>
  <c r="L126" i="1"/>
  <c r="M126" i="1" s="1"/>
  <c r="K166" i="1" l="1"/>
  <c r="L166" i="1" s="1"/>
  <c r="M166" i="1" s="1"/>
  <c r="K156" i="1"/>
  <c r="L156" i="1" s="1"/>
  <c r="M156" i="1" s="1"/>
  <c r="K170" i="1"/>
  <c r="L170" i="1" s="1"/>
  <c r="M170" i="1" s="1"/>
  <c r="K99" i="1"/>
  <c r="K105" i="1" s="1"/>
  <c r="F12" i="2" s="1"/>
  <c r="K160" i="1"/>
  <c r="L160" i="1" s="1"/>
  <c r="M160" i="1" s="1"/>
  <c r="K41" i="1"/>
  <c r="L41" i="1" s="1"/>
  <c r="M41" i="1" s="1"/>
  <c r="K11" i="1"/>
  <c r="K162" i="1"/>
  <c r="L162" i="1" s="1"/>
  <c r="M162" i="1" s="1"/>
  <c r="K128" i="1"/>
  <c r="K168" i="1"/>
  <c r="L168" i="1" s="1"/>
  <c r="M168" i="1" s="1"/>
  <c r="G55" i="3"/>
  <c r="H55" i="3" s="1"/>
  <c r="K165" i="1"/>
  <c r="L165" i="1" s="1"/>
  <c r="M165" i="1" s="1"/>
  <c r="G52" i="3"/>
  <c r="H52" i="3" s="1"/>
  <c r="G24" i="3"/>
  <c r="H24" i="3" s="1"/>
  <c r="G54" i="3"/>
  <c r="H54" i="3" s="1"/>
  <c r="G19" i="3"/>
  <c r="H19" i="3" s="1"/>
  <c r="K54" i="1"/>
  <c r="L54" i="1" s="1"/>
  <c r="M54" i="1" s="1"/>
  <c r="G50" i="3"/>
  <c r="H50" i="3" s="1"/>
  <c r="G57" i="3"/>
  <c r="H57" i="3" s="1"/>
  <c r="K67" i="1"/>
  <c r="L67" i="1" s="1"/>
  <c r="M67" i="1" s="1"/>
  <c r="G23" i="3"/>
  <c r="H23" i="3" s="1"/>
  <c r="G18" i="3"/>
  <c r="H18" i="3" s="1"/>
  <c r="K53" i="1"/>
  <c r="G6" i="3"/>
  <c r="H6" i="3" s="1"/>
  <c r="G20" i="3"/>
  <c r="H20" i="3" s="1"/>
  <c r="K55" i="1"/>
  <c r="L55" i="1" s="1"/>
  <c r="M55" i="1" s="1"/>
  <c r="G11" i="3"/>
  <c r="H11" i="3" s="1"/>
  <c r="G10" i="3"/>
  <c r="H10" i="3" s="1"/>
  <c r="K68" i="1"/>
  <c r="K38" i="1"/>
  <c r="K161" i="1"/>
  <c r="L161" i="1" s="1"/>
  <c r="M161" i="1" s="1"/>
  <c r="K154" i="1"/>
  <c r="L154" i="1" s="1"/>
  <c r="M154" i="1" s="1"/>
  <c r="L7" i="1"/>
  <c r="K167" i="1"/>
  <c r="L167" i="1" s="1"/>
  <c r="M167" i="1" s="1"/>
  <c r="K153" i="1"/>
  <c r="L153" i="1" s="1"/>
  <c r="M153" i="1" s="1"/>
  <c r="L127" i="1"/>
  <c r="M127" i="1" s="1"/>
  <c r="M139" i="1"/>
  <c r="L142" i="1"/>
  <c r="M80" i="1"/>
  <c r="M95" i="1"/>
  <c r="K148" i="1"/>
  <c r="F15" i="2" s="1"/>
  <c r="L96" i="1"/>
  <c r="M96" i="1" s="1"/>
  <c r="L81" i="1"/>
  <c r="M81" i="1" s="1"/>
  <c r="K149" i="1" l="1"/>
  <c r="K134" i="1"/>
  <c r="M7" i="1"/>
  <c r="K17" i="1"/>
  <c r="L11" i="1"/>
  <c r="M11" i="1" s="1"/>
  <c r="K172" i="1"/>
  <c r="K178" i="1" s="1"/>
  <c r="L53" i="1"/>
  <c r="K56" i="1"/>
  <c r="G35" i="3"/>
  <c r="H35" i="3" s="1"/>
  <c r="L128" i="1"/>
  <c r="L38" i="1"/>
  <c r="K43" i="1"/>
  <c r="L172" i="1"/>
  <c r="M172" i="1" s="1"/>
  <c r="K69" i="1"/>
  <c r="L68" i="1"/>
  <c r="K110" i="1"/>
  <c r="L110" i="1" s="1"/>
  <c r="M110" i="1" s="1"/>
  <c r="G36" i="3"/>
  <c r="H36" i="3" s="1"/>
  <c r="G37" i="3"/>
  <c r="H37" i="3" s="1"/>
  <c r="L99" i="1"/>
  <c r="M142" i="1"/>
  <c r="L148" i="1"/>
  <c r="G15" i="2" s="1"/>
  <c r="K106" i="1"/>
  <c r="L106" i="1" s="1"/>
  <c r="L105" i="1"/>
  <c r="F88" i="3" l="1"/>
  <c r="I12" i="2"/>
  <c r="M105" i="1"/>
  <c r="G12" i="2"/>
  <c r="F72" i="3" s="1"/>
  <c r="L178" i="1"/>
  <c r="F16" i="2"/>
  <c r="L134" i="1"/>
  <c r="F14" i="2"/>
  <c r="L17" i="1"/>
  <c r="F6" i="2"/>
  <c r="K135" i="1"/>
  <c r="L135" i="1" s="1"/>
  <c r="K18" i="1"/>
  <c r="L18" i="1" s="1"/>
  <c r="M128" i="1"/>
  <c r="K62" i="1"/>
  <c r="F9" i="2" s="1"/>
  <c r="M68" i="1"/>
  <c r="L69" i="1"/>
  <c r="M53" i="1"/>
  <c r="L56" i="1"/>
  <c r="K75" i="1"/>
  <c r="F10" i="2" s="1"/>
  <c r="K49" i="1"/>
  <c r="F8" i="2" s="1"/>
  <c r="M38" i="1"/>
  <c r="L43" i="1"/>
  <c r="M99" i="1"/>
  <c r="K112" i="1"/>
  <c r="L112" i="1" s="1"/>
  <c r="M112" i="1" s="1"/>
  <c r="K111" i="1"/>
  <c r="L111" i="1" s="1"/>
  <c r="M111" i="1" s="1"/>
  <c r="M148" i="1"/>
  <c r="H15" i="2" s="1"/>
  <c r="L149" i="1"/>
  <c r="M106" i="1"/>
  <c r="F90" i="3" l="1"/>
  <c r="I14" i="2"/>
  <c r="I15" i="2"/>
  <c r="F82" i="3"/>
  <c r="I6" i="2"/>
  <c r="M178" i="1"/>
  <c r="G16" i="2"/>
  <c r="M134" i="1"/>
  <c r="G14" i="2"/>
  <c r="H12" i="2"/>
  <c r="M17" i="1"/>
  <c r="G6" i="2"/>
  <c r="M135" i="1"/>
  <c r="M18" i="1"/>
  <c r="K63" i="1"/>
  <c r="L63" i="1" s="1"/>
  <c r="I9" i="2" s="1"/>
  <c r="L62" i="1"/>
  <c r="M56" i="1"/>
  <c r="M69" i="1"/>
  <c r="K76" i="1"/>
  <c r="L76" i="1" s="1"/>
  <c r="I10" i="2" s="1"/>
  <c r="L75" i="1"/>
  <c r="M43" i="1"/>
  <c r="K50" i="1"/>
  <c r="L50" i="1" s="1"/>
  <c r="I8" i="2" s="1"/>
  <c r="L49" i="1"/>
  <c r="M149" i="1"/>
  <c r="F66" i="3" l="1"/>
  <c r="F75" i="3"/>
  <c r="M49" i="1"/>
  <c r="G8" i="2"/>
  <c r="M75" i="1"/>
  <c r="G10" i="2"/>
  <c r="F74" i="3"/>
  <c r="H14" i="2"/>
  <c r="G88" i="3"/>
  <c r="G72" i="3"/>
  <c r="M62" i="1"/>
  <c r="G9" i="2"/>
  <c r="H16" i="2"/>
  <c r="H6" i="2"/>
  <c r="F85" i="3"/>
  <c r="M63" i="1"/>
  <c r="M76" i="1"/>
  <c r="F86" i="3"/>
  <c r="M50" i="1"/>
  <c r="F84" i="3"/>
  <c r="K25" i="1"/>
  <c r="K26" i="1"/>
  <c r="L26" i="1" s="1"/>
  <c r="M26" i="1" s="1"/>
  <c r="K27" i="1"/>
  <c r="F68" i="3" l="1"/>
  <c r="F70" i="3"/>
  <c r="G91" i="3"/>
  <c r="G75" i="3"/>
  <c r="G74" i="3"/>
  <c r="G90" i="3"/>
  <c r="H10" i="2"/>
  <c r="H9" i="2"/>
  <c r="F69" i="3"/>
  <c r="H8" i="2"/>
  <c r="G66" i="3"/>
  <c r="G82" i="3"/>
  <c r="K21" i="1"/>
  <c r="L21" i="1" s="1"/>
  <c r="M21" i="1" s="1"/>
  <c r="G9" i="3"/>
  <c r="H9" i="3" s="1"/>
  <c r="L25" i="1"/>
  <c r="L27" i="1"/>
  <c r="M27" i="1" s="1"/>
  <c r="G68" i="3" l="1"/>
  <c r="G84" i="3"/>
  <c r="G70" i="3"/>
  <c r="G86" i="3"/>
  <c r="G85" i="3"/>
  <c r="G69" i="3"/>
  <c r="K28" i="1"/>
  <c r="M25" i="1"/>
  <c r="L28" i="1"/>
  <c r="K34" i="1" l="1"/>
  <c r="M28" i="1"/>
  <c r="K35" i="1" l="1"/>
  <c r="L35" i="1" s="1"/>
  <c r="F7" i="2"/>
  <c r="L34" i="1"/>
  <c r="K109" i="1"/>
  <c r="L109" i="1" s="1"/>
  <c r="L113" i="1" s="1"/>
  <c r="M113" i="1" s="1"/>
  <c r="F83" i="3" l="1"/>
  <c r="I7" i="2"/>
  <c r="M34" i="1"/>
  <c r="H7" i="2" s="1"/>
  <c r="G7" i="2"/>
  <c r="M35" i="1"/>
  <c r="M109" i="1"/>
  <c r="K113" i="1"/>
  <c r="K119" i="1" s="1"/>
  <c r="F13" i="2" s="1"/>
  <c r="G83" i="3" l="1"/>
  <c r="G67" i="3"/>
  <c r="F67" i="3"/>
  <c r="L119" i="1"/>
  <c r="K120" i="1"/>
  <c r="L120" i="1" s="1"/>
  <c r="I13" i="2" s="1"/>
  <c r="M119" i="1" l="1"/>
  <c r="H13" i="2" s="1"/>
  <c r="G13" i="2"/>
  <c r="M120" i="1"/>
  <c r="F89" i="3"/>
  <c r="G84" i="1"/>
  <c r="F73" i="3" l="1"/>
  <c r="G89" i="3"/>
  <c r="G73" i="3"/>
  <c r="L84" i="1"/>
  <c r="L181" i="1" s="1"/>
  <c r="K84" i="1"/>
  <c r="K181" i="1" s="1"/>
  <c r="K187" i="1" s="1"/>
  <c r="G90" i="1"/>
  <c r="I84" i="1"/>
  <c r="G181" i="1"/>
  <c r="G187" i="1" s="1"/>
  <c r="K90" i="1" l="1"/>
  <c r="G91" i="1"/>
  <c r="D11" i="2"/>
  <c r="I90" i="1"/>
  <c r="I181" i="1"/>
  <c r="I187" i="1" s="1"/>
  <c r="L187" i="1"/>
  <c r="L192" i="1" s="1"/>
  <c r="M84" i="1"/>
  <c r="I91" i="1" l="1"/>
  <c r="E11" i="2"/>
  <c r="E17" i="2" s="1"/>
  <c r="E20" i="2" s="1"/>
  <c r="K91" i="1"/>
  <c r="F11" i="2"/>
  <c r="F17" i="2" s="1"/>
  <c r="F20" i="2" s="1"/>
  <c r="F10" i="4"/>
  <c r="D17" i="2"/>
  <c r="D20" i="2" s="1"/>
  <c r="M181" i="1"/>
  <c r="L90" i="1"/>
  <c r="M187" i="1"/>
  <c r="L91" i="1" l="1"/>
  <c r="G17" i="2"/>
  <c r="H17" i="2" s="1"/>
  <c r="G92" i="3" s="1"/>
  <c r="M90" i="1"/>
  <c r="H11" i="2" s="1"/>
  <c r="G87" i="3" s="1"/>
  <c r="G11" i="2"/>
  <c r="G10" i="4"/>
  <c r="F16" i="4"/>
  <c r="F76" i="3" l="1"/>
  <c r="F87" i="3"/>
  <c r="I11" i="2"/>
  <c r="G71" i="3"/>
  <c r="M91" i="1"/>
  <c r="G20" i="2"/>
  <c r="G22" i="2" s="1"/>
  <c r="F71" i="3"/>
  <c r="H10" i="4"/>
  <c r="G16" i="4"/>
  <c r="H16" i="4" s="1"/>
  <c r="H20" i="2" l="1"/>
  <c r="G76" i="3" s="1"/>
  <c r="G23" i="2"/>
  <c r="O4" i="1"/>
</calcChain>
</file>

<file path=xl/sharedStrings.xml><?xml version="1.0" encoding="utf-8"?>
<sst xmlns="http://schemas.openxmlformats.org/spreadsheetml/2006/main" count="293" uniqueCount="119">
  <si>
    <t>#</t>
  </si>
  <si>
    <t>Item</t>
  </si>
  <si>
    <t>Present Revenue</t>
  </si>
  <si>
    <t>Proposed Revenue</t>
  </si>
  <si>
    <t>Total Base Rates</t>
  </si>
  <si>
    <t>Total Riders</t>
  </si>
  <si>
    <t>Total Revenue</t>
  </si>
  <si>
    <t>Target Revenue</t>
  </si>
  <si>
    <t>Code</t>
  </si>
  <si>
    <t>Classification</t>
  </si>
  <si>
    <t>Billing Component</t>
  </si>
  <si>
    <t>Billing Units</t>
  </si>
  <si>
    <t>Increase $</t>
  </si>
  <si>
    <t>%</t>
  </si>
  <si>
    <t>Average</t>
  </si>
  <si>
    <t>TOTAL REVENUE</t>
  </si>
  <si>
    <t>Proposed Rate</t>
  </si>
  <si>
    <t xml:space="preserve">       Present Rate</t>
  </si>
  <si>
    <t xml:space="preserve">            Present Revenue</t>
  </si>
  <si>
    <t xml:space="preserve">    FAC</t>
  </si>
  <si>
    <t xml:space="preserve">    ES</t>
  </si>
  <si>
    <t>L</t>
  </si>
  <si>
    <t>TOTALS</t>
  </si>
  <si>
    <t xml:space="preserve">    Misc Adj</t>
  </si>
  <si>
    <t>Residential Off Peak ETS</t>
  </si>
  <si>
    <t>Lighting</t>
  </si>
  <si>
    <t>Rate Rounding Variance</t>
  </si>
  <si>
    <t>BLUE GRASS ENERGY</t>
  </si>
  <si>
    <t>GS-1</t>
  </si>
  <si>
    <t>GS-2</t>
  </si>
  <si>
    <t>Residential , Farm &amp; Non-Farm</t>
  </si>
  <si>
    <t>Residential Time of Day</t>
  </si>
  <si>
    <t>GS-3</t>
  </si>
  <si>
    <t>Small Commercial (0-100 kW)</t>
  </si>
  <si>
    <t>SC-1</t>
  </si>
  <si>
    <t>Large Power (101 - 500 kW)</t>
  </si>
  <si>
    <t>LP-1</t>
  </si>
  <si>
    <t>LP-2</t>
  </si>
  <si>
    <t>B-2</t>
  </si>
  <si>
    <t>B-1</t>
  </si>
  <si>
    <t>Large Industrial (over 4,000 kW)</t>
  </si>
  <si>
    <t>Open Bottom Light- 6000-9500 Lumens</t>
  </si>
  <si>
    <t>Open Bottom Light- 25,000 Lumens</t>
  </si>
  <si>
    <t>Ornamental Light 6000-9500 Lumens</t>
  </si>
  <si>
    <t>Ornamental light- approx 25000 Lumens</t>
  </si>
  <si>
    <t>Cobra Head- 25000 Lumens</t>
  </si>
  <si>
    <t>Colonial Fixture- 15ft Mounting height</t>
  </si>
  <si>
    <t>Directional Flood Light</t>
  </si>
  <si>
    <t>Cobra Head Aluminum Pole</t>
  </si>
  <si>
    <t>Shoebox Fixture</t>
  </si>
  <si>
    <t>Acorn Fixture</t>
  </si>
  <si>
    <t>Colonial Fixture</t>
  </si>
  <si>
    <t>Cobra Head- 50,000 Lumens</t>
  </si>
  <si>
    <t>Open Bottom Lights</t>
  </si>
  <si>
    <t xml:space="preserve">    Other</t>
  </si>
  <si>
    <t>SC-2</t>
  </si>
  <si>
    <t>General Service 0-100 KW Time of Day Rate</t>
  </si>
  <si>
    <t>Energy Charge w/Pri Discount</t>
  </si>
  <si>
    <t>Demand Charge Minimums</t>
  </si>
  <si>
    <t>Large Power (over 500 kW)</t>
  </si>
  <si>
    <t>Essity - EKPC Rate G</t>
  </si>
  <si>
    <t>Large Industrial (1,000 - 3,999 kW)</t>
  </si>
  <si>
    <t xml:space="preserve">Rate </t>
  </si>
  <si>
    <t>Present</t>
  </si>
  <si>
    <t>Proposed</t>
  </si>
  <si>
    <t>Energy Charge per kWh</t>
  </si>
  <si>
    <t>Energy Charge - First 200 per kWh</t>
  </si>
  <si>
    <t>Energy Charge - Next 300 per kWh</t>
  </si>
  <si>
    <t>Energy Charge - Over 500 per kWh</t>
  </si>
  <si>
    <t>Energy Charge - On Peak per kWh</t>
  </si>
  <si>
    <t>Energy Charge - Off Peak per kWh</t>
  </si>
  <si>
    <t>Demand Charge over 10 KW per kW</t>
  </si>
  <si>
    <t>Demand Charge per kW</t>
  </si>
  <si>
    <t>Demand Charge Contract per kW</t>
  </si>
  <si>
    <t>Demand Charge Excess per kW</t>
  </si>
  <si>
    <t>Interruptible Credit per kW</t>
  </si>
  <si>
    <t>The amount of the change requested in both dollar amounts and percentage change for each customer classification to which the proposed rates will apply is set forth below:</t>
  </si>
  <si>
    <t>Increase</t>
  </si>
  <si>
    <t>Rate</t>
  </si>
  <si>
    <t>Dollars</t>
  </si>
  <si>
    <t>Percent</t>
  </si>
  <si>
    <t>Total</t>
  </si>
  <si>
    <t>The amount of the average usage and the effect upon the average bill for each customer classification to which the proposed rates will apply is set forth below:</t>
  </si>
  <si>
    <t>Usage (kWh)</t>
  </si>
  <si>
    <t>NA</t>
  </si>
  <si>
    <t>Present &amp; Proposed Rates</t>
  </si>
  <si>
    <t>Test Year Rate</t>
  </si>
  <si>
    <t>Test Year Revenue</t>
  </si>
  <si>
    <t>Facility Charge per month</t>
  </si>
  <si>
    <t>Customer Charge per month</t>
  </si>
  <si>
    <t>Subtotal</t>
  </si>
  <si>
    <t>Present and Proposed Rates</t>
  </si>
  <si>
    <t>Summary</t>
  </si>
  <si>
    <t>G-1</t>
  </si>
  <si>
    <t>TARGET</t>
  </si>
  <si>
    <t>Variance</t>
  </si>
  <si>
    <t>COS Rev</t>
  </si>
  <si>
    <t>PPR Rev</t>
  </si>
  <si>
    <t>Facility Charge Prepay</t>
  </si>
  <si>
    <t>FAC Roll In</t>
  </si>
  <si>
    <t>Residential and Farm Inclining Block</t>
  </si>
  <si>
    <t>Residential and Farm</t>
  </si>
  <si>
    <t>Residential and Farm Time-of-Day Rate</t>
  </si>
  <si>
    <t>General Service (0-100 KW)</t>
  </si>
  <si>
    <t>Avg Mon Bill Incr $</t>
  </si>
  <si>
    <t>Jan-Aug</t>
  </si>
  <si>
    <t>Sep-Dec</t>
  </si>
  <si>
    <t>Estimated Monthly Rate Increase by KWH</t>
  </si>
  <si>
    <t>Residential</t>
  </si>
  <si>
    <t>Monthly</t>
  </si>
  <si>
    <t>kWh</t>
  </si>
  <si>
    <t>Customer</t>
  </si>
  <si>
    <t xml:space="preserve">Energy </t>
  </si>
  <si>
    <t>Riders</t>
  </si>
  <si>
    <t xml:space="preserve">Customer </t>
  </si>
  <si>
    <t>Energy</t>
  </si>
  <si>
    <t>$</t>
  </si>
  <si>
    <t>Present Rates</t>
  </si>
  <si>
    <t>Proposed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</si>
</sst>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0"/>
    <numFmt numFmtId="167" formatCode="0.00000"/>
    <numFmt numFmtId="168" formatCode="_(* #,##0.00000_);_(* \(#,##0.00000\);_(* &quot;-&quot;??_);_(@_)"/>
    <numFmt numFmtId="169" formatCode="_(* #,##0.000000_);_(* \(#,##0.000000\);_(* &quot;-&quot;??_);_(@_)"/>
    <numFmt numFmtId="170" formatCode="_(&quot;$&quot;* #,##0.00000_);_(&quot;$&quot;* \(#,##0.00000\);_(&quot;$&quot;* &quot;-&quot;??_);_(@_)"/>
    <numFmt numFmtId="171" formatCode="&quot;$&quot;#,##0.00"/>
    <numFmt numFmtId="172" formatCode="0.000"/>
    <numFmt numFmtId="173" formatCode="0.0%"/>
    <numFmt numFmtId="174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FF"/>
      <name val="Arial"/>
      <family val="2"/>
    </font>
    <font>
      <i/>
      <u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1"/>
      <name val="Times New Roman"/>
      <family val="1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6" fillId="0" borderId="0"/>
    <xf numFmtId="0" fontId="11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7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10" fontId="3" fillId="0" borderId="0" xfId="3" applyNumberFormat="1" applyFont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right" wrapText="1"/>
    </xf>
    <xf numFmtId="0" fontId="3" fillId="0" borderId="0" xfId="0" applyFont="1" applyAlignment="1">
      <alignment horizontal="center"/>
    </xf>
    <xf numFmtId="165" fontId="6" fillId="0" borderId="4" xfId="2" applyNumberFormat="1" applyFont="1" applyFill="1" applyBorder="1" applyAlignment="1">
      <alignment vertical="center"/>
    </xf>
    <xf numFmtId="0" fontId="5" fillId="0" borderId="0" xfId="0" applyFont="1"/>
    <xf numFmtId="164" fontId="3" fillId="0" borderId="0" xfId="1" applyNumberFormat="1" applyFont="1" applyAlignment="1"/>
    <xf numFmtId="10" fontId="3" fillId="0" borderId="0" xfId="3" applyNumberFormat="1" applyFont="1" applyAlignment="1"/>
    <xf numFmtId="165" fontId="3" fillId="0" borderId="0" xfId="2" applyNumberFormat="1" applyFont="1" applyAlignment="1"/>
    <xf numFmtId="165" fontId="4" fillId="0" borderId="0" xfId="2" applyNumberFormat="1" applyFont="1" applyAlignment="1"/>
    <xf numFmtId="0" fontId="3" fillId="0" borderId="1" xfId="0" applyFont="1" applyBorder="1"/>
    <xf numFmtId="165" fontId="3" fillId="0" borderId="1" xfId="2" applyNumberFormat="1" applyFont="1" applyBorder="1" applyAlignment="1"/>
    <xf numFmtId="165" fontId="3" fillId="0" borderId="0" xfId="2" applyNumberFormat="1" applyFont="1" applyBorder="1" applyAlignment="1"/>
    <xf numFmtId="10" fontId="3" fillId="0" borderId="0" xfId="3" applyNumberFormat="1" applyFont="1" applyBorder="1" applyAlignment="1"/>
    <xf numFmtId="0" fontId="3" fillId="0" borderId="2" xfId="0" applyFont="1" applyBorder="1"/>
    <xf numFmtId="165" fontId="3" fillId="0" borderId="2" xfId="0" applyNumberFormat="1" applyFont="1" applyBorder="1"/>
    <xf numFmtId="43" fontId="3" fillId="0" borderId="0" xfId="0" applyNumberFormat="1" applyFont="1"/>
    <xf numFmtId="0" fontId="2" fillId="0" borderId="3" xfId="0" applyFont="1" applyBorder="1"/>
    <xf numFmtId="44" fontId="3" fillId="0" borderId="0" xfId="2" applyFont="1"/>
    <xf numFmtId="170" fontId="3" fillId="0" borderId="0" xfId="2" applyNumberFormat="1" applyFont="1"/>
    <xf numFmtId="0" fontId="2" fillId="0" borderId="3" xfId="0" applyFont="1" applyBorder="1" applyAlignment="1">
      <alignment horizontal="right"/>
    </xf>
    <xf numFmtId="0" fontId="7" fillId="0" borderId="3" xfId="0" applyFont="1" applyBorder="1" applyAlignment="1">
      <alignment horizontal="left"/>
    </xf>
    <xf numFmtId="0" fontId="7" fillId="0" borderId="3" xfId="0" applyFont="1" applyBorder="1"/>
    <xf numFmtId="0" fontId="3" fillId="0" borderId="3" xfId="0" applyFont="1" applyBorder="1"/>
    <xf numFmtId="0" fontId="2" fillId="0" borderId="4" xfId="0" applyFont="1" applyBorder="1" applyAlignment="1">
      <alignment horizontal="right"/>
    </xf>
    <xf numFmtId="0" fontId="6" fillId="0" borderId="0" xfId="0" applyFont="1" applyAlignment="1">
      <alignment horizontal="left"/>
    </xf>
    <xf numFmtId="165" fontId="3" fillId="0" borderId="0" xfId="2" applyNumberFormat="1" applyFont="1" applyBorder="1" applyAlignment="1">
      <alignment horizontal="right"/>
    </xf>
    <xf numFmtId="10" fontId="3" fillId="0" borderId="0" xfId="3" applyNumberFormat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165" fontId="3" fillId="0" borderId="1" xfId="2" applyNumberFormat="1" applyFont="1" applyBorder="1"/>
    <xf numFmtId="10" fontId="3" fillId="0" borderId="1" xfId="3" applyNumberFormat="1" applyFont="1" applyBorder="1"/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43" fontId="6" fillId="0" borderId="0" xfId="1" applyFont="1" applyAlignment="1">
      <alignment horizontal="center"/>
    </xf>
    <xf numFmtId="171" fontId="3" fillId="0" borderId="0" xfId="0" applyNumberFormat="1" applyFont="1"/>
    <xf numFmtId="0" fontId="6" fillId="0" borderId="0" xfId="0" applyFont="1"/>
    <xf numFmtId="171" fontId="3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/>
    <xf numFmtId="164" fontId="6" fillId="0" borderId="0" xfId="1" applyNumberFormat="1" applyFont="1" applyAlignment="1">
      <alignment horizontal="center"/>
    </xf>
    <xf numFmtId="164" fontId="6" fillId="0" borderId="0" xfId="1" applyNumberFormat="1" applyFont="1" applyAlignment="1">
      <alignment horizontal="right"/>
    </xf>
    <xf numFmtId="0" fontId="7" fillId="0" borderId="3" xfId="0" applyFont="1" applyBorder="1" applyAlignment="1">
      <alignment horizontal="right" wrapText="1"/>
    </xf>
    <xf numFmtId="0" fontId="7" fillId="0" borderId="0" xfId="0" applyFont="1" applyAlignment="1">
      <alignment horizontal="right" wrapText="1"/>
    </xf>
    <xf numFmtId="0" fontId="6" fillId="0" borderId="5" xfId="0" applyFont="1" applyBorder="1"/>
    <xf numFmtId="43" fontId="6" fillId="0" borderId="0" xfId="1" applyFont="1" applyFill="1"/>
    <xf numFmtId="10" fontId="6" fillId="0" borderId="0" xfId="3" applyNumberFormat="1" applyFont="1" applyFill="1"/>
    <xf numFmtId="168" fontId="6" fillId="0" borderId="0" xfId="1" applyNumberFormat="1" applyFont="1" applyFill="1"/>
    <xf numFmtId="0" fontId="6" fillId="0" borderId="4" xfId="0" applyFont="1" applyBorder="1"/>
    <xf numFmtId="0" fontId="6" fillId="0" borderId="2" xfId="0" applyFont="1" applyBorder="1" applyAlignment="1">
      <alignment vertical="center"/>
    </xf>
    <xf numFmtId="0" fontId="6" fillId="0" borderId="0" xfId="0" applyFont="1" applyAlignment="1">
      <alignment horizontal="center"/>
    </xf>
    <xf numFmtId="164" fontId="6" fillId="0" borderId="0" xfId="1" applyNumberFormat="1" applyFont="1" applyFill="1"/>
    <xf numFmtId="165" fontId="6" fillId="0" borderId="0" xfId="2" applyNumberFormat="1" applyFont="1" applyFill="1"/>
    <xf numFmtId="165" fontId="6" fillId="0" borderId="0" xfId="0" applyNumberFormat="1" applyFont="1"/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7" fillId="0" borderId="0" xfId="0" applyFont="1" applyAlignment="1">
      <alignment vertical="center"/>
    </xf>
    <xf numFmtId="169" fontId="6" fillId="0" borderId="0" xfId="1" applyNumberFormat="1" applyFont="1" applyFill="1"/>
    <xf numFmtId="0" fontId="6" fillId="0" borderId="0" xfId="0" applyFont="1" applyAlignment="1">
      <alignment vertical="center"/>
    </xf>
    <xf numFmtId="0" fontId="7" fillId="0" borderId="3" xfId="0" applyFont="1" applyBorder="1" applyAlignment="1">
      <alignment wrapText="1"/>
    </xf>
    <xf numFmtId="0" fontId="7" fillId="0" borderId="3" xfId="0" applyFont="1" applyBorder="1" applyAlignment="1">
      <alignment horizont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center"/>
    </xf>
    <xf numFmtId="167" fontId="6" fillId="0" borderId="0" xfId="0" applyNumberFormat="1" applyFont="1"/>
    <xf numFmtId="10" fontId="6" fillId="0" borderId="4" xfId="3" applyNumberFormat="1" applyFont="1" applyFill="1" applyBorder="1" applyAlignment="1">
      <alignment vertical="center"/>
    </xf>
    <xf numFmtId="43" fontId="6" fillId="0" borderId="0" xfId="0" applyNumberFormat="1" applyFont="1"/>
    <xf numFmtId="165" fontId="6" fillId="0" borderId="4" xfId="2" applyNumberFormat="1" applyFont="1" applyFill="1" applyBorder="1"/>
    <xf numFmtId="43" fontId="6" fillId="0" borderId="4" xfId="1" applyFont="1" applyFill="1" applyBorder="1"/>
    <xf numFmtId="165" fontId="6" fillId="0" borderId="2" xfId="2" applyNumberFormat="1" applyFont="1" applyFill="1" applyBorder="1" applyAlignment="1">
      <alignment vertical="center"/>
    </xf>
    <xf numFmtId="165" fontId="6" fillId="0" borderId="2" xfId="0" applyNumberFormat="1" applyFont="1" applyBorder="1" applyAlignment="1">
      <alignment vertical="center"/>
    </xf>
    <xf numFmtId="10" fontId="6" fillId="0" borderId="2" xfId="3" applyNumberFormat="1" applyFont="1" applyFill="1" applyBorder="1" applyAlignment="1">
      <alignment vertical="center"/>
    </xf>
    <xf numFmtId="44" fontId="6" fillId="0" borderId="0" xfId="0" applyNumberFormat="1" applyFont="1"/>
    <xf numFmtId="166" fontId="6" fillId="0" borderId="0" xfId="0" applyNumberFormat="1" applyFont="1"/>
    <xf numFmtId="165" fontId="6" fillId="0" borderId="0" xfId="0" applyNumberFormat="1" applyFont="1" applyAlignment="1">
      <alignment horizontal="right"/>
    </xf>
    <xf numFmtId="164" fontId="6" fillId="0" borderId="0" xfId="0" applyNumberFormat="1" applyFont="1"/>
    <xf numFmtId="44" fontId="6" fillId="0" borderId="0" xfId="2" applyFont="1" applyFill="1"/>
    <xf numFmtId="165" fontId="6" fillId="0" borderId="4" xfId="0" applyNumberFormat="1" applyFont="1" applyBorder="1" applyAlignment="1">
      <alignment vertical="center"/>
    </xf>
    <xf numFmtId="165" fontId="6" fillId="0" borderId="4" xfId="0" applyNumberFormat="1" applyFont="1" applyBorder="1"/>
    <xf numFmtId="172" fontId="6" fillId="0" borderId="0" xfId="0" applyNumberFormat="1" applyFont="1"/>
    <xf numFmtId="43" fontId="4" fillId="0" borderId="0" xfId="1" applyFont="1" applyFill="1"/>
    <xf numFmtId="0" fontId="9" fillId="0" borderId="0" xfId="0" applyFont="1"/>
    <xf numFmtId="0" fontId="9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165" fontId="3" fillId="0" borderId="0" xfId="2" applyNumberFormat="1" applyFont="1"/>
    <xf numFmtId="0" fontId="3" fillId="0" borderId="1" xfId="0" applyFont="1" applyBorder="1" applyAlignment="1">
      <alignment horizontal="center"/>
    </xf>
    <xf numFmtId="168" fontId="6" fillId="0" borderId="0" xfId="0" applyNumberFormat="1" applyFont="1" applyAlignment="1">
      <alignment horizontal="center"/>
    </xf>
    <xf numFmtId="43" fontId="3" fillId="0" borderId="0" xfId="1" applyFont="1" applyFill="1"/>
    <xf numFmtId="44" fontId="3" fillId="0" borderId="0" xfId="0" applyNumberFormat="1" applyFont="1"/>
    <xf numFmtId="9" fontId="3" fillId="0" borderId="0" xfId="3" applyFont="1"/>
    <xf numFmtId="170" fontId="3" fillId="0" borderId="0" xfId="0" applyNumberFormat="1" applyFont="1"/>
    <xf numFmtId="165" fontId="6" fillId="0" borderId="0" xfId="2" applyNumberFormat="1" applyFont="1"/>
    <xf numFmtId="0" fontId="3" fillId="0" borderId="0" xfId="0" applyFont="1" applyAlignment="1">
      <alignment horizontal="right"/>
    </xf>
    <xf numFmtId="0" fontId="6" fillId="2" borderId="0" xfId="0" applyFont="1" applyFill="1"/>
    <xf numFmtId="164" fontId="3" fillId="0" borderId="0" xfId="1" applyNumberFormat="1" applyFont="1"/>
    <xf numFmtId="165" fontId="3" fillId="0" borderId="0" xfId="0" applyNumberFormat="1" applyFont="1"/>
    <xf numFmtId="168" fontId="6" fillId="0" borderId="0" xfId="1" applyNumberFormat="1" applyFont="1"/>
    <xf numFmtId="0" fontId="2" fillId="0" borderId="3" xfId="0" applyFont="1" applyBorder="1" applyAlignment="1">
      <alignment horizontal="center"/>
    </xf>
    <xf numFmtId="0" fontId="7" fillId="0" borderId="6" xfId="5" applyFont="1" applyBorder="1" applyAlignment="1">
      <alignment horizontal="center" vertical="center"/>
    </xf>
    <xf numFmtId="0" fontId="7" fillId="0" borderId="7" xfId="5" applyFont="1" applyBorder="1" applyAlignment="1">
      <alignment horizontal="center" vertical="center"/>
    </xf>
    <xf numFmtId="0" fontId="7" fillId="0" borderId="12" xfId="5" applyFont="1" applyBorder="1" applyAlignment="1">
      <alignment horizontal="center" vertical="center"/>
    </xf>
    <xf numFmtId="0" fontId="7" fillId="0" borderId="13" xfId="5" applyFont="1" applyBorder="1" applyAlignment="1">
      <alignment horizontal="center" vertical="center"/>
    </xf>
    <xf numFmtId="0" fontId="7" fillId="0" borderId="14" xfId="5" applyFont="1" applyBorder="1" applyAlignment="1">
      <alignment horizontal="center" vertical="center"/>
    </xf>
    <xf numFmtId="0" fontId="7" fillId="0" borderId="15" xfId="5" applyFont="1" applyBorder="1" applyAlignment="1">
      <alignment horizontal="center" vertical="center"/>
    </xf>
    <xf numFmtId="0" fontId="7" fillId="0" borderId="16" xfId="5" applyFont="1" applyBorder="1" applyAlignment="1">
      <alignment horizontal="center" vertical="center"/>
    </xf>
    <xf numFmtId="0" fontId="7" fillId="0" borderId="17" xfId="5" applyFont="1" applyBorder="1" applyAlignment="1">
      <alignment horizontal="center" vertical="center"/>
    </xf>
    <xf numFmtId="44" fontId="12" fillId="0" borderId="17" xfId="5" applyNumberFormat="1" applyFont="1" applyBorder="1" applyAlignment="1">
      <alignment horizontal="center" vertical="center"/>
    </xf>
    <xf numFmtId="0" fontId="12" fillId="0" borderId="17" xfId="5" applyFont="1" applyBorder="1" applyAlignment="1">
      <alignment horizontal="center" vertical="center"/>
    </xf>
    <xf numFmtId="0" fontId="7" fillId="0" borderId="18" xfId="5" applyFont="1" applyBorder="1" applyAlignment="1">
      <alignment horizontal="center" vertical="center"/>
    </xf>
    <xf numFmtId="43" fontId="6" fillId="0" borderId="0" xfId="0" applyNumberFormat="1" applyFont="1" applyAlignment="1">
      <alignment horizontal="center"/>
    </xf>
    <xf numFmtId="0" fontId="7" fillId="0" borderId="0" xfId="5" applyFont="1" applyAlignment="1">
      <alignment vertical="center"/>
    </xf>
    <xf numFmtId="0" fontId="6" fillId="0" borderId="0" xfId="5" applyAlignment="1">
      <alignment horizontal="center" vertical="center"/>
    </xf>
    <xf numFmtId="0" fontId="6" fillId="0" borderId="0" xfId="5" applyAlignment="1">
      <alignment vertical="center"/>
    </xf>
    <xf numFmtId="0" fontId="7" fillId="0" borderId="0" xfId="6" applyFont="1" applyAlignment="1">
      <alignment vertical="center"/>
    </xf>
    <xf numFmtId="0" fontId="6" fillId="0" borderId="19" xfId="5" applyBorder="1" applyAlignment="1">
      <alignment horizontal="center" vertical="center"/>
    </xf>
    <xf numFmtId="44" fontId="6" fillId="0" borderId="21" xfId="5" applyNumberFormat="1" applyBorder="1" applyAlignment="1">
      <alignment vertical="center"/>
    </xf>
    <xf numFmtId="44" fontId="6" fillId="0" borderId="0" xfId="5" applyNumberFormat="1" applyAlignment="1">
      <alignment vertical="center"/>
    </xf>
    <xf numFmtId="44" fontId="6" fillId="0" borderId="22" xfId="5" applyNumberFormat="1" applyBorder="1" applyAlignment="1">
      <alignment vertical="center"/>
    </xf>
    <xf numFmtId="44" fontId="6" fillId="0" borderId="21" xfId="8" applyFont="1" applyBorder="1" applyAlignment="1">
      <alignment vertical="center"/>
    </xf>
    <xf numFmtId="44" fontId="6" fillId="0" borderId="22" xfId="8" applyFont="1" applyBorder="1" applyAlignment="1">
      <alignment vertical="center"/>
    </xf>
    <xf numFmtId="173" fontId="6" fillId="0" borderId="23" xfId="9" applyNumberFormat="1" applyFont="1" applyBorder="1" applyAlignment="1">
      <alignment vertical="center"/>
    </xf>
    <xf numFmtId="44" fontId="6" fillId="0" borderId="21" xfId="8" applyFont="1" applyFill="1" applyBorder="1" applyAlignment="1">
      <alignment vertical="center"/>
    </xf>
    <xf numFmtId="44" fontId="6" fillId="0" borderId="22" xfId="8" applyFont="1" applyFill="1" applyBorder="1" applyAlignment="1">
      <alignment vertical="center"/>
    </xf>
    <xf numFmtId="173" fontId="6" fillId="0" borderId="23" xfId="9" applyNumberFormat="1" applyFont="1" applyFill="1" applyBorder="1" applyAlignment="1">
      <alignment vertical="center"/>
    </xf>
    <xf numFmtId="0" fontId="6" fillId="0" borderId="16" xfId="5" applyBorder="1" applyAlignment="1">
      <alignment horizontal="center" vertical="center"/>
    </xf>
    <xf numFmtId="44" fontId="6" fillId="0" borderId="24" xfId="5" applyNumberFormat="1" applyBorder="1" applyAlignment="1">
      <alignment vertical="center"/>
    </xf>
    <xf numFmtId="44" fontId="6" fillId="0" borderId="25" xfId="5" applyNumberFormat="1" applyBorder="1" applyAlignment="1">
      <alignment vertical="center"/>
    </xf>
    <xf numFmtId="44" fontId="6" fillId="0" borderId="26" xfId="5" applyNumberFormat="1" applyBorder="1" applyAlignment="1">
      <alignment vertical="center"/>
    </xf>
    <xf numFmtId="44" fontId="6" fillId="0" borderId="24" xfId="8" applyFont="1" applyBorder="1" applyAlignment="1">
      <alignment vertical="center"/>
    </xf>
    <xf numFmtId="44" fontId="6" fillId="0" borderId="26" xfId="8" applyFont="1" applyBorder="1" applyAlignment="1">
      <alignment vertical="center"/>
    </xf>
    <xf numFmtId="173" fontId="6" fillId="0" borderId="27" xfId="9" applyNumberFormat="1" applyFont="1" applyBorder="1" applyAlignment="1">
      <alignment vertical="center"/>
    </xf>
    <xf numFmtId="44" fontId="10" fillId="0" borderId="0" xfId="5" applyNumberFormat="1" applyFont="1" applyAlignment="1">
      <alignment vertical="center"/>
    </xf>
    <xf numFmtId="43" fontId="6" fillId="0" borderId="0" xfId="5" applyNumberFormat="1" applyAlignment="1">
      <alignment vertical="center"/>
    </xf>
    <xf numFmtId="0" fontId="7" fillId="0" borderId="0" xfId="5" applyFont="1" applyAlignment="1">
      <alignment horizontal="left" vertical="center"/>
    </xf>
    <xf numFmtId="164" fontId="3" fillId="0" borderId="20" xfId="7" applyNumberFormat="1" applyFont="1" applyBorder="1" applyAlignment="1">
      <alignment vertical="center"/>
    </xf>
    <xf numFmtId="164" fontId="3" fillId="0" borderId="20" xfId="7" applyNumberFormat="1" applyFont="1" applyFill="1" applyBorder="1" applyAlignment="1">
      <alignment vertical="center"/>
    </xf>
    <xf numFmtId="164" fontId="3" fillId="0" borderId="17" xfId="7" applyNumberFormat="1" applyFont="1" applyBorder="1" applyAlignment="1">
      <alignment vertical="center"/>
    </xf>
    <xf numFmtId="9" fontId="3" fillId="0" borderId="0" xfId="9" applyFont="1" applyAlignment="1">
      <alignment vertical="center"/>
    </xf>
    <xf numFmtId="10" fontId="3" fillId="0" borderId="1" xfId="3" applyNumberFormat="1" applyFont="1" applyBorder="1" applyAlignment="1"/>
    <xf numFmtId="0" fontId="3" fillId="0" borderId="1" xfId="0" applyFont="1" applyBorder="1" applyAlignment="1">
      <alignment horizontal="left"/>
    </xf>
    <xf numFmtId="164" fontId="6" fillId="0" borderId="1" xfId="1" applyNumberFormat="1" applyFont="1" applyBorder="1" applyAlignment="1">
      <alignment horizontal="center"/>
    </xf>
    <xf numFmtId="171" fontId="3" fillId="0" borderId="1" xfId="0" applyNumberFormat="1" applyFont="1" applyBorder="1"/>
    <xf numFmtId="43" fontId="6" fillId="0" borderId="5" xfId="0" applyNumberFormat="1" applyFont="1" applyBorder="1"/>
    <xf numFmtId="10" fontId="3" fillId="0" borderId="2" xfId="3" applyNumberFormat="1" applyFont="1" applyBorder="1" applyAlignment="1"/>
    <xf numFmtId="174" fontId="6" fillId="2" borderId="0" xfId="0" applyNumberFormat="1" applyFont="1" applyFill="1"/>
    <xf numFmtId="0" fontId="7" fillId="0" borderId="8" xfId="5" applyFont="1" applyBorder="1" applyAlignment="1">
      <alignment horizontal="center" vertical="center"/>
    </xf>
    <xf numFmtId="0" fontId="7" fillId="0" borderId="9" xfId="5" applyFont="1" applyBorder="1" applyAlignment="1">
      <alignment horizontal="center" vertical="center"/>
    </xf>
    <xf numFmtId="0" fontId="7" fillId="0" borderId="10" xfId="5" applyFont="1" applyBorder="1" applyAlignment="1">
      <alignment horizontal="center" vertical="center"/>
    </xf>
    <xf numFmtId="0" fontId="7" fillId="0" borderId="11" xfId="5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7" fillId="0" borderId="0" xfId="0" applyFont="1" applyAlignment="1">
      <alignment horizontal="left" vertical="top" wrapText="1"/>
    </xf>
    <xf numFmtId="165" fontId="6" fillId="0" borderId="0" xfId="2" applyNumberFormat="1" applyFont="1" applyFill="1" applyBorder="1" applyAlignment="1"/>
    <xf numFmtId="0" fontId="6" fillId="0" borderId="0" xfId="0" applyFont="1" applyFill="1"/>
    <xf numFmtId="0" fontId="7" fillId="0" borderId="3" xfId="0" applyFont="1" applyFill="1" applyBorder="1" applyAlignment="1">
      <alignment horizontal="right" wrapText="1"/>
    </xf>
    <xf numFmtId="0" fontId="7" fillId="0" borderId="0" xfId="0" applyFont="1" applyFill="1" applyAlignment="1">
      <alignment horizontal="right" wrapText="1"/>
    </xf>
    <xf numFmtId="0" fontId="6" fillId="0" borderId="5" xfId="0" applyFont="1" applyFill="1" applyBorder="1"/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/>
    <xf numFmtId="0" fontId="6" fillId="0" borderId="2" xfId="0" applyFont="1" applyFill="1" applyBorder="1" applyAlignment="1">
      <alignment vertical="center"/>
    </xf>
    <xf numFmtId="164" fontId="6" fillId="0" borderId="0" xfId="0" applyNumberFormat="1" applyFont="1" applyFill="1"/>
    <xf numFmtId="44" fontId="6" fillId="0" borderId="0" xfId="0" applyNumberFormat="1" applyFont="1" applyFill="1"/>
    <xf numFmtId="165" fontId="6" fillId="0" borderId="4" xfId="0" applyNumberFormat="1" applyFont="1" applyFill="1" applyBorder="1" applyAlignment="1">
      <alignment vertical="center"/>
    </xf>
    <xf numFmtId="165" fontId="6" fillId="0" borderId="0" xfId="0" applyNumberFormat="1" applyFont="1" applyFill="1"/>
    <xf numFmtId="165" fontId="6" fillId="0" borderId="4" xfId="0" applyNumberFormat="1" applyFont="1" applyFill="1" applyBorder="1"/>
    <xf numFmtId="165" fontId="6" fillId="0" borderId="2" xfId="0" applyNumberFormat="1" applyFont="1" applyFill="1" applyBorder="1" applyAlignment="1">
      <alignment vertical="center"/>
    </xf>
    <xf numFmtId="43" fontId="6" fillId="0" borderId="5" xfId="0" applyNumberFormat="1" applyFont="1" applyFill="1" applyBorder="1"/>
    <xf numFmtId="167" fontId="6" fillId="0" borderId="0" xfId="0" applyNumberFormat="1" applyFont="1" applyFill="1"/>
    <xf numFmtId="166" fontId="6" fillId="0" borderId="0" xfId="0" applyNumberFormat="1" applyFont="1" applyFill="1"/>
    <xf numFmtId="164" fontId="4" fillId="0" borderId="0" xfId="1" applyNumberFormat="1" applyFont="1" applyFill="1" applyAlignment="1">
      <alignment horizontal="center"/>
    </xf>
    <xf numFmtId="0" fontId="3" fillId="0" borderId="8" xfId="0" applyFont="1" applyBorder="1"/>
  </cellXfs>
  <cellStyles count="10">
    <cellStyle name="Comma" xfId="1" builtinId="3"/>
    <cellStyle name="Comma 3 2" xfId="7" xr:uid="{EB2917EB-CEBB-43B8-B3F0-FB1C791B3DDF}"/>
    <cellStyle name="Currency" xfId="2" builtinId="4"/>
    <cellStyle name="Currency 2 2" xfId="8" xr:uid="{C5412C32-70C1-4427-9A78-F584DE0D0FAB}"/>
    <cellStyle name="Normal" xfId="0" builtinId="0"/>
    <cellStyle name="Normal 2" xfId="4" xr:uid="{07BB8BC8-C5A2-4D23-8181-BEF9162D0260}"/>
    <cellStyle name="Normal 2 2" xfId="5" xr:uid="{2DF6510E-692C-4066-BFE1-3FB1B3282DB6}"/>
    <cellStyle name="Normal 3" xfId="6" xr:uid="{92945EB9-4017-424D-B25E-DEE1203F91DE}"/>
    <cellStyle name="Percent" xfId="3" builtinId="5"/>
    <cellStyle name="Percent 3 2" xfId="9" xr:uid="{6C17E018-E292-436F-BA30-A22CFB582D62}"/>
  </cellStyles>
  <dxfs count="0"/>
  <tableStyles count="0" defaultTableStyle="TableStyleMedium2" defaultPivotStyle="PivotStyleLight16"/>
  <colors>
    <mruColors>
      <color rgb="FFFFCCFF"/>
      <color rgb="FFFFFFCC"/>
      <color rgb="FF0000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A6C87-2D74-4DCB-9000-40376CA871FF}">
  <sheetPr>
    <pageSetUpPr fitToPage="1"/>
  </sheetPr>
  <dimension ref="A1:N25"/>
  <sheetViews>
    <sheetView tabSelected="1" view="pageBreakPreview" zoomScaleNormal="100" zoomScaleSheetLayoutView="100" workbookViewId="0">
      <selection activeCell="J19" sqref="J19"/>
    </sheetView>
  </sheetViews>
  <sheetFormatPr defaultColWidth="8.85546875" defaultRowHeight="12.75" x14ac:dyDescent="0.2"/>
  <cols>
    <col min="1" max="1" width="5" style="2" customWidth="1"/>
    <col min="2" max="2" width="37.7109375" style="2" customWidth="1"/>
    <col min="3" max="3" width="9.28515625" style="2" bestFit="1" customWidth="1"/>
    <col min="4" max="4" width="14.140625" style="2" customWidth="1"/>
    <col min="5" max="5" width="14.85546875" style="2" customWidth="1"/>
    <col min="6" max="6" width="15.42578125" style="2" customWidth="1"/>
    <col min="7" max="7" width="12.28515625" style="2" bestFit="1" customWidth="1"/>
    <col min="8" max="8" width="8.5703125" style="2" customWidth="1"/>
    <col min="9" max="9" width="11.42578125" style="2" customWidth="1"/>
    <col min="10" max="10" width="46.5703125" style="2" customWidth="1"/>
    <col min="11" max="11" width="13.140625" style="2" bestFit="1" customWidth="1"/>
    <col min="12" max="12" width="13.85546875" style="2" bestFit="1" customWidth="1"/>
    <col min="13" max="13" width="7.5703125" style="2" bestFit="1" customWidth="1"/>
    <col min="14" max="14" width="7.140625" style="2" bestFit="1" customWidth="1"/>
    <col min="15" max="16384" width="8.85546875" style="2"/>
  </cols>
  <sheetData>
    <row r="1" spans="1:14" x14ac:dyDescent="0.2">
      <c r="A1" s="1" t="s">
        <v>27</v>
      </c>
    </row>
    <row r="2" spans="1:14" x14ac:dyDescent="0.2">
      <c r="A2" s="1" t="s">
        <v>91</v>
      </c>
    </row>
    <row r="3" spans="1:14" x14ac:dyDescent="0.2">
      <c r="A3" s="1" t="s">
        <v>92</v>
      </c>
    </row>
    <row r="4" spans="1:14" s="7" customFormat="1" ht="31.9" customHeight="1" x14ac:dyDescent="0.2">
      <c r="A4" s="5" t="s">
        <v>0</v>
      </c>
      <c r="B4" s="5" t="s">
        <v>1</v>
      </c>
      <c r="C4" s="6" t="s">
        <v>8</v>
      </c>
      <c r="D4" s="8" t="s">
        <v>87</v>
      </c>
      <c r="E4" s="8" t="s">
        <v>2</v>
      </c>
      <c r="F4" s="8" t="s">
        <v>3</v>
      </c>
      <c r="G4" s="8" t="s">
        <v>77</v>
      </c>
      <c r="H4" s="6" t="s">
        <v>13</v>
      </c>
      <c r="I4" s="8" t="s">
        <v>104</v>
      </c>
      <c r="J4" s="2"/>
      <c r="K4" s="100"/>
      <c r="L4" s="2"/>
      <c r="M4" s="2"/>
      <c r="N4" s="2"/>
    </row>
    <row r="5" spans="1:14" x14ac:dyDescent="0.2">
      <c r="A5" s="3">
        <v>1</v>
      </c>
      <c r="B5" s="11"/>
      <c r="C5" s="11"/>
      <c r="D5" s="11"/>
      <c r="E5" s="12"/>
      <c r="F5" s="12"/>
      <c r="G5" s="12"/>
      <c r="H5" s="13"/>
    </row>
    <row r="6" spans="1:14" x14ac:dyDescent="0.2">
      <c r="A6" s="3">
        <f>A5+1</f>
        <v>2</v>
      </c>
      <c r="B6" s="2" t="str">
        <f>'Billing Detail'!B6</f>
        <v>Residential and Farm</v>
      </c>
      <c r="C6" s="9" t="str">
        <f>'Billing Detail'!C6</f>
        <v>GS-1</v>
      </c>
      <c r="D6" s="14">
        <f>'Billing Detail'!G17</f>
        <v>105297961.91613999</v>
      </c>
      <c r="E6" s="14">
        <f>'Billing Detail'!I17</f>
        <v>105297961.91613999</v>
      </c>
      <c r="F6" s="14">
        <f>'Billing Detail'!K17</f>
        <v>108228333.61640616</v>
      </c>
      <c r="G6" s="14">
        <f>'Billing Detail'!L17</f>
        <v>2930371.7002661675</v>
      </c>
      <c r="H6" s="13">
        <f>'Billing Detail'!M17</f>
        <v>2.7829329712952426E-2</v>
      </c>
      <c r="I6" s="96">
        <f>'Billing Detail'!L18</f>
        <v>4.2472725247428968</v>
      </c>
      <c r="K6" s="102"/>
      <c r="L6" s="103"/>
    </row>
    <row r="7" spans="1:14" x14ac:dyDescent="0.2">
      <c r="A7" s="3">
        <f t="shared" ref="A7:A70" si="0">A6+1</f>
        <v>3</v>
      </c>
      <c r="B7" s="2" t="str">
        <f>'Billing Detail'!B20</f>
        <v>Residential and Farm Inclining Block</v>
      </c>
      <c r="C7" s="9" t="str">
        <f>'Billing Detail'!C20</f>
        <v>GS-2</v>
      </c>
      <c r="D7" s="14">
        <f>'Billing Detail'!G34</f>
        <v>40295.345610833334</v>
      </c>
      <c r="E7" s="14">
        <f>'Billing Detail'!I34</f>
        <v>40295.345610833334</v>
      </c>
      <c r="F7" s="14">
        <f>'Billing Detail'!K34</f>
        <v>49453.845610833334</v>
      </c>
      <c r="G7" s="14">
        <f>'Billing Detail'!L34</f>
        <v>9158.5</v>
      </c>
      <c r="H7" s="13">
        <f>'Billing Detail'!M34</f>
        <v>0.22728431438339006</v>
      </c>
      <c r="I7" s="96">
        <f>'Billing Detail'!L35</f>
        <v>6.5</v>
      </c>
      <c r="K7" s="102"/>
      <c r="L7" s="103"/>
    </row>
    <row r="8" spans="1:14" x14ac:dyDescent="0.2">
      <c r="A8" s="3">
        <f t="shared" si="0"/>
        <v>4</v>
      </c>
      <c r="B8" s="2" t="str">
        <f>'Billing Detail'!B37</f>
        <v>Residential and Farm Time-of-Day Rate</v>
      </c>
      <c r="C8" s="9" t="str">
        <f>'Billing Detail'!C37</f>
        <v>GS-3</v>
      </c>
      <c r="D8" s="14">
        <f>'Billing Detail'!G49</f>
        <v>24995.944309999999</v>
      </c>
      <c r="E8" s="14">
        <f>'Billing Detail'!I49</f>
        <v>24995.944310000003</v>
      </c>
      <c r="F8" s="14">
        <f>'Billing Detail'!K49</f>
        <v>27872.357810000001</v>
      </c>
      <c r="G8" s="14">
        <f>'Billing Detail'!L49</f>
        <v>2876.4134999999987</v>
      </c>
      <c r="H8" s="13">
        <f>'Billing Detail'!M49</f>
        <v>0.11507520837487409</v>
      </c>
      <c r="I8" s="96">
        <f>'Billing Detail'!L50</f>
        <v>12.615848684210519</v>
      </c>
      <c r="K8" s="102"/>
      <c r="L8" s="103"/>
    </row>
    <row r="9" spans="1:14" x14ac:dyDescent="0.2">
      <c r="A9" s="3">
        <f t="shared" si="0"/>
        <v>5</v>
      </c>
      <c r="B9" s="2" t="str">
        <f>'Billing Detail'!B52</f>
        <v>General Service (0-100 KW)</v>
      </c>
      <c r="C9" s="9" t="str">
        <f>'Billing Detail'!C52</f>
        <v>SC-1</v>
      </c>
      <c r="D9" s="14">
        <f>'Billing Detail'!G62</f>
        <v>11606761.972279999</v>
      </c>
      <c r="E9" s="14">
        <f>'Billing Detail'!I62</f>
        <v>12711210.671899999</v>
      </c>
      <c r="F9" s="14">
        <f>'Billing Detail'!K62</f>
        <v>12711210.671899999</v>
      </c>
      <c r="G9" s="14">
        <f>'Billing Detail'!L62</f>
        <v>0</v>
      </c>
      <c r="H9" s="13">
        <f>'Billing Detail'!M62</f>
        <v>0</v>
      </c>
      <c r="I9" s="96">
        <f>'Billing Detail'!L63</f>
        <v>0</v>
      </c>
      <c r="K9" s="102"/>
      <c r="L9" s="103"/>
    </row>
    <row r="10" spans="1:14" x14ac:dyDescent="0.2">
      <c r="A10" s="3">
        <f t="shared" si="0"/>
        <v>6</v>
      </c>
      <c r="B10" s="2" t="str">
        <f>'Billing Detail'!B65</f>
        <v>General Service 0-100 KW Time of Day Rate</v>
      </c>
      <c r="C10" s="9" t="str">
        <f>'Billing Detail'!C65</f>
        <v>SC-2</v>
      </c>
      <c r="D10" s="14">
        <f>'Billing Detail'!G75</f>
        <v>201626.52866000001</v>
      </c>
      <c r="E10" s="14">
        <f>'Billing Detail'!I75</f>
        <v>220348.36375999998</v>
      </c>
      <c r="F10" s="14">
        <f>'Billing Detail'!K75</f>
        <v>220348.36375999998</v>
      </c>
      <c r="G10" s="14">
        <f>'Billing Detail'!L75</f>
        <v>0</v>
      </c>
      <c r="H10" s="13">
        <f>'Billing Detail'!M75</f>
        <v>0</v>
      </c>
      <c r="I10" s="96">
        <f>'Billing Detail'!L76</f>
        <v>0</v>
      </c>
      <c r="K10" s="102"/>
      <c r="L10" s="103"/>
    </row>
    <row r="11" spans="1:14" x14ac:dyDescent="0.2">
      <c r="A11" s="3">
        <f t="shared" si="0"/>
        <v>7</v>
      </c>
      <c r="B11" s="2" t="str">
        <f>'Billing Detail'!B78</f>
        <v>Large Power (101 - 500 kW)</v>
      </c>
      <c r="C11" s="9" t="str">
        <f>'Billing Detail'!C78</f>
        <v>LP-1</v>
      </c>
      <c r="D11" s="14">
        <f>'Billing Detail'!G90</f>
        <v>3712183.9028809997</v>
      </c>
      <c r="E11" s="14">
        <f>'Billing Detail'!I90</f>
        <v>4203470.7656395007</v>
      </c>
      <c r="F11" s="14">
        <f>'Billing Detail'!K90</f>
        <v>4203470.7656395007</v>
      </c>
      <c r="G11" s="14">
        <f>'Billing Detail'!L90</f>
        <v>0</v>
      </c>
      <c r="H11" s="13">
        <f>'Billing Detail'!M90</f>
        <v>0</v>
      </c>
      <c r="I11" s="96">
        <f>'Billing Detail'!L91</f>
        <v>0</v>
      </c>
      <c r="K11" s="102"/>
      <c r="L11" s="103"/>
    </row>
    <row r="12" spans="1:14" x14ac:dyDescent="0.2">
      <c r="A12" s="3">
        <f t="shared" si="0"/>
        <v>8</v>
      </c>
      <c r="B12" s="2" t="str">
        <f>'Billing Detail'!B93</f>
        <v>Large Power (over 500 kW)</v>
      </c>
      <c r="C12" s="9" t="str">
        <f>'Billing Detail'!C93</f>
        <v>LP-2</v>
      </c>
      <c r="D12" s="14">
        <f>'Billing Detail'!G105</f>
        <v>10159697.162758499</v>
      </c>
      <c r="E12" s="14">
        <f>'Billing Detail'!I105</f>
        <v>11702826.669122001</v>
      </c>
      <c r="F12" s="14">
        <f>'Billing Detail'!K105</f>
        <v>11702826.669122001</v>
      </c>
      <c r="G12" s="14">
        <f>'Billing Detail'!L105</f>
        <v>0</v>
      </c>
      <c r="H12" s="13">
        <f>'Billing Detail'!M105</f>
        <v>0</v>
      </c>
      <c r="I12" s="96">
        <f>'Billing Detail'!L106</f>
        <v>0</v>
      </c>
      <c r="K12" s="102"/>
      <c r="L12" s="103"/>
    </row>
    <row r="13" spans="1:14" x14ac:dyDescent="0.2">
      <c r="A13" s="3">
        <f t="shared" si="0"/>
        <v>9</v>
      </c>
      <c r="B13" s="2" t="str">
        <f>'Billing Detail'!B108</f>
        <v>Large Industrial (1,000 - 3,999 kW)</v>
      </c>
      <c r="C13" s="9" t="str">
        <f>'Billing Detail'!C108</f>
        <v>B-1</v>
      </c>
      <c r="D13" s="14">
        <f>'Billing Detail'!G119</f>
        <v>5545108.1103499997</v>
      </c>
      <c r="E13" s="14">
        <f>'Billing Detail'!I119</f>
        <v>6436134.5319699999</v>
      </c>
      <c r="F13" s="14">
        <f>'Billing Detail'!K119</f>
        <v>6436134.5319699999</v>
      </c>
      <c r="G13" s="14">
        <f>'Billing Detail'!L119</f>
        <v>0</v>
      </c>
      <c r="H13" s="13">
        <f>'Billing Detail'!M119</f>
        <v>0</v>
      </c>
      <c r="I13" s="96">
        <f>'Billing Detail'!L120</f>
        <v>0</v>
      </c>
      <c r="K13" s="102"/>
      <c r="L13" s="103"/>
    </row>
    <row r="14" spans="1:14" x14ac:dyDescent="0.2">
      <c r="A14" s="3">
        <f t="shared" si="0"/>
        <v>10</v>
      </c>
      <c r="B14" s="2" t="str">
        <f>'Billing Detail'!B122</f>
        <v>Large Industrial (over 4,000 kW)</v>
      </c>
      <c r="C14" s="9" t="str">
        <f>'Billing Detail'!C122</f>
        <v>B-2</v>
      </c>
      <c r="D14" s="14">
        <f>'Billing Detail'!G134</f>
        <v>10370168.15498</v>
      </c>
      <c r="E14" s="14">
        <f>'Billing Detail'!I134</f>
        <v>12241858.15016</v>
      </c>
      <c r="F14" s="14">
        <f>'Billing Detail'!K134</f>
        <v>12241858.15016</v>
      </c>
      <c r="G14" s="14">
        <f>'Billing Detail'!L134</f>
        <v>0</v>
      </c>
      <c r="H14" s="13">
        <f>'Billing Detail'!M134</f>
        <v>0</v>
      </c>
      <c r="I14" s="96">
        <f>'Billing Detail'!L135</f>
        <v>0</v>
      </c>
      <c r="K14" s="102"/>
      <c r="L14" s="103"/>
    </row>
    <row r="15" spans="1:14" x14ac:dyDescent="0.2">
      <c r="A15" s="3">
        <f t="shared" si="0"/>
        <v>11</v>
      </c>
      <c r="B15" s="2" t="str">
        <f>'Billing Detail'!B137</f>
        <v>Essity - EKPC Rate G</v>
      </c>
      <c r="C15" s="9" t="str">
        <f>'Billing Detail'!C137</f>
        <v>G-1</v>
      </c>
      <c r="D15" s="14">
        <f>'Billing Detail'!G148</f>
        <v>6015438.0682000006</v>
      </c>
      <c r="E15" s="14">
        <f>'Billing Detail'!I148</f>
        <v>7233268.8051999994</v>
      </c>
      <c r="F15" s="14">
        <f>'Billing Detail'!K148</f>
        <v>7233268.8051999994</v>
      </c>
      <c r="G15" s="14">
        <f>'Billing Detail'!L148</f>
        <v>0</v>
      </c>
      <c r="H15" s="13">
        <f>'Billing Detail'!M148</f>
        <v>0</v>
      </c>
      <c r="I15" s="96">
        <f>'Billing Detail'!L149</f>
        <v>0</v>
      </c>
      <c r="K15" s="102"/>
      <c r="L15" s="103"/>
    </row>
    <row r="16" spans="1:14" x14ac:dyDescent="0.2">
      <c r="A16" s="3">
        <f t="shared" si="0"/>
        <v>12</v>
      </c>
      <c r="B16" s="2" t="str">
        <f>'Billing Detail'!B152</f>
        <v>Lighting</v>
      </c>
      <c r="C16" s="9" t="str">
        <f>'Billing Detail'!C152</f>
        <v>L</v>
      </c>
      <c r="D16" s="14">
        <f>'Billing Detail'!G178</f>
        <v>2321388.5500000003</v>
      </c>
      <c r="E16" s="14">
        <f>'Billing Detail'!I178</f>
        <v>2385683.35</v>
      </c>
      <c r="F16" s="14">
        <f>'Billing Detail'!K178</f>
        <v>2629742.5300000003</v>
      </c>
      <c r="G16" s="14">
        <f>'Billing Detail'!L178</f>
        <v>244059.18000000017</v>
      </c>
      <c r="H16" s="13">
        <f>'Billing Detail'!M178</f>
        <v>0.102301581641168</v>
      </c>
      <c r="I16" s="100" t="s">
        <v>84</v>
      </c>
      <c r="K16" s="102"/>
      <c r="L16" s="103"/>
    </row>
    <row r="17" spans="1:12" ht="16.149999999999999" customHeight="1" x14ac:dyDescent="0.2">
      <c r="A17" s="3">
        <f t="shared" si="0"/>
        <v>13</v>
      </c>
      <c r="B17" s="16" t="s">
        <v>90</v>
      </c>
      <c r="C17" s="16"/>
      <c r="D17" s="17">
        <f>SUM(D6:D16)</f>
        <v>155295625.65617031</v>
      </c>
      <c r="E17" s="17">
        <f>SUM(E6:E16)</f>
        <v>162498054.5138123</v>
      </c>
      <c r="F17" s="17">
        <f>SUM(F6:F16)</f>
        <v>165684520.3075785</v>
      </c>
      <c r="G17" s="17">
        <f>F17-E17</f>
        <v>3186465.7937662005</v>
      </c>
      <c r="H17" s="146">
        <f>G17/E17</f>
        <v>1.9609255035698606E-2</v>
      </c>
      <c r="I17" s="16"/>
      <c r="K17" s="102"/>
      <c r="L17" s="103"/>
    </row>
    <row r="18" spans="1:12" ht="16.149999999999999" customHeight="1" x14ac:dyDescent="0.2">
      <c r="A18" s="3">
        <f t="shared" ref="A18:A23" si="1">A17+1</f>
        <v>14</v>
      </c>
      <c r="D18" s="18"/>
      <c r="E18" s="18"/>
      <c r="F18" s="18"/>
      <c r="G18" s="18"/>
      <c r="H18" s="19"/>
      <c r="K18" s="102"/>
      <c r="L18" s="103"/>
    </row>
    <row r="19" spans="1:12" ht="16.149999999999999" customHeight="1" x14ac:dyDescent="0.2">
      <c r="A19" s="3">
        <f t="shared" si="1"/>
        <v>15</v>
      </c>
      <c r="D19" s="18"/>
      <c r="E19" s="18"/>
      <c r="F19" s="18"/>
      <c r="G19" s="18"/>
      <c r="H19" s="13"/>
    </row>
    <row r="20" spans="1:12" ht="18" customHeight="1" thickBot="1" x14ac:dyDescent="0.25">
      <c r="A20" s="3">
        <f t="shared" si="1"/>
        <v>16</v>
      </c>
      <c r="B20" s="20" t="s">
        <v>6</v>
      </c>
      <c r="C20" s="20"/>
      <c r="D20" s="21">
        <f>D17</f>
        <v>155295625.65617031</v>
      </c>
      <c r="E20" s="21">
        <f t="shared" ref="E20:G20" si="2">E17</f>
        <v>162498054.5138123</v>
      </c>
      <c r="F20" s="21">
        <f t="shared" si="2"/>
        <v>165684520.3075785</v>
      </c>
      <c r="G20" s="21">
        <f t="shared" si="2"/>
        <v>3186465.7937662005</v>
      </c>
      <c r="H20" s="151">
        <f>G20/E20</f>
        <v>1.9609255035698606E-2</v>
      </c>
      <c r="I20" s="20"/>
    </row>
    <row r="21" spans="1:12" ht="18" customHeight="1" thickTop="1" x14ac:dyDescent="0.2">
      <c r="A21" s="3">
        <f t="shared" si="1"/>
        <v>17</v>
      </c>
      <c r="B21" s="2" t="s">
        <v>7</v>
      </c>
      <c r="D21" s="15"/>
      <c r="G21" s="159">
        <v>3192272.3164417036</v>
      </c>
      <c r="H21" s="177"/>
      <c r="I21" s="177"/>
    </row>
    <row r="22" spans="1:12" ht="15" customHeight="1" x14ac:dyDescent="0.2">
      <c r="A22" s="3">
        <f t="shared" si="1"/>
        <v>18</v>
      </c>
      <c r="B22" s="16" t="s">
        <v>26</v>
      </c>
      <c r="C22" s="16"/>
      <c r="D22" s="17"/>
      <c r="E22" s="16"/>
      <c r="F22" s="16"/>
      <c r="G22" s="17">
        <f>G20-G21</f>
        <v>-5806.5226755030453</v>
      </c>
    </row>
    <row r="23" spans="1:12" ht="15" customHeight="1" x14ac:dyDescent="0.2">
      <c r="A23" s="3">
        <f t="shared" si="1"/>
        <v>19</v>
      </c>
      <c r="B23" s="2" t="s">
        <v>26</v>
      </c>
      <c r="D23" s="13"/>
      <c r="G23" s="13">
        <f>G22/G21</f>
        <v>-1.8189308742856062E-3</v>
      </c>
    </row>
    <row r="24" spans="1:12" x14ac:dyDescent="0.2">
      <c r="A24" s="3"/>
    </row>
    <row r="25" spans="1:12" x14ac:dyDescent="0.2">
      <c r="A25" s="3"/>
    </row>
  </sheetData>
  <pageMargins left="0.7" right="0.7" top="0.75" bottom="0.75" header="0.3" footer="0.3"/>
  <pageSetup scale="95" orientation="landscape" r:id="rId1"/>
  <headerFooter>
    <oddFooter>&amp;RExhibit JW-9
Page &amp;P of &amp;N</oddFooter>
  </headerFooter>
  <ignoredErrors>
    <ignoredError sqref="F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936A2-12A9-4965-8FFC-07FECC5A7A7C}">
  <dimension ref="A1:Q194"/>
  <sheetViews>
    <sheetView view="pageBreakPreview" zoomScaleNormal="100" zoomScaleSheetLayoutView="100" workbookViewId="0">
      <pane xSplit="5" ySplit="5" topLeftCell="F171" activePane="bottomRight" state="frozen"/>
      <selection activeCell="K19" sqref="K19"/>
      <selection pane="topRight" activeCell="K19" sqref="K19"/>
      <selection pane="bottomLeft" activeCell="K19" sqref="K19"/>
      <selection pane="bottomRight" activeCell="K19" sqref="K19"/>
    </sheetView>
  </sheetViews>
  <sheetFormatPr defaultColWidth="8.85546875" defaultRowHeight="12.75" x14ac:dyDescent="0.2"/>
  <cols>
    <col min="1" max="1" width="5.28515625" style="63" customWidth="1"/>
    <col min="2" max="2" width="38.7109375" style="41" bestFit="1" customWidth="1"/>
    <col min="3" max="3" width="12.85546875" style="55" customWidth="1"/>
    <col min="4" max="4" width="30.42578125" style="41" customWidth="1"/>
    <col min="5" max="5" width="14.42578125" style="160" bestFit="1" customWidth="1"/>
    <col min="6" max="6" width="15" style="41" hidden="1" customWidth="1"/>
    <col min="7" max="7" width="16.140625" style="160" hidden="1" customWidth="1"/>
    <col min="8" max="8" width="12.28515625" style="41" bestFit="1" customWidth="1"/>
    <col min="9" max="9" width="15.28515625" style="160" bestFit="1" customWidth="1"/>
    <col min="10" max="10" width="11.7109375" style="160" customWidth="1"/>
    <col min="11" max="11" width="16.140625" style="41" customWidth="1"/>
    <col min="12" max="12" width="14.7109375" style="41" customWidth="1"/>
    <col min="13" max="13" width="9.140625" style="41" customWidth="1"/>
    <col min="14" max="14" width="8.85546875" style="41"/>
    <col min="15" max="15" width="11.28515625" style="41" bestFit="1" customWidth="1"/>
    <col min="16" max="16" width="10.28515625" style="41" bestFit="1" customWidth="1"/>
    <col min="17" max="17" width="12.28515625" style="41" bestFit="1" customWidth="1"/>
    <col min="18" max="16384" width="8.85546875" style="41"/>
  </cols>
  <sheetData>
    <row r="1" spans="1:17" x14ac:dyDescent="0.2">
      <c r="A1" s="61" t="str">
        <f>Summary!A1</f>
        <v>BLUE GRASS ENERGY</v>
      </c>
      <c r="F1" s="50"/>
    </row>
    <row r="2" spans="1:17" ht="14.45" customHeight="1" x14ac:dyDescent="0.2">
      <c r="A2" s="61" t="str">
        <f>Summary!A2</f>
        <v>Present and Proposed Rates</v>
      </c>
      <c r="F2" s="62"/>
      <c r="G2" s="62"/>
      <c r="H2" s="94"/>
    </row>
    <row r="4" spans="1:17" ht="38.450000000000003" customHeight="1" x14ac:dyDescent="0.2">
      <c r="A4" s="64" t="s">
        <v>0</v>
      </c>
      <c r="B4" s="64" t="s">
        <v>9</v>
      </c>
      <c r="C4" s="65" t="s">
        <v>8</v>
      </c>
      <c r="D4" s="64" t="s">
        <v>10</v>
      </c>
      <c r="E4" s="161" t="s">
        <v>11</v>
      </c>
      <c r="F4" s="47" t="s">
        <v>86</v>
      </c>
      <c r="G4" s="161" t="s">
        <v>87</v>
      </c>
      <c r="H4" s="47" t="s">
        <v>17</v>
      </c>
      <c r="I4" s="161" t="s">
        <v>18</v>
      </c>
      <c r="J4" s="161" t="s">
        <v>16</v>
      </c>
      <c r="K4" s="47" t="s">
        <v>3</v>
      </c>
      <c r="L4" s="47" t="s">
        <v>12</v>
      </c>
      <c r="M4" s="65" t="s">
        <v>13</v>
      </c>
      <c r="O4" s="99">
        <f>Summary!G22</f>
        <v>-5806.5226755030453</v>
      </c>
    </row>
    <row r="5" spans="1:17" ht="30.6" customHeight="1" thickBot="1" x14ac:dyDescent="0.25">
      <c r="A5" s="66"/>
      <c r="B5" s="67"/>
      <c r="C5" s="68"/>
      <c r="D5" s="67"/>
      <c r="E5" s="162"/>
      <c r="F5" s="48"/>
      <c r="G5" s="162"/>
      <c r="H5" s="48"/>
      <c r="I5" s="162"/>
      <c r="J5" s="162"/>
      <c r="K5" s="48"/>
      <c r="L5" s="48"/>
      <c r="M5" s="68"/>
    </row>
    <row r="6" spans="1:17" x14ac:dyDescent="0.2">
      <c r="A6" s="69">
        <v>1</v>
      </c>
      <c r="B6" s="49" t="s">
        <v>101</v>
      </c>
      <c r="C6" s="70" t="s">
        <v>28</v>
      </c>
      <c r="D6" s="49"/>
      <c r="E6" s="163"/>
      <c r="F6" s="49"/>
      <c r="G6" s="163"/>
      <c r="H6" s="150"/>
      <c r="I6" s="163"/>
      <c r="J6" s="173"/>
      <c r="K6" s="49"/>
      <c r="L6" s="49"/>
      <c r="M6" s="49"/>
    </row>
    <row r="7" spans="1:17" x14ac:dyDescent="0.2">
      <c r="A7" s="69">
        <f>A6+1</f>
        <v>2</v>
      </c>
      <c r="C7" s="41"/>
      <c r="D7" s="41" t="s">
        <v>88</v>
      </c>
      <c r="E7" s="56">
        <v>689942</v>
      </c>
      <c r="F7" s="50">
        <v>17.100000000000001</v>
      </c>
      <c r="G7" s="57">
        <f>F7*E7</f>
        <v>11798008.200000001</v>
      </c>
      <c r="H7" s="50">
        <v>17.100000000000001</v>
      </c>
      <c r="I7" s="57">
        <f>H7*E7</f>
        <v>11798008.200000001</v>
      </c>
      <c r="J7" s="50">
        <v>23.6</v>
      </c>
      <c r="K7" s="57">
        <f>J7*E7</f>
        <v>16282631.200000001</v>
      </c>
      <c r="L7" s="57">
        <f>K7-I7</f>
        <v>4484623</v>
      </c>
      <c r="M7" s="51">
        <f>IF(I7=0,0,L7/I7)</f>
        <v>0.38011695906432746</v>
      </c>
      <c r="N7" s="83"/>
      <c r="O7" s="86"/>
      <c r="P7" s="73"/>
      <c r="Q7" s="58"/>
    </row>
    <row r="8" spans="1:17" x14ac:dyDescent="0.2">
      <c r="A8" s="69">
        <f t="shared" ref="A8" si="0">A7+1</f>
        <v>3</v>
      </c>
      <c r="C8" s="82"/>
      <c r="D8" s="41" t="s">
        <v>98</v>
      </c>
      <c r="E8" s="56">
        <v>1049981</v>
      </c>
      <c r="F8" s="50">
        <v>0.85</v>
      </c>
      <c r="G8" s="57">
        <f>F8*E8</f>
        <v>892483.85</v>
      </c>
      <c r="H8" s="50">
        <f>F8</f>
        <v>0.85</v>
      </c>
      <c r="I8" s="57">
        <f>H8*E8</f>
        <v>892483.85</v>
      </c>
      <c r="J8" s="50">
        <f>(J7+8.75)*12/365</f>
        <v>1.0635616438356166</v>
      </c>
      <c r="K8" s="57">
        <f>J8*E8</f>
        <v>1116719.5183561645</v>
      </c>
      <c r="L8" s="57">
        <f>K8-I8</f>
        <v>224235.66835616447</v>
      </c>
      <c r="M8" s="51">
        <f>IF(I8=0,0,L8/I8)</f>
        <v>0.25124899274778417</v>
      </c>
      <c r="N8" s="83"/>
      <c r="O8" s="86"/>
      <c r="P8" s="73"/>
      <c r="Q8" s="58"/>
    </row>
    <row r="9" spans="1:17" x14ac:dyDescent="0.2">
      <c r="A9" s="69">
        <f>A7+1</f>
        <v>3</v>
      </c>
      <c r="B9" s="56"/>
      <c r="C9" s="45" t="s">
        <v>105</v>
      </c>
      <c r="D9" s="41" t="s">
        <v>65</v>
      </c>
      <c r="E9" s="56">
        <v>590553708</v>
      </c>
      <c r="F9" s="52">
        <f>0.08417</f>
        <v>8.4169999999999995E-2</v>
      </c>
      <c r="G9" s="57">
        <f t="shared" ref="G9" si="1">F9*E9</f>
        <v>49706905.602359995</v>
      </c>
      <c r="H9" s="71">
        <v>9.5979999999999996E-2</v>
      </c>
      <c r="I9" s="57">
        <f>H9*E9</f>
        <v>56681344.89384</v>
      </c>
      <c r="J9" s="174">
        <f>ROUND(H9*O9,5)</f>
        <v>9.3869999999999995E-2</v>
      </c>
      <c r="K9" s="57">
        <f>J9*E9</f>
        <v>55435276.569959998</v>
      </c>
      <c r="L9" s="57">
        <f>K9-I9</f>
        <v>-1246068.3238800019</v>
      </c>
      <c r="M9" s="51">
        <f>IF(I9=0,0,L9/I9)</f>
        <v>-2.1983746613877926E-2</v>
      </c>
      <c r="O9" s="71">
        <v>0.97806800000000005</v>
      </c>
    </row>
    <row r="10" spans="1:17" x14ac:dyDescent="0.2">
      <c r="A10" s="69">
        <f>A8+1</f>
        <v>4</v>
      </c>
      <c r="B10" s="56"/>
      <c r="C10" s="55" t="s">
        <v>106</v>
      </c>
      <c r="D10" s="41" t="s">
        <v>65</v>
      </c>
      <c r="E10" s="56">
        <v>252331111</v>
      </c>
      <c r="F10" s="104">
        <v>9.5979999999999996E-2</v>
      </c>
      <c r="G10" s="57">
        <f t="shared" ref="G10" si="2">F10*E10</f>
        <v>24218740.033779997</v>
      </c>
      <c r="H10" s="71">
        <v>9.5979999999999996E-2</v>
      </c>
      <c r="I10" s="57">
        <f>H10*E10</f>
        <v>24218740.033779997</v>
      </c>
      <c r="J10" s="174">
        <f>J9</f>
        <v>9.3869999999999995E-2</v>
      </c>
      <c r="K10" s="57">
        <f>J10*E10</f>
        <v>23686321.389569998</v>
      </c>
      <c r="L10" s="57">
        <f>K10-I10</f>
        <v>-532418.64420999959</v>
      </c>
      <c r="M10" s="51">
        <f>IF(I10=0,0,L10/I10)</f>
        <v>-2.1983746613877878E-2</v>
      </c>
      <c r="O10" s="71"/>
    </row>
    <row r="11" spans="1:17" s="63" customFormat="1" ht="20.45" customHeight="1" x14ac:dyDescent="0.25">
      <c r="A11" s="69">
        <f>A10+1</f>
        <v>5</v>
      </c>
      <c r="C11" s="59"/>
      <c r="D11" s="60" t="s">
        <v>4</v>
      </c>
      <c r="E11" s="164"/>
      <c r="F11" s="60"/>
      <c r="G11" s="10">
        <f>SUM(G7:G10)</f>
        <v>86616137.686139986</v>
      </c>
      <c r="H11" s="60"/>
      <c r="I11" s="10">
        <f>SUM(I7:I10)</f>
        <v>93590576.977619991</v>
      </c>
      <c r="J11" s="164"/>
      <c r="K11" s="10">
        <f>SUM(K7:K10)</f>
        <v>96520948.677886158</v>
      </c>
      <c r="L11" s="10">
        <f>SUM(L7:L10)</f>
        <v>2930371.7002661629</v>
      </c>
      <c r="M11" s="72">
        <f>L11/I11</f>
        <v>3.1310542096207969E-2</v>
      </c>
    </row>
    <row r="12" spans="1:17" x14ac:dyDescent="0.2">
      <c r="A12" s="69">
        <f t="shared" ref="A12:A78" si="3">A11+1</f>
        <v>6</v>
      </c>
      <c r="D12" s="41" t="s">
        <v>19</v>
      </c>
      <c r="G12" s="57">
        <v>6090785.169999999</v>
      </c>
      <c r="I12" s="170">
        <f>G12-(E9*H194)</f>
        <v>-883654.12148000021</v>
      </c>
      <c r="K12" s="57">
        <f>I12</f>
        <v>-883654.12148000021</v>
      </c>
      <c r="L12" s="57">
        <f>K12-I12</f>
        <v>0</v>
      </c>
      <c r="M12" s="50">
        <v>0</v>
      </c>
    </row>
    <row r="13" spans="1:17" x14ac:dyDescent="0.2">
      <c r="A13" s="69">
        <f t="shared" si="3"/>
        <v>7</v>
      </c>
      <c r="D13" s="41" t="s">
        <v>20</v>
      </c>
      <c r="G13" s="57">
        <v>12591039.059999999</v>
      </c>
      <c r="I13" s="170">
        <f>G13</f>
        <v>12591039.059999999</v>
      </c>
      <c r="K13" s="57">
        <f>I13</f>
        <v>12591039.059999999</v>
      </c>
      <c r="L13" s="57">
        <f>K13-I13</f>
        <v>0</v>
      </c>
      <c r="M13" s="50">
        <v>0</v>
      </c>
    </row>
    <row r="14" spans="1:17" x14ac:dyDescent="0.2">
      <c r="A14" s="69">
        <f t="shared" si="3"/>
        <v>8</v>
      </c>
      <c r="B14" s="73"/>
      <c r="D14" s="41" t="s">
        <v>23</v>
      </c>
      <c r="G14" s="57">
        <v>0</v>
      </c>
      <c r="I14" s="170">
        <f>G14</f>
        <v>0</v>
      </c>
      <c r="K14" s="57">
        <f>I14</f>
        <v>0</v>
      </c>
      <c r="L14" s="57">
        <f>K14-I14</f>
        <v>0</v>
      </c>
      <c r="M14" s="50">
        <v>0</v>
      </c>
    </row>
    <row r="15" spans="1:17" x14ac:dyDescent="0.2">
      <c r="A15" s="69">
        <f t="shared" si="3"/>
        <v>9</v>
      </c>
      <c r="C15" s="117"/>
      <c r="D15" s="41" t="s">
        <v>54</v>
      </c>
      <c r="G15" s="57">
        <v>0</v>
      </c>
      <c r="I15" s="170">
        <f>G15</f>
        <v>0</v>
      </c>
      <c r="K15" s="57">
        <f>I15</f>
        <v>0</v>
      </c>
      <c r="L15" s="57"/>
      <c r="M15" s="50">
        <v>0</v>
      </c>
    </row>
    <row r="16" spans="1:17" x14ac:dyDescent="0.2">
      <c r="A16" s="69">
        <f t="shared" si="3"/>
        <v>10</v>
      </c>
      <c r="C16" s="117"/>
      <c r="D16" s="53" t="s">
        <v>5</v>
      </c>
      <c r="E16" s="165"/>
      <c r="F16" s="53"/>
      <c r="G16" s="74">
        <f>SUM(G12:G15)</f>
        <v>18681824.229999997</v>
      </c>
      <c r="H16" s="53"/>
      <c r="I16" s="74">
        <f>SUM(I12:I15)</f>
        <v>11707384.938519999</v>
      </c>
      <c r="J16" s="165"/>
      <c r="K16" s="74">
        <f>SUM(K12:K15)</f>
        <v>11707384.938519999</v>
      </c>
      <c r="L16" s="74">
        <f>K16-I16</f>
        <v>0</v>
      </c>
      <c r="M16" s="75">
        <v>0</v>
      </c>
    </row>
    <row r="17" spans="1:13" s="63" customFormat="1" ht="26.45" customHeight="1" thickBot="1" x14ac:dyDescent="0.3">
      <c r="A17" s="69">
        <f t="shared" si="3"/>
        <v>11</v>
      </c>
      <c r="C17" s="59"/>
      <c r="D17" s="54" t="s">
        <v>15</v>
      </c>
      <c r="E17" s="166"/>
      <c r="F17" s="54"/>
      <c r="G17" s="76">
        <f>G11+G16</f>
        <v>105297961.91613999</v>
      </c>
      <c r="H17" s="54"/>
      <c r="I17" s="172">
        <f>I16+I11</f>
        <v>105297961.91613999</v>
      </c>
      <c r="J17" s="166"/>
      <c r="K17" s="76">
        <f>K16+K11</f>
        <v>108228333.61640616</v>
      </c>
      <c r="L17" s="76">
        <f>K17-I17</f>
        <v>2930371.7002661675</v>
      </c>
      <c r="M17" s="78">
        <f>L17/I17</f>
        <v>2.7829329712952426E-2</v>
      </c>
    </row>
    <row r="18" spans="1:13" ht="13.5" thickTop="1" x14ac:dyDescent="0.2">
      <c r="A18" s="69">
        <f t="shared" si="3"/>
        <v>12</v>
      </c>
      <c r="D18" s="41" t="s">
        <v>14</v>
      </c>
      <c r="E18" s="56">
        <f>(E9+E10)/(E7+(E8/365*12))</f>
        <v>1163.4632434164591</v>
      </c>
      <c r="G18" s="168">
        <f>G17/E7</f>
        <v>152.61857071484269</v>
      </c>
      <c r="I18" s="168">
        <f>I17/E7</f>
        <v>152.61857071484269</v>
      </c>
      <c r="K18" s="79">
        <f>K17/E7</f>
        <v>156.86584323958559</v>
      </c>
      <c r="L18" s="79">
        <f>K18-I18</f>
        <v>4.2472725247428968</v>
      </c>
      <c r="M18" s="51">
        <f>L18/I18</f>
        <v>2.7829329712952388E-2</v>
      </c>
    </row>
    <row r="19" spans="1:13" ht="13.5" thickBot="1" x14ac:dyDescent="0.25">
      <c r="A19" s="69">
        <f t="shared" si="3"/>
        <v>13</v>
      </c>
    </row>
    <row r="20" spans="1:13" x14ac:dyDescent="0.2">
      <c r="A20" s="69">
        <f t="shared" si="3"/>
        <v>14</v>
      </c>
      <c r="B20" s="49" t="s">
        <v>100</v>
      </c>
      <c r="C20" s="70" t="s">
        <v>29</v>
      </c>
      <c r="D20" s="49"/>
      <c r="E20" s="163"/>
      <c r="F20" s="49"/>
      <c r="G20" s="163"/>
      <c r="H20" s="49"/>
      <c r="I20" s="163"/>
      <c r="J20" s="163"/>
      <c r="K20" s="49"/>
      <c r="L20" s="49"/>
      <c r="M20" s="49"/>
    </row>
    <row r="21" spans="1:13" x14ac:dyDescent="0.2">
      <c r="A21" s="69">
        <f t="shared" si="3"/>
        <v>15</v>
      </c>
      <c r="C21" s="41"/>
      <c r="D21" s="41" t="s">
        <v>89</v>
      </c>
      <c r="E21" s="56">
        <v>1409</v>
      </c>
      <c r="F21" s="50">
        <v>14.36</v>
      </c>
      <c r="G21" s="57">
        <f>F21*E21</f>
        <v>20233.239999999998</v>
      </c>
      <c r="H21" s="50">
        <v>14.36</v>
      </c>
      <c r="I21" s="57">
        <f t="shared" ref="I21:I27" si="4">H21*E21</f>
        <v>20233.239999999998</v>
      </c>
      <c r="J21" s="50">
        <f>H21+(J7-H7)</f>
        <v>20.86</v>
      </c>
      <c r="K21" s="57">
        <f t="shared" ref="K21:K27" si="5">J21*E21</f>
        <v>29391.739999999998</v>
      </c>
      <c r="L21" s="57">
        <f t="shared" ref="L21:L27" si="6">K21-I21</f>
        <v>9158.5</v>
      </c>
      <c r="M21" s="51">
        <f t="shared" ref="M21:M27" si="7">IF(I21=0,0,L21/I21)</f>
        <v>0.4526462395543176</v>
      </c>
    </row>
    <row r="22" spans="1:13" x14ac:dyDescent="0.2">
      <c r="A22" s="69">
        <f>A18+1</f>
        <v>13</v>
      </c>
      <c r="C22" s="55" t="s">
        <v>105</v>
      </c>
      <c r="D22" s="41" t="s">
        <v>66</v>
      </c>
      <c r="E22" s="56">
        <v>56952</v>
      </c>
      <c r="F22" s="71">
        <v>7.3013333333333333E-2</v>
      </c>
      <c r="G22" s="57">
        <f t="shared" ref="G22:G24" si="8">F22*E22</f>
        <v>4158.2553600000001</v>
      </c>
      <c r="H22" s="71">
        <v>8.8239999999999999E-2</v>
      </c>
      <c r="I22" s="57">
        <f t="shared" si="4"/>
        <v>5025.4444800000001</v>
      </c>
      <c r="J22" s="52">
        <f t="shared" ref="J22:J24" si="9">H22</f>
        <v>8.8239999999999999E-2</v>
      </c>
      <c r="K22" s="57">
        <f t="shared" si="5"/>
        <v>5025.4444800000001</v>
      </c>
      <c r="L22" s="57">
        <f t="shared" si="6"/>
        <v>0</v>
      </c>
      <c r="M22" s="51">
        <f t="shared" si="7"/>
        <v>0</v>
      </c>
    </row>
    <row r="23" spans="1:13" x14ac:dyDescent="0.2">
      <c r="A23" s="69">
        <f t="shared" si="3"/>
        <v>14</v>
      </c>
      <c r="D23" s="41" t="s">
        <v>67</v>
      </c>
      <c r="E23" s="56">
        <v>21096</v>
      </c>
      <c r="F23" s="71">
        <v>8.7267500000000012E-2</v>
      </c>
      <c r="G23" s="57">
        <f t="shared" si="8"/>
        <v>1840.9951800000003</v>
      </c>
      <c r="H23" s="71">
        <v>0.10378999999999999</v>
      </c>
      <c r="I23" s="57">
        <f t="shared" si="4"/>
        <v>2189.55384</v>
      </c>
      <c r="J23" s="52">
        <f t="shared" si="9"/>
        <v>0.10378999999999999</v>
      </c>
      <c r="K23" s="57">
        <f t="shared" si="5"/>
        <v>2189.55384</v>
      </c>
      <c r="L23" s="57">
        <f t="shared" si="6"/>
        <v>0</v>
      </c>
      <c r="M23" s="51">
        <f t="shared" si="7"/>
        <v>0</v>
      </c>
    </row>
    <row r="24" spans="1:13" x14ac:dyDescent="0.2">
      <c r="A24" s="69">
        <f t="shared" si="3"/>
        <v>15</v>
      </c>
      <c r="D24" s="41" t="s">
        <v>68</v>
      </c>
      <c r="E24" s="56">
        <v>21845</v>
      </c>
      <c r="F24" s="71">
        <v>9.6764166666666665E-2</v>
      </c>
      <c r="G24" s="57">
        <f t="shared" si="8"/>
        <v>2113.8132208333332</v>
      </c>
      <c r="H24" s="71">
        <v>0.11415</v>
      </c>
      <c r="I24" s="57">
        <f t="shared" si="4"/>
        <v>2493.6067499999999</v>
      </c>
      <c r="J24" s="52">
        <f t="shared" si="9"/>
        <v>0.11415</v>
      </c>
      <c r="K24" s="57">
        <f t="shared" si="5"/>
        <v>2493.6067499999999</v>
      </c>
      <c r="L24" s="57">
        <f t="shared" si="6"/>
        <v>0</v>
      </c>
      <c r="M24" s="51">
        <f t="shared" si="7"/>
        <v>0</v>
      </c>
    </row>
    <row r="25" spans="1:13" x14ac:dyDescent="0.2">
      <c r="A25" s="69">
        <f>A21+1</f>
        <v>16</v>
      </c>
      <c r="B25" s="71"/>
      <c r="C25" s="55" t="s">
        <v>106</v>
      </c>
      <c r="D25" s="41" t="s">
        <v>66</v>
      </c>
      <c r="E25" s="56">
        <v>28588</v>
      </c>
      <c r="F25" s="71">
        <v>8.8239999999999999E-2</v>
      </c>
      <c r="G25" s="57">
        <f t="shared" ref="G25" si="10">F25*E25</f>
        <v>2522.6051200000002</v>
      </c>
      <c r="H25" s="71">
        <v>8.8239999999999999E-2</v>
      </c>
      <c r="I25" s="57">
        <f t="shared" si="4"/>
        <v>2522.6051200000002</v>
      </c>
      <c r="J25" s="52">
        <f t="shared" ref="J25:J27" si="11">H25</f>
        <v>8.8239999999999999E-2</v>
      </c>
      <c r="K25" s="57">
        <f t="shared" si="5"/>
        <v>2522.6051200000002</v>
      </c>
      <c r="L25" s="57">
        <f t="shared" si="6"/>
        <v>0</v>
      </c>
      <c r="M25" s="51">
        <f t="shared" si="7"/>
        <v>0</v>
      </c>
    </row>
    <row r="26" spans="1:13" x14ac:dyDescent="0.2">
      <c r="A26" s="69">
        <f t="shared" si="3"/>
        <v>17</v>
      </c>
      <c r="B26" s="71"/>
      <c r="D26" s="41" t="s">
        <v>67</v>
      </c>
      <c r="E26" s="56">
        <v>8892</v>
      </c>
      <c r="F26" s="71">
        <v>0.10378999999999999</v>
      </c>
      <c r="G26" s="57">
        <f t="shared" ref="G26" si="12">F26*E26</f>
        <v>922.90067999999997</v>
      </c>
      <c r="H26" s="71">
        <v>0.10378999999999999</v>
      </c>
      <c r="I26" s="57">
        <f t="shared" si="4"/>
        <v>922.90067999999997</v>
      </c>
      <c r="J26" s="52">
        <f t="shared" si="11"/>
        <v>0.10378999999999999</v>
      </c>
      <c r="K26" s="57">
        <f t="shared" si="5"/>
        <v>922.90067999999997</v>
      </c>
      <c r="L26" s="57">
        <f t="shared" si="6"/>
        <v>0</v>
      </c>
      <c r="M26" s="51">
        <f t="shared" si="7"/>
        <v>0</v>
      </c>
    </row>
    <row r="27" spans="1:13" x14ac:dyDescent="0.2">
      <c r="A27" s="69">
        <f t="shared" si="3"/>
        <v>18</v>
      </c>
      <c r="B27" s="71"/>
      <c r="D27" s="41" t="s">
        <v>68</v>
      </c>
      <c r="E27" s="56">
        <v>20387</v>
      </c>
      <c r="F27" s="71">
        <v>0.11415</v>
      </c>
      <c r="G27" s="57">
        <f t="shared" ref="G27" si="13">F27*E27</f>
        <v>2327.17605</v>
      </c>
      <c r="H27" s="71">
        <v>0.11415</v>
      </c>
      <c r="I27" s="57">
        <f t="shared" si="4"/>
        <v>2327.17605</v>
      </c>
      <c r="J27" s="52">
        <f t="shared" si="11"/>
        <v>0.11415</v>
      </c>
      <c r="K27" s="57">
        <f t="shared" si="5"/>
        <v>2327.17605</v>
      </c>
      <c r="L27" s="57">
        <f t="shared" si="6"/>
        <v>0</v>
      </c>
      <c r="M27" s="51">
        <f t="shared" si="7"/>
        <v>0</v>
      </c>
    </row>
    <row r="28" spans="1:13" s="63" customFormat="1" ht="20.45" customHeight="1" x14ac:dyDescent="0.25">
      <c r="A28" s="69">
        <f t="shared" si="3"/>
        <v>19</v>
      </c>
      <c r="C28" s="59"/>
      <c r="D28" s="60" t="s">
        <v>4</v>
      </c>
      <c r="E28" s="164"/>
      <c r="F28" s="60"/>
      <c r="G28" s="10">
        <f>SUM(G21:G27)</f>
        <v>34118.985610833333</v>
      </c>
      <c r="H28" s="60"/>
      <c r="I28" s="10">
        <f>SUM(I21:I27)</f>
        <v>35714.526919999997</v>
      </c>
      <c r="J28" s="164"/>
      <c r="K28" s="10">
        <f>SUM(K21:K27)</f>
        <v>44873.026919999997</v>
      </c>
      <c r="L28" s="10">
        <f>SUM(L21:L27)</f>
        <v>9158.5</v>
      </c>
      <c r="M28" s="72">
        <f>L28/I28</f>
        <v>0.25643626809099002</v>
      </c>
    </row>
    <row r="29" spans="1:13" x14ac:dyDescent="0.2">
      <c r="A29" s="69">
        <f t="shared" si="3"/>
        <v>20</v>
      </c>
      <c r="D29" s="41" t="s">
        <v>19</v>
      </c>
      <c r="G29" s="57">
        <v>1095.75</v>
      </c>
      <c r="I29" s="170">
        <f>G29-E22*(F25-F22)-E23*(F26-F23)-E24*(F27-F24)</f>
        <v>-499.79130916666639</v>
      </c>
      <c r="K29" s="57">
        <f>I29</f>
        <v>-499.79130916666639</v>
      </c>
      <c r="L29" s="57">
        <f>K29-I29</f>
        <v>0</v>
      </c>
      <c r="M29" s="50">
        <v>0</v>
      </c>
    </row>
    <row r="30" spans="1:13" x14ac:dyDescent="0.2">
      <c r="A30" s="69">
        <f t="shared" si="3"/>
        <v>21</v>
      </c>
      <c r="D30" s="41" t="s">
        <v>20</v>
      </c>
      <c r="G30" s="57">
        <v>5080.6100000000006</v>
      </c>
      <c r="I30" s="170">
        <f>G30</f>
        <v>5080.6100000000006</v>
      </c>
      <c r="K30" s="57">
        <f>I30</f>
        <v>5080.6100000000006</v>
      </c>
      <c r="L30" s="57">
        <f>K30-I30</f>
        <v>0</v>
      </c>
      <c r="M30" s="50">
        <v>0</v>
      </c>
    </row>
    <row r="31" spans="1:13" x14ac:dyDescent="0.2">
      <c r="A31" s="69">
        <f t="shared" si="3"/>
        <v>22</v>
      </c>
      <c r="D31" s="41" t="s">
        <v>23</v>
      </c>
      <c r="G31" s="57">
        <v>0</v>
      </c>
      <c r="I31" s="170">
        <f>G31</f>
        <v>0</v>
      </c>
      <c r="K31" s="57">
        <f>I31</f>
        <v>0</v>
      </c>
      <c r="L31" s="57">
        <f>K31-I31</f>
        <v>0</v>
      </c>
      <c r="M31" s="50">
        <v>0</v>
      </c>
    </row>
    <row r="32" spans="1:13" x14ac:dyDescent="0.2">
      <c r="A32" s="69">
        <f t="shared" si="3"/>
        <v>23</v>
      </c>
      <c r="D32" s="41" t="s">
        <v>54</v>
      </c>
      <c r="G32" s="57">
        <v>0</v>
      </c>
      <c r="I32" s="170">
        <f>G32</f>
        <v>0</v>
      </c>
      <c r="K32" s="57">
        <f>I32</f>
        <v>0</v>
      </c>
      <c r="L32" s="57"/>
      <c r="M32" s="50"/>
    </row>
    <row r="33" spans="1:15" x14ac:dyDescent="0.2">
      <c r="A33" s="69">
        <f t="shared" si="3"/>
        <v>24</v>
      </c>
      <c r="D33" s="53" t="s">
        <v>5</v>
      </c>
      <c r="E33" s="165"/>
      <c r="F33" s="53"/>
      <c r="G33" s="74">
        <f>SUM(G29:G32)</f>
        <v>6176.3600000000006</v>
      </c>
      <c r="H33" s="53"/>
      <c r="I33" s="74">
        <f>SUM(I29:I32)</f>
        <v>4580.8186908333346</v>
      </c>
      <c r="J33" s="165"/>
      <c r="K33" s="74">
        <f>SUM(K29:K32)</f>
        <v>4580.8186908333346</v>
      </c>
      <c r="L33" s="74">
        <f>K33-I33</f>
        <v>0</v>
      </c>
      <c r="M33" s="75">
        <f>K33-I33</f>
        <v>0</v>
      </c>
    </row>
    <row r="34" spans="1:15" s="63" customFormat="1" ht="26.45" customHeight="1" thickBot="1" x14ac:dyDescent="0.3">
      <c r="A34" s="69">
        <f t="shared" si="3"/>
        <v>25</v>
      </c>
      <c r="C34" s="59"/>
      <c r="D34" s="54" t="s">
        <v>15</v>
      </c>
      <c r="E34" s="166"/>
      <c r="F34" s="54"/>
      <c r="G34" s="76">
        <f>G28+G33</f>
        <v>40295.345610833334</v>
      </c>
      <c r="H34" s="54"/>
      <c r="I34" s="172">
        <f>I33+I28</f>
        <v>40295.345610833334</v>
      </c>
      <c r="J34" s="166"/>
      <c r="K34" s="76">
        <f>K33+K28</f>
        <v>49453.845610833334</v>
      </c>
      <c r="L34" s="76">
        <f>K34-I34</f>
        <v>9158.5</v>
      </c>
      <c r="M34" s="78">
        <f>L34/I34</f>
        <v>0.22728431438339006</v>
      </c>
    </row>
    <row r="35" spans="1:15" ht="13.5" thickTop="1" x14ac:dyDescent="0.2">
      <c r="A35" s="69">
        <f t="shared" si="3"/>
        <v>26</v>
      </c>
      <c r="D35" s="41" t="s">
        <v>14</v>
      </c>
      <c r="E35" s="56">
        <f>(E25+E26+E27+E22+E23+E24)/E21</f>
        <v>111.96593328601845</v>
      </c>
      <c r="G35" s="168">
        <f>G34/E21</f>
        <v>28.598541952330258</v>
      </c>
      <c r="I35" s="168">
        <f>I34/E21</f>
        <v>28.598541952330258</v>
      </c>
      <c r="K35" s="79">
        <f>K34/E21</f>
        <v>35.098541952330258</v>
      </c>
      <c r="L35" s="79">
        <f>K35-I35</f>
        <v>6.5</v>
      </c>
      <c r="M35" s="51">
        <f>L35/I35</f>
        <v>0.22728431438339006</v>
      </c>
    </row>
    <row r="36" spans="1:15" ht="13.5" thickBot="1" x14ac:dyDescent="0.25">
      <c r="A36" s="69">
        <f t="shared" si="3"/>
        <v>27</v>
      </c>
    </row>
    <row r="37" spans="1:15" x14ac:dyDescent="0.2">
      <c r="A37" s="69">
        <f t="shared" si="3"/>
        <v>28</v>
      </c>
      <c r="B37" s="49" t="s">
        <v>102</v>
      </c>
      <c r="C37" s="70" t="s">
        <v>32</v>
      </c>
      <c r="D37" s="49"/>
      <c r="E37" s="163"/>
      <c r="F37" s="49"/>
      <c r="G37" s="163"/>
      <c r="H37" s="49"/>
      <c r="I37" s="163"/>
      <c r="J37" s="163"/>
      <c r="K37" s="49"/>
      <c r="L37" s="49"/>
      <c r="M37" s="49"/>
    </row>
    <row r="38" spans="1:15" x14ac:dyDescent="0.2">
      <c r="A38" s="69">
        <f t="shared" si="3"/>
        <v>29</v>
      </c>
      <c r="C38" s="41"/>
      <c r="D38" s="41" t="s">
        <v>88</v>
      </c>
      <c r="E38" s="56">
        <v>228</v>
      </c>
      <c r="F38" s="50">
        <v>25.91</v>
      </c>
      <c r="G38" s="57">
        <f>F38*E38</f>
        <v>5907.4800000000005</v>
      </c>
      <c r="H38" s="50">
        <v>25.91</v>
      </c>
      <c r="I38" s="57">
        <f>H38*E38</f>
        <v>5907.4800000000005</v>
      </c>
      <c r="J38" s="50">
        <f>H38</f>
        <v>25.91</v>
      </c>
      <c r="K38" s="57">
        <f>J38*E38</f>
        <v>5907.4800000000005</v>
      </c>
      <c r="L38" s="57">
        <f>K38-I38</f>
        <v>0</v>
      </c>
      <c r="M38" s="51">
        <f>IF(I38=0,0,L38/I38)</f>
        <v>0</v>
      </c>
    </row>
    <row r="39" spans="1:15" x14ac:dyDescent="0.2">
      <c r="A39" s="69">
        <f>A36+1</f>
        <v>28</v>
      </c>
      <c r="C39" s="55" t="s">
        <v>105</v>
      </c>
      <c r="D39" s="41" t="s">
        <v>69</v>
      </c>
      <c r="E39" s="56">
        <v>33646</v>
      </c>
      <c r="F39" s="71">
        <v>0.10176</v>
      </c>
      <c r="G39" s="57">
        <f t="shared" ref="G39:G40" si="14">F39*E39</f>
        <v>3423.8169600000001</v>
      </c>
      <c r="H39" s="71">
        <v>0.11357</v>
      </c>
      <c r="I39" s="57">
        <f>H39*E39</f>
        <v>3821.1762200000003</v>
      </c>
      <c r="J39" s="52">
        <f>ROUND(H39*O39,5)</f>
        <v>0.17036000000000001</v>
      </c>
      <c r="K39" s="57">
        <f>J39*E39</f>
        <v>5731.9325600000002</v>
      </c>
      <c r="L39" s="57">
        <f>K39-I39</f>
        <v>1910.7563399999999</v>
      </c>
      <c r="M39" s="51">
        <f>IF(I39=0,0,L39/I39)</f>
        <v>0.50004402571101514</v>
      </c>
      <c r="O39" s="86">
        <v>1.5</v>
      </c>
    </row>
    <row r="40" spans="1:15" x14ac:dyDescent="0.2">
      <c r="A40" s="69">
        <f t="shared" si="3"/>
        <v>29</v>
      </c>
      <c r="D40" s="41" t="s">
        <v>70</v>
      </c>
      <c r="E40" s="56">
        <v>115303</v>
      </c>
      <c r="F40" s="71">
        <v>5.4170000000000003E-2</v>
      </c>
      <c r="G40" s="57">
        <f t="shared" si="14"/>
        <v>6245.9635100000005</v>
      </c>
      <c r="H40" s="71">
        <v>6.5979999999999997E-2</v>
      </c>
      <c r="I40" s="57">
        <f>H40*E40</f>
        <v>7607.6919399999997</v>
      </c>
      <c r="J40" s="52">
        <f t="shared" ref="J40" si="15">H40</f>
        <v>6.5979999999999997E-2</v>
      </c>
      <c r="K40" s="57">
        <f>J40*E40</f>
        <v>7607.6919399999997</v>
      </c>
      <c r="L40" s="57">
        <f>K40-I40</f>
        <v>0</v>
      </c>
      <c r="M40" s="51">
        <f>IF(I40=0,0,L40/I40)</f>
        <v>0</v>
      </c>
    </row>
    <row r="41" spans="1:15" x14ac:dyDescent="0.2">
      <c r="A41" s="69">
        <f>A38+1</f>
        <v>30</v>
      </c>
      <c r="C41" s="55" t="s">
        <v>106</v>
      </c>
      <c r="D41" s="41" t="s">
        <v>69</v>
      </c>
      <c r="E41" s="56">
        <v>17004</v>
      </c>
      <c r="F41" s="71">
        <v>0.11357</v>
      </c>
      <c r="G41" s="57">
        <f t="shared" ref="G41" si="16">F41*E41</f>
        <v>1931.14428</v>
      </c>
      <c r="H41" s="71">
        <v>0.11357</v>
      </c>
      <c r="I41" s="57">
        <f>H41*E41</f>
        <v>1931.14428</v>
      </c>
      <c r="J41" s="52">
        <f>J39</f>
        <v>0.17036000000000001</v>
      </c>
      <c r="K41" s="57">
        <f>J41*E41</f>
        <v>2896.8014400000002</v>
      </c>
      <c r="L41" s="57">
        <f>K41-I41</f>
        <v>965.6571600000002</v>
      </c>
      <c r="M41" s="51">
        <f>IF(I41=0,0,L41/I41)</f>
        <v>0.50004402571101536</v>
      </c>
      <c r="O41" s="86">
        <v>1.5</v>
      </c>
    </row>
    <row r="42" spans="1:15" x14ac:dyDescent="0.2">
      <c r="A42" s="69">
        <f t="shared" si="3"/>
        <v>31</v>
      </c>
      <c r="D42" s="41" t="s">
        <v>70</v>
      </c>
      <c r="E42" s="56">
        <v>46622</v>
      </c>
      <c r="F42" s="71">
        <v>6.5979999999999997E-2</v>
      </c>
      <c r="G42" s="57">
        <f t="shared" ref="G42" si="17">F42*E42</f>
        <v>3076.1195599999996</v>
      </c>
      <c r="H42" s="71">
        <v>6.5979999999999997E-2</v>
      </c>
      <c r="I42" s="57">
        <f>H42*E42</f>
        <v>3076.1195599999996</v>
      </c>
      <c r="J42" s="52">
        <f>J40</f>
        <v>6.5979999999999997E-2</v>
      </c>
      <c r="K42" s="57">
        <f>J42*E42</f>
        <v>3076.1195599999996</v>
      </c>
      <c r="L42" s="57">
        <f>K42-I42</f>
        <v>0</v>
      </c>
      <c r="M42" s="51">
        <f>IF(I42=0,0,L42/I42)</f>
        <v>0</v>
      </c>
    </row>
    <row r="43" spans="1:15" s="63" customFormat="1" ht="20.45" customHeight="1" x14ac:dyDescent="0.25">
      <c r="A43" s="69">
        <f t="shared" si="3"/>
        <v>32</v>
      </c>
      <c r="C43" s="59"/>
      <c r="D43" s="60" t="s">
        <v>4</v>
      </c>
      <c r="E43" s="164"/>
      <c r="F43" s="60"/>
      <c r="G43" s="10">
        <f>SUM(G38:G42)</f>
        <v>20584.524310000001</v>
      </c>
      <c r="H43" s="60"/>
      <c r="I43" s="10">
        <f>SUM(I38:I42)</f>
        <v>22343.612000000001</v>
      </c>
      <c r="J43" s="164"/>
      <c r="K43" s="10">
        <f>SUM(K38:K42)</f>
        <v>25220.0255</v>
      </c>
      <c r="L43" s="10">
        <f>SUM(L38:L42)</f>
        <v>2876.4135000000001</v>
      </c>
      <c r="M43" s="72">
        <f>L43/I43</f>
        <v>0.12873538530833778</v>
      </c>
    </row>
    <row r="44" spans="1:15" x14ac:dyDescent="0.2">
      <c r="A44" s="69">
        <f t="shared" si="3"/>
        <v>33</v>
      </c>
      <c r="D44" s="41" t="s">
        <v>19</v>
      </c>
      <c r="G44" s="57">
        <v>1463.5200000000002</v>
      </c>
      <c r="I44" s="170">
        <f>G44-E39*(F41-F39)-E40*(F42-F40)</f>
        <v>-295.56768999999917</v>
      </c>
      <c r="K44" s="57">
        <f>I44</f>
        <v>-295.56768999999917</v>
      </c>
      <c r="L44" s="57">
        <f>K44-I44</f>
        <v>0</v>
      </c>
      <c r="M44" s="50">
        <v>0</v>
      </c>
    </row>
    <row r="45" spans="1:15" x14ac:dyDescent="0.2">
      <c r="A45" s="69">
        <f t="shared" si="3"/>
        <v>34</v>
      </c>
      <c r="D45" s="41" t="s">
        <v>20</v>
      </c>
      <c r="G45" s="57">
        <v>2947.9</v>
      </c>
      <c r="I45" s="170">
        <f>G45</f>
        <v>2947.9</v>
      </c>
      <c r="K45" s="57">
        <f>I45</f>
        <v>2947.9</v>
      </c>
      <c r="L45" s="57">
        <f>K45-I45</f>
        <v>0</v>
      </c>
      <c r="M45" s="50">
        <v>0</v>
      </c>
    </row>
    <row r="46" spans="1:15" x14ac:dyDescent="0.2">
      <c r="A46" s="69">
        <f t="shared" si="3"/>
        <v>35</v>
      </c>
      <c r="D46" s="41" t="s">
        <v>23</v>
      </c>
      <c r="G46" s="57">
        <v>0</v>
      </c>
      <c r="I46" s="170">
        <f>G46</f>
        <v>0</v>
      </c>
      <c r="K46" s="57">
        <f>I46</f>
        <v>0</v>
      </c>
      <c r="L46" s="57">
        <f>K46-I46</f>
        <v>0</v>
      </c>
      <c r="M46" s="50">
        <v>0</v>
      </c>
    </row>
    <row r="47" spans="1:15" x14ac:dyDescent="0.2">
      <c r="A47" s="69">
        <f t="shared" si="3"/>
        <v>36</v>
      </c>
      <c r="D47" s="41" t="s">
        <v>54</v>
      </c>
      <c r="G47" s="57">
        <v>0</v>
      </c>
      <c r="I47" s="170">
        <f>G47</f>
        <v>0</v>
      </c>
      <c r="K47" s="57">
        <f>I47</f>
        <v>0</v>
      </c>
      <c r="L47" s="57"/>
      <c r="M47" s="50"/>
    </row>
    <row r="48" spans="1:15" x14ac:dyDescent="0.2">
      <c r="A48" s="69">
        <f t="shared" si="3"/>
        <v>37</v>
      </c>
      <c r="D48" s="53" t="s">
        <v>5</v>
      </c>
      <c r="E48" s="165"/>
      <c r="F48" s="53"/>
      <c r="G48" s="74">
        <f>SUM(G44:G47)</f>
        <v>4411.42</v>
      </c>
      <c r="H48" s="53"/>
      <c r="I48" s="74">
        <f>SUM(I44:I47)</f>
        <v>2652.3323100000007</v>
      </c>
      <c r="J48" s="165"/>
      <c r="K48" s="74">
        <f>SUM(K44:K47)</f>
        <v>2652.3323100000007</v>
      </c>
      <c r="L48" s="74">
        <f>K48-I48</f>
        <v>0</v>
      </c>
      <c r="M48" s="75">
        <f>K48-I48</f>
        <v>0</v>
      </c>
    </row>
    <row r="49" spans="1:13" s="63" customFormat="1" ht="26.45" customHeight="1" thickBot="1" x14ac:dyDescent="0.3">
      <c r="A49" s="69">
        <f t="shared" si="3"/>
        <v>38</v>
      </c>
      <c r="C49" s="59"/>
      <c r="D49" s="54" t="s">
        <v>15</v>
      </c>
      <c r="E49" s="166"/>
      <c r="F49" s="54"/>
      <c r="G49" s="76">
        <f>G43+G48</f>
        <v>24995.944309999999</v>
      </c>
      <c r="H49" s="54"/>
      <c r="I49" s="172">
        <f>I48+I43</f>
        <v>24995.944310000003</v>
      </c>
      <c r="J49" s="166"/>
      <c r="K49" s="76">
        <f>K48+K43</f>
        <v>27872.357810000001</v>
      </c>
      <c r="L49" s="76">
        <f>K49-I49</f>
        <v>2876.4134999999987</v>
      </c>
      <c r="M49" s="78">
        <f>L49/I49</f>
        <v>0.11507520837487409</v>
      </c>
    </row>
    <row r="50" spans="1:13" ht="13.5" thickTop="1" x14ac:dyDescent="0.2">
      <c r="A50" s="69">
        <f t="shared" si="3"/>
        <v>39</v>
      </c>
      <c r="D50" s="41" t="s">
        <v>14</v>
      </c>
      <c r="E50" s="167">
        <f>(E42+E41+E39+E40)/E38</f>
        <v>932.34649122807014</v>
      </c>
      <c r="G50" s="168">
        <f>G49/E38</f>
        <v>109.63133469298245</v>
      </c>
      <c r="I50" s="168">
        <f>I49/E38</f>
        <v>109.63133469298246</v>
      </c>
      <c r="K50" s="79">
        <f>K49/E38</f>
        <v>122.24718337719298</v>
      </c>
      <c r="L50" s="79">
        <f>K50-I50</f>
        <v>12.615848684210519</v>
      </c>
      <c r="M50" s="51">
        <f>L50/I50</f>
        <v>0.11507520837487409</v>
      </c>
    </row>
    <row r="51" spans="1:13" ht="13.5" thickBot="1" x14ac:dyDescent="0.25">
      <c r="A51" s="69">
        <f t="shared" si="3"/>
        <v>40</v>
      </c>
    </row>
    <row r="52" spans="1:13" x14ac:dyDescent="0.2">
      <c r="A52" s="69">
        <f t="shared" si="3"/>
        <v>41</v>
      </c>
      <c r="B52" s="49" t="s">
        <v>103</v>
      </c>
      <c r="C52" s="70" t="s">
        <v>34</v>
      </c>
      <c r="D52" s="49"/>
      <c r="E52" s="163"/>
      <c r="F52" s="49"/>
      <c r="G52" s="163"/>
      <c r="H52" s="49"/>
      <c r="I52" s="163"/>
      <c r="J52" s="163"/>
      <c r="K52" s="49"/>
      <c r="L52" s="49"/>
      <c r="M52" s="49"/>
    </row>
    <row r="53" spans="1:13" x14ac:dyDescent="0.2">
      <c r="A53" s="69">
        <f t="shared" si="3"/>
        <v>42</v>
      </c>
      <c r="C53" s="41"/>
      <c r="D53" s="41" t="s">
        <v>88</v>
      </c>
      <c r="E53" s="56">
        <v>36446</v>
      </c>
      <c r="F53" s="50">
        <v>33.69</v>
      </c>
      <c r="G53" s="57">
        <f>F53*E53</f>
        <v>1227865.74</v>
      </c>
      <c r="H53" s="50">
        <v>33.69</v>
      </c>
      <c r="I53" s="57">
        <f>H53*E53</f>
        <v>1227865.74</v>
      </c>
      <c r="J53" s="50">
        <f>H53</f>
        <v>33.69</v>
      </c>
      <c r="K53" s="57">
        <f>J53*E53</f>
        <v>1227865.74</v>
      </c>
      <c r="L53" s="57">
        <f>K53-I53</f>
        <v>0</v>
      </c>
      <c r="M53" s="51">
        <f>IF(I53=0,0,L53/I53)</f>
        <v>0</v>
      </c>
    </row>
    <row r="54" spans="1:13" x14ac:dyDescent="0.2">
      <c r="A54" s="69">
        <f t="shared" si="3"/>
        <v>43</v>
      </c>
      <c r="D54" s="41" t="s">
        <v>65</v>
      </c>
      <c r="E54" s="56">
        <v>82360082</v>
      </c>
      <c r="F54" s="71">
        <v>8.4629999999999997E-2</v>
      </c>
      <c r="G54" s="57">
        <f t="shared" ref="G54" si="18">F54*E54</f>
        <v>6970133.7396599995</v>
      </c>
      <c r="H54" s="71">
        <v>9.6439999999999998E-2</v>
      </c>
      <c r="I54" s="57">
        <f>H54*E54</f>
        <v>7942806.3080799999</v>
      </c>
      <c r="J54" s="50">
        <f t="shared" ref="J54:J55" si="19">H54</f>
        <v>9.6439999999999998E-2</v>
      </c>
      <c r="K54" s="57">
        <f>J54*E54</f>
        <v>7942806.3080799999</v>
      </c>
      <c r="L54" s="57">
        <f>K54-I54</f>
        <v>0</v>
      </c>
      <c r="M54" s="51">
        <f>IF(I54=0,0,L54/I54)</f>
        <v>0</v>
      </c>
    </row>
    <row r="55" spans="1:13" x14ac:dyDescent="0.2">
      <c r="A55" s="69">
        <f t="shared" si="3"/>
        <v>44</v>
      </c>
      <c r="C55" s="176"/>
      <c r="D55" s="41" t="s">
        <v>71</v>
      </c>
      <c r="E55" s="56">
        <v>169546.777</v>
      </c>
      <c r="F55" s="50">
        <v>8.06</v>
      </c>
      <c r="G55" s="57">
        <f t="shared" ref="G55" si="20">F55*E55</f>
        <v>1366547.0226200002</v>
      </c>
      <c r="H55" s="50">
        <v>8.06</v>
      </c>
      <c r="I55" s="57">
        <f>H55*E55</f>
        <v>1366547.0226200002</v>
      </c>
      <c r="J55" s="50">
        <f t="shared" si="19"/>
        <v>8.06</v>
      </c>
      <c r="K55" s="57">
        <f>J55*E55</f>
        <v>1366547.0226200002</v>
      </c>
      <c r="L55" s="57">
        <f>K55-I55</f>
        <v>0</v>
      </c>
      <c r="M55" s="51">
        <f>IF(I55=0,0,L55/I55)</f>
        <v>0</v>
      </c>
    </row>
    <row r="56" spans="1:13" s="63" customFormat="1" ht="20.45" customHeight="1" x14ac:dyDescent="0.25">
      <c r="A56" s="69">
        <f t="shared" si="3"/>
        <v>45</v>
      </c>
      <c r="C56" s="59"/>
      <c r="D56" s="60" t="s">
        <v>4</v>
      </c>
      <c r="E56" s="164"/>
      <c r="F56" s="60"/>
      <c r="G56" s="10">
        <f>SUM(G53:G55)</f>
        <v>9564546.5022800006</v>
      </c>
      <c r="H56" s="60"/>
      <c r="I56" s="10">
        <f>SUM(I53:I55)</f>
        <v>10537219.070699999</v>
      </c>
      <c r="J56" s="164"/>
      <c r="K56" s="10">
        <f>SUM(K53:K55)</f>
        <v>10537219.070699999</v>
      </c>
      <c r="L56" s="10">
        <f>SUM(L53:L55)</f>
        <v>0</v>
      </c>
      <c r="M56" s="72">
        <f>L56/I56</f>
        <v>0</v>
      </c>
    </row>
    <row r="57" spans="1:13" x14ac:dyDescent="0.2">
      <c r="A57" s="69">
        <f t="shared" si="3"/>
        <v>46</v>
      </c>
      <c r="D57" s="41" t="s">
        <v>19</v>
      </c>
      <c r="G57" s="57">
        <v>610876.23999999987</v>
      </c>
      <c r="I57" s="170">
        <f>G57+(0.0016*E54)</f>
        <v>742652.37119999994</v>
      </c>
      <c r="K57" s="57">
        <f>I57</f>
        <v>742652.37119999994</v>
      </c>
      <c r="L57" s="57">
        <f>K57-I57</f>
        <v>0</v>
      </c>
      <c r="M57" s="50">
        <v>0</v>
      </c>
    </row>
    <row r="58" spans="1:13" x14ac:dyDescent="0.2">
      <c r="A58" s="69">
        <f t="shared" si="3"/>
        <v>47</v>
      </c>
      <c r="D58" s="41" t="s">
        <v>20</v>
      </c>
      <c r="G58" s="57">
        <v>1431339.23</v>
      </c>
      <c r="I58" s="170">
        <f>G58</f>
        <v>1431339.23</v>
      </c>
      <c r="K58" s="57">
        <f>I58</f>
        <v>1431339.23</v>
      </c>
      <c r="L58" s="57">
        <f>K58-I58</f>
        <v>0</v>
      </c>
      <c r="M58" s="50">
        <v>0</v>
      </c>
    </row>
    <row r="59" spans="1:13" x14ac:dyDescent="0.2">
      <c r="A59" s="69">
        <f t="shared" si="3"/>
        <v>48</v>
      </c>
      <c r="D59" s="41" t="s">
        <v>23</v>
      </c>
      <c r="G59" s="57">
        <v>0</v>
      </c>
      <c r="I59" s="170">
        <f>G59</f>
        <v>0</v>
      </c>
      <c r="K59" s="57">
        <f>I59</f>
        <v>0</v>
      </c>
      <c r="L59" s="57">
        <f>K59-I59</f>
        <v>0</v>
      </c>
      <c r="M59" s="50">
        <v>0</v>
      </c>
    </row>
    <row r="60" spans="1:13" x14ac:dyDescent="0.2">
      <c r="A60" s="69">
        <f t="shared" si="3"/>
        <v>49</v>
      </c>
      <c r="D60" s="41" t="s">
        <v>54</v>
      </c>
      <c r="G60" s="57">
        <v>0</v>
      </c>
      <c r="I60" s="170">
        <f>G60</f>
        <v>0</v>
      </c>
      <c r="K60" s="57">
        <f>I60</f>
        <v>0</v>
      </c>
      <c r="L60" s="57"/>
      <c r="M60" s="50"/>
    </row>
    <row r="61" spans="1:13" x14ac:dyDescent="0.2">
      <c r="A61" s="69">
        <f t="shared" si="3"/>
        <v>50</v>
      </c>
      <c r="D61" s="53" t="s">
        <v>5</v>
      </c>
      <c r="E61" s="165"/>
      <c r="F61" s="53"/>
      <c r="G61" s="74">
        <f>SUM(G57:G60)</f>
        <v>2042215.4699999997</v>
      </c>
      <c r="H61" s="53"/>
      <c r="I61" s="74">
        <f>SUM(I57:I60)</f>
        <v>2173991.6011999999</v>
      </c>
      <c r="J61" s="165"/>
      <c r="K61" s="74">
        <f>SUM(K57:K60)</f>
        <v>2173991.6011999999</v>
      </c>
      <c r="L61" s="74">
        <f>K61-I61</f>
        <v>0</v>
      </c>
      <c r="M61" s="75">
        <f>K61-I61</f>
        <v>0</v>
      </c>
    </row>
    <row r="62" spans="1:13" s="63" customFormat="1" ht="26.45" customHeight="1" thickBot="1" x14ac:dyDescent="0.3">
      <c r="A62" s="69">
        <f t="shared" si="3"/>
        <v>51</v>
      </c>
      <c r="C62" s="59"/>
      <c r="D62" s="54" t="s">
        <v>15</v>
      </c>
      <c r="E62" s="166"/>
      <c r="F62" s="54"/>
      <c r="G62" s="76">
        <f>G56+G61</f>
        <v>11606761.972279999</v>
      </c>
      <c r="H62" s="54"/>
      <c r="I62" s="172">
        <f>I61+I56</f>
        <v>12711210.671899999</v>
      </c>
      <c r="J62" s="166"/>
      <c r="K62" s="76">
        <f>K61+K56</f>
        <v>12711210.671899999</v>
      </c>
      <c r="L62" s="76">
        <f>K62-I62</f>
        <v>0</v>
      </c>
      <c r="M62" s="78">
        <f>L62/I62</f>
        <v>0</v>
      </c>
    </row>
    <row r="63" spans="1:13" ht="13.5" thickTop="1" x14ac:dyDescent="0.2">
      <c r="A63" s="69">
        <f t="shared" si="3"/>
        <v>52</v>
      </c>
      <c r="D63" s="41" t="s">
        <v>14</v>
      </c>
      <c r="E63" s="56">
        <f>E54/E53</f>
        <v>2259.7838445919992</v>
      </c>
      <c r="G63" s="168">
        <f>G62/E53</f>
        <v>318.4646318465675</v>
      </c>
      <c r="I63" s="168">
        <f>I62/E53</f>
        <v>348.76833320254622</v>
      </c>
      <c r="K63" s="79">
        <f>K62/E53</f>
        <v>348.76833320254622</v>
      </c>
      <c r="L63" s="79">
        <f>K63-I63</f>
        <v>0</v>
      </c>
      <c r="M63" s="51">
        <f>L63/I63</f>
        <v>0</v>
      </c>
    </row>
    <row r="64" spans="1:13" ht="13.5" thickBot="1" x14ac:dyDescent="0.25">
      <c r="A64" s="69">
        <f t="shared" si="3"/>
        <v>53</v>
      </c>
    </row>
    <row r="65" spans="1:13" x14ac:dyDescent="0.2">
      <c r="A65" s="69">
        <f t="shared" si="3"/>
        <v>54</v>
      </c>
      <c r="B65" s="49" t="s">
        <v>56</v>
      </c>
      <c r="C65" s="70" t="s">
        <v>55</v>
      </c>
      <c r="D65" s="49"/>
      <c r="E65" s="163"/>
      <c r="F65" s="49"/>
      <c r="G65" s="163"/>
      <c r="H65" s="49"/>
      <c r="I65" s="163"/>
      <c r="J65" s="163"/>
      <c r="K65" s="49"/>
      <c r="L65" s="49"/>
      <c r="M65" s="49"/>
    </row>
    <row r="66" spans="1:13" x14ac:dyDescent="0.2">
      <c r="A66" s="69">
        <f t="shared" si="3"/>
        <v>55</v>
      </c>
      <c r="C66" s="41"/>
      <c r="D66" s="41" t="s">
        <v>88</v>
      </c>
      <c r="E66" s="56">
        <v>584</v>
      </c>
      <c r="F66" s="50">
        <v>41.46</v>
      </c>
      <c r="G66" s="57">
        <f>F66*E66</f>
        <v>24212.639999999999</v>
      </c>
      <c r="H66" s="50">
        <v>41.46</v>
      </c>
      <c r="I66" s="57">
        <f>H66*E66</f>
        <v>24212.639999999999</v>
      </c>
      <c r="J66" s="50">
        <f>H66</f>
        <v>41.46</v>
      </c>
      <c r="K66" s="57">
        <f>J66*E66</f>
        <v>24212.639999999999</v>
      </c>
      <c r="L66" s="57">
        <f>K66-I66</f>
        <v>0</v>
      </c>
      <c r="M66" s="51">
        <f>IF(I66=0,0,L66/I66)</f>
        <v>0</v>
      </c>
    </row>
    <row r="67" spans="1:13" x14ac:dyDescent="0.2">
      <c r="A67" s="69">
        <f t="shared" si="3"/>
        <v>56</v>
      </c>
      <c r="D67" s="41" t="s">
        <v>69</v>
      </c>
      <c r="E67" s="56">
        <v>746648</v>
      </c>
      <c r="F67" s="71">
        <v>0.13003000000000001</v>
      </c>
      <c r="G67" s="57">
        <f t="shared" ref="G67" si="21">F67*E67</f>
        <v>97086.639439999999</v>
      </c>
      <c r="H67" s="71">
        <v>0.14183999999999999</v>
      </c>
      <c r="I67" s="57">
        <f>H67*E67</f>
        <v>105904.55232</v>
      </c>
      <c r="J67" s="50">
        <f>H67</f>
        <v>0.14183999999999999</v>
      </c>
      <c r="K67" s="57">
        <f>J67*E67</f>
        <v>105904.55232</v>
      </c>
      <c r="L67" s="57">
        <f>K67-I67</f>
        <v>0</v>
      </c>
      <c r="M67" s="51">
        <f>IF(I67=0,0,L67/I67)</f>
        <v>0</v>
      </c>
    </row>
    <row r="68" spans="1:13" x14ac:dyDescent="0.2">
      <c r="A68" s="69">
        <f t="shared" si="3"/>
        <v>57</v>
      </c>
      <c r="D68" s="41" t="s">
        <v>70</v>
      </c>
      <c r="E68" s="56">
        <v>649462</v>
      </c>
      <c r="F68" s="71">
        <v>6.8309999999999996E-2</v>
      </c>
      <c r="G68" s="57">
        <f t="shared" ref="G68" si="22">F68*E68</f>
        <v>44364.749219999998</v>
      </c>
      <c r="H68" s="71">
        <v>8.0119999999999997E-2</v>
      </c>
      <c r="I68" s="57">
        <f>H68*E68</f>
        <v>52034.89544</v>
      </c>
      <c r="J68" s="50">
        <f>H68</f>
        <v>8.0119999999999997E-2</v>
      </c>
      <c r="K68" s="57">
        <f>J68*E68</f>
        <v>52034.89544</v>
      </c>
      <c r="L68" s="57">
        <f>K68-I68</f>
        <v>0</v>
      </c>
      <c r="M68" s="51">
        <f>IF(I68=0,0,L68/I68)</f>
        <v>0</v>
      </c>
    </row>
    <row r="69" spans="1:13" s="63" customFormat="1" ht="20.45" customHeight="1" x14ac:dyDescent="0.25">
      <c r="A69" s="69">
        <f t="shared" si="3"/>
        <v>58</v>
      </c>
      <c r="C69" s="59"/>
      <c r="D69" s="60" t="s">
        <v>4</v>
      </c>
      <c r="E69" s="164"/>
      <c r="F69" s="60"/>
      <c r="G69" s="10">
        <f>SUM(G66:G68)</f>
        <v>165664.02866000001</v>
      </c>
      <c r="H69" s="60"/>
      <c r="I69" s="10">
        <f>SUM(I66:I68)</f>
        <v>182152.08775999999</v>
      </c>
      <c r="J69" s="164"/>
      <c r="K69" s="10">
        <f>SUM(K66:K68)</f>
        <v>182152.08775999999</v>
      </c>
      <c r="L69" s="10">
        <f>SUM(L66:L68)</f>
        <v>0</v>
      </c>
      <c r="M69" s="72">
        <f>L69/I69</f>
        <v>0</v>
      </c>
    </row>
    <row r="70" spans="1:13" x14ac:dyDescent="0.2">
      <c r="A70" s="69">
        <f t="shared" si="3"/>
        <v>59</v>
      </c>
      <c r="D70" s="41" t="s">
        <v>19</v>
      </c>
      <c r="G70" s="57">
        <v>10565.62</v>
      </c>
      <c r="I70" s="170">
        <f>G70+(0.0016*(E67+E68))</f>
        <v>12799.396000000001</v>
      </c>
      <c r="K70" s="57">
        <f>I70</f>
        <v>12799.396000000001</v>
      </c>
      <c r="L70" s="57">
        <f>K70-I70</f>
        <v>0</v>
      </c>
      <c r="M70" s="50">
        <v>0</v>
      </c>
    </row>
    <row r="71" spans="1:13" x14ac:dyDescent="0.2">
      <c r="A71" s="69">
        <f t="shared" si="3"/>
        <v>60</v>
      </c>
      <c r="D71" s="41" t="s">
        <v>20</v>
      </c>
      <c r="G71" s="57">
        <v>25396.880000000001</v>
      </c>
      <c r="I71" s="170">
        <f>G71</f>
        <v>25396.880000000001</v>
      </c>
      <c r="K71" s="57">
        <f>I71</f>
        <v>25396.880000000001</v>
      </c>
      <c r="L71" s="57">
        <f>K71-I71</f>
        <v>0</v>
      </c>
      <c r="M71" s="50">
        <v>0</v>
      </c>
    </row>
    <row r="72" spans="1:13" x14ac:dyDescent="0.2">
      <c r="A72" s="69">
        <f t="shared" si="3"/>
        <v>61</v>
      </c>
      <c r="D72" s="41" t="s">
        <v>23</v>
      </c>
      <c r="G72" s="57">
        <v>0</v>
      </c>
      <c r="I72" s="170">
        <f>G72</f>
        <v>0</v>
      </c>
      <c r="K72" s="57">
        <f>I72</f>
        <v>0</v>
      </c>
      <c r="L72" s="57">
        <f>K72-I72</f>
        <v>0</v>
      </c>
      <c r="M72" s="50">
        <v>0</v>
      </c>
    </row>
    <row r="73" spans="1:13" x14ac:dyDescent="0.2">
      <c r="A73" s="69">
        <f t="shared" si="3"/>
        <v>62</v>
      </c>
      <c r="D73" s="41" t="s">
        <v>54</v>
      </c>
      <c r="G73" s="57">
        <v>0</v>
      </c>
      <c r="I73" s="170">
        <f>G73</f>
        <v>0</v>
      </c>
      <c r="K73" s="57">
        <f>I73</f>
        <v>0</v>
      </c>
      <c r="L73" s="57"/>
      <c r="M73" s="50"/>
    </row>
    <row r="74" spans="1:13" x14ac:dyDescent="0.2">
      <c r="A74" s="69">
        <f t="shared" si="3"/>
        <v>63</v>
      </c>
      <c r="D74" s="53" t="s">
        <v>5</v>
      </c>
      <c r="E74" s="165"/>
      <c r="F74" s="53"/>
      <c r="G74" s="74">
        <f>SUM(G70:G73)</f>
        <v>35962.5</v>
      </c>
      <c r="H74" s="53"/>
      <c r="I74" s="74">
        <f>SUM(I70:I73)</f>
        <v>38196.275999999998</v>
      </c>
      <c r="J74" s="165"/>
      <c r="K74" s="74">
        <f>SUM(K70:K73)</f>
        <v>38196.275999999998</v>
      </c>
      <c r="L74" s="74">
        <f>K74-I74</f>
        <v>0</v>
      </c>
      <c r="M74" s="75">
        <f>K74-I74</f>
        <v>0</v>
      </c>
    </row>
    <row r="75" spans="1:13" s="63" customFormat="1" ht="26.45" customHeight="1" thickBot="1" x14ac:dyDescent="0.3">
      <c r="A75" s="69">
        <f t="shared" si="3"/>
        <v>64</v>
      </c>
      <c r="C75" s="59"/>
      <c r="D75" s="54" t="s">
        <v>15</v>
      </c>
      <c r="E75" s="166"/>
      <c r="F75" s="54"/>
      <c r="G75" s="76">
        <f>G69+G74</f>
        <v>201626.52866000001</v>
      </c>
      <c r="H75" s="54"/>
      <c r="I75" s="172">
        <f>I74+I69</f>
        <v>220348.36375999998</v>
      </c>
      <c r="J75" s="166"/>
      <c r="K75" s="76">
        <f>K74+K69</f>
        <v>220348.36375999998</v>
      </c>
      <c r="L75" s="76">
        <f>K75-I75</f>
        <v>0</v>
      </c>
      <c r="M75" s="78">
        <f>L75/I75</f>
        <v>0</v>
      </c>
    </row>
    <row r="76" spans="1:13" ht="13.5" thickTop="1" x14ac:dyDescent="0.2">
      <c r="A76" s="69">
        <f t="shared" si="3"/>
        <v>65</v>
      </c>
      <c r="D76" s="41" t="s">
        <v>14</v>
      </c>
      <c r="E76" s="56">
        <f>(E67+E68)/E66</f>
        <v>2390.5993150684931</v>
      </c>
      <c r="G76" s="168">
        <f>G75/E66</f>
        <v>345.25090523972602</v>
      </c>
      <c r="I76" s="168">
        <f>I75/E66</f>
        <v>377.30884205479447</v>
      </c>
      <c r="K76" s="79">
        <f>K75/E66</f>
        <v>377.30884205479447</v>
      </c>
      <c r="L76" s="79">
        <f>K76-I76</f>
        <v>0</v>
      </c>
      <c r="M76" s="51">
        <f>L76/I76</f>
        <v>0</v>
      </c>
    </row>
    <row r="77" spans="1:13" ht="13.5" thickBot="1" x14ac:dyDescent="0.25">
      <c r="A77" s="69">
        <f t="shared" si="3"/>
        <v>66</v>
      </c>
    </row>
    <row r="78" spans="1:13" x14ac:dyDescent="0.2">
      <c r="A78" s="69">
        <f t="shared" si="3"/>
        <v>67</v>
      </c>
      <c r="B78" s="49" t="s">
        <v>35</v>
      </c>
      <c r="C78" s="70" t="s">
        <v>36</v>
      </c>
      <c r="D78" s="49"/>
      <c r="E78" s="163"/>
      <c r="F78" s="49"/>
      <c r="G78" s="163"/>
      <c r="H78" s="49"/>
      <c r="I78" s="163"/>
      <c r="J78" s="163"/>
      <c r="K78" s="49"/>
      <c r="L78" s="49"/>
      <c r="M78" s="49"/>
    </row>
    <row r="79" spans="1:13" x14ac:dyDescent="0.2">
      <c r="A79" s="69">
        <f t="shared" ref="A79:A158" si="23">A78+1</f>
        <v>68</v>
      </c>
      <c r="C79" s="41"/>
      <c r="D79" s="41" t="s">
        <v>89</v>
      </c>
      <c r="E79" s="56">
        <v>745</v>
      </c>
      <c r="F79" s="41">
        <v>57.6</v>
      </c>
      <c r="G79" s="57">
        <f>F79*E79</f>
        <v>42912</v>
      </c>
      <c r="H79" s="50">
        <v>57.6</v>
      </c>
      <c r="I79" s="57">
        <f>H79*E79</f>
        <v>42912</v>
      </c>
      <c r="J79" s="50">
        <f>H79</f>
        <v>57.6</v>
      </c>
      <c r="K79" s="57">
        <f>J79*E79</f>
        <v>42912</v>
      </c>
      <c r="L79" s="57">
        <f>K79-I79</f>
        <v>0</v>
      </c>
      <c r="M79" s="51">
        <f>IF(I79=0,0,L79/I79)</f>
        <v>0</v>
      </c>
    </row>
    <row r="80" spans="1:13" x14ac:dyDescent="0.2">
      <c r="A80" s="69">
        <f t="shared" si="23"/>
        <v>69</v>
      </c>
      <c r="D80" s="41" t="s">
        <v>65</v>
      </c>
      <c r="E80" s="56">
        <v>29945484</v>
      </c>
      <c r="F80" s="80">
        <v>5.3879999999999997E-2</v>
      </c>
      <c r="G80" s="57">
        <f t="shared" ref="G80" si="24">F80*E80</f>
        <v>1613462.6779199999</v>
      </c>
      <c r="H80" s="71">
        <v>6.5689999999999998E-2</v>
      </c>
      <c r="I80" s="57">
        <f>H80*E80</f>
        <v>1967118.84396</v>
      </c>
      <c r="J80" s="50">
        <f t="shared" ref="J80:J83" si="25">H80</f>
        <v>6.5689999999999998E-2</v>
      </c>
      <c r="K80" s="57">
        <f>J80*E80</f>
        <v>1967118.84396</v>
      </c>
      <c r="L80" s="57">
        <f>K80-I80</f>
        <v>0</v>
      </c>
      <c r="M80" s="51">
        <f>IF(I80=0,0,L80/I80)</f>
        <v>0</v>
      </c>
    </row>
    <row r="81" spans="1:13" x14ac:dyDescent="0.2">
      <c r="A81" s="69">
        <f t="shared" si="23"/>
        <v>70</v>
      </c>
      <c r="D81" s="41" t="s">
        <v>57</v>
      </c>
      <c r="E81" s="56">
        <v>7000189</v>
      </c>
      <c r="F81" s="80">
        <v>5.1188999999999998E-2</v>
      </c>
      <c r="G81" s="57">
        <f t="shared" ref="G81" si="26">F81*E81</f>
        <v>358332.67472100002</v>
      </c>
      <c r="H81" s="71">
        <f>H80*0.95</f>
        <v>6.2405499999999996E-2</v>
      </c>
      <c r="I81" s="57">
        <f>H81*E81</f>
        <v>436850.29463949997</v>
      </c>
      <c r="J81" s="50">
        <f t="shared" si="25"/>
        <v>6.2405499999999996E-2</v>
      </c>
      <c r="K81" s="57">
        <f>J81*E81</f>
        <v>436850.29463949997</v>
      </c>
      <c r="L81" s="57">
        <f>K81-I81</f>
        <v>0</v>
      </c>
      <c r="M81" s="51">
        <f>IF(I81=0,0,L81/I81)</f>
        <v>0</v>
      </c>
    </row>
    <row r="82" spans="1:13" x14ac:dyDescent="0.2">
      <c r="A82" s="69">
        <f t="shared" si="23"/>
        <v>71</v>
      </c>
      <c r="D82" s="41" t="s">
        <v>72</v>
      </c>
      <c r="E82" s="56">
        <v>110426.44600000001</v>
      </c>
      <c r="F82" s="50">
        <v>8.64</v>
      </c>
      <c r="G82" s="57">
        <f t="shared" ref="G82:G83" si="27">F82*E82</f>
        <v>954084.49344000011</v>
      </c>
      <c r="H82" s="50">
        <v>8.64</v>
      </c>
      <c r="I82" s="57">
        <f>H82*E82</f>
        <v>954084.49344000011</v>
      </c>
      <c r="J82" s="50">
        <f t="shared" si="25"/>
        <v>8.64</v>
      </c>
      <c r="K82" s="57">
        <f>J82*E82</f>
        <v>954084.49344000011</v>
      </c>
      <c r="L82" s="57">
        <f>K82-I82</f>
        <v>0</v>
      </c>
      <c r="M82" s="51">
        <f>IF(I82=0,0,L82/I82)</f>
        <v>0</v>
      </c>
    </row>
    <row r="83" spans="1:13" x14ac:dyDescent="0.2">
      <c r="A83" s="69">
        <f t="shared" si="23"/>
        <v>72</v>
      </c>
      <c r="B83" s="88"/>
      <c r="C83" s="89"/>
      <c r="D83" s="2" t="s">
        <v>58</v>
      </c>
      <c r="E83" s="56">
        <v>1685.8700000000001</v>
      </c>
      <c r="F83" s="95">
        <f>F82</f>
        <v>8.64</v>
      </c>
      <c r="G83" s="57">
        <f t="shared" si="27"/>
        <v>14565.916800000003</v>
      </c>
      <c r="H83" s="95">
        <v>8.64</v>
      </c>
      <c r="I83" s="57">
        <f>H83*E83</f>
        <v>14565.916800000003</v>
      </c>
      <c r="J83" s="50">
        <f t="shared" si="25"/>
        <v>8.64</v>
      </c>
      <c r="K83" s="57">
        <f>J83*E83</f>
        <v>14565.916800000003</v>
      </c>
      <c r="L83" s="57">
        <f>K83-I83</f>
        <v>0</v>
      </c>
      <c r="M83" s="51">
        <f>IF(I83=0,0,L83/I83)</f>
        <v>0</v>
      </c>
    </row>
    <row r="84" spans="1:13" s="63" customFormat="1" ht="20.45" customHeight="1" x14ac:dyDescent="0.25">
      <c r="A84" s="69">
        <f t="shared" si="23"/>
        <v>73</v>
      </c>
      <c r="C84" s="59"/>
      <c r="D84" s="60" t="s">
        <v>4</v>
      </c>
      <c r="E84" s="164"/>
      <c r="F84" s="60"/>
      <c r="G84" s="10">
        <f>SUM(G79:G83)</f>
        <v>2983357.7628809996</v>
      </c>
      <c r="H84" s="60"/>
      <c r="I84" s="10">
        <f>SUM(I79:I83)</f>
        <v>3415531.5488395002</v>
      </c>
      <c r="J84" s="164"/>
      <c r="K84" s="10">
        <f>SUM(K79:K83)</f>
        <v>3415531.5488395002</v>
      </c>
      <c r="L84" s="10">
        <f>SUM(L79:L83)</f>
        <v>0</v>
      </c>
      <c r="M84" s="72">
        <f>L84/I84</f>
        <v>0</v>
      </c>
    </row>
    <row r="85" spans="1:13" x14ac:dyDescent="0.2">
      <c r="A85" s="69">
        <f t="shared" si="23"/>
        <v>74</v>
      </c>
      <c r="D85" s="41" t="s">
        <v>19</v>
      </c>
      <c r="G85" s="57">
        <v>271607.03999999998</v>
      </c>
      <c r="I85" s="170">
        <f>G85+(0.0016*(E80+E81))</f>
        <v>330720.11679999996</v>
      </c>
      <c r="K85" s="57">
        <f>I85</f>
        <v>330720.11679999996</v>
      </c>
      <c r="L85" s="57">
        <f>K85-I85</f>
        <v>0</v>
      </c>
      <c r="M85" s="50">
        <v>0</v>
      </c>
    </row>
    <row r="86" spans="1:13" x14ac:dyDescent="0.2">
      <c r="A86" s="69">
        <f t="shared" si="23"/>
        <v>75</v>
      </c>
      <c r="D86" s="41" t="s">
        <v>20</v>
      </c>
      <c r="G86" s="57">
        <v>457219.10000000003</v>
      </c>
      <c r="I86" s="170">
        <f>G86</f>
        <v>457219.10000000003</v>
      </c>
      <c r="K86" s="57">
        <f>I86</f>
        <v>457219.10000000003</v>
      </c>
      <c r="L86" s="57">
        <f>K86-I86</f>
        <v>0</v>
      </c>
      <c r="M86" s="50">
        <v>0</v>
      </c>
    </row>
    <row r="87" spans="1:13" x14ac:dyDescent="0.2">
      <c r="A87" s="69">
        <f t="shared" si="23"/>
        <v>76</v>
      </c>
      <c r="D87" s="41" t="s">
        <v>23</v>
      </c>
      <c r="G87" s="57">
        <v>0</v>
      </c>
      <c r="I87" s="170">
        <f>G87</f>
        <v>0</v>
      </c>
      <c r="K87" s="57">
        <f>I87</f>
        <v>0</v>
      </c>
      <c r="L87" s="57">
        <f>K87-I87</f>
        <v>0</v>
      </c>
      <c r="M87" s="50">
        <v>0</v>
      </c>
    </row>
    <row r="88" spans="1:13" x14ac:dyDescent="0.2">
      <c r="A88" s="69">
        <f t="shared" si="23"/>
        <v>77</v>
      </c>
      <c r="D88" s="41" t="s">
        <v>54</v>
      </c>
      <c r="G88" s="57">
        <v>0</v>
      </c>
      <c r="I88" s="170">
        <f>G88</f>
        <v>0</v>
      </c>
      <c r="K88" s="57">
        <f>I88</f>
        <v>0</v>
      </c>
      <c r="L88" s="57"/>
      <c r="M88" s="50"/>
    </row>
    <row r="89" spans="1:13" x14ac:dyDescent="0.2">
      <c r="A89" s="69">
        <f t="shared" si="23"/>
        <v>78</v>
      </c>
      <c r="D89" s="53" t="s">
        <v>5</v>
      </c>
      <c r="E89" s="165"/>
      <c r="F89" s="53"/>
      <c r="G89" s="74">
        <f>SUM(G85:G88)</f>
        <v>728826.14</v>
      </c>
      <c r="H89" s="53"/>
      <c r="I89" s="74">
        <f>SUM(I85:I88)</f>
        <v>787939.21680000005</v>
      </c>
      <c r="J89" s="165"/>
      <c r="K89" s="74">
        <f>SUM(K85:K88)</f>
        <v>787939.21680000005</v>
      </c>
      <c r="L89" s="74">
        <f>K89-I89</f>
        <v>0</v>
      </c>
      <c r="M89" s="75">
        <f>K89-I89</f>
        <v>0</v>
      </c>
    </row>
    <row r="90" spans="1:13" s="63" customFormat="1" ht="26.45" customHeight="1" thickBot="1" x14ac:dyDescent="0.3">
      <c r="A90" s="69">
        <f t="shared" si="23"/>
        <v>79</v>
      </c>
      <c r="C90" s="59"/>
      <c r="D90" s="54" t="s">
        <v>15</v>
      </c>
      <c r="E90" s="166"/>
      <c r="F90" s="54"/>
      <c r="G90" s="76">
        <f>G84+G89</f>
        <v>3712183.9028809997</v>
      </c>
      <c r="H90" s="54"/>
      <c r="I90" s="172">
        <f>I89+I84</f>
        <v>4203470.7656395007</v>
      </c>
      <c r="J90" s="166"/>
      <c r="K90" s="76">
        <f>K89+K84</f>
        <v>4203470.7656395007</v>
      </c>
      <c r="L90" s="76">
        <f>K90-I90</f>
        <v>0</v>
      </c>
      <c r="M90" s="78">
        <f>L90/I90</f>
        <v>0</v>
      </c>
    </row>
    <row r="91" spans="1:13" ht="13.5" thickTop="1" x14ac:dyDescent="0.2">
      <c r="A91" s="69">
        <f t="shared" si="23"/>
        <v>80</v>
      </c>
      <c r="D91" s="41" t="s">
        <v>14</v>
      </c>
      <c r="E91" s="56">
        <f>(E80+E81)/E79</f>
        <v>49591.507382550335</v>
      </c>
      <c r="G91" s="168">
        <f>G90/E79</f>
        <v>4982.7971850751674</v>
      </c>
      <c r="I91" s="168">
        <f>I90/E79</f>
        <v>5642.2426384422824</v>
      </c>
      <c r="K91" s="79">
        <f>K90/E79</f>
        <v>5642.2426384422824</v>
      </c>
      <c r="L91" s="79">
        <f>K91-I91</f>
        <v>0</v>
      </c>
      <c r="M91" s="51">
        <f>L91/I91</f>
        <v>0</v>
      </c>
    </row>
    <row r="92" spans="1:13" ht="13.5" thickBot="1" x14ac:dyDescent="0.25">
      <c r="A92" s="69">
        <f t="shared" si="23"/>
        <v>81</v>
      </c>
    </row>
    <row r="93" spans="1:13" x14ac:dyDescent="0.2">
      <c r="A93" s="69">
        <f t="shared" si="23"/>
        <v>82</v>
      </c>
      <c r="B93" s="49" t="s">
        <v>59</v>
      </c>
      <c r="C93" s="70" t="s">
        <v>37</v>
      </c>
      <c r="D93" s="49"/>
      <c r="E93" s="163"/>
      <c r="F93" s="49"/>
      <c r="G93" s="163"/>
      <c r="H93" s="49"/>
      <c r="I93" s="163"/>
      <c r="J93" s="163"/>
      <c r="K93" s="49"/>
      <c r="L93" s="49"/>
      <c r="M93" s="49"/>
    </row>
    <row r="94" spans="1:13" x14ac:dyDescent="0.2">
      <c r="A94" s="69">
        <f t="shared" si="23"/>
        <v>83</v>
      </c>
      <c r="C94" s="41"/>
      <c r="D94" s="41" t="s">
        <v>88</v>
      </c>
      <c r="E94" s="56">
        <v>356</v>
      </c>
      <c r="F94" s="41">
        <v>115.2</v>
      </c>
      <c r="G94" s="57">
        <f>F94*E94</f>
        <v>41011.200000000004</v>
      </c>
      <c r="H94" s="50">
        <v>115.2</v>
      </c>
      <c r="I94" s="57">
        <f>H94*E94</f>
        <v>41011.200000000004</v>
      </c>
      <c r="J94" s="50">
        <f>H94</f>
        <v>115.2</v>
      </c>
      <c r="K94" s="57">
        <f>J94*E94</f>
        <v>41011.200000000004</v>
      </c>
      <c r="L94" s="57">
        <f>K94-I94</f>
        <v>0</v>
      </c>
      <c r="M94" s="51">
        <f>IF(I94=0,0,L94/I94)</f>
        <v>0</v>
      </c>
    </row>
    <row r="95" spans="1:13" x14ac:dyDescent="0.2">
      <c r="A95" s="69">
        <f t="shared" si="23"/>
        <v>84</v>
      </c>
      <c r="D95" s="41" t="s">
        <v>65</v>
      </c>
      <c r="E95" s="56">
        <v>24727676</v>
      </c>
      <c r="F95" s="71">
        <v>4.7509999999999997E-2</v>
      </c>
      <c r="G95" s="57">
        <f t="shared" ref="G95" si="28">F95*E95</f>
        <v>1174811.8867599999</v>
      </c>
      <c r="H95" s="71">
        <v>5.9319999999999998E-2</v>
      </c>
      <c r="I95" s="57">
        <f>H95*E95</f>
        <v>1466845.7403199999</v>
      </c>
      <c r="J95" s="50">
        <f t="shared" ref="J95:J98" si="29">H95</f>
        <v>5.9319999999999998E-2</v>
      </c>
      <c r="K95" s="57">
        <f>J95*E95</f>
        <v>1466845.7403199999</v>
      </c>
      <c r="L95" s="57">
        <f>K95-I95</f>
        <v>0</v>
      </c>
      <c r="M95" s="51">
        <f>IF(I95=0,0,L95/I95)</f>
        <v>0</v>
      </c>
    </row>
    <row r="96" spans="1:13" x14ac:dyDescent="0.2">
      <c r="A96" s="69">
        <f t="shared" si="23"/>
        <v>85</v>
      </c>
      <c r="D96" s="41" t="s">
        <v>57</v>
      </c>
      <c r="E96" s="56">
        <v>94506913</v>
      </c>
      <c r="F96" s="80">
        <v>4.5134500000000001E-2</v>
      </c>
      <c r="G96" s="57">
        <f t="shared" ref="G96" si="30">F96*E96</f>
        <v>4265522.2647984996</v>
      </c>
      <c r="H96" s="80">
        <f>ROUND(H95*0.95,6)</f>
        <v>5.6354000000000001E-2</v>
      </c>
      <c r="I96" s="57">
        <f>H96*E96</f>
        <v>5325842.5752020003</v>
      </c>
      <c r="J96" s="50">
        <f t="shared" si="29"/>
        <v>5.6354000000000001E-2</v>
      </c>
      <c r="K96" s="57">
        <f>J96*E96</f>
        <v>5325842.5752020003</v>
      </c>
      <c r="L96" s="57">
        <f>K96-I96</f>
        <v>0</v>
      </c>
      <c r="M96" s="51">
        <f>IF(I96=0,0,L96/I96)</f>
        <v>0</v>
      </c>
    </row>
    <row r="97" spans="1:13" x14ac:dyDescent="0.2">
      <c r="A97" s="69">
        <f>A95+1</f>
        <v>85</v>
      </c>
      <c r="D97" s="41" t="s">
        <v>72</v>
      </c>
      <c r="E97" s="56">
        <v>305760.90500000003</v>
      </c>
      <c r="F97" s="50">
        <v>8.64</v>
      </c>
      <c r="G97" s="57">
        <f t="shared" ref="G97" si="31">F97*E97</f>
        <v>2641774.2192000006</v>
      </c>
      <c r="H97" s="50">
        <v>8.64</v>
      </c>
      <c r="I97" s="57">
        <f>H97*E97</f>
        <v>2641774.2192000006</v>
      </c>
      <c r="J97" s="50">
        <f t="shared" ref="J97" si="32">H97</f>
        <v>8.64</v>
      </c>
      <c r="K97" s="57">
        <f>J97*E97</f>
        <v>2641774.2192000006</v>
      </c>
      <c r="L97" s="57">
        <f>K97-I97</f>
        <v>0</v>
      </c>
      <c r="M97" s="51">
        <f>IF(I97=0,0,L97/I97)</f>
        <v>0</v>
      </c>
    </row>
    <row r="98" spans="1:13" x14ac:dyDescent="0.2">
      <c r="A98" s="69">
        <f>A96+1</f>
        <v>86</v>
      </c>
      <c r="D98" s="41" t="s">
        <v>75</v>
      </c>
      <c r="E98" s="56">
        <v>15719.28</v>
      </c>
      <c r="F98" s="50">
        <v>-5.6</v>
      </c>
      <c r="G98" s="57">
        <f>F98*E98</f>
        <v>-88027.967999999993</v>
      </c>
      <c r="H98" s="50">
        <f>F98</f>
        <v>-5.6</v>
      </c>
      <c r="I98" s="57">
        <f>H98*E98</f>
        <v>-88027.967999999993</v>
      </c>
      <c r="J98" s="50">
        <f t="shared" si="29"/>
        <v>-5.6</v>
      </c>
      <c r="K98" s="57">
        <f>J98*E98</f>
        <v>-88027.967999999993</v>
      </c>
      <c r="L98" s="57">
        <f>K98-I98</f>
        <v>0</v>
      </c>
      <c r="M98" s="51">
        <f>IF(I98=0,0,L98/I98)</f>
        <v>0</v>
      </c>
    </row>
    <row r="99" spans="1:13" s="63" customFormat="1" ht="20.45" customHeight="1" x14ac:dyDescent="0.25">
      <c r="A99" s="69">
        <f t="shared" si="23"/>
        <v>87</v>
      </c>
      <c r="C99" s="59"/>
      <c r="D99" s="60" t="s">
        <v>4</v>
      </c>
      <c r="E99" s="164"/>
      <c r="F99" s="60"/>
      <c r="G99" s="10">
        <f>SUM(G94:G98)</f>
        <v>8035091.6027584989</v>
      </c>
      <c r="H99" s="60"/>
      <c r="I99" s="10">
        <f>SUM(I94:I98)</f>
        <v>9387445.7667220011</v>
      </c>
      <c r="J99" s="164"/>
      <c r="K99" s="10">
        <f>SUM(K94:K98)</f>
        <v>9387445.7667220011</v>
      </c>
      <c r="L99" s="10">
        <f>SUM(L94:L98)</f>
        <v>0</v>
      </c>
      <c r="M99" s="72">
        <f>L99/I99</f>
        <v>0</v>
      </c>
    </row>
    <row r="100" spans="1:13" x14ac:dyDescent="0.2">
      <c r="A100" s="69">
        <f t="shared" si="23"/>
        <v>88</v>
      </c>
      <c r="D100" s="41" t="s">
        <v>19</v>
      </c>
      <c r="G100" s="57">
        <v>854239.07000000007</v>
      </c>
      <c r="I100" s="170">
        <f>G100+(0.0016*(E95+E96))</f>
        <v>1045014.4124</v>
      </c>
      <c r="K100" s="57">
        <f>I100</f>
        <v>1045014.4124</v>
      </c>
      <c r="L100" s="57">
        <f>K100-I100</f>
        <v>0</v>
      </c>
      <c r="M100" s="50">
        <v>0</v>
      </c>
    </row>
    <row r="101" spans="1:13" x14ac:dyDescent="0.2">
      <c r="A101" s="69">
        <f t="shared" si="23"/>
        <v>89</v>
      </c>
      <c r="D101" s="41" t="s">
        <v>20</v>
      </c>
      <c r="G101" s="57">
        <v>1270366.49</v>
      </c>
      <c r="I101" s="170">
        <f>G101</f>
        <v>1270366.49</v>
      </c>
      <c r="K101" s="57">
        <f>I101</f>
        <v>1270366.49</v>
      </c>
      <c r="L101" s="57">
        <f>K101-I101</f>
        <v>0</v>
      </c>
      <c r="M101" s="50">
        <v>0</v>
      </c>
    </row>
    <row r="102" spans="1:13" x14ac:dyDescent="0.2">
      <c r="A102" s="69">
        <f t="shared" si="23"/>
        <v>90</v>
      </c>
      <c r="D102" s="41" t="s">
        <v>23</v>
      </c>
      <c r="F102" s="50"/>
      <c r="G102" s="57">
        <f>F102*E102</f>
        <v>0</v>
      </c>
      <c r="I102" s="170">
        <f>G102</f>
        <v>0</v>
      </c>
      <c r="K102" s="57">
        <f>I102</f>
        <v>0</v>
      </c>
      <c r="L102" s="57">
        <f>K102-I102</f>
        <v>0</v>
      </c>
      <c r="M102" s="50">
        <v>0</v>
      </c>
    </row>
    <row r="103" spans="1:13" x14ac:dyDescent="0.2">
      <c r="A103" s="69">
        <f t="shared" si="23"/>
        <v>91</v>
      </c>
      <c r="D103" s="41" t="s">
        <v>54</v>
      </c>
      <c r="G103" s="57">
        <v>0</v>
      </c>
      <c r="I103" s="170">
        <f>G103</f>
        <v>0</v>
      </c>
      <c r="K103" s="57">
        <f>I103</f>
        <v>0</v>
      </c>
      <c r="L103" s="57"/>
      <c r="M103" s="50"/>
    </row>
    <row r="104" spans="1:13" x14ac:dyDescent="0.2">
      <c r="A104" s="69">
        <f t="shared" si="23"/>
        <v>92</v>
      </c>
      <c r="D104" s="53" t="s">
        <v>5</v>
      </c>
      <c r="E104" s="165"/>
      <c r="F104" s="53"/>
      <c r="G104" s="74">
        <f>SUM(G100:G103)</f>
        <v>2124605.56</v>
      </c>
      <c r="H104" s="53"/>
      <c r="I104" s="74">
        <f>SUM(I100:I103)</f>
        <v>2315380.9024</v>
      </c>
      <c r="J104" s="165"/>
      <c r="K104" s="74">
        <f>SUM(K100:K103)</f>
        <v>2315380.9024</v>
      </c>
      <c r="L104" s="74">
        <f>K104-I104</f>
        <v>0</v>
      </c>
      <c r="M104" s="75">
        <f>K104-I104</f>
        <v>0</v>
      </c>
    </row>
    <row r="105" spans="1:13" s="63" customFormat="1" ht="26.45" customHeight="1" thickBot="1" x14ac:dyDescent="0.3">
      <c r="A105" s="69">
        <f t="shared" si="23"/>
        <v>93</v>
      </c>
      <c r="C105" s="59"/>
      <c r="D105" s="54" t="s">
        <v>15</v>
      </c>
      <c r="E105" s="166"/>
      <c r="F105" s="54"/>
      <c r="G105" s="76">
        <f>G99+G104</f>
        <v>10159697.162758499</v>
      </c>
      <c r="H105" s="54"/>
      <c r="I105" s="172">
        <f>I104+I99</f>
        <v>11702826.669122001</v>
      </c>
      <c r="J105" s="166"/>
      <c r="K105" s="76">
        <f>K104+K99</f>
        <v>11702826.669122001</v>
      </c>
      <c r="L105" s="76">
        <f>K105-I105</f>
        <v>0</v>
      </c>
      <c r="M105" s="78">
        <f>L105/I105</f>
        <v>0</v>
      </c>
    </row>
    <row r="106" spans="1:13" ht="13.5" thickTop="1" x14ac:dyDescent="0.2">
      <c r="A106" s="69">
        <f t="shared" si="23"/>
        <v>94</v>
      </c>
      <c r="D106" s="41" t="s">
        <v>14</v>
      </c>
      <c r="E106" s="56">
        <f>(E95+E96)/E94</f>
        <v>334928.62078651687</v>
      </c>
      <c r="G106" s="168">
        <f>G105/E94</f>
        <v>28538.47517628792</v>
      </c>
      <c r="I106" s="168">
        <f>I105/E94</f>
        <v>32873.108621129213</v>
      </c>
      <c r="K106" s="79">
        <f>K105/E94</f>
        <v>32873.108621129213</v>
      </c>
      <c r="L106" s="79">
        <f>K106-I106</f>
        <v>0</v>
      </c>
      <c r="M106" s="51">
        <f>L106/I106</f>
        <v>0</v>
      </c>
    </row>
    <row r="107" spans="1:13" ht="13.5" thickBot="1" x14ac:dyDescent="0.25">
      <c r="A107" s="69">
        <f t="shared" si="23"/>
        <v>95</v>
      </c>
    </row>
    <row r="108" spans="1:13" x14ac:dyDescent="0.2">
      <c r="A108" s="69">
        <f t="shared" si="23"/>
        <v>96</v>
      </c>
      <c r="B108" s="49" t="s">
        <v>61</v>
      </c>
      <c r="C108" s="70" t="s">
        <v>39</v>
      </c>
      <c r="D108" s="49"/>
      <c r="E108" s="163"/>
      <c r="F108" s="49"/>
      <c r="G108" s="163"/>
      <c r="H108" s="49"/>
      <c r="I108" s="163"/>
      <c r="J108" s="163"/>
      <c r="K108" s="49"/>
      <c r="L108" s="49"/>
      <c r="M108" s="49"/>
    </row>
    <row r="109" spans="1:13" x14ac:dyDescent="0.2">
      <c r="A109" s="69">
        <f t="shared" si="23"/>
        <v>97</v>
      </c>
      <c r="C109" s="41"/>
      <c r="D109" s="41" t="s">
        <v>88</v>
      </c>
      <c r="E109" s="56">
        <v>36</v>
      </c>
      <c r="F109" s="41">
        <v>1150.8599999999999</v>
      </c>
      <c r="G109" s="57">
        <f>F109*E109</f>
        <v>41430.959999999999</v>
      </c>
      <c r="H109" s="50">
        <v>1150.8599999999999</v>
      </c>
      <c r="I109" s="57">
        <f>H109*E109</f>
        <v>41430.959999999999</v>
      </c>
      <c r="J109" s="50">
        <f>H109</f>
        <v>1150.8599999999999</v>
      </c>
      <c r="K109" s="57">
        <f>J109*E109</f>
        <v>41430.959999999999</v>
      </c>
      <c r="L109" s="57">
        <f>K109-I109</f>
        <v>0</v>
      </c>
      <c r="M109" s="51">
        <f>IF(I109=0,0,L109/I109)</f>
        <v>0</v>
      </c>
    </row>
    <row r="110" spans="1:13" x14ac:dyDescent="0.2">
      <c r="A110" s="69">
        <f t="shared" si="23"/>
        <v>98</v>
      </c>
      <c r="D110" s="41" t="s">
        <v>65</v>
      </c>
      <c r="E110" s="56">
        <v>69502841</v>
      </c>
      <c r="F110" s="71">
        <v>4.5650000000000003E-2</v>
      </c>
      <c r="G110" s="57">
        <f t="shared" ref="G110:G112" si="33">F110*E110</f>
        <v>3172804.6916500004</v>
      </c>
      <c r="H110" s="71">
        <v>5.6869999999999997E-2</v>
      </c>
      <c r="I110" s="57">
        <f>H110*E110</f>
        <v>3952626.5676699998</v>
      </c>
      <c r="J110" s="50">
        <f t="shared" ref="J110:J112" si="34">H110</f>
        <v>5.6869999999999997E-2</v>
      </c>
      <c r="K110" s="57">
        <f>J110*E110</f>
        <v>3952626.5676699998</v>
      </c>
      <c r="L110" s="57">
        <f>K110-I110</f>
        <v>0</v>
      </c>
      <c r="M110" s="51">
        <f>IF(I110=0,0,L110/I110)</f>
        <v>0</v>
      </c>
    </row>
    <row r="111" spans="1:13" x14ac:dyDescent="0.2">
      <c r="A111" s="69">
        <f t="shared" si="23"/>
        <v>99</v>
      </c>
      <c r="C111" s="176"/>
      <c r="D111" s="41" t="s">
        <v>73</v>
      </c>
      <c r="E111" s="56">
        <v>78300</v>
      </c>
      <c r="F111" s="50">
        <v>7.42</v>
      </c>
      <c r="G111" s="57">
        <f t="shared" ref="G111" si="35">F111*E111</f>
        <v>580986</v>
      </c>
      <c r="H111" s="50">
        <v>7.42</v>
      </c>
      <c r="I111" s="57">
        <f>H111*E111</f>
        <v>580986</v>
      </c>
      <c r="J111" s="50">
        <f t="shared" si="34"/>
        <v>7.42</v>
      </c>
      <c r="K111" s="57">
        <f>J111*E111</f>
        <v>580986</v>
      </c>
      <c r="L111" s="57">
        <f>K111-I111</f>
        <v>0</v>
      </c>
      <c r="M111" s="51">
        <f>IF(I111=0,0,L111/I111)</f>
        <v>0</v>
      </c>
    </row>
    <row r="112" spans="1:13" x14ac:dyDescent="0.2">
      <c r="A112" s="69">
        <f t="shared" si="23"/>
        <v>100</v>
      </c>
      <c r="D112" s="41" t="s">
        <v>74</v>
      </c>
      <c r="E112" s="56">
        <v>66012.39</v>
      </c>
      <c r="F112" s="50">
        <v>10.33</v>
      </c>
      <c r="G112" s="57">
        <f t="shared" si="33"/>
        <v>681907.98869999999</v>
      </c>
      <c r="H112" s="50">
        <v>10.33</v>
      </c>
      <c r="I112" s="57">
        <f>H112*E112</f>
        <v>681907.98869999999</v>
      </c>
      <c r="J112" s="50">
        <f t="shared" si="34"/>
        <v>10.33</v>
      </c>
      <c r="K112" s="57">
        <f>J112*E112</f>
        <v>681907.98869999999</v>
      </c>
      <c r="L112" s="57">
        <f>K112-I112</f>
        <v>0</v>
      </c>
      <c r="M112" s="51">
        <f>IF(I112=0,0,L112/I112)</f>
        <v>0</v>
      </c>
    </row>
    <row r="113" spans="1:13" s="63" customFormat="1" ht="20.45" customHeight="1" x14ac:dyDescent="0.25">
      <c r="A113" s="69">
        <f t="shared" si="23"/>
        <v>101</v>
      </c>
      <c r="C113" s="59"/>
      <c r="D113" s="60" t="s">
        <v>4</v>
      </c>
      <c r="E113" s="164"/>
      <c r="F113" s="60"/>
      <c r="G113" s="10">
        <f>SUM(G109:G112)</f>
        <v>4477129.64035</v>
      </c>
      <c r="H113" s="60"/>
      <c r="I113" s="10">
        <f>SUM(I109:I112)</f>
        <v>5256951.5163699994</v>
      </c>
      <c r="J113" s="164"/>
      <c r="K113" s="10">
        <f>SUM(K109:K112)</f>
        <v>5256951.5163699994</v>
      </c>
      <c r="L113" s="10">
        <f>SUM(L109:L112)</f>
        <v>0</v>
      </c>
      <c r="M113" s="72">
        <f>IF(I113=0,0,L113/I113)</f>
        <v>0</v>
      </c>
    </row>
    <row r="114" spans="1:13" x14ac:dyDescent="0.2">
      <c r="A114" s="69">
        <f t="shared" si="23"/>
        <v>102</v>
      </c>
      <c r="D114" s="41" t="s">
        <v>19</v>
      </c>
      <c r="G114" s="57">
        <v>434890.29</v>
      </c>
      <c r="I114" s="170">
        <f>G114+(0.0016*E110)</f>
        <v>546094.83559999999</v>
      </c>
      <c r="K114" s="57">
        <f>I114</f>
        <v>546094.83559999999</v>
      </c>
      <c r="L114" s="57">
        <f>K114-I114</f>
        <v>0</v>
      </c>
      <c r="M114" s="50">
        <v>0</v>
      </c>
    </row>
    <row r="115" spans="1:13" x14ac:dyDescent="0.2">
      <c r="A115" s="69">
        <f t="shared" si="23"/>
        <v>103</v>
      </c>
      <c r="D115" s="41" t="s">
        <v>20</v>
      </c>
      <c r="G115" s="57">
        <v>633088.17999999993</v>
      </c>
      <c r="I115" s="170">
        <f>G115</f>
        <v>633088.17999999993</v>
      </c>
      <c r="K115" s="57">
        <f>I115</f>
        <v>633088.17999999993</v>
      </c>
      <c r="L115" s="57">
        <f>K115-I115</f>
        <v>0</v>
      </c>
      <c r="M115" s="50">
        <v>0</v>
      </c>
    </row>
    <row r="116" spans="1:13" x14ac:dyDescent="0.2">
      <c r="A116" s="69">
        <f t="shared" si="23"/>
        <v>104</v>
      </c>
      <c r="D116" s="41" t="s">
        <v>23</v>
      </c>
      <c r="G116" s="57">
        <v>0</v>
      </c>
      <c r="I116" s="170">
        <f>G116</f>
        <v>0</v>
      </c>
      <c r="K116" s="57">
        <f>I116</f>
        <v>0</v>
      </c>
      <c r="L116" s="57">
        <f>K116-I116</f>
        <v>0</v>
      </c>
      <c r="M116" s="50">
        <v>0</v>
      </c>
    </row>
    <row r="117" spans="1:13" x14ac:dyDescent="0.2">
      <c r="A117" s="69">
        <f t="shared" si="23"/>
        <v>105</v>
      </c>
      <c r="D117" s="41" t="s">
        <v>54</v>
      </c>
      <c r="G117" s="57">
        <v>0</v>
      </c>
      <c r="I117" s="170">
        <f>G117</f>
        <v>0</v>
      </c>
      <c r="K117" s="57">
        <f>I117</f>
        <v>0</v>
      </c>
      <c r="L117" s="57"/>
      <c r="M117" s="50"/>
    </row>
    <row r="118" spans="1:13" x14ac:dyDescent="0.2">
      <c r="A118" s="69">
        <f t="shared" si="23"/>
        <v>106</v>
      </c>
      <c r="D118" s="53" t="s">
        <v>5</v>
      </c>
      <c r="E118" s="165"/>
      <c r="F118" s="53"/>
      <c r="G118" s="74">
        <f>SUM(G114:G117)</f>
        <v>1067978.47</v>
      </c>
      <c r="H118" s="53"/>
      <c r="I118" s="74">
        <f>SUM(I114:I117)</f>
        <v>1179183.0156</v>
      </c>
      <c r="J118" s="165"/>
      <c r="K118" s="74">
        <f>SUM(K114:K117)</f>
        <v>1179183.0156</v>
      </c>
      <c r="L118" s="74">
        <f>K118-I118</f>
        <v>0</v>
      </c>
      <c r="M118" s="75">
        <f>K118-I118</f>
        <v>0</v>
      </c>
    </row>
    <row r="119" spans="1:13" s="63" customFormat="1" ht="26.45" customHeight="1" thickBot="1" x14ac:dyDescent="0.3">
      <c r="A119" s="69">
        <f t="shared" si="23"/>
        <v>107</v>
      </c>
      <c r="C119" s="59"/>
      <c r="D119" s="54" t="s">
        <v>15</v>
      </c>
      <c r="E119" s="166"/>
      <c r="F119" s="54"/>
      <c r="G119" s="76">
        <f>G113+G118</f>
        <v>5545108.1103499997</v>
      </c>
      <c r="H119" s="54"/>
      <c r="I119" s="172">
        <f>I118+I113</f>
        <v>6436134.5319699999</v>
      </c>
      <c r="J119" s="166"/>
      <c r="K119" s="76">
        <f>K118+K113</f>
        <v>6436134.5319699999</v>
      </c>
      <c r="L119" s="76">
        <f>K119-I119</f>
        <v>0</v>
      </c>
      <c r="M119" s="78">
        <f>IF(I119=0,0,L119/I119)</f>
        <v>0</v>
      </c>
    </row>
    <row r="120" spans="1:13" ht="13.5" thickTop="1" x14ac:dyDescent="0.2">
      <c r="A120" s="69">
        <f t="shared" si="23"/>
        <v>108</v>
      </c>
      <c r="D120" s="41" t="s">
        <v>14</v>
      </c>
      <c r="E120" s="56">
        <f>(E110)/E109</f>
        <v>1930634.4722222222</v>
      </c>
      <c r="G120" s="168">
        <f>G119/E109</f>
        <v>154030.78084305555</v>
      </c>
      <c r="I120" s="168">
        <f>I119/E109</f>
        <v>178781.51477694444</v>
      </c>
      <c r="K120" s="79">
        <f>K119/E109</f>
        <v>178781.51477694444</v>
      </c>
      <c r="L120" s="79">
        <f>K120-I120</f>
        <v>0</v>
      </c>
      <c r="M120" s="51">
        <f>L120/I120</f>
        <v>0</v>
      </c>
    </row>
    <row r="121" spans="1:13" ht="13.5" thickBot="1" x14ac:dyDescent="0.25">
      <c r="A121" s="69">
        <f t="shared" si="23"/>
        <v>109</v>
      </c>
    </row>
    <row r="122" spans="1:13" x14ac:dyDescent="0.2">
      <c r="A122" s="69">
        <f t="shared" si="23"/>
        <v>110</v>
      </c>
      <c r="B122" s="49" t="s">
        <v>40</v>
      </c>
      <c r="C122" s="70" t="s">
        <v>38</v>
      </c>
      <c r="D122" s="49"/>
      <c r="E122" s="163"/>
      <c r="F122" s="49"/>
      <c r="G122" s="163"/>
      <c r="H122" s="49"/>
      <c r="I122" s="163"/>
      <c r="J122" s="163"/>
      <c r="K122" s="49"/>
      <c r="L122" s="49"/>
      <c r="M122" s="49"/>
    </row>
    <row r="123" spans="1:13" x14ac:dyDescent="0.2">
      <c r="A123" s="69">
        <f t="shared" si="23"/>
        <v>111</v>
      </c>
      <c r="C123" s="41"/>
      <c r="D123" s="41" t="s">
        <v>88</v>
      </c>
      <c r="E123" s="56">
        <v>36</v>
      </c>
      <c r="F123" s="41">
        <v>2301.71</v>
      </c>
      <c r="G123" s="57">
        <f>F123*E123</f>
        <v>82861.56</v>
      </c>
      <c r="H123" s="50">
        <v>2301.71</v>
      </c>
      <c r="I123" s="57">
        <f>H123*E123</f>
        <v>82861.56</v>
      </c>
      <c r="J123" s="50">
        <f>H123</f>
        <v>2301.71</v>
      </c>
      <c r="K123" s="57">
        <f>J123*E123</f>
        <v>82861.56</v>
      </c>
      <c r="L123" s="57">
        <f>K123-I123</f>
        <v>0</v>
      </c>
      <c r="M123" s="51">
        <f>IF(I123=0,0,L123/I123)</f>
        <v>0</v>
      </c>
    </row>
    <row r="124" spans="1:13" x14ac:dyDescent="0.2">
      <c r="A124" s="69">
        <f t="shared" si="23"/>
        <v>112</v>
      </c>
      <c r="C124" s="176"/>
      <c r="D124" s="41" t="s">
        <v>73</v>
      </c>
      <c r="E124" s="56">
        <v>253600</v>
      </c>
      <c r="F124" s="50">
        <v>7.42</v>
      </c>
      <c r="G124" s="57">
        <f t="shared" ref="G124" si="36">F124*E124</f>
        <v>1881712</v>
      </c>
      <c r="H124" s="50">
        <v>7.42</v>
      </c>
      <c r="I124" s="57">
        <f>H124*E124</f>
        <v>1881712</v>
      </c>
      <c r="J124" s="50">
        <f t="shared" ref="J124:J127" si="37">H124</f>
        <v>7.42</v>
      </c>
      <c r="K124" s="57">
        <f>J124*E124</f>
        <v>1881712</v>
      </c>
      <c r="L124" s="57">
        <f>K124-I124</f>
        <v>0</v>
      </c>
      <c r="M124" s="51">
        <f>IF(I124=0,0,L124/I124)</f>
        <v>0</v>
      </c>
    </row>
    <row r="125" spans="1:13" x14ac:dyDescent="0.2">
      <c r="A125" s="69">
        <f t="shared" si="23"/>
        <v>113</v>
      </c>
      <c r="B125" s="50"/>
      <c r="D125" s="41" t="s">
        <v>74</v>
      </c>
      <c r="E125" s="56">
        <v>17325.660000000003</v>
      </c>
      <c r="F125" s="50">
        <v>10.33</v>
      </c>
      <c r="G125" s="57">
        <f t="shared" ref="G125" si="38">F125*E125</f>
        <v>178974.06780000005</v>
      </c>
      <c r="H125" s="50">
        <v>10.33</v>
      </c>
      <c r="I125" s="57">
        <f>H125*E125</f>
        <v>178974.06780000005</v>
      </c>
      <c r="J125" s="50">
        <f t="shared" si="37"/>
        <v>10.33</v>
      </c>
      <c r="K125" s="57">
        <f>J125*E125</f>
        <v>178974.06780000005</v>
      </c>
      <c r="L125" s="57">
        <f>K125-I125</f>
        <v>0</v>
      </c>
      <c r="M125" s="51">
        <f>IF(I125=0,0,L125/I125)</f>
        <v>0</v>
      </c>
    </row>
    <row r="126" spans="1:13" x14ac:dyDescent="0.2">
      <c r="A126" s="69">
        <f t="shared" si="23"/>
        <v>114</v>
      </c>
      <c r="B126" s="50"/>
      <c r="D126" s="41" t="s">
        <v>75</v>
      </c>
      <c r="E126" s="56">
        <v>0</v>
      </c>
      <c r="F126" s="50">
        <v>-5.6</v>
      </c>
      <c r="G126" s="57">
        <f t="shared" ref="G126" si="39">F126*E126</f>
        <v>0</v>
      </c>
      <c r="H126" s="50">
        <v>-5.6</v>
      </c>
      <c r="I126" s="57">
        <f>H126*E126</f>
        <v>0</v>
      </c>
      <c r="J126" s="50">
        <f t="shared" si="37"/>
        <v>-5.6</v>
      </c>
      <c r="K126" s="57">
        <f>J126*E126</f>
        <v>0</v>
      </c>
      <c r="L126" s="57">
        <f>K126-I126</f>
        <v>0</v>
      </c>
      <c r="M126" s="51">
        <f>IF(I126=0,0,L126/I126)</f>
        <v>0</v>
      </c>
    </row>
    <row r="127" spans="1:13" x14ac:dyDescent="0.2">
      <c r="A127" s="69">
        <f t="shared" si="23"/>
        <v>115</v>
      </c>
      <c r="B127" s="73"/>
      <c r="D127" s="41" t="s">
        <v>65</v>
      </c>
      <c r="E127" s="56">
        <v>139574198</v>
      </c>
      <c r="F127" s="71">
        <v>4.2410000000000003E-2</v>
      </c>
      <c r="G127" s="57">
        <f t="shared" ref="G127" si="40">F127*E127</f>
        <v>5919341.7371800002</v>
      </c>
      <c r="H127" s="71">
        <v>5.4219999999999997E-2</v>
      </c>
      <c r="I127" s="57">
        <f>H127*E127</f>
        <v>7567713.0155599993</v>
      </c>
      <c r="J127" s="50">
        <f t="shared" si="37"/>
        <v>5.4219999999999997E-2</v>
      </c>
      <c r="K127" s="57">
        <f>J127*E127</f>
        <v>7567713.0155599993</v>
      </c>
      <c r="L127" s="57">
        <f>K127-I127</f>
        <v>0</v>
      </c>
      <c r="M127" s="51">
        <f>IF(I127=0,0,L127/I127)</f>
        <v>0</v>
      </c>
    </row>
    <row r="128" spans="1:13" s="63" customFormat="1" ht="20.45" customHeight="1" x14ac:dyDescent="0.25">
      <c r="A128" s="69">
        <f t="shared" si="23"/>
        <v>116</v>
      </c>
      <c r="C128" s="59"/>
      <c r="D128" s="60" t="s">
        <v>4</v>
      </c>
      <c r="E128" s="164"/>
      <c r="F128" s="60"/>
      <c r="G128" s="10">
        <f>SUM(G123:G127)</f>
        <v>8062889.3649800001</v>
      </c>
      <c r="H128" s="60"/>
      <c r="I128" s="10">
        <f>SUM(I123:I127)</f>
        <v>9711260.6433600001</v>
      </c>
      <c r="J128" s="164"/>
      <c r="K128" s="10">
        <f>SUM(K123:K127)</f>
        <v>9711260.6433600001</v>
      </c>
      <c r="L128" s="10">
        <f>SUM(L123:L127)</f>
        <v>0</v>
      </c>
      <c r="M128" s="72">
        <f>L128/I128</f>
        <v>0</v>
      </c>
    </row>
    <row r="129" spans="1:13" x14ac:dyDescent="0.2">
      <c r="A129" s="69">
        <f t="shared" si="23"/>
        <v>117</v>
      </c>
      <c r="D129" s="41" t="s">
        <v>19</v>
      </c>
      <c r="G129" s="57">
        <v>1018913.5000000001</v>
      </c>
      <c r="I129" s="170">
        <f>G129+(0.0016*E127)</f>
        <v>1242232.2168000001</v>
      </c>
      <c r="K129" s="57">
        <f>I129</f>
        <v>1242232.2168000001</v>
      </c>
      <c r="L129" s="57">
        <f>K129-I129</f>
        <v>0</v>
      </c>
      <c r="M129" s="50">
        <v>0</v>
      </c>
    </row>
    <row r="130" spans="1:13" x14ac:dyDescent="0.2">
      <c r="A130" s="69">
        <f t="shared" si="23"/>
        <v>118</v>
      </c>
      <c r="D130" s="41" t="s">
        <v>20</v>
      </c>
      <c r="G130" s="57">
        <v>1288365.29</v>
      </c>
      <c r="I130" s="170">
        <f>G130</f>
        <v>1288365.29</v>
      </c>
      <c r="K130" s="57">
        <f>I130</f>
        <v>1288365.29</v>
      </c>
      <c r="L130" s="57">
        <f>K130-I130</f>
        <v>0</v>
      </c>
      <c r="M130" s="50">
        <v>0</v>
      </c>
    </row>
    <row r="131" spans="1:13" x14ac:dyDescent="0.2">
      <c r="A131" s="69">
        <f t="shared" si="23"/>
        <v>119</v>
      </c>
      <c r="D131" s="41" t="s">
        <v>23</v>
      </c>
      <c r="G131" s="57">
        <v>0</v>
      </c>
      <c r="I131" s="170">
        <f>G131</f>
        <v>0</v>
      </c>
      <c r="K131" s="57">
        <f>I131</f>
        <v>0</v>
      </c>
      <c r="L131" s="57">
        <f>K131-I131</f>
        <v>0</v>
      </c>
      <c r="M131" s="50">
        <v>0</v>
      </c>
    </row>
    <row r="132" spans="1:13" x14ac:dyDescent="0.2">
      <c r="A132" s="69">
        <f t="shared" si="23"/>
        <v>120</v>
      </c>
      <c r="D132" s="41" t="s">
        <v>54</v>
      </c>
      <c r="G132" s="57">
        <v>0</v>
      </c>
      <c r="I132" s="170">
        <f>G132</f>
        <v>0</v>
      </c>
      <c r="K132" s="57">
        <f>I132</f>
        <v>0</v>
      </c>
      <c r="L132" s="57"/>
      <c r="M132" s="50"/>
    </row>
    <row r="133" spans="1:13" x14ac:dyDescent="0.2">
      <c r="A133" s="69">
        <f t="shared" si="23"/>
        <v>121</v>
      </c>
      <c r="D133" s="53" t="s">
        <v>5</v>
      </c>
      <c r="E133" s="165"/>
      <c r="F133" s="53"/>
      <c r="G133" s="74">
        <f>SUM(G129:G132)</f>
        <v>2307278.79</v>
      </c>
      <c r="H133" s="53"/>
      <c r="I133" s="74">
        <f>SUM(I129:I132)</f>
        <v>2530597.5068000001</v>
      </c>
      <c r="J133" s="165"/>
      <c r="K133" s="74">
        <f>SUM(K129:K132)</f>
        <v>2530597.5068000001</v>
      </c>
      <c r="L133" s="74">
        <f>K133-I133</f>
        <v>0</v>
      </c>
      <c r="M133" s="75">
        <f>K133-I133</f>
        <v>0</v>
      </c>
    </row>
    <row r="134" spans="1:13" s="63" customFormat="1" ht="26.45" customHeight="1" thickBot="1" x14ac:dyDescent="0.3">
      <c r="A134" s="69">
        <f t="shared" si="23"/>
        <v>122</v>
      </c>
      <c r="C134" s="59"/>
      <c r="D134" s="54" t="s">
        <v>15</v>
      </c>
      <c r="E134" s="166"/>
      <c r="F134" s="54"/>
      <c r="G134" s="76">
        <f>G128+G133</f>
        <v>10370168.15498</v>
      </c>
      <c r="H134" s="54"/>
      <c r="I134" s="172">
        <f>I133+I128</f>
        <v>12241858.15016</v>
      </c>
      <c r="J134" s="166"/>
      <c r="K134" s="76">
        <f>K133+K128</f>
        <v>12241858.15016</v>
      </c>
      <c r="L134" s="76">
        <f>K134-I134</f>
        <v>0</v>
      </c>
      <c r="M134" s="78">
        <f>L134/I134</f>
        <v>0</v>
      </c>
    </row>
    <row r="135" spans="1:13" ht="13.5" thickTop="1" x14ac:dyDescent="0.2">
      <c r="A135" s="69">
        <f t="shared" si="23"/>
        <v>123</v>
      </c>
      <c r="D135" s="41" t="s">
        <v>14</v>
      </c>
      <c r="E135" s="56">
        <f>E127/E123</f>
        <v>3877061.0555555555</v>
      </c>
      <c r="G135" s="168">
        <f>G134/E123</f>
        <v>288060.2265272222</v>
      </c>
      <c r="I135" s="168">
        <f>I134/E123</f>
        <v>340051.61528222222</v>
      </c>
      <c r="K135" s="79">
        <f>K134/E123</f>
        <v>340051.61528222222</v>
      </c>
      <c r="L135" s="79">
        <f>K135-I135</f>
        <v>0</v>
      </c>
      <c r="M135" s="51">
        <f>L135/I135</f>
        <v>0</v>
      </c>
    </row>
    <row r="136" spans="1:13" ht="13.5" thickBot="1" x14ac:dyDescent="0.25">
      <c r="A136" s="69">
        <f t="shared" si="23"/>
        <v>124</v>
      </c>
    </row>
    <row r="137" spans="1:13" x14ac:dyDescent="0.2">
      <c r="A137" s="69">
        <f t="shared" si="23"/>
        <v>125</v>
      </c>
      <c r="B137" s="49" t="s">
        <v>60</v>
      </c>
      <c r="C137" s="70" t="s">
        <v>93</v>
      </c>
      <c r="D137" s="49"/>
      <c r="E137" s="163"/>
      <c r="F137" s="49"/>
      <c r="G137" s="163"/>
      <c r="H137" s="49"/>
      <c r="I137" s="163"/>
      <c r="J137" s="163"/>
      <c r="K137" s="49"/>
      <c r="L137" s="49"/>
      <c r="M137" s="49"/>
    </row>
    <row r="138" spans="1:13" x14ac:dyDescent="0.2">
      <c r="A138" s="69">
        <f t="shared" si="23"/>
        <v>126</v>
      </c>
      <c r="C138" s="41"/>
      <c r="D138" s="41" t="s">
        <v>88</v>
      </c>
      <c r="E138" s="56">
        <v>12</v>
      </c>
      <c r="F138" s="50">
        <v>5726.7</v>
      </c>
      <c r="G138" s="57">
        <f>F138*E138</f>
        <v>68720.399999999994</v>
      </c>
      <c r="H138" s="50">
        <v>5726.7</v>
      </c>
      <c r="I138" s="57">
        <f>H138*E138</f>
        <v>68720.399999999994</v>
      </c>
      <c r="J138" s="50">
        <f>5575.5+151.2</f>
        <v>5726.7</v>
      </c>
      <c r="K138" s="57">
        <f>J138*E138</f>
        <v>68720.399999999994</v>
      </c>
      <c r="L138" s="57">
        <f>K138-I138</f>
        <v>0</v>
      </c>
      <c r="M138" s="51">
        <f>IF(I138=0,0,L138/I138)</f>
        <v>0</v>
      </c>
    </row>
    <row r="139" spans="1:13" x14ac:dyDescent="0.2">
      <c r="A139" s="69">
        <f t="shared" si="23"/>
        <v>127</v>
      </c>
      <c r="D139" s="41" t="s">
        <v>72</v>
      </c>
      <c r="E139" s="56">
        <v>190874.87999999998</v>
      </c>
      <c r="F139" s="50">
        <v>7.3</v>
      </c>
      <c r="G139" s="57">
        <f t="shared" ref="G139:G141" si="41">F139*E139</f>
        <v>1393386.6239999998</v>
      </c>
      <c r="H139" s="50">
        <v>7.3</v>
      </c>
      <c r="I139" s="57">
        <f>H139*E139</f>
        <v>1393386.6239999998</v>
      </c>
      <c r="J139" s="50">
        <v>7.3</v>
      </c>
      <c r="K139" s="57">
        <f>J139*E139</f>
        <v>1393386.6239999998</v>
      </c>
      <c r="L139" s="57">
        <f>K139-I139</f>
        <v>0</v>
      </c>
      <c r="M139" s="51">
        <f>IF(I139=0,0,L139/I139)</f>
        <v>0</v>
      </c>
    </row>
    <row r="140" spans="1:13" x14ac:dyDescent="0.2">
      <c r="A140" s="69">
        <f t="shared" si="23"/>
        <v>128</v>
      </c>
      <c r="B140" s="82"/>
      <c r="D140" s="41" t="s">
        <v>75</v>
      </c>
      <c r="E140" s="56">
        <v>100874.87999999998</v>
      </c>
      <c r="F140" s="50">
        <v>-5.6</v>
      </c>
      <c r="G140" s="57">
        <f t="shared" si="41"/>
        <v>-564899.32799999986</v>
      </c>
      <c r="H140" s="50">
        <v>-5.6</v>
      </c>
      <c r="I140" s="57">
        <f>H140*E140</f>
        <v>-564899.32799999986</v>
      </c>
      <c r="J140" s="50">
        <f>H140</f>
        <v>-5.6</v>
      </c>
      <c r="K140" s="57">
        <f>J140*E140</f>
        <v>-564899.32799999986</v>
      </c>
      <c r="L140" s="57">
        <f>K140-I140</f>
        <v>0</v>
      </c>
      <c r="M140" s="51">
        <f>IF(I140=0,0,L140/I140)</f>
        <v>0</v>
      </c>
    </row>
    <row r="141" spans="1:13" x14ac:dyDescent="0.2">
      <c r="A141" s="69">
        <f t="shared" si="23"/>
        <v>129</v>
      </c>
      <c r="D141" s="41" t="s">
        <v>65</v>
      </c>
      <c r="E141" s="56">
        <v>94772820</v>
      </c>
      <c r="F141" s="80">
        <v>4.0210000000000003E-2</v>
      </c>
      <c r="G141" s="57">
        <f t="shared" si="41"/>
        <v>3810815.0922000003</v>
      </c>
      <c r="H141" s="71">
        <v>5.1459999999999999E-2</v>
      </c>
      <c r="I141" s="57">
        <f>H141*E141</f>
        <v>4877009.3171999995</v>
      </c>
      <c r="J141" s="175">
        <f>H141</f>
        <v>5.1459999999999999E-2</v>
      </c>
      <c r="K141" s="57">
        <f>J141*E141</f>
        <v>4877009.3171999995</v>
      </c>
      <c r="L141" s="57">
        <f>K141-I141</f>
        <v>0</v>
      </c>
      <c r="M141" s="51">
        <f>IF(I141=0,0,L141/I141)</f>
        <v>0</v>
      </c>
    </row>
    <row r="142" spans="1:13" s="63" customFormat="1" ht="20.45" customHeight="1" x14ac:dyDescent="0.25">
      <c r="A142" s="69">
        <f t="shared" si="23"/>
        <v>130</v>
      </c>
      <c r="C142" s="59"/>
      <c r="D142" s="60" t="s">
        <v>4</v>
      </c>
      <c r="E142" s="164"/>
      <c r="F142" s="60"/>
      <c r="G142" s="10">
        <f>SUM(G138:G141)</f>
        <v>4708022.7882000003</v>
      </c>
      <c r="H142" s="60"/>
      <c r="I142" s="10">
        <f>SUM(I138:I141)</f>
        <v>5774217.013199999</v>
      </c>
      <c r="J142" s="164"/>
      <c r="K142" s="10">
        <f>SUM(K138:K141)</f>
        <v>5774217.013199999</v>
      </c>
      <c r="L142" s="10">
        <f>SUM(L138:L141)</f>
        <v>0</v>
      </c>
      <c r="M142" s="72">
        <f>L142/I142</f>
        <v>0</v>
      </c>
    </row>
    <row r="143" spans="1:13" x14ac:dyDescent="0.2">
      <c r="A143" s="69">
        <f t="shared" si="23"/>
        <v>131</v>
      </c>
      <c r="D143" s="41" t="s">
        <v>19</v>
      </c>
      <c r="G143" s="57">
        <v>558275.49</v>
      </c>
      <c r="I143" s="170">
        <f>G143+(0.0016*E141)</f>
        <v>709912.00199999998</v>
      </c>
      <c r="K143" s="57">
        <f>I143</f>
        <v>709912.00199999998</v>
      </c>
      <c r="L143" s="57">
        <f>K143-I143</f>
        <v>0</v>
      </c>
      <c r="M143" s="50">
        <v>0</v>
      </c>
    </row>
    <row r="144" spans="1:13" x14ac:dyDescent="0.2">
      <c r="A144" s="69">
        <f t="shared" si="23"/>
        <v>132</v>
      </c>
      <c r="D144" s="41" t="s">
        <v>20</v>
      </c>
      <c r="G144" s="57">
        <v>749139.79</v>
      </c>
      <c r="I144" s="170">
        <f>G144</f>
        <v>749139.79</v>
      </c>
      <c r="K144" s="57">
        <f>I144</f>
        <v>749139.79</v>
      </c>
      <c r="L144" s="57">
        <f>K144-I144</f>
        <v>0</v>
      </c>
      <c r="M144" s="50">
        <v>0</v>
      </c>
    </row>
    <row r="145" spans="1:15" x14ac:dyDescent="0.2">
      <c r="A145" s="69">
        <f t="shared" si="23"/>
        <v>133</v>
      </c>
      <c r="D145" s="41" t="s">
        <v>23</v>
      </c>
      <c r="G145" s="57">
        <v>0</v>
      </c>
      <c r="I145" s="170">
        <f>G145</f>
        <v>0</v>
      </c>
      <c r="K145" s="57">
        <f>I145</f>
        <v>0</v>
      </c>
      <c r="L145" s="57">
        <f>K145-I145</f>
        <v>0</v>
      </c>
      <c r="M145" s="50">
        <v>0</v>
      </c>
    </row>
    <row r="146" spans="1:15" x14ac:dyDescent="0.2">
      <c r="A146" s="69">
        <f t="shared" si="23"/>
        <v>134</v>
      </c>
      <c r="D146" s="41" t="s">
        <v>54</v>
      </c>
      <c r="G146" s="57">
        <v>0</v>
      </c>
      <c r="I146" s="170">
        <f>G146</f>
        <v>0</v>
      </c>
      <c r="K146" s="57">
        <f>I146</f>
        <v>0</v>
      </c>
      <c r="L146" s="57"/>
      <c r="M146" s="50"/>
    </row>
    <row r="147" spans="1:15" x14ac:dyDescent="0.2">
      <c r="A147" s="69">
        <f t="shared" si="23"/>
        <v>135</v>
      </c>
      <c r="D147" s="53" t="s">
        <v>5</v>
      </c>
      <c r="E147" s="165"/>
      <c r="F147" s="53"/>
      <c r="G147" s="74">
        <f>SUM(G143:G146)</f>
        <v>1307415.28</v>
      </c>
      <c r="H147" s="53"/>
      <c r="I147" s="74">
        <f>SUM(I143:I146)</f>
        <v>1459051.7919999999</v>
      </c>
      <c r="J147" s="165"/>
      <c r="K147" s="74">
        <f>SUM(K143:K146)</f>
        <v>1459051.7919999999</v>
      </c>
      <c r="L147" s="74">
        <f>K147-I147</f>
        <v>0</v>
      </c>
      <c r="M147" s="75">
        <f>K147-I147</f>
        <v>0</v>
      </c>
    </row>
    <row r="148" spans="1:15" s="63" customFormat="1" ht="26.45" customHeight="1" thickBot="1" x14ac:dyDescent="0.3">
      <c r="A148" s="69">
        <f t="shared" si="23"/>
        <v>136</v>
      </c>
      <c r="C148" s="59"/>
      <c r="D148" s="54" t="s">
        <v>15</v>
      </c>
      <c r="E148" s="166"/>
      <c r="F148" s="54"/>
      <c r="G148" s="76">
        <f>G142+G147</f>
        <v>6015438.0682000006</v>
      </c>
      <c r="H148" s="54"/>
      <c r="I148" s="172">
        <f>I147+I142</f>
        <v>7233268.8051999994</v>
      </c>
      <c r="J148" s="166"/>
      <c r="K148" s="76">
        <f>K147+K142</f>
        <v>7233268.8051999994</v>
      </c>
      <c r="L148" s="76">
        <f>K148-I148</f>
        <v>0</v>
      </c>
      <c r="M148" s="78">
        <f>L148/I148</f>
        <v>0</v>
      </c>
    </row>
    <row r="149" spans="1:15" ht="13.5" thickTop="1" x14ac:dyDescent="0.2">
      <c r="A149" s="69">
        <f t="shared" si="23"/>
        <v>137</v>
      </c>
      <c r="D149" s="41" t="s">
        <v>14</v>
      </c>
      <c r="E149" s="56">
        <f>E141/E138</f>
        <v>7897735</v>
      </c>
      <c r="G149" s="168">
        <f>G148/E138</f>
        <v>501286.50568333338</v>
      </c>
      <c r="I149" s="168">
        <f>I148/E138</f>
        <v>602772.40043333324</v>
      </c>
      <c r="K149" s="79">
        <f>K148/E138</f>
        <v>602772.40043333324</v>
      </c>
      <c r="L149" s="83">
        <f>L148/E138</f>
        <v>0</v>
      </c>
      <c r="M149" s="51">
        <f>M148</f>
        <v>0</v>
      </c>
    </row>
    <row r="150" spans="1:15" x14ac:dyDescent="0.2">
      <c r="A150" s="69">
        <f t="shared" si="23"/>
        <v>138</v>
      </c>
    </row>
    <row r="151" spans="1:15" ht="13.5" thickBot="1" x14ac:dyDescent="0.25">
      <c r="A151" s="69">
        <f t="shared" si="23"/>
        <v>139</v>
      </c>
    </row>
    <row r="152" spans="1:15" x14ac:dyDescent="0.2">
      <c r="A152" s="69">
        <f t="shared" si="23"/>
        <v>140</v>
      </c>
      <c r="B152" s="49" t="s">
        <v>25</v>
      </c>
      <c r="C152" s="70" t="s">
        <v>21</v>
      </c>
      <c r="D152" s="49"/>
      <c r="E152" s="163"/>
      <c r="F152" s="49"/>
      <c r="G152" s="163"/>
      <c r="H152" s="49"/>
      <c r="I152" s="163"/>
      <c r="J152" s="163"/>
      <c r="K152" s="49"/>
      <c r="L152" s="49"/>
      <c r="M152" s="49"/>
      <c r="O152" s="101"/>
    </row>
    <row r="153" spans="1:15" x14ac:dyDescent="0.2">
      <c r="A153" s="69">
        <f t="shared" si="23"/>
        <v>141</v>
      </c>
      <c r="B153" s="46"/>
      <c r="C153" s="58" t="s">
        <v>41</v>
      </c>
      <c r="E153" s="56">
        <v>7530</v>
      </c>
      <c r="F153" s="50">
        <v>11.91</v>
      </c>
      <c r="G153" s="57">
        <f t="shared" ref="G153" si="42">F153*E153</f>
        <v>89682.3</v>
      </c>
      <c r="H153" s="87">
        <v>12.23</v>
      </c>
      <c r="I153" s="57">
        <f t="shared" ref="I153:I171" si="43">H153*E153</f>
        <v>92091.900000000009</v>
      </c>
      <c r="J153" s="50">
        <f>ROUND(H153*O153,2)</f>
        <v>13.48</v>
      </c>
      <c r="K153" s="57">
        <f t="shared" ref="K153:K171" si="44">J153*E153</f>
        <v>101504.40000000001</v>
      </c>
      <c r="L153" s="57">
        <f t="shared" ref="L153:L171" si="45">K153-I153</f>
        <v>9412.5</v>
      </c>
      <c r="M153" s="51">
        <f t="shared" ref="M153:M171" si="46">IF(I153=0,0,L153/I153)</f>
        <v>0.10220768601798855</v>
      </c>
      <c r="O153" s="152">
        <v>1.1026</v>
      </c>
    </row>
    <row r="154" spans="1:15" x14ac:dyDescent="0.2">
      <c r="A154" s="69">
        <f t="shared" si="23"/>
        <v>142</v>
      </c>
      <c r="B154" s="81"/>
      <c r="C154" s="58" t="s">
        <v>42</v>
      </c>
      <c r="E154" s="56">
        <v>290</v>
      </c>
      <c r="F154" s="50">
        <v>18.55</v>
      </c>
      <c r="G154" s="57">
        <f t="shared" ref="G154:G171" si="47">F154*E154</f>
        <v>5379.5</v>
      </c>
      <c r="H154" s="87">
        <v>19.02</v>
      </c>
      <c r="I154" s="57">
        <f t="shared" si="43"/>
        <v>5515.8</v>
      </c>
      <c r="J154" s="50">
        <f t="shared" ref="J154:J171" si="48">ROUND(H154*O154,2)</f>
        <v>20.97</v>
      </c>
      <c r="K154" s="57">
        <f t="shared" si="44"/>
        <v>6081.2999999999993</v>
      </c>
      <c r="L154" s="57">
        <f t="shared" si="45"/>
        <v>565.49999999999909</v>
      </c>
      <c r="M154" s="51">
        <f t="shared" si="46"/>
        <v>0.10252365930599353</v>
      </c>
      <c r="O154" s="152">
        <f>O153</f>
        <v>1.1026</v>
      </c>
    </row>
    <row r="155" spans="1:15" x14ac:dyDescent="0.2">
      <c r="A155" s="69">
        <f t="shared" si="23"/>
        <v>143</v>
      </c>
      <c r="B155" s="81"/>
      <c r="C155" s="58" t="s">
        <v>41</v>
      </c>
      <c r="E155" s="56">
        <v>13098</v>
      </c>
      <c r="F155" s="50">
        <v>11.91</v>
      </c>
      <c r="G155" s="57">
        <f t="shared" si="47"/>
        <v>155997.18</v>
      </c>
      <c r="H155" s="87">
        <f>H153</f>
        <v>12.23</v>
      </c>
      <c r="I155" s="57">
        <f t="shared" si="43"/>
        <v>160188.54</v>
      </c>
      <c r="J155" s="50">
        <f t="shared" si="48"/>
        <v>13.48</v>
      </c>
      <c r="K155" s="57">
        <f t="shared" si="44"/>
        <v>176561.04</v>
      </c>
      <c r="L155" s="57">
        <f t="shared" si="45"/>
        <v>16372.5</v>
      </c>
      <c r="M155" s="51">
        <f t="shared" si="46"/>
        <v>0.10220768601798855</v>
      </c>
      <c r="O155" s="152">
        <f t="shared" ref="O155:O171" si="49">O154</f>
        <v>1.1026</v>
      </c>
    </row>
    <row r="156" spans="1:15" x14ac:dyDescent="0.2">
      <c r="A156" s="69">
        <f t="shared" si="23"/>
        <v>144</v>
      </c>
      <c r="B156" s="81"/>
      <c r="C156" s="58" t="s">
        <v>43</v>
      </c>
      <c r="E156" s="56">
        <v>2778</v>
      </c>
      <c r="F156" s="50">
        <v>11.75</v>
      </c>
      <c r="G156" s="57">
        <f t="shared" si="47"/>
        <v>32641.5</v>
      </c>
      <c r="H156" s="87">
        <v>12.07</v>
      </c>
      <c r="I156" s="57">
        <f t="shared" si="43"/>
        <v>33530.46</v>
      </c>
      <c r="J156" s="50">
        <f t="shared" si="48"/>
        <v>13.31</v>
      </c>
      <c r="K156" s="57">
        <f t="shared" si="44"/>
        <v>36975.18</v>
      </c>
      <c r="L156" s="57">
        <f t="shared" si="45"/>
        <v>3444.7200000000012</v>
      </c>
      <c r="M156" s="51">
        <f t="shared" si="46"/>
        <v>0.10273405136702572</v>
      </c>
      <c r="O156" s="152">
        <f t="shared" si="49"/>
        <v>1.1026</v>
      </c>
    </row>
    <row r="157" spans="1:15" x14ac:dyDescent="0.2">
      <c r="A157" s="69">
        <f t="shared" si="23"/>
        <v>145</v>
      </c>
      <c r="B157" s="81"/>
      <c r="C157" s="58" t="s">
        <v>43</v>
      </c>
      <c r="E157" s="56">
        <v>1419</v>
      </c>
      <c r="F157" s="50">
        <v>11.75</v>
      </c>
      <c r="G157" s="57">
        <f t="shared" si="47"/>
        <v>16673.25</v>
      </c>
      <c r="H157" s="87">
        <f>H156</f>
        <v>12.07</v>
      </c>
      <c r="I157" s="57">
        <f t="shared" si="43"/>
        <v>17127.330000000002</v>
      </c>
      <c r="J157" s="50">
        <f t="shared" si="48"/>
        <v>13.31</v>
      </c>
      <c r="K157" s="57">
        <f t="shared" si="44"/>
        <v>18886.89</v>
      </c>
      <c r="L157" s="57">
        <f t="shared" si="45"/>
        <v>1759.5599999999977</v>
      </c>
      <c r="M157" s="51">
        <f t="shared" si="46"/>
        <v>0.10273405136702554</v>
      </c>
      <c r="O157" s="152">
        <f t="shared" si="49"/>
        <v>1.1026</v>
      </c>
    </row>
    <row r="158" spans="1:15" x14ac:dyDescent="0.2">
      <c r="A158" s="69">
        <f t="shared" si="23"/>
        <v>146</v>
      </c>
      <c r="B158" s="81"/>
      <c r="C158" s="58" t="s">
        <v>44</v>
      </c>
      <c r="E158" s="56">
        <v>628</v>
      </c>
      <c r="F158" s="50">
        <v>16.8</v>
      </c>
      <c r="G158" s="57">
        <f t="shared" si="47"/>
        <v>10550.4</v>
      </c>
      <c r="H158" s="87">
        <v>17.27</v>
      </c>
      <c r="I158" s="57">
        <f t="shared" si="43"/>
        <v>10845.56</v>
      </c>
      <c r="J158" s="50">
        <f t="shared" si="48"/>
        <v>19.04</v>
      </c>
      <c r="K158" s="57">
        <f t="shared" si="44"/>
        <v>11957.119999999999</v>
      </c>
      <c r="L158" s="57">
        <f t="shared" si="45"/>
        <v>1111.5599999999995</v>
      </c>
      <c r="M158" s="51">
        <f t="shared" si="46"/>
        <v>0.10248986682107697</v>
      </c>
      <c r="O158" s="152">
        <f t="shared" si="49"/>
        <v>1.1026</v>
      </c>
    </row>
    <row r="159" spans="1:15" x14ac:dyDescent="0.2">
      <c r="A159" s="69">
        <f t="shared" ref="A159:A194" si="50">A158+1</f>
        <v>147</v>
      </c>
      <c r="B159" s="81"/>
      <c r="C159" s="58" t="s">
        <v>42</v>
      </c>
      <c r="E159" s="56">
        <v>782</v>
      </c>
      <c r="F159" s="50">
        <v>18.55</v>
      </c>
      <c r="G159" s="57">
        <f t="shared" si="47"/>
        <v>14506.1</v>
      </c>
      <c r="H159" s="87">
        <f>H154</f>
        <v>19.02</v>
      </c>
      <c r="I159" s="57">
        <f t="shared" si="43"/>
        <v>14873.64</v>
      </c>
      <c r="J159" s="50">
        <f t="shared" si="48"/>
        <v>20.97</v>
      </c>
      <c r="K159" s="57">
        <f t="shared" si="44"/>
        <v>16398.54</v>
      </c>
      <c r="L159" s="57">
        <f t="shared" si="45"/>
        <v>1524.9000000000015</v>
      </c>
      <c r="M159" s="51">
        <f t="shared" si="46"/>
        <v>0.10252365930599379</v>
      </c>
      <c r="O159" s="152">
        <f t="shared" si="49"/>
        <v>1.1026</v>
      </c>
    </row>
    <row r="160" spans="1:15" x14ac:dyDescent="0.2">
      <c r="A160" s="69">
        <f t="shared" si="50"/>
        <v>148</v>
      </c>
      <c r="B160" s="81"/>
      <c r="C160" s="58" t="s">
        <v>45</v>
      </c>
      <c r="E160" s="56">
        <v>1474</v>
      </c>
      <c r="F160" s="50">
        <v>18.36</v>
      </c>
      <c r="G160" s="57">
        <f t="shared" si="47"/>
        <v>27062.639999999999</v>
      </c>
      <c r="H160" s="87">
        <v>18.829999999999998</v>
      </c>
      <c r="I160" s="57">
        <f t="shared" si="43"/>
        <v>27755.42</v>
      </c>
      <c r="J160" s="50">
        <f t="shared" si="48"/>
        <v>20.76</v>
      </c>
      <c r="K160" s="57">
        <f t="shared" si="44"/>
        <v>30600.240000000002</v>
      </c>
      <c r="L160" s="57">
        <f t="shared" si="45"/>
        <v>2844.8200000000033</v>
      </c>
      <c r="M160" s="51">
        <f t="shared" si="46"/>
        <v>0.10249601699415839</v>
      </c>
      <c r="O160" s="152">
        <f t="shared" si="49"/>
        <v>1.1026</v>
      </c>
    </row>
    <row r="161" spans="1:15" x14ac:dyDescent="0.2">
      <c r="A161" s="69">
        <f t="shared" si="50"/>
        <v>149</v>
      </c>
      <c r="B161" s="81"/>
      <c r="C161" s="58" t="s">
        <v>46</v>
      </c>
      <c r="E161" s="56">
        <v>1745</v>
      </c>
      <c r="F161" s="50">
        <v>10.43</v>
      </c>
      <c r="G161" s="57">
        <f t="shared" si="47"/>
        <v>18200.349999999999</v>
      </c>
      <c r="H161" s="87">
        <v>10.61</v>
      </c>
      <c r="I161" s="57">
        <f t="shared" si="43"/>
        <v>18514.45</v>
      </c>
      <c r="J161" s="50">
        <f t="shared" si="48"/>
        <v>11.7</v>
      </c>
      <c r="K161" s="57">
        <f t="shared" si="44"/>
        <v>20416.5</v>
      </c>
      <c r="L161" s="57">
        <f t="shared" si="45"/>
        <v>1902.0499999999993</v>
      </c>
      <c r="M161" s="51">
        <f t="shared" si="46"/>
        <v>0.1027332704995287</v>
      </c>
      <c r="O161" s="152">
        <f t="shared" si="49"/>
        <v>1.1026</v>
      </c>
    </row>
    <row r="162" spans="1:15" x14ac:dyDescent="0.2">
      <c r="A162" s="69">
        <f t="shared" si="50"/>
        <v>150</v>
      </c>
      <c r="B162" s="81"/>
      <c r="C162" s="58" t="s">
        <v>47</v>
      </c>
      <c r="E162" s="56">
        <v>7909</v>
      </c>
      <c r="F162" s="50">
        <v>18.55</v>
      </c>
      <c r="G162" s="57">
        <f t="shared" si="47"/>
        <v>146711.95000000001</v>
      </c>
      <c r="H162" s="87">
        <v>19.45</v>
      </c>
      <c r="I162" s="57">
        <f t="shared" si="43"/>
        <v>153830.04999999999</v>
      </c>
      <c r="J162" s="50">
        <f t="shared" si="48"/>
        <v>21.45</v>
      </c>
      <c r="K162" s="57">
        <f t="shared" si="44"/>
        <v>169648.05</v>
      </c>
      <c r="L162" s="57">
        <f t="shared" si="45"/>
        <v>15818</v>
      </c>
      <c r="M162" s="51">
        <f t="shared" si="46"/>
        <v>0.10282776349614396</v>
      </c>
      <c r="O162" s="152">
        <f t="shared" si="49"/>
        <v>1.1026</v>
      </c>
    </row>
    <row r="163" spans="1:15" x14ac:dyDescent="0.2">
      <c r="A163" s="69">
        <f t="shared" si="50"/>
        <v>151</v>
      </c>
      <c r="B163" s="81"/>
      <c r="C163" s="58" t="s">
        <v>47</v>
      </c>
      <c r="E163" s="56">
        <v>443</v>
      </c>
      <c r="F163" s="50">
        <v>18.55</v>
      </c>
      <c r="G163" s="57">
        <f t="shared" si="47"/>
        <v>8217.65</v>
      </c>
      <c r="H163" s="87">
        <f>H162</f>
        <v>19.45</v>
      </c>
      <c r="I163" s="57">
        <f t="shared" si="43"/>
        <v>8616.35</v>
      </c>
      <c r="J163" s="50">
        <f t="shared" si="48"/>
        <v>21.45</v>
      </c>
      <c r="K163" s="57">
        <f t="shared" si="44"/>
        <v>9502.35</v>
      </c>
      <c r="L163" s="57">
        <f t="shared" si="45"/>
        <v>886</v>
      </c>
      <c r="M163" s="51">
        <f t="shared" si="46"/>
        <v>0.10282776349614395</v>
      </c>
      <c r="O163" s="152">
        <f t="shared" si="49"/>
        <v>1.1026</v>
      </c>
    </row>
    <row r="164" spans="1:15" x14ac:dyDescent="0.2">
      <c r="A164" s="69">
        <f t="shared" si="50"/>
        <v>152</v>
      </c>
      <c r="B164" s="81"/>
      <c r="C164" s="58" t="s">
        <v>48</v>
      </c>
      <c r="E164" s="56">
        <v>1236</v>
      </c>
      <c r="F164" s="50">
        <v>12.51</v>
      </c>
      <c r="G164" s="57">
        <f t="shared" si="47"/>
        <v>15462.36</v>
      </c>
      <c r="H164" s="87">
        <v>12.72</v>
      </c>
      <c r="I164" s="57">
        <f t="shared" si="43"/>
        <v>15721.92</v>
      </c>
      <c r="J164" s="50">
        <f t="shared" si="48"/>
        <v>14.03</v>
      </c>
      <c r="K164" s="57">
        <f t="shared" si="44"/>
        <v>17341.079999999998</v>
      </c>
      <c r="L164" s="57">
        <f t="shared" si="45"/>
        <v>1619.159999999998</v>
      </c>
      <c r="M164" s="51">
        <f t="shared" si="46"/>
        <v>0.10298742138364768</v>
      </c>
      <c r="O164" s="152">
        <f t="shared" si="49"/>
        <v>1.1026</v>
      </c>
    </row>
    <row r="165" spans="1:15" x14ac:dyDescent="0.2">
      <c r="A165" s="69">
        <f t="shared" si="50"/>
        <v>153</v>
      </c>
      <c r="B165" s="81"/>
      <c r="C165" s="58" t="s">
        <v>49</v>
      </c>
      <c r="E165" s="56">
        <v>847</v>
      </c>
      <c r="F165" s="50">
        <v>20.9</v>
      </c>
      <c r="G165" s="57">
        <f t="shared" si="47"/>
        <v>17702.3</v>
      </c>
      <c r="H165" s="87">
        <v>21.35</v>
      </c>
      <c r="I165" s="57">
        <f t="shared" si="43"/>
        <v>18083.45</v>
      </c>
      <c r="J165" s="50">
        <f t="shared" si="48"/>
        <v>23.54</v>
      </c>
      <c r="K165" s="57">
        <f t="shared" si="44"/>
        <v>19938.38</v>
      </c>
      <c r="L165" s="57">
        <f t="shared" si="45"/>
        <v>1854.9300000000003</v>
      </c>
      <c r="M165" s="51">
        <f t="shared" si="46"/>
        <v>0.102576112412178</v>
      </c>
      <c r="O165" s="152">
        <f t="shared" si="49"/>
        <v>1.1026</v>
      </c>
    </row>
    <row r="166" spans="1:15" x14ac:dyDescent="0.2">
      <c r="A166" s="69">
        <f t="shared" si="50"/>
        <v>154</v>
      </c>
      <c r="B166" s="81"/>
      <c r="C166" s="58" t="s">
        <v>50</v>
      </c>
      <c r="E166" s="56">
        <v>559</v>
      </c>
      <c r="F166" s="50">
        <v>20.28</v>
      </c>
      <c r="G166" s="57">
        <f t="shared" si="47"/>
        <v>11336.52</v>
      </c>
      <c r="H166" s="87">
        <v>20.6</v>
      </c>
      <c r="I166" s="57">
        <f t="shared" si="43"/>
        <v>11515.400000000001</v>
      </c>
      <c r="J166" s="50">
        <f t="shared" si="48"/>
        <v>22.71</v>
      </c>
      <c r="K166" s="57">
        <f t="shared" si="44"/>
        <v>12694.890000000001</v>
      </c>
      <c r="L166" s="57">
        <f t="shared" si="45"/>
        <v>1179.4899999999998</v>
      </c>
      <c r="M166" s="51">
        <f t="shared" si="46"/>
        <v>0.10242718446601938</v>
      </c>
      <c r="O166" s="152">
        <f t="shared" si="49"/>
        <v>1.1026</v>
      </c>
    </row>
    <row r="167" spans="1:15" x14ac:dyDescent="0.2">
      <c r="A167" s="69">
        <f t="shared" si="50"/>
        <v>155</v>
      </c>
      <c r="B167" s="81"/>
      <c r="C167" s="58" t="s">
        <v>51</v>
      </c>
      <c r="E167" s="56">
        <v>5672</v>
      </c>
      <c r="F167" s="50">
        <v>17.13</v>
      </c>
      <c r="G167" s="57">
        <f t="shared" si="47"/>
        <v>97161.36</v>
      </c>
      <c r="H167" s="87">
        <v>17.45</v>
      </c>
      <c r="I167" s="57">
        <f t="shared" si="43"/>
        <v>98976.4</v>
      </c>
      <c r="J167" s="50">
        <f t="shared" si="48"/>
        <v>19.239999999999998</v>
      </c>
      <c r="K167" s="57">
        <f t="shared" si="44"/>
        <v>109129.27999999998</v>
      </c>
      <c r="L167" s="57">
        <f t="shared" si="45"/>
        <v>10152.87999999999</v>
      </c>
      <c r="M167" s="51">
        <f t="shared" si="46"/>
        <v>0.10257879656160449</v>
      </c>
      <c r="O167" s="152">
        <f t="shared" si="49"/>
        <v>1.1026</v>
      </c>
    </row>
    <row r="168" spans="1:15" x14ac:dyDescent="0.2">
      <c r="A168" s="69">
        <f t="shared" si="50"/>
        <v>156</v>
      </c>
      <c r="B168" s="81"/>
      <c r="C168" s="58" t="s">
        <v>52</v>
      </c>
      <c r="E168" s="56">
        <v>147</v>
      </c>
      <c r="F168" s="50">
        <v>25.89</v>
      </c>
      <c r="G168" s="57">
        <f t="shared" si="47"/>
        <v>3805.83</v>
      </c>
      <c r="H168" s="87">
        <v>26.55</v>
      </c>
      <c r="I168" s="57">
        <f t="shared" si="43"/>
        <v>3902.85</v>
      </c>
      <c r="J168" s="50">
        <f t="shared" si="48"/>
        <v>29.27</v>
      </c>
      <c r="K168" s="57">
        <f t="shared" si="44"/>
        <v>4302.6899999999996</v>
      </c>
      <c r="L168" s="57">
        <f t="shared" si="45"/>
        <v>399.83999999999969</v>
      </c>
      <c r="M168" s="51">
        <f t="shared" si="46"/>
        <v>0.10244821092278712</v>
      </c>
      <c r="O168" s="152">
        <f t="shared" si="49"/>
        <v>1.1026</v>
      </c>
    </row>
    <row r="169" spans="1:15" x14ac:dyDescent="0.2">
      <c r="A169" s="69">
        <f t="shared" si="50"/>
        <v>157</v>
      </c>
      <c r="B169" s="81"/>
      <c r="C169" s="58" t="s">
        <v>53</v>
      </c>
      <c r="E169" s="56">
        <v>115549</v>
      </c>
      <c r="F169" s="50">
        <v>11.91</v>
      </c>
      <c r="G169" s="57">
        <f t="shared" si="47"/>
        <v>1376188.59</v>
      </c>
      <c r="H169" s="87">
        <v>12.23</v>
      </c>
      <c r="I169" s="57">
        <f t="shared" si="43"/>
        <v>1413164.27</v>
      </c>
      <c r="J169" s="50">
        <f t="shared" si="48"/>
        <v>13.48</v>
      </c>
      <c r="K169" s="57">
        <f t="shared" si="44"/>
        <v>1557600.52</v>
      </c>
      <c r="L169" s="57">
        <f t="shared" si="45"/>
        <v>144436.25</v>
      </c>
      <c r="M169" s="51">
        <f t="shared" si="46"/>
        <v>0.10220768601798855</v>
      </c>
      <c r="O169" s="152">
        <f t="shared" si="49"/>
        <v>1.1026</v>
      </c>
    </row>
    <row r="170" spans="1:15" x14ac:dyDescent="0.2">
      <c r="A170" s="69">
        <f t="shared" si="50"/>
        <v>158</v>
      </c>
      <c r="B170" s="81"/>
      <c r="C170" s="58" t="s">
        <v>48</v>
      </c>
      <c r="E170" s="56">
        <v>20103</v>
      </c>
      <c r="F170" s="50">
        <v>11.91</v>
      </c>
      <c r="G170" s="57">
        <f t="shared" si="47"/>
        <v>239426.73</v>
      </c>
      <c r="H170" s="87">
        <v>12.23</v>
      </c>
      <c r="I170" s="57">
        <f t="shared" si="43"/>
        <v>245859.69</v>
      </c>
      <c r="J170" s="50">
        <f t="shared" si="48"/>
        <v>13.48</v>
      </c>
      <c r="K170" s="57">
        <f t="shared" si="44"/>
        <v>270988.44</v>
      </c>
      <c r="L170" s="57">
        <f t="shared" si="45"/>
        <v>25128.75</v>
      </c>
      <c r="M170" s="51">
        <f t="shared" si="46"/>
        <v>0.10220768601798855</v>
      </c>
      <c r="O170" s="152">
        <f t="shared" si="49"/>
        <v>1.1026</v>
      </c>
    </row>
    <row r="171" spans="1:15" x14ac:dyDescent="0.2">
      <c r="A171" s="69">
        <f t="shared" si="50"/>
        <v>159</v>
      </c>
      <c r="B171" s="81"/>
      <c r="C171" s="58" t="s">
        <v>45</v>
      </c>
      <c r="E171" s="56">
        <v>1889</v>
      </c>
      <c r="F171" s="50">
        <v>18.36</v>
      </c>
      <c r="G171" s="57">
        <f t="shared" si="47"/>
        <v>34682.04</v>
      </c>
      <c r="H171" s="87">
        <v>18.829999999999998</v>
      </c>
      <c r="I171" s="57">
        <f t="shared" si="43"/>
        <v>35569.869999999995</v>
      </c>
      <c r="J171" s="50">
        <f t="shared" si="48"/>
        <v>20.76</v>
      </c>
      <c r="K171" s="57">
        <f t="shared" si="44"/>
        <v>39215.64</v>
      </c>
      <c r="L171" s="57">
        <f t="shared" si="45"/>
        <v>3645.7700000000041</v>
      </c>
      <c r="M171" s="51">
        <f t="shared" si="46"/>
        <v>0.10249601699415839</v>
      </c>
      <c r="O171" s="152">
        <f t="shared" si="49"/>
        <v>1.1026</v>
      </c>
    </row>
    <row r="172" spans="1:15" s="63" customFormat="1" ht="24.6" customHeight="1" x14ac:dyDescent="0.25">
      <c r="A172" s="69">
        <f t="shared" si="50"/>
        <v>160</v>
      </c>
      <c r="C172" s="59"/>
      <c r="D172" s="60" t="s">
        <v>4</v>
      </c>
      <c r="E172" s="164"/>
      <c r="F172" s="60"/>
      <c r="G172" s="10">
        <f>SUM(G153:G171)</f>
        <v>2321388.5500000003</v>
      </c>
      <c r="H172" s="60"/>
      <c r="I172" s="10">
        <f>SUM(I153:I171)</f>
        <v>2385683.35</v>
      </c>
      <c r="J172" s="164"/>
      <c r="K172" s="10">
        <f>SUM(K153:K171)</f>
        <v>2629742.5300000003</v>
      </c>
      <c r="L172" s="10">
        <f>SUM(L153:L171)</f>
        <v>244059.18</v>
      </c>
      <c r="M172" s="72">
        <f>L172/I172</f>
        <v>0.10230158164116793</v>
      </c>
    </row>
    <row r="173" spans="1:15" x14ac:dyDescent="0.2">
      <c r="A173" s="69">
        <f t="shared" si="50"/>
        <v>161</v>
      </c>
      <c r="D173" s="41" t="s">
        <v>19</v>
      </c>
      <c r="G173" s="57">
        <v>0</v>
      </c>
      <c r="I173" s="170">
        <v>0</v>
      </c>
      <c r="K173" s="57">
        <f>I173</f>
        <v>0</v>
      </c>
      <c r="L173" s="57">
        <f>K173-I173</f>
        <v>0</v>
      </c>
      <c r="M173" s="50">
        <v>0</v>
      </c>
    </row>
    <row r="174" spans="1:15" x14ac:dyDescent="0.2">
      <c r="A174" s="69">
        <f t="shared" si="50"/>
        <v>162</v>
      </c>
      <c r="D174" s="41" t="s">
        <v>20</v>
      </c>
      <c r="G174" s="57">
        <v>0</v>
      </c>
      <c r="I174" s="170">
        <v>0</v>
      </c>
      <c r="K174" s="57">
        <f>I174</f>
        <v>0</v>
      </c>
      <c r="L174" s="57">
        <f>K174-I174</f>
        <v>0</v>
      </c>
      <c r="M174" s="50">
        <v>0</v>
      </c>
    </row>
    <row r="175" spans="1:15" x14ac:dyDescent="0.2">
      <c r="A175" s="69">
        <f t="shared" si="50"/>
        <v>163</v>
      </c>
      <c r="D175" s="41" t="s">
        <v>23</v>
      </c>
      <c r="G175" s="57">
        <v>0</v>
      </c>
      <c r="I175" s="170">
        <v>0</v>
      </c>
      <c r="K175" s="57">
        <f>I175</f>
        <v>0</v>
      </c>
      <c r="L175" s="57">
        <f>K175-I175</f>
        <v>0</v>
      </c>
      <c r="M175" s="50">
        <v>0</v>
      </c>
    </row>
    <row r="176" spans="1:15" x14ac:dyDescent="0.2">
      <c r="A176" s="69">
        <f t="shared" si="50"/>
        <v>164</v>
      </c>
      <c r="D176" s="41" t="s">
        <v>54</v>
      </c>
      <c r="G176" s="57"/>
      <c r="I176" s="170"/>
      <c r="K176" s="57"/>
      <c r="L176" s="57"/>
      <c r="M176" s="50"/>
    </row>
    <row r="177" spans="1:13" x14ac:dyDescent="0.2">
      <c r="A177" s="69">
        <f t="shared" si="50"/>
        <v>165</v>
      </c>
      <c r="D177" s="53" t="s">
        <v>5</v>
      </c>
      <c r="E177" s="165"/>
      <c r="F177" s="53"/>
      <c r="G177" s="74">
        <f>SUM(G173:G175)</f>
        <v>0</v>
      </c>
      <c r="H177" s="53"/>
      <c r="I177" s="74">
        <f>SUM(I173:I175)</f>
        <v>0</v>
      </c>
      <c r="J177" s="165"/>
      <c r="K177" s="74">
        <f>SUM(K173:K175)</f>
        <v>0</v>
      </c>
      <c r="L177" s="74">
        <f>K177-I177</f>
        <v>0</v>
      </c>
      <c r="M177" s="75">
        <f>K177-I177</f>
        <v>0</v>
      </c>
    </row>
    <row r="178" spans="1:13" s="63" customFormat="1" ht="26.45" customHeight="1" thickBot="1" x14ac:dyDescent="0.3">
      <c r="A178" s="69">
        <f t="shared" si="50"/>
        <v>166</v>
      </c>
      <c r="C178" s="59"/>
      <c r="D178" s="54" t="s">
        <v>15</v>
      </c>
      <c r="E178" s="166"/>
      <c r="F178" s="54"/>
      <c r="G178" s="76">
        <f>G172+G177</f>
        <v>2321388.5500000003</v>
      </c>
      <c r="H178" s="54"/>
      <c r="I178" s="172">
        <f>I177+I172</f>
        <v>2385683.35</v>
      </c>
      <c r="J178" s="166"/>
      <c r="K178" s="76">
        <f>K177+K172</f>
        <v>2629742.5300000003</v>
      </c>
      <c r="L178" s="76">
        <f>K178-I178</f>
        <v>244059.18000000017</v>
      </c>
      <c r="M178" s="78">
        <f>L178/I178</f>
        <v>0.102301581641168</v>
      </c>
    </row>
    <row r="179" spans="1:13" ht="13.5" thickTop="1" x14ac:dyDescent="0.2">
      <c r="A179" s="69">
        <f t="shared" si="50"/>
        <v>167</v>
      </c>
      <c r="G179" s="168"/>
      <c r="I179" s="168"/>
      <c r="K179" s="79"/>
      <c r="L179" s="79"/>
      <c r="M179" s="51"/>
    </row>
    <row r="180" spans="1:13" x14ac:dyDescent="0.2">
      <c r="A180" s="69">
        <f t="shared" si="50"/>
        <v>168</v>
      </c>
    </row>
    <row r="181" spans="1:13" s="63" customFormat="1" ht="19.899999999999999" customHeight="1" x14ac:dyDescent="0.25">
      <c r="A181" s="69">
        <f t="shared" si="50"/>
        <v>169</v>
      </c>
      <c r="B181" s="63" t="s">
        <v>22</v>
      </c>
      <c r="C181" s="59"/>
      <c r="D181" s="60" t="s">
        <v>4</v>
      </c>
      <c r="E181" s="164"/>
      <c r="F181" s="60"/>
      <c r="G181" s="169">
        <f>G11+G28+G43+G56+G99+G113+G128+G69+G172+G84+G142</f>
        <v>126988931.43617029</v>
      </c>
      <c r="H181" s="84"/>
      <c r="I181" s="169">
        <f>I11+I28+I43+I56+I99+I113+I128+I69+I172+I84+I142</f>
        <v>140299096.11349148</v>
      </c>
      <c r="J181" s="164"/>
      <c r="K181" s="84">
        <f t="shared" ref="K181:L185" si="51">K11+K28+K43+K56+K99+K113+K128+K69+K172+K84+K142</f>
        <v>143485561.90725765</v>
      </c>
      <c r="L181" s="84">
        <f t="shared" si="51"/>
        <v>3186465.7937661628</v>
      </c>
      <c r="M181" s="72">
        <f>L181/I181</f>
        <v>2.2711948131073849E-2</v>
      </c>
    </row>
    <row r="182" spans="1:13" x14ac:dyDescent="0.2">
      <c r="A182" s="69">
        <f t="shared" si="50"/>
        <v>170</v>
      </c>
      <c r="D182" s="41" t="s">
        <v>19</v>
      </c>
      <c r="G182" s="170">
        <f>G12+G29+G44+G57+G100+G114+G129+G70+G173+G85+G143</f>
        <v>9852711.6899999976</v>
      </c>
      <c r="H182" s="58"/>
      <c r="I182" s="170">
        <f>I12+I29+I44+I57+I100+I114+I129+I70+I173+I85+I143</f>
        <v>3744975.8703208333</v>
      </c>
      <c r="K182" s="58">
        <f t="shared" si="51"/>
        <v>3744975.8703208333</v>
      </c>
      <c r="L182" s="58">
        <f t="shared" si="51"/>
        <v>0</v>
      </c>
    </row>
    <row r="183" spans="1:13" x14ac:dyDescent="0.2">
      <c r="A183" s="69">
        <f t="shared" si="50"/>
        <v>171</v>
      </c>
      <c r="D183" s="41" t="s">
        <v>20</v>
      </c>
      <c r="G183" s="170">
        <f>G13+G30+G45+G58+G101+G115+G130+G71+G174+G86+G144</f>
        <v>18453982.529999997</v>
      </c>
      <c r="H183" s="58"/>
      <c r="I183" s="170">
        <f>I13+I30+I45+I58+I101+I115+I130+I71+I174+I86+I144</f>
        <v>18453982.529999997</v>
      </c>
      <c r="K183" s="58">
        <f t="shared" si="51"/>
        <v>18453982.529999997</v>
      </c>
      <c r="L183" s="58">
        <f t="shared" si="51"/>
        <v>0</v>
      </c>
    </row>
    <row r="184" spans="1:13" x14ac:dyDescent="0.2">
      <c r="A184" s="69">
        <f t="shared" si="50"/>
        <v>172</v>
      </c>
      <c r="D184" s="41" t="s">
        <v>23</v>
      </c>
      <c r="G184" s="170">
        <f>G14+G31+G46+G59+G102+G116+G131+G72+G175+G87+G145</f>
        <v>0</v>
      </c>
      <c r="H184" s="58"/>
      <c r="I184" s="170">
        <f>I14+I31+I46+I59+I102+I116+I131+I72+I175+I87+I145</f>
        <v>0</v>
      </c>
      <c r="K184" s="58">
        <f t="shared" si="51"/>
        <v>0</v>
      </c>
      <c r="L184" s="58">
        <f t="shared" si="51"/>
        <v>0</v>
      </c>
    </row>
    <row r="185" spans="1:13" x14ac:dyDescent="0.2">
      <c r="A185" s="69">
        <f t="shared" si="50"/>
        <v>173</v>
      </c>
      <c r="D185" s="41" t="s">
        <v>54</v>
      </c>
      <c r="G185" s="170">
        <f>G15+G32+G47+G60+G103+G117+G132+G73+G176+G88+G146</f>
        <v>0</v>
      </c>
      <c r="I185" s="170">
        <f>I15+I32+I47+I60+I103+I117+I132+I73+I176+I88+I146</f>
        <v>0</v>
      </c>
      <c r="K185" s="58">
        <f t="shared" si="51"/>
        <v>0</v>
      </c>
      <c r="L185" s="58">
        <f t="shared" si="51"/>
        <v>0</v>
      </c>
      <c r="M185" s="50"/>
    </row>
    <row r="186" spans="1:13" x14ac:dyDescent="0.2">
      <c r="A186" s="69">
        <f t="shared" si="50"/>
        <v>174</v>
      </c>
      <c r="D186" s="53" t="s">
        <v>5</v>
      </c>
      <c r="E186" s="165"/>
      <c r="F186" s="53"/>
      <c r="G186" s="171">
        <f>SUM(G182:G185)</f>
        <v>28306694.219999995</v>
      </c>
      <c r="H186" s="85"/>
      <c r="I186" s="171">
        <f>SUM(I182:I185)</f>
        <v>22198958.400320832</v>
      </c>
      <c r="J186" s="165"/>
      <c r="K186" s="85">
        <f>SUM(K182:K185)</f>
        <v>22198958.400320832</v>
      </c>
      <c r="L186" s="85">
        <f>SUM(L182:L185)</f>
        <v>0</v>
      </c>
      <c r="M186" s="53"/>
    </row>
    <row r="187" spans="1:13" s="63" customFormat="1" ht="21" customHeight="1" thickBot="1" x14ac:dyDescent="0.3">
      <c r="A187" s="69">
        <f t="shared" si="50"/>
        <v>175</v>
      </c>
      <c r="C187" s="59"/>
      <c r="D187" s="54" t="s">
        <v>15</v>
      </c>
      <c r="E187" s="166"/>
      <c r="F187" s="54"/>
      <c r="G187" s="172">
        <f>G186+G181</f>
        <v>155295625.65617028</v>
      </c>
      <c r="H187" s="77"/>
      <c r="I187" s="172">
        <f>I186+I181</f>
        <v>162498054.5138123</v>
      </c>
      <c r="J187" s="166"/>
      <c r="K187" s="77">
        <f>K186+K181</f>
        <v>165684520.30757847</v>
      </c>
      <c r="L187" s="77">
        <f>L186+L181</f>
        <v>3186465.7937661628</v>
      </c>
      <c r="M187" s="78">
        <f>L187/I187</f>
        <v>1.9609255035698374E-2</v>
      </c>
    </row>
    <row r="188" spans="1:13" ht="13.5" thickTop="1" x14ac:dyDescent="0.2">
      <c r="A188" s="69">
        <f t="shared" si="50"/>
        <v>176</v>
      </c>
    </row>
    <row r="189" spans="1:13" x14ac:dyDescent="0.2">
      <c r="A189" s="69">
        <f t="shared" si="50"/>
        <v>177</v>
      </c>
      <c r="D189" s="41" t="s">
        <v>26</v>
      </c>
      <c r="L189" s="58"/>
    </row>
    <row r="190" spans="1:13" x14ac:dyDescent="0.2">
      <c r="A190" s="69">
        <f t="shared" si="50"/>
        <v>178</v>
      </c>
      <c r="L190" s="58"/>
    </row>
    <row r="191" spans="1:13" x14ac:dyDescent="0.2">
      <c r="A191" s="69">
        <f t="shared" si="50"/>
        <v>179</v>
      </c>
      <c r="D191" s="41" t="s">
        <v>94</v>
      </c>
      <c r="L191" s="58">
        <f>Summary!G21</f>
        <v>3192272.3164417036</v>
      </c>
    </row>
    <row r="192" spans="1:13" x14ac:dyDescent="0.2">
      <c r="A192" s="69">
        <f t="shared" si="50"/>
        <v>180</v>
      </c>
      <c r="D192" s="41" t="s">
        <v>95</v>
      </c>
      <c r="L192" s="58">
        <f>L187-L191</f>
        <v>-5806.5226755407639</v>
      </c>
    </row>
    <row r="193" spans="1:12" x14ac:dyDescent="0.2">
      <c r="A193" s="69">
        <f t="shared" si="50"/>
        <v>181</v>
      </c>
      <c r="L193" s="58"/>
    </row>
    <row r="194" spans="1:12" x14ac:dyDescent="0.2">
      <c r="A194" s="69">
        <f t="shared" si="50"/>
        <v>182</v>
      </c>
      <c r="D194" s="41" t="s">
        <v>99</v>
      </c>
      <c r="H194" s="41">
        <v>1.1809999999999999E-2</v>
      </c>
    </row>
  </sheetData>
  <printOptions horizontalCentered="1"/>
  <pageMargins left="0.7" right="0.7" top="0.75" bottom="0.75" header="0.3" footer="0.3"/>
  <pageSetup scale="55" fitToHeight="3" orientation="landscape" r:id="rId1"/>
  <headerFooter>
    <oddFooter>&amp;RExhibit JW-9
Page &amp;P of &amp;N</oddFooter>
  </headerFooter>
  <rowBreaks count="4" manualBreakCount="4">
    <brk id="51" max="12" man="1"/>
    <brk id="107" max="12" man="1"/>
    <brk id="151" max="12" man="1"/>
    <brk id="179" max="12" man="1"/>
  </rowBreaks>
  <ignoredErrors>
    <ignoredError sqref="K11:M11 G81 L28:M28 L43:M43 L56:M56 L69:M69 L84:M84 L99:M99 L113:M113 L128:M128 L172:M172 G155:G163 I8 I9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95F67-8ABE-4DFA-9D91-159EA35C7FA3}">
  <sheetPr>
    <pageSetUpPr fitToPage="1"/>
  </sheetPr>
  <dimension ref="A1:M39"/>
  <sheetViews>
    <sheetView view="pageBreakPreview" topLeftCell="A4" zoomScaleNormal="100" zoomScaleSheetLayoutView="100" workbookViewId="0">
      <selection activeCell="K19" sqref="K19"/>
    </sheetView>
  </sheetViews>
  <sheetFormatPr defaultColWidth="9.140625" defaultRowHeight="12.75" x14ac:dyDescent="0.25"/>
  <cols>
    <col min="1" max="1" width="3.42578125" style="120" customWidth="1"/>
    <col min="2" max="2" width="5.28515625" style="119" customWidth="1"/>
    <col min="3" max="3" width="10.85546875" style="120" bestFit="1" customWidth="1"/>
    <col min="4" max="4" width="13.7109375" style="120" bestFit="1" customWidth="1"/>
    <col min="5" max="5" width="14.28515625" style="120" bestFit="1" customWidth="1"/>
    <col min="6" max="6" width="12.7109375" style="120" bestFit="1" customWidth="1"/>
    <col min="7" max="7" width="14.28515625" style="120" bestFit="1" customWidth="1"/>
    <col min="8" max="8" width="10.5703125" style="120" customWidth="1"/>
    <col min="9" max="9" width="14.28515625" style="120" bestFit="1" customWidth="1"/>
    <col min="10" max="10" width="12.7109375" style="120" bestFit="1" customWidth="1"/>
    <col min="11" max="11" width="14.28515625" style="120" bestFit="1" customWidth="1"/>
    <col min="12" max="12" width="10.85546875" style="120" bestFit="1" customWidth="1"/>
    <col min="13" max="13" width="7.7109375" style="120" customWidth="1"/>
    <col min="14" max="16384" width="9.140625" style="120"/>
  </cols>
  <sheetData>
    <row r="1" spans="1:13" x14ac:dyDescent="0.25">
      <c r="A1" s="118" t="s">
        <v>27</v>
      </c>
    </row>
    <row r="2" spans="1:13" x14ac:dyDescent="0.25">
      <c r="A2" s="121" t="s">
        <v>107</v>
      </c>
      <c r="I2" s="141"/>
      <c r="J2" s="141"/>
    </row>
    <row r="3" spans="1:13" x14ac:dyDescent="0.25">
      <c r="A3" s="118" t="s">
        <v>108</v>
      </c>
      <c r="D3" s="118" t="s">
        <v>28</v>
      </c>
    </row>
    <row r="4" spans="1:13" ht="33.75" customHeight="1" thickBot="1" x14ac:dyDescent="0.3"/>
    <row r="5" spans="1:13" ht="21" customHeight="1" thickTop="1" x14ac:dyDescent="0.25">
      <c r="B5" s="106"/>
      <c r="C5" s="107" t="s">
        <v>109</v>
      </c>
      <c r="D5" s="153" t="s">
        <v>117</v>
      </c>
      <c r="E5" s="153"/>
      <c r="F5" s="153"/>
      <c r="G5" s="154"/>
      <c r="H5" s="155" t="s">
        <v>118</v>
      </c>
      <c r="I5" s="153"/>
      <c r="J5" s="153"/>
      <c r="K5" s="154"/>
      <c r="L5" s="155" t="s">
        <v>77</v>
      </c>
      <c r="M5" s="156"/>
    </row>
    <row r="6" spans="1:13" ht="23.25" customHeight="1" x14ac:dyDescent="0.25">
      <c r="B6" s="108" t="s">
        <v>0</v>
      </c>
      <c r="C6" s="109" t="s">
        <v>110</v>
      </c>
      <c r="D6" s="110" t="s">
        <v>111</v>
      </c>
      <c r="E6" s="110" t="s">
        <v>112</v>
      </c>
      <c r="F6" s="110" t="s">
        <v>113</v>
      </c>
      <c r="G6" s="110" t="s">
        <v>81</v>
      </c>
      <c r="H6" s="110" t="s">
        <v>114</v>
      </c>
      <c r="I6" s="110" t="s">
        <v>115</v>
      </c>
      <c r="J6" s="110" t="s">
        <v>113</v>
      </c>
      <c r="K6" s="110" t="s">
        <v>81</v>
      </c>
      <c r="L6" s="110" t="s">
        <v>116</v>
      </c>
      <c r="M6" s="111" t="s">
        <v>13</v>
      </c>
    </row>
    <row r="7" spans="1:13" s="118" customFormat="1" ht="18" customHeight="1" thickBot="1" x14ac:dyDescent="0.3">
      <c r="B7" s="112"/>
      <c r="C7" s="113"/>
      <c r="D7" s="114">
        <f>'Billing Detail'!H7</f>
        <v>17.100000000000001</v>
      </c>
      <c r="E7" s="115">
        <f>'Billing Detail'!H10</f>
        <v>9.5979999999999996E-2</v>
      </c>
      <c r="F7" s="115">
        <f>'Billing Detail'!I16/('Billing Detail'!E9+'Billing Detail'!E10)</f>
        <v>1.3889661641325633E-2</v>
      </c>
      <c r="G7" s="115"/>
      <c r="H7" s="114">
        <f>'Billing Detail'!J7</f>
        <v>23.6</v>
      </c>
      <c r="I7" s="115">
        <f>'Billing Detail'!J9</f>
        <v>9.3869999999999995E-2</v>
      </c>
      <c r="J7" s="115">
        <f>F7</f>
        <v>1.3889661641325633E-2</v>
      </c>
      <c r="K7" s="113"/>
      <c r="L7" s="113"/>
      <c r="M7" s="116"/>
    </row>
    <row r="8" spans="1:13" ht="13.5" thickTop="1" x14ac:dyDescent="0.25">
      <c r="B8" s="122">
        <v>1</v>
      </c>
      <c r="C8" s="142">
        <v>0</v>
      </c>
      <c r="D8" s="123">
        <f t="shared" ref="D8:D38" si="0">D$7</f>
        <v>17.100000000000001</v>
      </c>
      <c r="E8" s="124">
        <f t="shared" ref="E8:E38" si="1">$E$7*C8</f>
        <v>0</v>
      </c>
      <c r="F8" s="124">
        <f>$F$7*C8</f>
        <v>0</v>
      </c>
      <c r="G8" s="125">
        <f>E8+D8+F8</f>
        <v>17.100000000000001</v>
      </c>
      <c r="H8" s="126">
        <f t="shared" ref="H8:H38" si="2">$H$7</f>
        <v>23.6</v>
      </c>
      <c r="I8" s="124">
        <f t="shared" ref="I8:I38" si="3">$I$7*C8</f>
        <v>0</v>
      </c>
      <c r="J8" s="124">
        <f>$J$7*C8</f>
        <v>0</v>
      </c>
      <c r="K8" s="127">
        <f>H8+I8+J8</f>
        <v>23.6</v>
      </c>
      <c r="L8" s="126">
        <f t="shared" ref="L8:L38" si="4">K8-G8</f>
        <v>6.5</v>
      </c>
      <c r="M8" s="128">
        <f t="shared" ref="M8:M38" si="5">L8/G8</f>
        <v>0.38011695906432746</v>
      </c>
    </row>
    <row r="9" spans="1:13" x14ac:dyDescent="0.25">
      <c r="B9" s="122">
        <v>2</v>
      </c>
      <c r="C9" s="142">
        <f>C8+100</f>
        <v>100</v>
      </c>
      <c r="D9" s="123">
        <f t="shared" si="0"/>
        <v>17.100000000000001</v>
      </c>
      <c r="E9" s="124">
        <f t="shared" si="1"/>
        <v>9.597999999999999</v>
      </c>
      <c r="F9" s="124">
        <f t="shared" ref="F9:F38" si="6">$F$7*C9</f>
        <v>1.3889661641325632</v>
      </c>
      <c r="G9" s="125">
        <f t="shared" ref="G9:G38" si="7">E9+D9+F9</f>
        <v>28.086966164132562</v>
      </c>
      <c r="H9" s="126">
        <f t="shared" si="2"/>
        <v>23.6</v>
      </c>
      <c r="I9" s="124">
        <f t="shared" si="3"/>
        <v>9.3869999999999987</v>
      </c>
      <c r="J9" s="124">
        <f t="shared" ref="J9:J38" si="8">$J$7*C9</f>
        <v>1.3889661641325632</v>
      </c>
      <c r="K9" s="127">
        <f t="shared" ref="K9:K38" si="9">H9+I9+J9</f>
        <v>34.375966164132564</v>
      </c>
      <c r="L9" s="126">
        <f t="shared" si="4"/>
        <v>6.2890000000000015</v>
      </c>
      <c r="M9" s="128">
        <f t="shared" si="5"/>
        <v>0.22391168783587384</v>
      </c>
    </row>
    <row r="10" spans="1:13" x14ac:dyDescent="0.25">
      <c r="B10" s="122">
        <v>3</v>
      </c>
      <c r="C10" s="142">
        <f t="shared" ref="C10:C37" si="10">C9+100</f>
        <v>200</v>
      </c>
      <c r="D10" s="123">
        <f t="shared" si="0"/>
        <v>17.100000000000001</v>
      </c>
      <c r="E10" s="124">
        <f t="shared" si="1"/>
        <v>19.195999999999998</v>
      </c>
      <c r="F10" s="124">
        <f t="shared" si="6"/>
        <v>2.7779323282651265</v>
      </c>
      <c r="G10" s="125">
        <f t="shared" si="7"/>
        <v>39.073932328265123</v>
      </c>
      <c r="H10" s="126">
        <f t="shared" si="2"/>
        <v>23.6</v>
      </c>
      <c r="I10" s="124">
        <f t="shared" si="3"/>
        <v>18.773999999999997</v>
      </c>
      <c r="J10" s="124">
        <f t="shared" si="8"/>
        <v>2.7779323282651265</v>
      </c>
      <c r="K10" s="127">
        <f t="shared" si="9"/>
        <v>45.151932328265119</v>
      </c>
      <c r="L10" s="126">
        <f t="shared" si="4"/>
        <v>6.0779999999999959</v>
      </c>
      <c r="M10" s="128">
        <f t="shared" si="5"/>
        <v>0.15555127518105774</v>
      </c>
    </row>
    <row r="11" spans="1:13" x14ac:dyDescent="0.25">
      <c r="B11" s="122">
        <v>4</v>
      </c>
      <c r="C11" s="142">
        <f t="shared" si="10"/>
        <v>300</v>
      </c>
      <c r="D11" s="123">
        <f t="shared" si="0"/>
        <v>17.100000000000001</v>
      </c>
      <c r="E11" s="124">
        <f t="shared" si="1"/>
        <v>28.794</v>
      </c>
      <c r="F11" s="124">
        <f t="shared" si="6"/>
        <v>4.1668984923976895</v>
      </c>
      <c r="G11" s="125">
        <f t="shared" si="7"/>
        <v>50.060898492397698</v>
      </c>
      <c r="H11" s="126">
        <f t="shared" si="2"/>
        <v>23.6</v>
      </c>
      <c r="I11" s="124">
        <f t="shared" si="3"/>
        <v>28.160999999999998</v>
      </c>
      <c r="J11" s="124">
        <f t="shared" si="8"/>
        <v>4.1668984923976895</v>
      </c>
      <c r="K11" s="127">
        <f t="shared" si="9"/>
        <v>55.927898492397688</v>
      </c>
      <c r="L11" s="126">
        <f t="shared" si="4"/>
        <v>5.8669999999999902</v>
      </c>
      <c r="M11" s="128">
        <f t="shared" si="5"/>
        <v>0.11719725727437671</v>
      </c>
    </row>
    <row r="12" spans="1:13" x14ac:dyDescent="0.25">
      <c r="B12" s="122">
        <v>5</v>
      </c>
      <c r="C12" s="142">
        <f t="shared" si="10"/>
        <v>400</v>
      </c>
      <c r="D12" s="123">
        <f t="shared" si="0"/>
        <v>17.100000000000001</v>
      </c>
      <c r="E12" s="124">
        <f t="shared" si="1"/>
        <v>38.391999999999996</v>
      </c>
      <c r="F12" s="124">
        <f t="shared" si="6"/>
        <v>5.555864656530253</v>
      </c>
      <c r="G12" s="125">
        <f t="shared" si="7"/>
        <v>61.047864656530251</v>
      </c>
      <c r="H12" s="126">
        <f t="shared" si="2"/>
        <v>23.6</v>
      </c>
      <c r="I12" s="124">
        <f t="shared" si="3"/>
        <v>37.547999999999995</v>
      </c>
      <c r="J12" s="124">
        <f t="shared" si="8"/>
        <v>5.555864656530253</v>
      </c>
      <c r="K12" s="127">
        <f t="shared" si="9"/>
        <v>66.703864656530243</v>
      </c>
      <c r="L12" s="126">
        <f t="shared" si="4"/>
        <v>5.6559999999999917</v>
      </c>
      <c r="M12" s="128">
        <f t="shared" si="5"/>
        <v>9.2648613212304595E-2</v>
      </c>
    </row>
    <row r="13" spans="1:13" x14ac:dyDescent="0.25">
      <c r="B13" s="122">
        <v>6</v>
      </c>
      <c r="C13" s="142">
        <f t="shared" si="10"/>
        <v>500</v>
      </c>
      <c r="D13" s="123">
        <f t="shared" si="0"/>
        <v>17.100000000000001</v>
      </c>
      <c r="E13" s="124">
        <f t="shared" si="1"/>
        <v>47.989999999999995</v>
      </c>
      <c r="F13" s="124">
        <f t="shared" si="6"/>
        <v>6.9448308206628164</v>
      </c>
      <c r="G13" s="125">
        <f t="shared" si="7"/>
        <v>72.034830820662819</v>
      </c>
      <c r="H13" s="126">
        <f t="shared" si="2"/>
        <v>23.6</v>
      </c>
      <c r="I13" s="124">
        <f t="shared" si="3"/>
        <v>46.934999999999995</v>
      </c>
      <c r="J13" s="124">
        <f t="shared" si="8"/>
        <v>6.9448308206628164</v>
      </c>
      <c r="K13" s="127">
        <f t="shared" si="9"/>
        <v>77.479830820662812</v>
      </c>
      <c r="L13" s="126">
        <f t="shared" si="4"/>
        <v>5.4449999999999932</v>
      </c>
      <c r="M13" s="128">
        <f t="shared" si="5"/>
        <v>7.5588433233858901E-2</v>
      </c>
    </row>
    <row r="14" spans="1:13" x14ac:dyDescent="0.25">
      <c r="B14" s="122">
        <v>7</v>
      </c>
      <c r="C14" s="142">
        <f t="shared" si="10"/>
        <v>600</v>
      </c>
      <c r="D14" s="123">
        <f t="shared" si="0"/>
        <v>17.100000000000001</v>
      </c>
      <c r="E14" s="124">
        <f t="shared" si="1"/>
        <v>57.588000000000001</v>
      </c>
      <c r="F14" s="124">
        <f t="shared" si="6"/>
        <v>8.333796984795379</v>
      </c>
      <c r="G14" s="125">
        <f t="shared" si="7"/>
        <v>83.021796984795387</v>
      </c>
      <c r="H14" s="126">
        <f t="shared" si="2"/>
        <v>23.6</v>
      </c>
      <c r="I14" s="124">
        <f t="shared" si="3"/>
        <v>56.321999999999996</v>
      </c>
      <c r="J14" s="124">
        <f t="shared" si="8"/>
        <v>8.333796984795379</v>
      </c>
      <c r="K14" s="127">
        <f t="shared" si="9"/>
        <v>88.255796984795381</v>
      </c>
      <c r="L14" s="126">
        <f t="shared" si="4"/>
        <v>5.2339999999999947</v>
      </c>
      <c r="M14" s="128">
        <f t="shared" si="5"/>
        <v>6.3043684792302795E-2</v>
      </c>
    </row>
    <row r="15" spans="1:13" x14ac:dyDescent="0.25">
      <c r="B15" s="122">
        <v>8</v>
      </c>
      <c r="C15" s="142">
        <f t="shared" si="10"/>
        <v>700</v>
      </c>
      <c r="D15" s="123">
        <f t="shared" si="0"/>
        <v>17.100000000000001</v>
      </c>
      <c r="E15" s="124">
        <f t="shared" si="1"/>
        <v>67.185999999999993</v>
      </c>
      <c r="F15" s="124">
        <f t="shared" si="6"/>
        <v>9.7227631489279425</v>
      </c>
      <c r="G15" s="125">
        <f t="shared" si="7"/>
        <v>94.00876314892794</v>
      </c>
      <c r="H15" s="126">
        <f t="shared" si="2"/>
        <v>23.6</v>
      </c>
      <c r="I15" s="124">
        <f t="shared" si="3"/>
        <v>65.709000000000003</v>
      </c>
      <c r="J15" s="124">
        <f t="shared" si="8"/>
        <v>9.7227631489279425</v>
      </c>
      <c r="K15" s="127">
        <f t="shared" si="9"/>
        <v>99.031763148927936</v>
      </c>
      <c r="L15" s="126">
        <f t="shared" si="4"/>
        <v>5.0229999999999961</v>
      </c>
      <c r="M15" s="128">
        <f t="shared" si="5"/>
        <v>5.3431189090772303E-2</v>
      </c>
    </row>
    <row r="16" spans="1:13" x14ac:dyDescent="0.25">
      <c r="B16" s="122">
        <v>9</v>
      </c>
      <c r="C16" s="142">
        <f t="shared" si="10"/>
        <v>800</v>
      </c>
      <c r="D16" s="123">
        <f t="shared" si="0"/>
        <v>17.100000000000001</v>
      </c>
      <c r="E16" s="124">
        <f t="shared" si="1"/>
        <v>76.783999999999992</v>
      </c>
      <c r="F16" s="124">
        <f t="shared" si="6"/>
        <v>11.111729313060506</v>
      </c>
      <c r="G16" s="125">
        <f t="shared" si="7"/>
        <v>104.99572931306049</v>
      </c>
      <c r="H16" s="126">
        <f t="shared" si="2"/>
        <v>23.6</v>
      </c>
      <c r="I16" s="124">
        <f t="shared" si="3"/>
        <v>75.095999999999989</v>
      </c>
      <c r="J16" s="124">
        <f t="shared" si="8"/>
        <v>11.111729313060506</v>
      </c>
      <c r="K16" s="127">
        <f t="shared" si="9"/>
        <v>109.80772931306051</v>
      </c>
      <c r="L16" s="126">
        <f t="shared" si="4"/>
        <v>4.8120000000000118</v>
      </c>
      <c r="M16" s="128">
        <f t="shared" si="5"/>
        <v>4.5830435499450775E-2</v>
      </c>
    </row>
    <row r="17" spans="2:13" x14ac:dyDescent="0.25">
      <c r="B17" s="122">
        <v>10</v>
      </c>
      <c r="C17" s="142">
        <f t="shared" si="10"/>
        <v>900</v>
      </c>
      <c r="D17" s="123">
        <f t="shared" si="0"/>
        <v>17.100000000000001</v>
      </c>
      <c r="E17" s="124">
        <f t="shared" si="1"/>
        <v>86.381999999999991</v>
      </c>
      <c r="F17" s="124">
        <f t="shared" si="6"/>
        <v>12.500695477193069</v>
      </c>
      <c r="G17" s="125">
        <f t="shared" si="7"/>
        <v>115.98269547719306</v>
      </c>
      <c r="H17" s="126">
        <f t="shared" si="2"/>
        <v>23.6</v>
      </c>
      <c r="I17" s="124">
        <f t="shared" si="3"/>
        <v>84.48299999999999</v>
      </c>
      <c r="J17" s="124">
        <f t="shared" si="8"/>
        <v>12.500695477193069</v>
      </c>
      <c r="K17" s="127">
        <f t="shared" si="9"/>
        <v>120.58369547719306</v>
      </c>
      <c r="L17" s="126">
        <f t="shared" si="4"/>
        <v>4.6009999999999991</v>
      </c>
      <c r="M17" s="128">
        <f t="shared" si="5"/>
        <v>3.9669710908768661E-2</v>
      </c>
    </row>
    <row r="18" spans="2:13" x14ac:dyDescent="0.25">
      <c r="B18" s="122">
        <v>11</v>
      </c>
      <c r="C18" s="142">
        <f t="shared" si="10"/>
        <v>1000</v>
      </c>
      <c r="D18" s="123">
        <f t="shared" si="0"/>
        <v>17.100000000000001</v>
      </c>
      <c r="E18" s="124">
        <f t="shared" si="1"/>
        <v>95.97999999999999</v>
      </c>
      <c r="F18" s="124">
        <f t="shared" si="6"/>
        <v>13.889661641325633</v>
      </c>
      <c r="G18" s="125">
        <f t="shared" si="7"/>
        <v>126.96966164132562</v>
      </c>
      <c r="H18" s="126">
        <f t="shared" si="2"/>
        <v>23.6</v>
      </c>
      <c r="I18" s="124">
        <f t="shared" si="3"/>
        <v>93.86999999999999</v>
      </c>
      <c r="J18" s="124">
        <f t="shared" si="8"/>
        <v>13.889661641325633</v>
      </c>
      <c r="K18" s="127">
        <f t="shared" si="9"/>
        <v>131.35966164132563</v>
      </c>
      <c r="L18" s="126">
        <f t="shared" si="4"/>
        <v>4.3900000000000148</v>
      </c>
      <c r="M18" s="128">
        <f t="shared" si="5"/>
        <v>3.4575188617901882E-2</v>
      </c>
    </row>
    <row r="19" spans="2:13" x14ac:dyDescent="0.25">
      <c r="B19" s="122">
        <v>12</v>
      </c>
      <c r="C19" s="143">
        <f t="shared" si="10"/>
        <v>1100</v>
      </c>
      <c r="D19" s="123">
        <f t="shared" si="0"/>
        <v>17.100000000000001</v>
      </c>
      <c r="E19" s="124">
        <f t="shared" si="1"/>
        <v>105.57799999999999</v>
      </c>
      <c r="F19" s="124">
        <f t="shared" si="6"/>
        <v>15.278627805458196</v>
      </c>
      <c r="G19" s="125">
        <f t="shared" si="7"/>
        <v>137.9566278054582</v>
      </c>
      <c r="H19" s="129">
        <f t="shared" si="2"/>
        <v>23.6</v>
      </c>
      <c r="I19" s="124">
        <f t="shared" si="3"/>
        <v>103.25699999999999</v>
      </c>
      <c r="J19" s="124">
        <f t="shared" si="8"/>
        <v>15.278627805458196</v>
      </c>
      <c r="K19" s="130">
        <f t="shared" si="9"/>
        <v>142.1356278054582</v>
      </c>
      <c r="L19" s="129">
        <f t="shared" si="4"/>
        <v>4.179000000000002</v>
      </c>
      <c r="M19" s="131">
        <f t="shared" si="5"/>
        <v>3.0292129247266666E-2</v>
      </c>
    </row>
    <row r="20" spans="2:13" x14ac:dyDescent="0.25">
      <c r="B20" s="122">
        <v>13</v>
      </c>
      <c r="C20" s="142">
        <f t="shared" si="10"/>
        <v>1200</v>
      </c>
      <c r="D20" s="123">
        <f t="shared" si="0"/>
        <v>17.100000000000001</v>
      </c>
      <c r="E20" s="124">
        <f t="shared" si="1"/>
        <v>115.176</v>
      </c>
      <c r="F20" s="124">
        <f t="shared" si="6"/>
        <v>16.667593969590758</v>
      </c>
      <c r="G20" s="125">
        <f t="shared" si="7"/>
        <v>148.94359396959078</v>
      </c>
      <c r="H20" s="126">
        <f t="shared" si="2"/>
        <v>23.6</v>
      </c>
      <c r="I20" s="124">
        <f t="shared" si="3"/>
        <v>112.64399999999999</v>
      </c>
      <c r="J20" s="124">
        <f t="shared" si="8"/>
        <v>16.667593969590758</v>
      </c>
      <c r="K20" s="127">
        <f t="shared" si="9"/>
        <v>152.91159396959077</v>
      </c>
      <c r="L20" s="126">
        <f t="shared" si="4"/>
        <v>3.9679999999999893</v>
      </c>
      <c r="M20" s="128">
        <f t="shared" si="5"/>
        <v>2.6640957789766509E-2</v>
      </c>
    </row>
    <row r="21" spans="2:13" x14ac:dyDescent="0.25">
      <c r="B21" s="122">
        <v>14</v>
      </c>
      <c r="C21" s="142">
        <f t="shared" si="10"/>
        <v>1300</v>
      </c>
      <c r="D21" s="123">
        <f t="shared" si="0"/>
        <v>17.100000000000001</v>
      </c>
      <c r="E21" s="124">
        <f t="shared" si="1"/>
        <v>124.774</v>
      </c>
      <c r="F21" s="124">
        <f t="shared" si="6"/>
        <v>18.056560133723323</v>
      </c>
      <c r="G21" s="125">
        <f t="shared" si="7"/>
        <v>159.9305601337233</v>
      </c>
      <c r="H21" s="126">
        <f t="shared" si="2"/>
        <v>23.6</v>
      </c>
      <c r="I21" s="124">
        <f t="shared" si="3"/>
        <v>122.03099999999999</v>
      </c>
      <c r="J21" s="124">
        <f t="shared" si="8"/>
        <v>18.056560133723323</v>
      </c>
      <c r="K21" s="127">
        <f t="shared" si="9"/>
        <v>163.68756013372331</v>
      </c>
      <c r="L21" s="126">
        <f t="shared" si="4"/>
        <v>3.757000000000005</v>
      </c>
      <c r="M21" s="128">
        <f t="shared" si="5"/>
        <v>2.3491445267612716E-2</v>
      </c>
    </row>
    <row r="22" spans="2:13" x14ac:dyDescent="0.25">
      <c r="B22" s="122">
        <v>15</v>
      </c>
      <c r="C22" s="142">
        <f t="shared" si="10"/>
        <v>1400</v>
      </c>
      <c r="D22" s="123">
        <f t="shared" si="0"/>
        <v>17.100000000000001</v>
      </c>
      <c r="E22" s="124">
        <f t="shared" si="1"/>
        <v>134.37199999999999</v>
      </c>
      <c r="F22" s="124">
        <f t="shared" si="6"/>
        <v>19.445526297855885</v>
      </c>
      <c r="G22" s="125">
        <f t="shared" si="7"/>
        <v>170.91752629785586</v>
      </c>
      <c r="H22" s="126">
        <f t="shared" si="2"/>
        <v>23.6</v>
      </c>
      <c r="I22" s="124">
        <f t="shared" si="3"/>
        <v>131.41800000000001</v>
      </c>
      <c r="J22" s="124">
        <f t="shared" si="8"/>
        <v>19.445526297855885</v>
      </c>
      <c r="K22" s="127">
        <f t="shared" si="9"/>
        <v>174.46352629785588</v>
      </c>
      <c r="L22" s="126">
        <f t="shared" si="4"/>
        <v>3.5460000000000207</v>
      </c>
      <c r="M22" s="128">
        <f t="shared" si="5"/>
        <v>2.0746848359017613E-2</v>
      </c>
    </row>
    <row r="23" spans="2:13" x14ac:dyDescent="0.25">
      <c r="B23" s="122">
        <v>16</v>
      </c>
      <c r="C23" s="142">
        <f t="shared" si="10"/>
        <v>1500</v>
      </c>
      <c r="D23" s="123">
        <f t="shared" si="0"/>
        <v>17.100000000000001</v>
      </c>
      <c r="E23" s="124">
        <f t="shared" si="1"/>
        <v>143.97</v>
      </c>
      <c r="F23" s="124">
        <f t="shared" si="6"/>
        <v>20.83449246198845</v>
      </c>
      <c r="G23" s="125">
        <f t="shared" si="7"/>
        <v>181.90449246198844</v>
      </c>
      <c r="H23" s="126">
        <f t="shared" si="2"/>
        <v>23.6</v>
      </c>
      <c r="I23" s="124">
        <f t="shared" si="3"/>
        <v>140.80500000000001</v>
      </c>
      <c r="J23" s="124">
        <f t="shared" si="8"/>
        <v>20.83449246198845</v>
      </c>
      <c r="K23" s="127">
        <f t="shared" si="9"/>
        <v>185.23949246198845</v>
      </c>
      <c r="L23" s="126">
        <f t="shared" si="4"/>
        <v>3.335000000000008</v>
      </c>
      <c r="M23" s="128">
        <f t="shared" si="5"/>
        <v>1.8333796790076001E-2</v>
      </c>
    </row>
    <row r="24" spans="2:13" x14ac:dyDescent="0.25">
      <c r="B24" s="122">
        <v>17</v>
      </c>
      <c r="C24" s="142">
        <f t="shared" si="10"/>
        <v>1600</v>
      </c>
      <c r="D24" s="123">
        <f t="shared" si="0"/>
        <v>17.100000000000001</v>
      </c>
      <c r="E24" s="124">
        <f t="shared" si="1"/>
        <v>153.56799999999998</v>
      </c>
      <c r="F24" s="124">
        <f t="shared" si="6"/>
        <v>22.223458626121012</v>
      </c>
      <c r="G24" s="125">
        <f t="shared" si="7"/>
        <v>192.89145862612099</v>
      </c>
      <c r="H24" s="126">
        <f t="shared" si="2"/>
        <v>23.6</v>
      </c>
      <c r="I24" s="124">
        <f t="shared" si="3"/>
        <v>150.19199999999998</v>
      </c>
      <c r="J24" s="124">
        <f t="shared" si="8"/>
        <v>22.223458626121012</v>
      </c>
      <c r="K24" s="127">
        <f t="shared" si="9"/>
        <v>196.01545862612099</v>
      </c>
      <c r="L24" s="126">
        <f t="shared" si="4"/>
        <v>3.1239999999999952</v>
      </c>
      <c r="M24" s="128">
        <f t="shared" si="5"/>
        <v>1.6195636770289575E-2</v>
      </c>
    </row>
    <row r="25" spans="2:13" x14ac:dyDescent="0.25">
      <c r="B25" s="122">
        <v>18</v>
      </c>
      <c r="C25" s="142">
        <f t="shared" si="10"/>
        <v>1700</v>
      </c>
      <c r="D25" s="123">
        <f t="shared" si="0"/>
        <v>17.100000000000001</v>
      </c>
      <c r="E25" s="124">
        <f t="shared" si="1"/>
        <v>163.166</v>
      </c>
      <c r="F25" s="124">
        <f t="shared" si="6"/>
        <v>23.612424790253577</v>
      </c>
      <c r="G25" s="125">
        <f t="shared" si="7"/>
        <v>203.87842479025358</v>
      </c>
      <c r="H25" s="126">
        <f t="shared" si="2"/>
        <v>23.6</v>
      </c>
      <c r="I25" s="124">
        <f t="shared" si="3"/>
        <v>159.57899999999998</v>
      </c>
      <c r="J25" s="124">
        <f t="shared" si="8"/>
        <v>23.612424790253577</v>
      </c>
      <c r="K25" s="127">
        <f t="shared" si="9"/>
        <v>206.79142479025356</v>
      </c>
      <c r="L25" s="126">
        <f t="shared" si="4"/>
        <v>2.9129999999999825</v>
      </c>
      <c r="M25" s="128">
        <f t="shared" si="5"/>
        <v>1.4287926753391508E-2</v>
      </c>
    </row>
    <row r="26" spans="2:13" x14ac:dyDescent="0.25">
      <c r="B26" s="122">
        <v>19</v>
      </c>
      <c r="C26" s="142">
        <f t="shared" si="10"/>
        <v>1800</v>
      </c>
      <c r="D26" s="123">
        <f t="shared" si="0"/>
        <v>17.100000000000001</v>
      </c>
      <c r="E26" s="124">
        <f t="shared" si="1"/>
        <v>172.76399999999998</v>
      </c>
      <c r="F26" s="124">
        <f t="shared" si="6"/>
        <v>25.001390954386139</v>
      </c>
      <c r="G26" s="125">
        <f t="shared" si="7"/>
        <v>214.8653909543861</v>
      </c>
      <c r="H26" s="126">
        <f t="shared" si="2"/>
        <v>23.6</v>
      </c>
      <c r="I26" s="124">
        <f t="shared" si="3"/>
        <v>168.96599999999998</v>
      </c>
      <c r="J26" s="124">
        <f t="shared" si="8"/>
        <v>25.001390954386139</v>
      </c>
      <c r="K26" s="127">
        <f t="shared" si="9"/>
        <v>217.5673909543861</v>
      </c>
      <c r="L26" s="126">
        <f t="shared" si="4"/>
        <v>2.7019999999999982</v>
      </c>
      <c r="M26" s="128">
        <f t="shared" si="5"/>
        <v>1.2575315121706163E-2</v>
      </c>
    </row>
    <row r="27" spans="2:13" x14ac:dyDescent="0.25">
      <c r="B27" s="122">
        <v>20</v>
      </c>
      <c r="C27" s="142">
        <f t="shared" si="10"/>
        <v>1900</v>
      </c>
      <c r="D27" s="123">
        <f t="shared" si="0"/>
        <v>17.100000000000001</v>
      </c>
      <c r="E27" s="124">
        <f t="shared" si="1"/>
        <v>182.36199999999999</v>
      </c>
      <c r="F27" s="124">
        <f t="shared" si="6"/>
        <v>26.3903571185187</v>
      </c>
      <c r="G27" s="125">
        <f t="shared" si="7"/>
        <v>225.85235711851868</v>
      </c>
      <c r="H27" s="126">
        <f t="shared" si="2"/>
        <v>23.6</v>
      </c>
      <c r="I27" s="124">
        <f t="shared" si="3"/>
        <v>178.35299999999998</v>
      </c>
      <c r="J27" s="124">
        <f t="shared" si="8"/>
        <v>26.3903571185187</v>
      </c>
      <c r="K27" s="127">
        <f t="shared" si="9"/>
        <v>228.34335711851867</v>
      </c>
      <c r="L27" s="126">
        <f t="shared" si="4"/>
        <v>2.4909999999999854</v>
      </c>
      <c r="M27" s="128">
        <f t="shared" si="5"/>
        <v>1.1029329212148997E-2</v>
      </c>
    </row>
    <row r="28" spans="2:13" x14ac:dyDescent="0.25">
      <c r="B28" s="122">
        <v>21</v>
      </c>
      <c r="C28" s="142">
        <f t="shared" si="10"/>
        <v>2000</v>
      </c>
      <c r="D28" s="123">
        <f t="shared" si="0"/>
        <v>17.100000000000001</v>
      </c>
      <c r="E28" s="124">
        <f t="shared" si="1"/>
        <v>191.95999999999998</v>
      </c>
      <c r="F28" s="124">
        <f t="shared" si="6"/>
        <v>27.779323282651266</v>
      </c>
      <c r="G28" s="125">
        <f t="shared" si="7"/>
        <v>236.83932328265124</v>
      </c>
      <c r="H28" s="126">
        <f t="shared" si="2"/>
        <v>23.6</v>
      </c>
      <c r="I28" s="124">
        <f t="shared" si="3"/>
        <v>187.73999999999998</v>
      </c>
      <c r="J28" s="124">
        <f t="shared" si="8"/>
        <v>27.779323282651266</v>
      </c>
      <c r="K28" s="127">
        <f t="shared" si="9"/>
        <v>239.11932328265124</v>
      </c>
      <c r="L28" s="126">
        <f t="shared" si="4"/>
        <v>2.2800000000000011</v>
      </c>
      <c r="M28" s="128">
        <f t="shared" si="5"/>
        <v>9.6267797441684962E-3</v>
      </c>
    </row>
    <row r="29" spans="2:13" x14ac:dyDescent="0.25">
      <c r="B29" s="122">
        <v>22</v>
      </c>
      <c r="C29" s="142">
        <f>C28+100</f>
        <v>2100</v>
      </c>
      <c r="D29" s="123">
        <f t="shared" si="0"/>
        <v>17.100000000000001</v>
      </c>
      <c r="E29" s="124">
        <f t="shared" si="1"/>
        <v>201.55799999999999</v>
      </c>
      <c r="F29" s="124">
        <f t="shared" si="6"/>
        <v>29.168289446783827</v>
      </c>
      <c r="G29" s="125">
        <f t="shared" si="7"/>
        <v>247.82628944678382</v>
      </c>
      <c r="H29" s="126">
        <f t="shared" si="2"/>
        <v>23.6</v>
      </c>
      <c r="I29" s="124">
        <f t="shared" si="3"/>
        <v>197.12699999999998</v>
      </c>
      <c r="J29" s="124">
        <f t="shared" si="8"/>
        <v>29.168289446783827</v>
      </c>
      <c r="K29" s="127">
        <f t="shared" si="9"/>
        <v>249.89528944678381</v>
      </c>
      <c r="L29" s="126">
        <f t="shared" si="4"/>
        <v>2.0689999999999884</v>
      </c>
      <c r="M29" s="128">
        <f t="shared" si="5"/>
        <v>8.3485896698795078E-3</v>
      </c>
    </row>
    <row r="30" spans="2:13" x14ac:dyDescent="0.25">
      <c r="B30" s="122">
        <v>23</v>
      </c>
      <c r="C30" s="142">
        <f t="shared" si="10"/>
        <v>2200</v>
      </c>
      <c r="D30" s="123">
        <f t="shared" si="0"/>
        <v>17.100000000000001</v>
      </c>
      <c r="E30" s="124">
        <f t="shared" si="1"/>
        <v>211.15599999999998</v>
      </c>
      <c r="F30" s="124">
        <f t="shared" si="6"/>
        <v>30.557255610916393</v>
      </c>
      <c r="G30" s="125">
        <f t="shared" si="7"/>
        <v>258.81325561091637</v>
      </c>
      <c r="H30" s="126">
        <f t="shared" si="2"/>
        <v>23.6</v>
      </c>
      <c r="I30" s="124">
        <f t="shared" si="3"/>
        <v>206.51399999999998</v>
      </c>
      <c r="J30" s="124">
        <f t="shared" si="8"/>
        <v>30.557255610916393</v>
      </c>
      <c r="K30" s="127">
        <f t="shared" si="9"/>
        <v>260.67125561091638</v>
      </c>
      <c r="L30" s="126">
        <f t="shared" si="4"/>
        <v>1.8580000000000041</v>
      </c>
      <c r="M30" s="128">
        <f t="shared" si="5"/>
        <v>7.1789213253945728E-3</v>
      </c>
    </row>
    <row r="31" spans="2:13" x14ac:dyDescent="0.25">
      <c r="B31" s="122">
        <v>24</v>
      </c>
      <c r="C31" s="142">
        <f t="shared" si="10"/>
        <v>2300</v>
      </c>
      <c r="D31" s="123">
        <f t="shared" si="0"/>
        <v>17.100000000000001</v>
      </c>
      <c r="E31" s="124">
        <f t="shared" si="1"/>
        <v>220.75399999999999</v>
      </c>
      <c r="F31" s="124">
        <f t="shared" si="6"/>
        <v>31.946221775048954</v>
      </c>
      <c r="G31" s="125">
        <f t="shared" si="7"/>
        <v>269.80022177504895</v>
      </c>
      <c r="H31" s="126">
        <f t="shared" si="2"/>
        <v>23.6</v>
      </c>
      <c r="I31" s="124">
        <f t="shared" si="3"/>
        <v>215.90099999999998</v>
      </c>
      <c r="J31" s="124">
        <f t="shared" si="8"/>
        <v>31.946221775048954</v>
      </c>
      <c r="K31" s="127">
        <f t="shared" si="9"/>
        <v>271.44722177504894</v>
      </c>
      <c r="L31" s="126">
        <f t="shared" si="4"/>
        <v>1.6469999999999914</v>
      </c>
      <c r="M31" s="128">
        <f t="shared" si="5"/>
        <v>6.1045168501499929E-3</v>
      </c>
    </row>
    <row r="32" spans="2:13" x14ac:dyDescent="0.25">
      <c r="B32" s="122">
        <v>25</v>
      </c>
      <c r="C32" s="142">
        <f t="shared" si="10"/>
        <v>2400</v>
      </c>
      <c r="D32" s="123">
        <f t="shared" si="0"/>
        <v>17.100000000000001</v>
      </c>
      <c r="E32" s="124">
        <f t="shared" si="1"/>
        <v>230.352</v>
      </c>
      <c r="F32" s="124">
        <f t="shared" si="6"/>
        <v>33.335187939181516</v>
      </c>
      <c r="G32" s="125">
        <f t="shared" si="7"/>
        <v>280.78718793918154</v>
      </c>
      <c r="H32" s="126">
        <f t="shared" si="2"/>
        <v>23.6</v>
      </c>
      <c r="I32" s="124">
        <f t="shared" si="3"/>
        <v>225.28799999999998</v>
      </c>
      <c r="J32" s="124">
        <f t="shared" si="8"/>
        <v>33.335187939181516</v>
      </c>
      <c r="K32" s="127">
        <f t="shared" si="9"/>
        <v>282.22318793918151</v>
      </c>
      <c r="L32" s="126">
        <f t="shared" si="4"/>
        <v>1.4359999999999786</v>
      </c>
      <c r="M32" s="128">
        <f t="shared" si="5"/>
        <v>5.1141934592507689E-3</v>
      </c>
    </row>
    <row r="33" spans="2:13" x14ac:dyDescent="0.25">
      <c r="B33" s="122">
        <v>26</v>
      </c>
      <c r="C33" s="142">
        <f t="shared" si="10"/>
        <v>2500</v>
      </c>
      <c r="D33" s="123">
        <f t="shared" si="0"/>
        <v>17.100000000000001</v>
      </c>
      <c r="E33" s="124">
        <f t="shared" si="1"/>
        <v>239.95</v>
      </c>
      <c r="F33" s="124">
        <f t="shared" si="6"/>
        <v>34.724154103314085</v>
      </c>
      <c r="G33" s="125">
        <f t="shared" si="7"/>
        <v>291.77415410331412</v>
      </c>
      <c r="H33" s="126">
        <f t="shared" si="2"/>
        <v>23.6</v>
      </c>
      <c r="I33" s="124">
        <f t="shared" si="3"/>
        <v>234.67499999999998</v>
      </c>
      <c r="J33" s="124">
        <f t="shared" si="8"/>
        <v>34.724154103314085</v>
      </c>
      <c r="K33" s="127">
        <f t="shared" si="9"/>
        <v>292.99915410331408</v>
      </c>
      <c r="L33" s="126">
        <f t="shared" si="4"/>
        <v>1.2249999999999659</v>
      </c>
      <c r="M33" s="128">
        <f t="shared" si="5"/>
        <v>4.198452751117244E-3</v>
      </c>
    </row>
    <row r="34" spans="2:13" x14ac:dyDescent="0.25">
      <c r="B34" s="122">
        <v>27</v>
      </c>
      <c r="C34" s="142">
        <f t="shared" si="10"/>
        <v>2600</v>
      </c>
      <c r="D34" s="123">
        <f t="shared" si="0"/>
        <v>17.100000000000001</v>
      </c>
      <c r="E34" s="124">
        <f t="shared" si="1"/>
        <v>249.548</v>
      </c>
      <c r="F34" s="124">
        <f t="shared" si="6"/>
        <v>36.113120267446646</v>
      </c>
      <c r="G34" s="125">
        <f t="shared" si="7"/>
        <v>302.7611202674467</v>
      </c>
      <c r="H34" s="126">
        <f t="shared" si="2"/>
        <v>23.6</v>
      </c>
      <c r="I34" s="124">
        <f t="shared" si="3"/>
        <v>244.06199999999998</v>
      </c>
      <c r="J34" s="124">
        <f t="shared" si="8"/>
        <v>36.113120267446646</v>
      </c>
      <c r="K34" s="127">
        <f t="shared" si="9"/>
        <v>303.7751202674466</v>
      </c>
      <c r="L34" s="126">
        <f t="shared" si="4"/>
        <v>1.0139999999998963</v>
      </c>
      <c r="M34" s="128">
        <f t="shared" si="5"/>
        <v>3.3491750826663957E-3</v>
      </c>
    </row>
    <row r="35" spans="2:13" x14ac:dyDescent="0.25">
      <c r="B35" s="122">
        <v>28</v>
      </c>
      <c r="C35" s="142">
        <f>C34+100</f>
        <v>2700</v>
      </c>
      <c r="D35" s="123">
        <f t="shared" si="0"/>
        <v>17.100000000000001</v>
      </c>
      <c r="E35" s="124">
        <f t="shared" si="1"/>
        <v>259.14600000000002</v>
      </c>
      <c r="F35" s="124">
        <f t="shared" si="6"/>
        <v>37.502086431579208</v>
      </c>
      <c r="G35" s="125">
        <f t="shared" si="7"/>
        <v>313.74808643157922</v>
      </c>
      <c r="H35" s="126">
        <f t="shared" si="2"/>
        <v>23.6</v>
      </c>
      <c r="I35" s="124">
        <f t="shared" si="3"/>
        <v>253.44899999999998</v>
      </c>
      <c r="J35" s="124">
        <f t="shared" si="8"/>
        <v>37.502086431579208</v>
      </c>
      <c r="K35" s="127">
        <f t="shared" si="9"/>
        <v>314.55108643157917</v>
      </c>
      <c r="L35" s="126">
        <f t="shared" si="4"/>
        <v>0.80299999999994043</v>
      </c>
      <c r="M35" s="128">
        <f t="shared" si="5"/>
        <v>2.5593781595064967E-3</v>
      </c>
    </row>
    <row r="36" spans="2:13" x14ac:dyDescent="0.25">
      <c r="B36" s="122">
        <v>29</v>
      </c>
      <c r="C36" s="142">
        <f t="shared" si="10"/>
        <v>2800</v>
      </c>
      <c r="D36" s="123">
        <f t="shared" si="0"/>
        <v>17.100000000000001</v>
      </c>
      <c r="E36" s="124">
        <f t="shared" si="1"/>
        <v>268.74399999999997</v>
      </c>
      <c r="F36" s="124">
        <f t="shared" si="6"/>
        <v>38.89105259571177</v>
      </c>
      <c r="G36" s="125">
        <f t="shared" si="7"/>
        <v>324.73505259571175</v>
      </c>
      <c r="H36" s="126">
        <f t="shared" si="2"/>
        <v>23.6</v>
      </c>
      <c r="I36" s="124">
        <f t="shared" si="3"/>
        <v>262.83600000000001</v>
      </c>
      <c r="J36" s="124">
        <f t="shared" si="8"/>
        <v>38.89105259571177</v>
      </c>
      <c r="K36" s="127">
        <f t="shared" si="9"/>
        <v>325.32705259571179</v>
      </c>
      <c r="L36" s="126">
        <f t="shared" si="4"/>
        <v>0.59200000000004138</v>
      </c>
      <c r="M36" s="128">
        <f t="shared" si="5"/>
        <v>1.823024632752131E-3</v>
      </c>
    </row>
    <row r="37" spans="2:13" x14ac:dyDescent="0.25">
      <c r="B37" s="122">
        <v>30</v>
      </c>
      <c r="C37" s="142">
        <f t="shared" si="10"/>
        <v>2900</v>
      </c>
      <c r="D37" s="123">
        <f t="shared" si="0"/>
        <v>17.100000000000001</v>
      </c>
      <c r="E37" s="124">
        <f t="shared" si="1"/>
        <v>278.34199999999998</v>
      </c>
      <c r="F37" s="124">
        <f t="shared" si="6"/>
        <v>40.280018759844332</v>
      </c>
      <c r="G37" s="125">
        <f t="shared" si="7"/>
        <v>335.72201875984433</v>
      </c>
      <c r="H37" s="126">
        <f t="shared" si="2"/>
        <v>23.6</v>
      </c>
      <c r="I37" s="124">
        <f t="shared" si="3"/>
        <v>272.22300000000001</v>
      </c>
      <c r="J37" s="124">
        <f t="shared" si="8"/>
        <v>40.280018759844332</v>
      </c>
      <c r="K37" s="127">
        <f t="shared" si="9"/>
        <v>336.10301875984436</v>
      </c>
      <c r="L37" s="126">
        <f t="shared" si="4"/>
        <v>0.38100000000002865</v>
      </c>
      <c r="M37" s="128">
        <f t="shared" si="5"/>
        <v>1.1348674757987009E-3</v>
      </c>
    </row>
    <row r="38" spans="2:13" ht="13.5" thickBot="1" x14ac:dyDescent="0.3">
      <c r="B38" s="132">
        <v>31</v>
      </c>
      <c r="C38" s="144">
        <f>C37+100</f>
        <v>3000</v>
      </c>
      <c r="D38" s="133">
        <f t="shared" si="0"/>
        <v>17.100000000000001</v>
      </c>
      <c r="E38" s="134">
        <f t="shared" si="1"/>
        <v>287.94</v>
      </c>
      <c r="F38" s="134">
        <f t="shared" si="6"/>
        <v>41.6689849239769</v>
      </c>
      <c r="G38" s="135">
        <f t="shared" si="7"/>
        <v>346.70898492397691</v>
      </c>
      <c r="H38" s="136">
        <f t="shared" si="2"/>
        <v>23.6</v>
      </c>
      <c r="I38" s="134">
        <f t="shared" si="3"/>
        <v>281.61</v>
      </c>
      <c r="J38" s="134">
        <f t="shared" si="8"/>
        <v>41.6689849239769</v>
      </c>
      <c r="K38" s="137">
        <f t="shared" si="9"/>
        <v>346.87898492397693</v>
      </c>
      <c r="L38" s="136">
        <f t="shared" si="4"/>
        <v>0.17000000000001592</v>
      </c>
      <c r="M38" s="138">
        <f t="shared" si="5"/>
        <v>4.903247605114471E-4</v>
      </c>
    </row>
    <row r="39" spans="2:13" ht="13.5" thickTop="1" x14ac:dyDescent="0.25">
      <c r="D39" s="124"/>
      <c r="E39" s="139"/>
      <c r="F39" s="139"/>
      <c r="G39" s="124"/>
      <c r="H39" s="140"/>
      <c r="I39" s="139"/>
      <c r="J39" s="139"/>
      <c r="K39" s="140"/>
      <c r="L39" s="140"/>
      <c r="M39" s="145"/>
    </row>
  </sheetData>
  <mergeCells count="3">
    <mergeCell ref="D5:G5"/>
    <mergeCell ref="H5:K5"/>
    <mergeCell ref="L5:M5"/>
  </mergeCells>
  <printOptions horizontalCentered="1"/>
  <pageMargins left="1" right="0.75" top="0.75" bottom="0.75" header="0.3" footer="0.3"/>
  <pageSetup scale="81" orientation="landscape" r:id="rId1"/>
  <headerFooter>
    <oddFooter>&amp;RExhibit JW-9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FD2D1-0261-4B16-940C-DD9AB8DBD482}">
  <sheetPr>
    <tabColor rgb="FFFFCCFF"/>
    <pageSetUpPr fitToPage="1"/>
  </sheetPr>
  <dimension ref="A1:L153"/>
  <sheetViews>
    <sheetView view="pageBreakPreview" topLeftCell="A16" zoomScaleNormal="100" zoomScaleSheetLayoutView="100" workbookViewId="0">
      <selection activeCell="E37" sqref="E37"/>
    </sheetView>
  </sheetViews>
  <sheetFormatPr defaultColWidth="8.85546875" defaultRowHeight="12.75" x14ac:dyDescent="0.2"/>
  <cols>
    <col min="1" max="1" width="1.7109375" style="2" customWidth="1"/>
    <col min="2" max="2" width="1.28515625" style="2" customWidth="1"/>
    <col min="3" max="3" width="9.140625" style="2" customWidth="1"/>
    <col min="4" max="4" width="41.7109375" style="9" customWidth="1"/>
    <col min="5" max="5" width="34.85546875" style="2" bestFit="1" customWidth="1"/>
    <col min="6" max="6" width="11.42578125" style="2" bestFit="1" customWidth="1"/>
    <col min="7" max="7" width="10.42578125" style="2" bestFit="1" customWidth="1"/>
    <col min="8" max="8" width="13.28515625" style="2" customWidth="1"/>
    <col min="9" max="9" width="8.85546875" style="2"/>
    <col min="10" max="11" width="9.85546875" style="2" bestFit="1" customWidth="1"/>
    <col min="12" max="12" width="10.5703125" style="2" bestFit="1" customWidth="1"/>
    <col min="13" max="14" width="8.85546875" style="2"/>
    <col min="15" max="16" width="9.85546875" style="2" bestFit="1" customWidth="1"/>
    <col min="17" max="16384" width="8.85546875" style="2"/>
  </cols>
  <sheetData>
    <row r="1" spans="1:12" x14ac:dyDescent="0.2">
      <c r="A1" s="1" t="str">
        <f>Summary!A1</f>
        <v>BLUE GRASS ENERGY</v>
      </c>
    </row>
    <row r="2" spans="1:12" x14ac:dyDescent="0.2">
      <c r="A2" s="1" t="s">
        <v>85</v>
      </c>
    </row>
    <row r="4" spans="1:12" x14ac:dyDescent="0.2">
      <c r="C4" s="105" t="s">
        <v>62</v>
      </c>
      <c r="D4" s="90"/>
      <c r="E4" s="23" t="s">
        <v>1</v>
      </c>
      <c r="F4" s="26" t="s">
        <v>63</v>
      </c>
      <c r="G4" s="26" t="s">
        <v>64</v>
      </c>
      <c r="H4" s="26" t="s">
        <v>77</v>
      </c>
    </row>
    <row r="5" spans="1:12" x14ac:dyDescent="0.2">
      <c r="C5" s="43" t="str">
        <f>'Billing Detail'!C6</f>
        <v>GS-1</v>
      </c>
      <c r="D5" s="44" t="str">
        <f>'Billing Detail'!B6</f>
        <v>Residential and Farm</v>
      </c>
    </row>
    <row r="6" spans="1:12" x14ac:dyDescent="0.2">
      <c r="C6" s="43"/>
      <c r="D6" s="44"/>
      <c r="E6" s="2" t="str">
        <f>'Billing Detail'!D7</f>
        <v>Facility Charge per month</v>
      </c>
      <c r="F6" s="24">
        <f>'Billing Detail'!H7</f>
        <v>17.100000000000001</v>
      </c>
      <c r="G6" s="24">
        <f>'Billing Detail'!J7</f>
        <v>23.6</v>
      </c>
      <c r="H6" s="96">
        <f>G6-F6</f>
        <v>6.5</v>
      </c>
      <c r="I6" s="97"/>
      <c r="J6" s="24"/>
      <c r="K6" s="24"/>
      <c r="L6" s="96"/>
    </row>
    <row r="7" spans="1:12" x14ac:dyDescent="0.2">
      <c r="C7" s="43"/>
      <c r="D7" s="44"/>
      <c r="E7" s="2" t="str">
        <f>'Billing Detail'!D10</f>
        <v>Energy Charge per kWh</v>
      </c>
      <c r="F7" s="25">
        <f>'Billing Detail'!H10</f>
        <v>9.5979999999999996E-2</v>
      </c>
      <c r="G7" s="25">
        <f>'Billing Detail'!J10</f>
        <v>9.3869999999999995E-2</v>
      </c>
      <c r="H7" s="98">
        <f>G7-F7</f>
        <v>-2.1100000000000008E-3</v>
      </c>
      <c r="I7" s="97"/>
      <c r="J7" s="25"/>
      <c r="K7" s="25"/>
      <c r="L7" s="98"/>
    </row>
    <row r="8" spans="1:12" x14ac:dyDescent="0.2">
      <c r="C8" s="43" t="str">
        <f>'Billing Detail'!C20</f>
        <v>GS-2</v>
      </c>
      <c r="D8" s="44" t="str">
        <f>'Billing Detail'!B20</f>
        <v>Residential and Farm Inclining Block</v>
      </c>
      <c r="F8" s="24"/>
      <c r="G8" s="24"/>
      <c r="J8" s="24"/>
      <c r="K8" s="24"/>
    </row>
    <row r="9" spans="1:12" x14ac:dyDescent="0.2">
      <c r="C9" s="43"/>
      <c r="D9" s="44"/>
      <c r="E9" s="2" t="str">
        <f>'Billing Detail'!D21</f>
        <v>Customer Charge per month</v>
      </c>
      <c r="F9" s="24">
        <f>'Billing Detail'!H21</f>
        <v>14.36</v>
      </c>
      <c r="G9" s="24">
        <f>'Billing Detail'!J21</f>
        <v>20.86</v>
      </c>
      <c r="H9" s="96">
        <f>G9-F9</f>
        <v>6.5</v>
      </c>
      <c r="I9" s="97"/>
      <c r="J9" s="24"/>
      <c r="K9" s="24"/>
      <c r="L9" s="96"/>
    </row>
    <row r="10" spans="1:12" x14ac:dyDescent="0.2">
      <c r="C10" s="43"/>
      <c r="D10" s="44"/>
      <c r="E10" s="2" t="str">
        <f>'Billing Detail'!D25</f>
        <v>Energy Charge - First 200 per kWh</v>
      </c>
      <c r="F10" s="25">
        <f>'Billing Detail'!H25</f>
        <v>8.8239999999999999E-2</v>
      </c>
      <c r="G10" s="25">
        <f>'Billing Detail'!J25</f>
        <v>8.8239999999999999E-2</v>
      </c>
      <c r="H10" s="96">
        <f t="shared" ref="H10:H12" si="0">G10-F10</f>
        <v>0</v>
      </c>
      <c r="J10" s="25"/>
      <c r="K10" s="25"/>
      <c r="L10" s="96"/>
    </row>
    <row r="11" spans="1:12" x14ac:dyDescent="0.2">
      <c r="C11" s="43"/>
      <c r="D11" s="44"/>
      <c r="E11" s="2" t="str">
        <f>'Billing Detail'!D26</f>
        <v>Energy Charge - Next 300 per kWh</v>
      </c>
      <c r="F11" s="25">
        <f>'Billing Detail'!H26</f>
        <v>0.10378999999999999</v>
      </c>
      <c r="G11" s="25">
        <f>'Billing Detail'!J26</f>
        <v>0.10378999999999999</v>
      </c>
      <c r="H11" s="96">
        <f t="shared" si="0"/>
        <v>0</v>
      </c>
      <c r="J11" s="25"/>
      <c r="K11" s="25"/>
      <c r="L11" s="96"/>
    </row>
    <row r="12" spans="1:12" x14ac:dyDescent="0.2">
      <c r="C12" s="43"/>
      <c r="D12" s="44"/>
      <c r="E12" s="2" t="str">
        <f>'Billing Detail'!D27</f>
        <v>Energy Charge - Over 500 per kWh</v>
      </c>
      <c r="F12" s="25">
        <f>'Billing Detail'!H27</f>
        <v>0.11415</v>
      </c>
      <c r="G12" s="25">
        <f>'Billing Detail'!J27</f>
        <v>0.11415</v>
      </c>
      <c r="H12" s="96">
        <f t="shared" si="0"/>
        <v>0</v>
      </c>
      <c r="J12" s="25"/>
      <c r="K12" s="25"/>
      <c r="L12" s="96"/>
    </row>
    <row r="13" spans="1:12" x14ac:dyDescent="0.2">
      <c r="C13" s="43" t="str">
        <f>'Billing Detail'!C37</f>
        <v>GS-3</v>
      </c>
      <c r="D13" s="44" t="str">
        <f>'Billing Detail'!B37</f>
        <v>Residential and Farm Time-of-Day Rate</v>
      </c>
      <c r="F13" s="24"/>
      <c r="G13" s="24"/>
      <c r="J13" s="24"/>
      <c r="K13" s="24"/>
    </row>
    <row r="14" spans="1:12" x14ac:dyDescent="0.2">
      <c r="C14" s="43"/>
      <c r="D14" s="44"/>
      <c r="E14" s="2" t="str">
        <f>'Billing Detail'!D38</f>
        <v>Facility Charge per month</v>
      </c>
      <c r="F14" s="24">
        <f>'Billing Detail'!H38</f>
        <v>25.91</v>
      </c>
      <c r="G14" s="24">
        <f>'Billing Detail'!J38</f>
        <v>25.91</v>
      </c>
      <c r="H14" s="96">
        <f>G14-F14</f>
        <v>0</v>
      </c>
      <c r="I14" s="97"/>
      <c r="J14" s="24"/>
      <c r="K14" s="24"/>
      <c r="L14" s="96"/>
    </row>
    <row r="15" spans="1:12" x14ac:dyDescent="0.2">
      <c r="C15" s="43"/>
      <c r="D15" s="44"/>
      <c r="E15" s="2" t="str">
        <f>'Billing Detail'!D41</f>
        <v>Energy Charge - On Peak per kWh</v>
      </c>
      <c r="F15" s="25">
        <f>'Billing Detail'!H41</f>
        <v>0.11357</v>
      </c>
      <c r="G15" s="25">
        <f>'Billing Detail'!J41</f>
        <v>0.17036000000000001</v>
      </c>
      <c r="H15" s="98">
        <f t="shared" ref="H15:H47" si="1">G15-F15</f>
        <v>5.6790000000000007E-2</v>
      </c>
      <c r="J15" s="25"/>
      <c r="K15" s="25"/>
      <c r="L15" s="98"/>
    </row>
    <row r="16" spans="1:12" x14ac:dyDescent="0.2">
      <c r="C16" s="43"/>
      <c r="D16" s="44"/>
      <c r="E16" s="2" t="str">
        <f>'Billing Detail'!D42</f>
        <v>Energy Charge - Off Peak per kWh</v>
      </c>
      <c r="F16" s="25">
        <f>'Billing Detail'!H42</f>
        <v>6.5979999999999997E-2</v>
      </c>
      <c r="G16" s="25">
        <f>'Billing Detail'!J42</f>
        <v>6.5979999999999997E-2</v>
      </c>
      <c r="H16" s="96">
        <f t="shared" si="1"/>
        <v>0</v>
      </c>
      <c r="J16" s="25"/>
      <c r="K16" s="25"/>
      <c r="L16" s="96"/>
    </row>
    <row r="17" spans="3:8" x14ac:dyDescent="0.2">
      <c r="C17" s="43" t="str">
        <f>'Billing Detail'!C52</f>
        <v>SC-1</v>
      </c>
      <c r="D17" s="44" t="str">
        <f>'Billing Detail'!B52</f>
        <v>General Service (0-100 KW)</v>
      </c>
      <c r="F17" s="24"/>
      <c r="G17" s="24"/>
      <c r="H17" s="96"/>
    </row>
    <row r="18" spans="3:8" x14ac:dyDescent="0.2">
      <c r="C18" s="43"/>
      <c r="D18" s="44"/>
      <c r="E18" s="2" t="str">
        <f>'Billing Detail'!D53</f>
        <v>Facility Charge per month</v>
      </c>
      <c r="F18" s="24">
        <f>'Billing Detail'!H53</f>
        <v>33.69</v>
      </c>
      <c r="G18" s="24">
        <f>'Billing Detail'!J53</f>
        <v>33.69</v>
      </c>
      <c r="H18" s="96">
        <f t="shared" si="1"/>
        <v>0</v>
      </c>
    </row>
    <row r="19" spans="3:8" x14ac:dyDescent="0.2">
      <c r="C19" s="43"/>
      <c r="D19" s="44"/>
      <c r="E19" s="2" t="str">
        <f>'Billing Detail'!D54</f>
        <v>Energy Charge per kWh</v>
      </c>
      <c r="F19" s="25">
        <f>'Billing Detail'!H54</f>
        <v>9.6439999999999998E-2</v>
      </c>
      <c r="G19" s="25">
        <f>'Billing Detail'!J54</f>
        <v>9.6439999999999998E-2</v>
      </c>
      <c r="H19" s="96">
        <f t="shared" si="1"/>
        <v>0</v>
      </c>
    </row>
    <row r="20" spans="3:8" x14ac:dyDescent="0.2">
      <c r="C20" s="43"/>
      <c r="D20" s="44"/>
      <c r="E20" s="2" t="str">
        <f>'Billing Detail'!D55</f>
        <v>Demand Charge over 10 KW per kW</v>
      </c>
      <c r="F20" s="24">
        <f>'Billing Detail'!H55</f>
        <v>8.06</v>
      </c>
      <c r="G20" s="24">
        <f>'Billing Detail'!J55</f>
        <v>8.06</v>
      </c>
      <c r="H20" s="96">
        <f t="shared" si="1"/>
        <v>0</v>
      </c>
    </row>
    <row r="21" spans="3:8" x14ac:dyDescent="0.2">
      <c r="C21" s="43" t="str">
        <f>'Billing Detail'!C65</f>
        <v>SC-2</v>
      </c>
      <c r="D21" s="44" t="str">
        <f>'Billing Detail'!B65</f>
        <v>General Service 0-100 KW Time of Day Rate</v>
      </c>
      <c r="F21" s="24"/>
      <c r="G21" s="24"/>
      <c r="H21" s="96"/>
    </row>
    <row r="22" spans="3:8" x14ac:dyDescent="0.2">
      <c r="C22" s="43"/>
      <c r="D22" s="44"/>
      <c r="E22" s="2" t="str">
        <f>'Billing Detail'!D66</f>
        <v>Facility Charge per month</v>
      </c>
      <c r="F22" s="24">
        <f>'Billing Detail'!H66</f>
        <v>41.46</v>
      </c>
      <c r="G22" s="24">
        <f>'Billing Detail'!J66</f>
        <v>41.46</v>
      </c>
      <c r="H22" s="96">
        <f t="shared" si="1"/>
        <v>0</v>
      </c>
    </row>
    <row r="23" spans="3:8" x14ac:dyDescent="0.2">
      <c r="C23" s="43"/>
      <c r="D23" s="44"/>
      <c r="E23" s="2" t="str">
        <f>'Billing Detail'!D67</f>
        <v>Energy Charge - On Peak per kWh</v>
      </c>
      <c r="F23" s="25">
        <f>'Billing Detail'!H67</f>
        <v>0.14183999999999999</v>
      </c>
      <c r="G23" s="25">
        <f>'Billing Detail'!J67</f>
        <v>0.14183999999999999</v>
      </c>
      <c r="H23" s="96">
        <f t="shared" si="1"/>
        <v>0</v>
      </c>
    </row>
    <row r="24" spans="3:8" x14ac:dyDescent="0.2">
      <c r="C24" s="43"/>
      <c r="D24" s="44"/>
      <c r="E24" s="2" t="str">
        <f>'Billing Detail'!D68</f>
        <v>Energy Charge - Off Peak per kWh</v>
      </c>
      <c r="F24" s="25">
        <f>'Billing Detail'!H68</f>
        <v>8.0119999999999997E-2</v>
      </c>
      <c r="G24" s="25">
        <f>'Billing Detail'!J68</f>
        <v>8.0119999999999997E-2</v>
      </c>
      <c r="H24" s="96">
        <f t="shared" si="1"/>
        <v>0</v>
      </c>
    </row>
    <row r="25" spans="3:8" x14ac:dyDescent="0.2">
      <c r="C25" s="43" t="str">
        <f>'Billing Detail'!C78</f>
        <v>LP-1</v>
      </c>
      <c r="D25" s="44" t="str">
        <f>'Billing Detail'!B78</f>
        <v>Large Power (101 - 500 kW)</v>
      </c>
      <c r="F25" s="24"/>
      <c r="G25" s="24"/>
      <c r="H25" s="96"/>
    </row>
    <row r="26" spans="3:8" x14ac:dyDescent="0.2">
      <c r="C26" s="43"/>
      <c r="D26" s="44"/>
      <c r="E26" s="2" t="str">
        <f>'Billing Detail'!D79</f>
        <v>Customer Charge per month</v>
      </c>
      <c r="F26" s="24">
        <f>'Billing Detail'!H79</f>
        <v>57.6</v>
      </c>
      <c r="G26" s="24">
        <f>'Billing Detail'!J79</f>
        <v>57.6</v>
      </c>
      <c r="H26" s="96">
        <f t="shared" si="1"/>
        <v>0</v>
      </c>
    </row>
    <row r="27" spans="3:8" x14ac:dyDescent="0.2">
      <c r="C27" s="43"/>
      <c r="D27" s="44"/>
      <c r="E27" s="2" t="str">
        <f>'Billing Detail'!D80</f>
        <v>Energy Charge per kWh</v>
      </c>
      <c r="F27" s="25">
        <f>'Billing Detail'!H80</f>
        <v>6.5689999999999998E-2</v>
      </c>
      <c r="G27" s="25">
        <f>'Billing Detail'!J80</f>
        <v>6.5689999999999998E-2</v>
      </c>
      <c r="H27" s="96">
        <f t="shared" si="1"/>
        <v>0</v>
      </c>
    </row>
    <row r="28" spans="3:8" x14ac:dyDescent="0.2">
      <c r="C28" s="43"/>
      <c r="D28" s="44"/>
      <c r="E28" s="2" t="str">
        <f>'Billing Detail'!D82</f>
        <v>Demand Charge per kW</v>
      </c>
      <c r="F28" s="24">
        <f>'Billing Detail'!H82</f>
        <v>8.64</v>
      </c>
      <c r="G28" s="24">
        <f>'Billing Detail'!J82</f>
        <v>8.64</v>
      </c>
      <c r="H28" s="96">
        <f t="shared" si="1"/>
        <v>0</v>
      </c>
    </row>
    <row r="29" spans="3:8" x14ac:dyDescent="0.2">
      <c r="C29" s="43" t="str">
        <f>'Billing Detail'!C93</f>
        <v>LP-2</v>
      </c>
      <c r="D29" s="44" t="str">
        <f>'Billing Detail'!B93</f>
        <v>Large Power (over 500 kW)</v>
      </c>
      <c r="F29" s="24"/>
      <c r="G29" s="24"/>
      <c r="H29" s="96"/>
    </row>
    <row r="30" spans="3:8" x14ac:dyDescent="0.2">
      <c r="C30" s="43"/>
      <c r="D30" s="44"/>
      <c r="E30" s="2" t="str">
        <f>'Billing Detail'!D94</f>
        <v>Facility Charge per month</v>
      </c>
      <c r="F30" s="24">
        <f>'Billing Detail'!H94</f>
        <v>115.2</v>
      </c>
      <c r="G30" s="24">
        <f>'Billing Detail'!J94</f>
        <v>115.2</v>
      </c>
      <c r="H30" s="96">
        <f t="shared" si="1"/>
        <v>0</v>
      </c>
    </row>
    <row r="31" spans="3:8" x14ac:dyDescent="0.2">
      <c r="C31" s="43"/>
      <c r="D31" s="44"/>
      <c r="E31" s="2" t="str">
        <f>'Billing Detail'!D95</f>
        <v>Energy Charge per kWh</v>
      </c>
      <c r="F31" s="25">
        <f>'Billing Detail'!H95</f>
        <v>5.9319999999999998E-2</v>
      </c>
      <c r="G31" s="25">
        <f>'Billing Detail'!J95</f>
        <v>5.9319999999999998E-2</v>
      </c>
      <c r="H31" s="96">
        <f t="shared" si="1"/>
        <v>0</v>
      </c>
    </row>
    <row r="32" spans="3:8" x14ac:dyDescent="0.2">
      <c r="C32" s="43"/>
      <c r="D32" s="44"/>
      <c r="E32" s="2" t="str">
        <f>'Billing Detail'!D98</f>
        <v>Interruptible Credit per kW</v>
      </c>
      <c r="F32" s="24">
        <f>'Billing Detail'!H98</f>
        <v>-5.6</v>
      </c>
      <c r="G32" s="24">
        <f>'Billing Detail'!J98</f>
        <v>-5.6</v>
      </c>
      <c r="H32" s="96">
        <f t="shared" si="1"/>
        <v>0</v>
      </c>
    </row>
    <row r="33" spans="3:8" x14ac:dyDescent="0.2">
      <c r="C33" s="43" t="str">
        <f>'Billing Detail'!C108</f>
        <v>B-1</v>
      </c>
      <c r="D33" s="44" t="str">
        <f>'Billing Detail'!B108</f>
        <v>Large Industrial (1,000 - 3,999 kW)</v>
      </c>
      <c r="F33" s="24"/>
      <c r="G33" s="24"/>
      <c r="H33" s="96"/>
    </row>
    <row r="34" spans="3:8" x14ac:dyDescent="0.2">
      <c r="C34" s="43"/>
      <c r="D34" s="44"/>
      <c r="E34" s="22" t="str">
        <f>'Billing Detail'!D109</f>
        <v>Facility Charge per month</v>
      </c>
      <c r="F34" s="24">
        <f>'Billing Detail'!H109</f>
        <v>1150.8599999999999</v>
      </c>
      <c r="G34" s="24">
        <f>'Billing Detail'!J109</f>
        <v>1150.8599999999999</v>
      </c>
      <c r="H34" s="96">
        <f t="shared" si="1"/>
        <v>0</v>
      </c>
    </row>
    <row r="35" spans="3:8" x14ac:dyDescent="0.2">
      <c r="C35" s="43"/>
      <c r="D35" s="44"/>
      <c r="E35" s="22" t="str">
        <f>'Billing Detail'!D110</f>
        <v>Energy Charge per kWh</v>
      </c>
      <c r="F35" s="25">
        <f>'Billing Detail'!H110</f>
        <v>5.6869999999999997E-2</v>
      </c>
      <c r="G35" s="25">
        <f>'Billing Detail'!J110</f>
        <v>5.6869999999999997E-2</v>
      </c>
      <c r="H35" s="96">
        <f t="shared" si="1"/>
        <v>0</v>
      </c>
    </row>
    <row r="36" spans="3:8" x14ac:dyDescent="0.2">
      <c r="C36" s="43"/>
      <c r="D36" s="44"/>
      <c r="E36" s="22" t="str">
        <f>'Billing Detail'!D111</f>
        <v>Demand Charge Contract per kW</v>
      </c>
      <c r="F36" s="24">
        <f>'Billing Detail'!H111</f>
        <v>7.42</v>
      </c>
      <c r="G36" s="24">
        <f>'Billing Detail'!J111</f>
        <v>7.42</v>
      </c>
      <c r="H36" s="96">
        <f t="shared" si="1"/>
        <v>0</v>
      </c>
    </row>
    <row r="37" spans="3:8" x14ac:dyDescent="0.2">
      <c r="C37" s="43"/>
      <c r="D37" s="44"/>
      <c r="E37" s="22" t="str">
        <f>'Billing Detail'!D112</f>
        <v>Demand Charge Excess per kW</v>
      </c>
      <c r="F37" s="24">
        <f>'Billing Detail'!H112</f>
        <v>10.33</v>
      </c>
      <c r="G37" s="24">
        <f>'Billing Detail'!J112</f>
        <v>10.33</v>
      </c>
      <c r="H37" s="96">
        <f t="shared" si="1"/>
        <v>0</v>
      </c>
    </row>
    <row r="38" spans="3:8" x14ac:dyDescent="0.2">
      <c r="C38" s="43" t="str">
        <f>'Billing Detail'!C122</f>
        <v>B-2</v>
      </c>
      <c r="D38" s="44" t="str">
        <f>'Billing Detail'!B122</f>
        <v>Large Industrial (over 4,000 kW)</v>
      </c>
      <c r="E38" s="22"/>
      <c r="F38" s="24"/>
      <c r="G38" s="24"/>
      <c r="H38" s="96"/>
    </row>
    <row r="39" spans="3:8" x14ac:dyDescent="0.2">
      <c r="C39" s="43"/>
      <c r="D39" s="44"/>
      <c r="E39" s="2" t="str">
        <f>'Billing Detail'!D123</f>
        <v>Facility Charge per month</v>
      </c>
      <c r="F39" s="24">
        <f>'Billing Detail'!H123</f>
        <v>2301.71</v>
      </c>
      <c r="G39" s="24">
        <f>'Billing Detail'!J123</f>
        <v>2301.71</v>
      </c>
      <c r="H39" s="96">
        <f t="shared" si="1"/>
        <v>0</v>
      </c>
    </row>
    <row r="40" spans="3:8" x14ac:dyDescent="0.2">
      <c r="C40" s="43"/>
      <c r="D40" s="44"/>
      <c r="E40" s="2" t="str">
        <f>'Billing Detail'!D124</f>
        <v>Demand Charge Contract per kW</v>
      </c>
      <c r="F40" s="24">
        <f>'Billing Detail'!H124</f>
        <v>7.42</v>
      </c>
      <c r="G40" s="24">
        <f>'Billing Detail'!J124</f>
        <v>7.42</v>
      </c>
      <c r="H40" s="96">
        <f t="shared" si="1"/>
        <v>0</v>
      </c>
    </row>
    <row r="41" spans="3:8" x14ac:dyDescent="0.2">
      <c r="C41" s="43"/>
      <c r="D41" s="44"/>
      <c r="E41" s="2" t="str">
        <f>'Billing Detail'!D125</f>
        <v>Demand Charge Excess per kW</v>
      </c>
      <c r="F41" s="24">
        <f>'Billing Detail'!H125</f>
        <v>10.33</v>
      </c>
      <c r="G41" s="24">
        <f>'Billing Detail'!J125</f>
        <v>10.33</v>
      </c>
      <c r="H41" s="96">
        <f t="shared" si="1"/>
        <v>0</v>
      </c>
    </row>
    <row r="42" spans="3:8" x14ac:dyDescent="0.2">
      <c r="C42" s="43"/>
      <c r="D42" s="44"/>
      <c r="E42" s="2" t="str">
        <f>'Billing Detail'!D127</f>
        <v>Energy Charge per kWh</v>
      </c>
      <c r="F42" s="25">
        <f>'Billing Detail'!H127</f>
        <v>5.4219999999999997E-2</v>
      </c>
      <c r="G42" s="25">
        <f>'Billing Detail'!J127</f>
        <v>5.4219999999999997E-2</v>
      </c>
      <c r="H42" s="96">
        <f t="shared" si="1"/>
        <v>0</v>
      </c>
    </row>
    <row r="43" spans="3:8" x14ac:dyDescent="0.2">
      <c r="C43" s="43" t="str">
        <f>'Billing Detail'!C137</f>
        <v>G-1</v>
      </c>
      <c r="D43" s="44" t="str">
        <f>'Billing Detail'!B137</f>
        <v>Essity - EKPC Rate G</v>
      </c>
      <c r="F43" s="24"/>
      <c r="G43" s="24"/>
      <c r="H43" s="96"/>
    </row>
    <row r="44" spans="3:8" x14ac:dyDescent="0.2">
      <c r="C44" s="43"/>
      <c r="D44" s="44"/>
      <c r="E44" s="2" t="str">
        <f>'Billing Detail'!D138</f>
        <v>Facility Charge per month</v>
      </c>
      <c r="F44" s="24">
        <f>'Billing Detail'!H138</f>
        <v>5726.7</v>
      </c>
      <c r="G44" s="24">
        <f>'Billing Detail'!J138</f>
        <v>5726.7</v>
      </c>
      <c r="H44" s="96">
        <f t="shared" si="1"/>
        <v>0</v>
      </c>
    </row>
    <row r="45" spans="3:8" x14ac:dyDescent="0.2">
      <c r="C45" s="43"/>
      <c r="D45" s="44"/>
      <c r="E45" s="2" t="str">
        <f>'Billing Detail'!D139</f>
        <v>Demand Charge per kW</v>
      </c>
      <c r="F45" s="24">
        <f>'Billing Detail'!H139</f>
        <v>7.3</v>
      </c>
      <c r="G45" s="24">
        <f>'Billing Detail'!J139</f>
        <v>7.3</v>
      </c>
      <c r="H45" s="96">
        <f t="shared" si="1"/>
        <v>0</v>
      </c>
    </row>
    <row r="46" spans="3:8" x14ac:dyDescent="0.2">
      <c r="C46" s="43"/>
      <c r="D46" s="44"/>
      <c r="E46" s="2" t="str">
        <f>'Billing Detail'!D140</f>
        <v>Interruptible Credit per kW</v>
      </c>
      <c r="F46" s="24">
        <f>'Billing Detail'!H140</f>
        <v>-5.6</v>
      </c>
      <c r="G46" s="24">
        <f>'Billing Detail'!J140</f>
        <v>-5.6</v>
      </c>
      <c r="H46" s="96">
        <f t="shared" si="1"/>
        <v>0</v>
      </c>
    </row>
    <row r="47" spans="3:8" x14ac:dyDescent="0.2">
      <c r="E47" s="2" t="str">
        <f>'Billing Detail'!D141</f>
        <v>Energy Charge per kWh</v>
      </c>
      <c r="F47" s="25">
        <f>'Billing Detail'!H141</f>
        <v>5.1459999999999999E-2</v>
      </c>
      <c r="G47" s="25">
        <f>'Billing Detail'!J141</f>
        <v>5.1459999999999999E-2</v>
      </c>
      <c r="H47" s="96">
        <f t="shared" si="1"/>
        <v>0</v>
      </c>
    </row>
    <row r="48" spans="3:8" x14ac:dyDescent="0.2">
      <c r="C48" s="43" t="str">
        <f>'Billing Detail'!C152</f>
        <v>L</v>
      </c>
      <c r="D48" s="44" t="str">
        <f>'Billing Detail'!B152</f>
        <v>Lighting</v>
      </c>
      <c r="F48" s="24"/>
      <c r="G48" s="24"/>
    </row>
    <row r="49" spans="3:8" x14ac:dyDescent="0.2">
      <c r="C49" s="43"/>
      <c r="D49" s="44"/>
      <c r="E49" s="2" t="str">
        <f>'Billing Detail'!C153</f>
        <v>Open Bottom Light- 6000-9500 Lumens</v>
      </c>
      <c r="F49" s="24">
        <f>'Billing Detail'!H153</f>
        <v>12.23</v>
      </c>
      <c r="G49" s="24">
        <f>'Billing Detail'!J153</f>
        <v>13.48</v>
      </c>
      <c r="H49" s="96">
        <f>G49-F49</f>
        <v>1.25</v>
      </c>
    </row>
    <row r="50" spans="3:8" x14ac:dyDescent="0.2">
      <c r="C50" s="43"/>
      <c r="D50" s="44"/>
      <c r="E50" s="2" t="str">
        <f>'Billing Detail'!C154</f>
        <v>Open Bottom Light- 25,000 Lumens</v>
      </c>
      <c r="F50" s="24">
        <f>'Billing Detail'!H154</f>
        <v>19.02</v>
      </c>
      <c r="G50" s="24">
        <f>'Billing Detail'!J154</f>
        <v>20.97</v>
      </c>
      <c r="H50" s="96">
        <f t="shared" ref="H50:H60" si="2">G50-F50</f>
        <v>1.9499999999999993</v>
      </c>
    </row>
    <row r="51" spans="3:8" x14ac:dyDescent="0.2">
      <c r="C51" s="43"/>
      <c r="D51" s="44"/>
      <c r="E51" s="2" t="str">
        <f>'Billing Detail'!C162</f>
        <v>Directional Flood Light</v>
      </c>
      <c r="F51" s="24">
        <f>'Billing Detail'!H162</f>
        <v>19.45</v>
      </c>
      <c r="G51" s="24">
        <f>'Billing Detail'!J162</f>
        <v>21.45</v>
      </c>
      <c r="H51" s="96">
        <f t="shared" si="2"/>
        <v>2</v>
      </c>
    </row>
    <row r="52" spans="3:8" x14ac:dyDescent="0.2">
      <c r="C52" s="43"/>
      <c r="D52" s="44"/>
      <c r="E52" s="2" t="str">
        <f>'Billing Detail'!C165</f>
        <v>Shoebox Fixture</v>
      </c>
      <c r="F52" s="24">
        <f>'Billing Detail'!H165</f>
        <v>21.35</v>
      </c>
      <c r="G52" s="24">
        <f>'Billing Detail'!J165</f>
        <v>23.54</v>
      </c>
      <c r="H52" s="96">
        <f t="shared" si="2"/>
        <v>2.1899999999999977</v>
      </c>
    </row>
    <row r="53" spans="3:8" x14ac:dyDescent="0.2">
      <c r="C53" s="43"/>
      <c r="D53" s="44"/>
      <c r="E53" s="2" t="str">
        <f>'Billing Detail'!C166</f>
        <v>Acorn Fixture</v>
      </c>
      <c r="F53" s="24">
        <f>'Billing Detail'!H166</f>
        <v>20.6</v>
      </c>
      <c r="G53" s="24">
        <f>'Billing Detail'!J166</f>
        <v>22.71</v>
      </c>
      <c r="H53" s="96">
        <f t="shared" si="2"/>
        <v>2.1099999999999994</v>
      </c>
    </row>
    <row r="54" spans="3:8" x14ac:dyDescent="0.2">
      <c r="C54" s="43"/>
      <c r="D54" s="44"/>
      <c r="E54" s="2" t="str">
        <f>'Billing Detail'!C167</f>
        <v>Colonial Fixture</v>
      </c>
      <c r="F54" s="24">
        <f>'Billing Detail'!H167</f>
        <v>17.45</v>
      </c>
      <c r="G54" s="24">
        <f>'Billing Detail'!J167</f>
        <v>19.239999999999998</v>
      </c>
      <c r="H54" s="96">
        <f t="shared" si="2"/>
        <v>1.7899999999999991</v>
      </c>
    </row>
    <row r="55" spans="3:8" x14ac:dyDescent="0.2">
      <c r="C55" s="43"/>
      <c r="D55" s="44"/>
      <c r="E55" s="2" t="str">
        <f>'Billing Detail'!C168</f>
        <v>Cobra Head- 50,000 Lumens</v>
      </c>
      <c r="F55" s="24">
        <f>'Billing Detail'!H168</f>
        <v>26.55</v>
      </c>
      <c r="G55" s="24">
        <f>'Billing Detail'!J168</f>
        <v>29.27</v>
      </c>
      <c r="H55" s="96">
        <f t="shared" si="2"/>
        <v>2.7199999999999989</v>
      </c>
    </row>
    <row r="56" spans="3:8" x14ac:dyDescent="0.2">
      <c r="C56" s="43"/>
      <c r="D56" s="44"/>
      <c r="E56" s="2" t="str">
        <f>'Billing Detail'!C156</f>
        <v>Ornamental Light 6000-9500 Lumens</v>
      </c>
      <c r="F56" s="24">
        <f>'Billing Detail'!H156</f>
        <v>12.07</v>
      </c>
      <c r="G56" s="24">
        <f>'Billing Detail'!J156</f>
        <v>13.31</v>
      </c>
      <c r="H56" s="96">
        <f t="shared" si="2"/>
        <v>1.2400000000000002</v>
      </c>
    </row>
    <row r="57" spans="3:8" x14ac:dyDescent="0.2">
      <c r="C57" s="43"/>
      <c r="D57" s="44"/>
      <c r="E57" s="2" t="str">
        <f>'Billing Detail'!C158</f>
        <v>Ornamental light- approx 25000 Lumens</v>
      </c>
      <c r="F57" s="24">
        <f>'Billing Detail'!H158</f>
        <v>17.27</v>
      </c>
      <c r="G57" s="24">
        <f>'Billing Detail'!J158</f>
        <v>19.04</v>
      </c>
      <c r="H57" s="96">
        <f t="shared" si="2"/>
        <v>1.7699999999999996</v>
      </c>
    </row>
    <row r="58" spans="3:8" x14ac:dyDescent="0.2">
      <c r="C58" s="43"/>
      <c r="D58" s="44"/>
      <c r="E58" s="2" t="str">
        <f>'Billing Detail'!C161</f>
        <v>Colonial Fixture- 15ft Mounting height</v>
      </c>
      <c r="F58" s="24">
        <f>'Billing Detail'!H161</f>
        <v>10.61</v>
      </c>
      <c r="G58" s="24">
        <f>'Billing Detail'!J161</f>
        <v>11.7</v>
      </c>
      <c r="H58" s="96">
        <f t="shared" si="2"/>
        <v>1.0899999999999999</v>
      </c>
    </row>
    <row r="59" spans="3:8" x14ac:dyDescent="0.2">
      <c r="C59" s="43"/>
      <c r="D59" s="44"/>
      <c r="E59" s="2" t="str">
        <f>'Billing Detail'!C160</f>
        <v>Cobra Head- 25000 Lumens</v>
      </c>
      <c r="F59" s="24">
        <f>'Billing Detail'!H160</f>
        <v>18.829999999999998</v>
      </c>
      <c r="G59" s="24">
        <f>'Billing Detail'!J160</f>
        <v>20.76</v>
      </c>
      <c r="H59" s="96">
        <f t="shared" si="2"/>
        <v>1.9300000000000033</v>
      </c>
    </row>
    <row r="60" spans="3:8" x14ac:dyDescent="0.2">
      <c r="C60" s="43"/>
      <c r="D60" s="44"/>
      <c r="E60" s="2" t="str">
        <f>'Billing Detail'!C164</f>
        <v>Cobra Head Aluminum Pole</v>
      </c>
      <c r="F60" s="24">
        <f>'Billing Detail'!H164</f>
        <v>12.72</v>
      </c>
      <c r="G60" s="24">
        <f>'Billing Detail'!J164</f>
        <v>14.03</v>
      </c>
      <c r="H60" s="96">
        <f t="shared" si="2"/>
        <v>1.3099999999999987</v>
      </c>
    </row>
    <row r="61" spans="3:8" x14ac:dyDescent="0.2">
      <c r="F61" s="22"/>
      <c r="G61" s="22"/>
    </row>
    <row r="63" spans="3:8" ht="43.15" customHeight="1" x14ac:dyDescent="0.2">
      <c r="C63" s="158" t="s">
        <v>76</v>
      </c>
      <c r="D63" s="158"/>
      <c r="E63" s="158"/>
      <c r="F63" s="158"/>
      <c r="G63" s="158"/>
    </row>
    <row r="64" spans="3:8" x14ac:dyDescent="0.2">
      <c r="C64" s="3"/>
      <c r="D64" s="2"/>
      <c r="F64" s="157" t="s">
        <v>77</v>
      </c>
      <c r="G64" s="157"/>
    </row>
    <row r="65" spans="3:7" x14ac:dyDescent="0.2">
      <c r="C65" s="27" t="s">
        <v>78</v>
      </c>
      <c r="D65" s="28"/>
      <c r="E65" s="29"/>
      <c r="F65" s="30" t="s">
        <v>79</v>
      </c>
      <c r="G65" s="30" t="s">
        <v>80</v>
      </c>
    </row>
    <row r="66" spans="3:7" x14ac:dyDescent="0.2">
      <c r="C66" s="31" t="str">
        <f>Summary!C6</f>
        <v>GS-1</v>
      </c>
      <c r="D66" s="2" t="str">
        <f>Summary!B6</f>
        <v>Residential and Farm</v>
      </c>
      <c r="F66" s="32">
        <f>Summary!G6</f>
        <v>2930371.7002661675</v>
      </c>
      <c r="G66" s="33">
        <f>Summary!H6</f>
        <v>2.7829329712952426E-2</v>
      </c>
    </row>
    <row r="67" spans="3:7" x14ac:dyDescent="0.2">
      <c r="C67" s="31" t="str">
        <f>Summary!C7</f>
        <v>GS-2</v>
      </c>
      <c r="D67" s="2" t="str">
        <f>Summary!B7</f>
        <v>Residential and Farm Inclining Block</v>
      </c>
      <c r="F67" s="32">
        <f>Summary!G7</f>
        <v>9158.5</v>
      </c>
      <c r="G67" s="33">
        <f>Summary!H7</f>
        <v>0.22728431438339006</v>
      </c>
    </row>
    <row r="68" spans="3:7" x14ac:dyDescent="0.2">
      <c r="C68" s="31" t="str">
        <f>Summary!C8</f>
        <v>GS-3</v>
      </c>
      <c r="D68" s="2" t="str">
        <f>Summary!B8</f>
        <v>Residential and Farm Time-of-Day Rate</v>
      </c>
      <c r="F68" s="32">
        <f>Summary!G8</f>
        <v>2876.4134999999987</v>
      </c>
      <c r="G68" s="33">
        <f>Summary!H8</f>
        <v>0.11507520837487409</v>
      </c>
    </row>
    <row r="69" spans="3:7" x14ac:dyDescent="0.2">
      <c r="C69" s="31" t="str">
        <f>Summary!C9</f>
        <v>SC-1</v>
      </c>
      <c r="D69" s="2" t="str">
        <f>Summary!B9</f>
        <v>General Service (0-100 KW)</v>
      </c>
      <c r="F69" s="32">
        <f>Summary!G9</f>
        <v>0</v>
      </c>
      <c r="G69" s="33">
        <f>Summary!H9</f>
        <v>0</v>
      </c>
    </row>
    <row r="70" spans="3:7" x14ac:dyDescent="0.2">
      <c r="C70" s="31" t="str">
        <f>Summary!C10</f>
        <v>SC-2</v>
      </c>
      <c r="D70" s="2" t="str">
        <f>Summary!B10</f>
        <v>General Service 0-100 KW Time of Day Rate</v>
      </c>
      <c r="F70" s="32">
        <f>Summary!G10</f>
        <v>0</v>
      </c>
      <c r="G70" s="33">
        <f>Summary!H10</f>
        <v>0</v>
      </c>
    </row>
    <row r="71" spans="3:7" x14ac:dyDescent="0.2">
      <c r="C71" s="31" t="str">
        <f>Summary!C11</f>
        <v>LP-1</v>
      </c>
      <c r="D71" s="2" t="str">
        <f>Summary!B11</f>
        <v>Large Power (101 - 500 kW)</v>
      </c>
      <c r="F71" s="32">
        <f>Summary!G11</f>
        <v>0</v>
      </c>
      <c r="G71" s="33">
        <f>Summary!H11</f>
        <v>0</v>
      </c>
    </row>
    <row r="72" spans="3:7" x14ac:dyDescent="0.2">
      <c r="C72" s="31" t="str">
        <f>Summary!C12</f>
        <v>LP-2</v>
      </c>
      <c r="D72" s="2" t="str">
        <f>Summary!B12</f>
        <v>Large Power (over 500 kW)</v>
      </c>
      <c r="F72" s="32">
        <f>Summary!G12</f>
        <v>0</v>
      </c>
      <c r="G72" s="33">
        <f>Summary!H12</f>
        <v>0</v>
      </c>
    </row>
    <row r="73" spans="3:7" x14ac:dyDescent="0.2">
      <c r="C73" s="31" t="str">
        <f>Summary!C13</f>
        <v>B-1</v>
      </c>
      <c r="D73" s="2" t="str">
        <f>Summary!B13</f>
        <v>Large Industrial (1,000 - 3,999 kW)</v>
      </c>
      <c r="F73" s="32">
        <f>Summary!G13</f>
        <v>0</v>
      </c>
      <c r="G73" s="33">
        <f>Summary!H13</f>
        <v>0</v>
      </c>
    </row>
    <row r="74" spans="3:7" x14ac:dyDescent="0.2">
      <c r="C74" s="31" t="str">
        <f>Summary!C14</f>
        <v>B-2</v>
      </c>
      <c r="D74" s="2" t="str">
        <f>Summary!B14</f>
        <v>Large Industrial (over 4,000 kW)</v>
      </c>
      <c r="F74" s="32">
        <f>Summary!G14</f>
        <v>0</v>
      </c>
      <c r="G74" s="33">
        <f>Summary!H14</f>
        <v>0</v>
      </c>
    </row>
    <row r="75" spans="3:7" x14ac:dyDescent="0.2">
      <c r="C75" s="31" t="str">
        <f>Summary!C16</f>
        <v>L</v>
      </c>
      <c r="D75" s="2" t="str">
        <f>Summary!B16</f>
        <v>Lighting</v>
      </c>
      <c r="F75" s="32">
        <f>Summary!G16</f>
        <v>244059.18000000017</v>
      </c>
      <c r="G75" s="33">
        <f>Summary!H16</f>
        <v>0.102301581641168</v>
      </c>
    </row>
    <row r="76" spans="3:7" x14ac:dyDescent="0.2">
      <c r="C76" s="34" t="s">
        <v>81</v>
      </c>
      <c r="D76" s="16"/>
      <c r="E76" s="16"/>
      <c r="F76" s="35">
        <f>Summary!G17</f>
        <v>3186465.7937662005</v>
      </c>
      <c r="G76" s="36">
        <f>Summary!H20</f>
        <v>1.9609255035698606E-2</v>
      </c>
    </row>
    <row r="77" spans="3:7" x14ac:dyDescent="0.2">
      <c r="C77" s="3"/>
      <c r="D77" s="2"/>
    </row>
    <row r="78" spans="3:7" x14ac:dyDescent="0.2">
      <c r="C78" s="3"/>
      <c r="D78" s="2"/>
    </row>
    <row r="79" spans="3:7" ht="41.45" customHeight="1" x14ac:dyDescent="0.2">
      <c r="C79" s="158" t="s">
        <v>82</v>
      </c>
      <c r="D79" s="158"/>
      <c r="E79" s="158"/>
      <c r="F79" s="158"/>
      <c r="G79" s="158"/>
    </row>
    <row r="80" spans="3:7" x14ac:dyDescent="0.2">
      <c r="C80" s="3"/>
      <c r="D80" s="2"/>
      <c r="E80" s="37" t="s">
        <v>14</v>
      </c>
      <c r="F80" s="157" t="s">
        <v>77</v>
      </c>
      <c r="G80" s="157"/>
    </row>
    <row r="81" spans="3:7" x14ac:dyDescent="0.2">
      <c r="C81" s="27" t="s">
        <v>78</v>
      </c>
      <c r="D81" s="29"/>
      <c r="E81" s="38" t="s">
        <v>83</v>
      </c>
      <c r="F81" s="30" t="s">
        <v>79</v>
      </c>
      <c r="G81" s="30" t="s">
        <v>80</v>
      </c>
    </row>
    <row r="82" spans="3:7" x14ac:dyDescent="0.2">
      <c r="C82" s="2" t="str">
        <f>Summary!C6</f>
        <v>GS-1</v>
      </c>
      <c r="D82" s="3" t="str">
        <f>Summary!B6</f>
        <v>Residential and Farm</v>
      </c>
      <c r="E82" s="45">
        <f>'Billing Detail'!E18</f>
        <v>1163.4632434164591</v>
      </c>
      <c r="F82" s="40">
        <f>'Billing Detail'!L18</f>
        <v>4.2472725247428968</v>
      </c>
      <c r="G82" s="4">
        <f>Summary!H6</f>
        <v>2.7829329712952426E-2</v>
      </c>
    </row>
    <row r="83" spans="3:7" x14ac:dyDescent="0.2">
      <c r="C83" s="2" t="str">
        <f>Summary!C7</f>
        <v>GS-2</v>
      </c>
      <c r="D83" s="3" t="str">
        <f>Summary!B7</f>
        <v>Residential and Farm Inclining Block</v>
      </c>
      <c r="E83" s="45">
        <f>'Billing Detail'!E35</f>
        <v>111.96593328601845</v>
      </c>
      <c r="F83" s="40">
        <f>'Billing Detail'!L35</f>
        <v>6.5</v>
      </c>
      <c r="G83" s="4">
        <f>Summary!H7</f>
        <v>0.22728431438339006</v>
      </c>
    </row>
    <row r="84" spans="3:7" x14ac:dyDescent="0.2">
      <c r="C84" s="2" t="str">
        <f>Summary!C8</f>
        <v>GS-3</v>
      </c>
      <c r="D84" s="3" t="str">
        <f>Summary!B8</f>
        <v>Residential and Farm Time-of-Day Rate</v>
      </c>
      <c r="E84" s="45">
        <f>'Billing Detail'!E50</f>
        <v>932.34649122807014</v>
      </c>
      <c r="F84" s="40">
        <f>'Billing Detail'!L50</f>
        <v>12.615848684210519</v>
      </c>
      <c r="G84" s="4">
        <f>Summary!H8</f>
        <v>0.11507520837487409</v>
      </c>
    </row>
    <row r="85" spans="3:7" x14ac:dyDescent="0.2">
      <c r="C85" s="2" t="str">
        <f>Summary!C9</f>
        <v>SC-1</v>
      </c>
      <c r="D85" s="3" t="str">
        <f>Summary!B9</f>
        <v>General Service (0-100 KW)</v>
      </c>
      <c r="E85" s="45">
        <f>'Billing Detail'!E63</f>
        <v>2259.7838445919992</v>
      </c>
      <c r="F85" s="40">
        <f>'Billing Detail'!L63</f>
        <v>0</v>
      </c>
      <c r="G85" s="4">
        <f>Summary!H9</f>
        <v>0</v>
      </c>
    </row>
    <row r="86" spans="3:7" x14ac:dyDescent="0.2">
      <c r="C86" s="2" t="str">
        <f>Summary!C10</f>
        <v>SC-2</v>
      </c>
      <c r="D86" s="3" t="str">
        <f>Summary!B10</f>
        <v>General Service 0-100 KW Time of Day Rate</v>
      </c>
      <c r="E86" s="45">
        <f>'Billing Detail'!E76</f>
        <v>2390.5993150684931</v>
      </c>
      <c r="F86" s="40">
        <f>'Billing Detail'!L76</f>
        <v>0</v>
      </c>
      <c r="G86" s="4">
        <f>Summary!H10</f>
        <v>0</v>
      </c>
    </row>
    <row r="87" spans="3:7" x14ac:dyDescent="0.2">
      <c r="C87" s="2" t="str">
        <f>Summary!C11</f>
        <v>LP-1</v>
      </c>
      <c r="D87" s="3" t="str">
        <f>Summary!B11</f>
        <v>Large Power (101 - 500 kW)</v>
      </c>
      <c r="E87" s="45">
        <f>'Billing Detail'!E91</f>
        <v>49591.507382550335</v>
      </c>
      <c r="F87" s="40">
        <f>'Billing Detail'!L91</f>
        <v>0</v>
      </c>
      <c r="G87" s="4">
        <f>Summary!H11</f>
        <v>0</v>
      </c>
    </row>
    <row r="88" spans="3:7" x14ac:dyDescent="0.2">
      <c r="C88" s="2" t="str">
        <f>Summary!C12</f>
        <v>LP-2</v>
      </c>
      <c r="D88" s="3" t="str">
        <f>Summary!B12</f>
        <v>Large Power (over 500 kW)</v>
      </c>
      <c r="E88" s="45">
        <f>'Billing Detail'!E106</f>
        <v>334928.62078651687</v>
      </c>
      <c r="F88" s="40">
        <f>'Billing Detail'!L106</f>
        <v>0</v>
      </c>
      <c r="G88" s="4">
        <f>Summary!H12</f>
        <v>0</v>
      </c>
    </row>
    <row r="89" spans="3:7" x14ac:dyDescent="0.2">
      <c r="C89" s="2" t="str">
        <f>Summary!C13</f>
        <v>B-1</v>
      </c>
      <c r="D89" s="3" t="str">
        <f>Summary!B13</f>
        <v>Large Industrial (1,000 - 3,999 kW)</v>
      </c>
      <c r="E89" s="45">
        <f>'Billing Detail'!E120</f>
        <v>1930634.4722222222</v>
      </c>
      <c r="F89" s="40">
        <f>'Billing Detail'!L120</f>
        <v>0</v>
      </c>
      <c r="G89" s="4">
        <f>Summary!H13</f>
        <v>0</v>
      </c>
    </row>
    <row r="90" spans="3:7" x14ac:dyDescent="0.2">
      <c r="C90" s="2" t="str">
        <f>Summary!C14</f>
        <v>B-2</v>
      </c>
      <c r="D90" s="3" t="str">
        <f>Summary!B14</f>
        <v>Large Industrial (over 4,000 kW)</v>
      </c>
      <c r="E90" s="45">
        <f>'Billing Detail'!E135</f>
        <v>3877061.0555555555</v>
      </c>
      <c r="F90" s="40">
        <f>'Billing Detail'!L135</f>
        <v>0</v>
      </c>
      <c r="G90" s="4">
        <f>Summary!H14</f>
        <v>0</v>
      </c>
    </row>
    <row r="91" spans="3:7" x14ac:dyDescent="0.2">
      <c r="C91" s="2" t="str">
        <f>Summary!C16</f>
        <v>L</v>
      </c>
      <c r="D91" s="3" t="str">
        <f>Summary!B16</f>
        <v>Lighting</v>
      </c>
      <c r="E91" s="46" t="s">
        <v>84</v>
      </c>
      <c r="F91" s="42" t="s">
        <v>84</v>
      </c>
      <c r="G91" s="4">
        <f>Summary!H16</f>
        <v>0.102301581641168</v>
      </c>
    </row>
    <row r="92" spans="3:7" x14ac:dyDescent="0.2">
      <c r="C92" s="16" t="s">
        <v>81</v>
      </c>
      <c r="D92" s="147"/>
      <c r="E92" s="148"/>
      <c r="F92" s="149"/>
      <c r="G92" s="36">
        <f>Summary!H17</f>
        <v>1.9609255035698606E-2</v>
      </c>
    </row>
    <row r="93" spans="3:7" x14ac:dyDescent="0.2">
      <c r="D93" s="3"/>
      <c r="E93" s="39"/>
      <c r="F93" s="40"/>
      <c r="G93" s="4"/>
    </row>
    <row r="94" spans="3:7" x14ac:dyDescent="0.2">
      <c r="C94" s="3"/>
      <c r="D94" s="41"/>
      <c r="E94" s="39"/>
      <c r="F94" s="40"/>
      <c r="G94" s="4"/>
    </row>
    <row r="95" spans="3:7" x14ac:dyDescent="0.2">
      <c r="C95" s="3"/>
      <c r="D95" s="41"/>
      <c r="E95" s="39"/>
      <c r="F95" s="40"/>
      <c r="G95" s="4"/>
    </row>
    <row r="96" spans="3:7" x14ac:dyDescent="0.2">
      <c r="D96" s="41"/>
    </row>
    <row r="97" spans="4:4" x14ac:dyDescent="0.2">
      <c r="D97" s="41"/>
    </row>
    <row r="98" spans="4:4" x14ac:dyDescent="0.2">
      <c r="D98" s="41"/>
    </row>
    <row r="99" spans="4:4" x14ac:dyDescent="0.2">
      <c r="D99" s="41"/>
    </row>
    <row r="100" spans="4:4" x14ac:dyDescent="0.2">
      <c r="D100" s="41"/>
    </row>
    <row r="101" spans="4:4" x14ac:dyDescent="0.2">
      <c r="D101" s="41"/>
    </row>
    <row r="102" spans="4:4" x14ac:dyDescent="0.2">
      <c r="D102" s="41"/>
    </row>
    <row r="103" spans="4:4" x14ac:dyDescent="0.2">
      <c r="D103" s="41"/>
    </row>
    <row r="104" spans="4:4" x14ac:dyDescent="0.2">
      <c r="D104" s="41"/>
    </row>
    <row r="105" spans="4:4" x14ac:dyDescent="0.2">
      <c r="D105" s="41"/>
    </row>
    <row r="106" spans="4:4" x14ac:dyDescent="0.2">
      <c r="D106" s="41"/>
    </row>
    <row r="107" spans="4:4" x14ac:dyDescent="0.2">
      <c r="D107" s="41"/>
    </row>
    <row r="108" spans="4:4" x14ac:dyDescent="0.2">
      <c r="D108" s="41"/>
    </row>
    <row r="109" spans="4:4" x14ac:dyDescent="0.2">
      <c r="D109" s="41"/>
    </row>
    <row r="110" spans="4:4" x14ac:dyDescent="0.2">
      <c r="D110" s="41"/>
    </row>
    <row r="111" spans="4:4" x14ac:dyDescent="0.2">
      <c r="D111" s="41"/>
    </row>
    <row r="112" spans="4:4" x14ac:dyDescent="0.2">
      <c r="D112" s="41"/>
    </row>
    <row r="113" spans="4:4" x14ac:dyDescent="0.2">
      <c r="D113" s="41"/>
    </row>
    <row r="153" spans="4:4" x14ac:dyDescent="0.2">
      <c r="D153" s="44" t="s">
        <v>88</v>
      </c>
    </row>
  </sheetData>
  <mergeCells count="4">
    <mergeCell ref="F80:G80"/>
    <mergeCell ref="C63:G63"/>
    <mergeCell ref="F64:G64"/>
    <mergeCell ref="C79:G79"/>
  </mergeCells>
  <pageMargins left="0.7" right="0.7" top="0.75" bottom="0.75" header="0.3" footer="0.3"/>
  <pageSetup paperSize="9" scale="61" orientation="portrait" r:id="rId1"/>
  <headerFooter>
    <oddHeader>&amp;R&amp;"Arial,Bold"&amp;10Exhibit 2
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A1112-1764-4513-B68F-E5D0FA23841B}">
  <dimension ref="C4:H16"/>
  <sheetViews>
    <sheetView workbookViewId="0">
      <selection activeCell="D11" sqref="D11"/>
    </sheetView>
  </sheetViews>
  <sheetFormatPr defaultColWidth="9.140625" defaultRowHeight="12.75" x14ac:dyDescent="0.2"/>
  <cols>
    <col min="1" max="2" width="9.140625" style="2"/>
    <col min="3" max="3" width="39.7109375" style="2" bestFit="1" customWidth="1"/>
    <col min="4" max="4" width="9.85546875" style="9" customWidth="1"/>
    <col min="5" max="5" width="16.42578125" style="2" bestFit="1" customWidth="1"/>
    <col min="6" max="6" width="15.140625" style="2" bestFit="1" customWidth="1"/>
    <col min="7" max="7" width="14.7109375" style="2" bestFit="1" customWidth="1"/>
    <col min="8" max="8" width="9.28515625" style="2" bestFit="1" customWidth="1"/>
    <col min="9" max="16384" width="9.140625" style="2"/>
  </cols>
  <sheetData>
    <row r="4" spans="3:8" x14ac:dyDescent="0.2">
      <c r="C4" s="29" t="s">
        <v>78</v>
      </c>
      <c r="D4" s="90" t="s">
        <v>8</v>
      </c>
      <c r="E4" s="91" t="s">
        <v>96</v>
      </c>
      <c r="F4" s="91" t="s">
        <v>97</v>
      </c>
      <c r="G4" s="91" t="s">
        <v>95</v>
      </c>
      <c r="H4" s="91" t="s">
        <v>13</v>
      </c>
    </row>
    <row r="5" spans="3:8" x14ac:dyDescent="0.2">
      <c r="C5" s="2" t="s">
        <v>30</v>
      </c>
      <c r="D5" s="9" t="s">
        <v>28</v>
      </c>
      <c r="E5" s="92">
        <v>104312448.5</v>
      </c>
      <c r="F5" s="92">
        <f>Summary!D6</f>
        <v>105297961.91613999</v>
      </c>
      <c r="G5" s="92">
        <f>F5-E5</f>
        <v>985513.41613999009</v>
      </c>
      <c r="H5" s="4">
        <f>G5/E5</f>
        <v>9.447706676542926E-3</v>
      </c>
    </row>
    <row r="6" spans="3:8" x14ac:dyDescent="0.2">
      <c r="C6" s="2" t="s">
        <v>24</v>
      </c>
      <c r="D6" s="9" t="s">
        <v>29</v>
      </c>
      <c r="E6" s="92">
        <v>40621.12999999999</v>
      </c>
      <c r="F6" s="92">
        <f>Summary!D7</f>
        <v>40295.345610833334</v>
      </c>
      <c r="G6" s="92">
        <f t="shared" ref="G6:G15" si="0">F6-E6</f>
        <v>-325.78438916665618</v>
      </c>
      <c r="H6" s="4">
        <f t="shared" ref="H6:H16" si="1">G6/E6</f>
        <v>-8.0200720454270055E-3</v>
      </c>
    </row>
    <row r="7" spans="3:8" x14ac:dyDescent="0.2">
      <c r="C7" s="2" t="s">
        <v>31</v>
      </c>
      <c r="D7" s="9" t="s">
        <v>32</v>
      </c>
      <c r="E7" s="92">
        <v>24871.39</v>
      </c>
      <c r="F7" s="92">
        <f>Summary!D8</f>
        <v>24995.944309999999</v>
      </c>
      <c r="G7" s="92">
        <f t="shared" si="0"/>
        <v>124.55430999999953</v>
      </c>
      <c r="H7" s="4">
        <f t="shared" si="1"/>
        <v>5.0079352219558112E-3</v>
      </c>
    </row>
    <row r="8" spans="3:8" x14ac:dyDescent="0.2">
      <c r="C8" s="2" t="s">
        <v>33</v>
      </c>
      <c r="D8" s="9" t="s">
        <v>34</v>
      </c>
      <c r="E8" s="92">
        <v>11829985.08</v>
      </c>
      <c r="F8" s="92">
        <f>Summary!D9</f>
        <v>11606761.972279999</v>
      </c>
      <c r="G8" s="92">
        <f t="shared" si="0"/>
        <v>-223223.10772000067</v>
      </c>
      <c r="H8" s="4">
        <f t="shared" si="1"/>
        <v>-1.8869263672816116E-2</v>
      </c>
    </row>
    <row r="9" spans="3:8" x14ac:dyDescent="0.2">
      <c r="C9" s="2" t="s">
        <v>56</v>
      </c>
      <c r="D9" s="9" t="s">
        <v>55</v>
      </c>
      <c r="E9" s="92">
        <v>204998.66000000003</v>
      </c>
      <c r="F9" s="92">
        <f>Summary!D10</f>
        <v>201626.52866000001</v>
      </c>
      <c r="G9" s="92">
        <f t="shared" si="0"/>
        <v>-3372.1313400000217</v>
      </c>
      <c r="H9" s="4">
        <f t="shared" si="1"/>
        <v>-1.644952869448035E-2</v>
      </c>
    </row>
    <row r="10" spans="3:8" x14ac:dyDescent="0.2">
      <c r="C10" s="2" t="s">
        <v>35</v>
      </c>
      <c r="D10" s="9" t="s">
        <v>36</v>
      </c>
      <c r="E10" s="92">
        <v>3845410.46</v>
      </c>
      <c r="F10" s="92">
        <f>Summary!D11</f>
        <v>3712183.9028809997</v>
      </c>
      <c r="G10" s="92">
        <f t="shared" si="0"/>
        <v>-133226.55711900024</v>
      </c>
      <c r="H10" s="4">
        <f t="shared" si="1"/>
        <v>-3.464560116659178E-2</v>
      </c>
    </row>
    <row r="11" spans="3:8" x14ac:dyDescent="0.2">
      <c r="C11" s="2" t="s">
        <v>59</v>
      </c>
      <c r="D11" s="9" t="s">
        <v>37</v>
      </c>
      <c r="E11" s="92">
        <v>10652733.910000002</v>
      </c>
      <c r="F11" s="92">
        <f>Summary!D12</f>
        <v>10159697.162758499</v>
      </c>
      <c r="G11" s="92">
        <f t="shared" si="0"/>
        <v>-493036.74724150263</v>
      </c>
      <c r="H11" s="4">
        <f t="shared" si="1"/>
        <v>-4.6282649262334059E-2</v>
      </c>
    </row>
    <row r="12" spans="3:8" x14ac:dyDescent="0.2">
      <c r="C12" s="2" t="s">
        <v>61</v>
      </c>
      <c r="D12" s="9" t="s">
        <v>39</v>
      </c>
      <c r="E12" s="92">
        <v>5523086.7700000005</v>
      </c>
      <c r="F12" s="92">
        <f>Summary!D13</f>
        <v>5545108.1103499997</v>
      </c>
      <c r="G12" s="92">
        <f t="shared" si="0"/>
        <v>22021.340349999256</v>
      </c>
      <c r="H12" s="4">
        <f t="shared" si="1"/>
        <v>3.9871436511940321E-3</v>
      </c>
    </row>
    <row r="13" spans="3:8" x14ac:dyDescent="0.2">
      <c r="C13" s="2" t="s">
        <v>40</v>
      </c>
      <c r="D13" s="9" t="s">
        <v>38</v>
      </c>
      <c r="E13" s="92">
        <v>10811543.060000001</v>
      </c>
      <c r="F13" s="92">
        <f>Summary!D14</f>
        <v>10370168.15498</v>
      </c>
      <c r="G13" s="92">
        <f t="shared" si="0"/>
        <v>-441374.90502000041</v>
      </c>
      <c r="H13" s="4">
        <f t="shared" si="1"/>
        <v>-4.0824413552305677E-2</v>
      </c>
    </row>
    <row r="14" spans="3:8" x14ac:dyDescent="0.2">
      <c r="C14" s="2" t="s">
        <v>60</v>
      </c>
      <c r="D14" s="9" t="s">
        <v>93</v>
      </c>
      <c r="E14" s="92">
        <v>6318330.3299999991</v>
      </c>
      <c r="F14" s="92">
        <f>Summary!D15</f>
        <v>6015438.0682000006</v>
      </c>
      <c r="G14" s="92">
        <f t="shared" si="0"/>
        <v>-302892.26179999858</v>
      </c>
      <c r="H14" s="4">
        <f t="shared" si="1"/>
        <v>-4.7938655622647479E-2</v>
      </c>
    </row>
    <row r="15" spans="3:8" x14ac:dyDescent="0.2">
      <c r="C15" s="2" t="s">
        <v>25</v>
      </c>
      <c r="D15" s="9" t="s">
        <v>21</v>
      </c>
      <c r="E15" s="92">
        <v>2508831.6100000916</v>
      </c>
      <c r="F15" s="92">
        <f>Summary!D16</f>
        <v>2321388.5500000003</v>
      </c>
      <c r="G15" s="92">
        <f t="shared" si="0"/>
        <v>-187443.06000009133</v>
      </c>
      <c r="H15" s="4">
        <f t="shared" si="1"/>
        <v>-7.4713288549519072E-2</v>
      </c>
    </row>
    <row r="16" spans="3:8" x14ac:dyDescent="0.2">
      <c r="C16" s="16"/>
      <c r="D16" s="93"/>
      <c r="E16" s="35">
        <f>SUM(E5:E15)</f>
        <v>156072860.9000001</v>
      </c>
      <c r="F16" s="35">
        <f>SUM(F5:F15)</f>
        <v>155295625.65617031</v>
      </c>
      <c r="G16" s="35">
        <f>SUM(G5:G15)</f>
        <v>-777235.24382977118</v>
      </c>
      <c r="H16" s="36">
        <f t="shared" si="1"/>
        <v>-4.9799512826753769E-3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Summary</vt:lpstr>
      <vt:lpstr>Billing Detail</vt:lpstr>
      <vt:lpstr>Incr-R</vt:lpstr>
      <vt:lpstr>Notice Table</vt:lpstr>
      <vt:lpstr>Reconciliation</vt:lpstr>
      <vt:lpstr>'Billing Detail'!Print_Area</vt:lpstr>
      <vt:lpstr>'Incr-R'!Print_Area</vt:lpstr>
      <vt:lpstr>'Notice Table'!Print_Area</vt:lpstr>
      <vt:lpstr>Summary!Print_Area</vt:lpstr>
      <vt:lpstr>'Billing Detail'!Print_Titles</vt:lpstr>
      <vt:lpstr>'Incr-R'!Print_Titles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Wolfram</dc:creator>
  <cp:lastModifiedBy>John Wolfram</cp:lastModifiedBy>
  <cp:lastPrinted>2025-04-23T13:58:05Z</cp:lastPrinted>
  <dcterms:created xsi:type="dcterms:W3CDTF">2021-02-09T02:13:44Z</dcterms:created>
  <dcterms:modified xsi:type="dcterms:W3CDTF">2025-04-23T13:59:42Z</dcterms:modified>
</cp:coreProperties>
</file>