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lue Grass/2024 COS and Rates Case 2025-00xxx/COS and Rates/"/>
    </mc:Choice>
  </mc:AlternateContent>
  <xr:revisionPtr revIDLastSave="63" documentId="8_{12176030-3C06-4DD0-82BB-232E1D255795}" xr6:coauthVersionLast="47" xr6:coauthVersionMax="47" xr10:uidLastSave="{55E5BBBB-5D76-4252-8C12-FDA22CC4C7B7}"/>
  <bookViews>
    <workbookView xWindow="-135" yWindow="-135" windowWidth="29070" windowHeight="15750" tabRatio="741" activeTab="5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Returns'!$A$1:$P$643</definedName>
    <definedName name="_xlnm.Print_Area" localSheetId="4">'Billing Det'!$A$1:$T$201</definedName>
    <definedName name="_xlnm.Print_Area" localSheetId="2">'Func &amp; Classif'!$A$1:$AA$486</definedName>
    <definedName name="_xlnm.Print_Area" localSheetId="6">Meters!$A$1:$G$33</definedName>
    <definedName name="_xlnm.Print_Area" localSheetId="5">'Purchased Power'!$A$1:$P$245</definedName>
    <definedName name="_xlnm.Print_Area" localSheetId="7">Services!$A$1:$G$33</definedName>
    <definedName name="_xlnm.Print_Area" localSheetId="1">'Summary of Rates'!$A$1:$F$19</definedName>
    <definedName name="_xlnm.Print_Area" localSheetId="0">'Summary of Returns'!$A$1:$I$48</definedName>
    <definedName name="_xlnm.Print_Area" localSheetId="9">ZeroInt!$A$1:$M$130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5">'Purchased Power'!$1:$4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0" i="16" l="1"/>
  <c r="AK358" i="2" l="1"/>
  <c r="AQ347" i="2" l="1"/>
  <c r="E348" i="2" s="1"/>
  <c r="P348" i="2"/>
  <c r="O348" i="2"/>
  <c r="D72" i="15" l="1"/>
  <c r="E72" i="15"/>
  <c r="F72" i="15"/>
  <c r="G72" i="15"/>
  <c r="H72" i="15"/>
  <c r="I72" i="15"/>
  <c r="J72" i="15"/>
  <c r="K72" i="15"/>
  <c r="L72" i="15"/>
  <c r="M72" i="15"/>
  <c r="N72" i="15"/>
  <c r="C72" i="15"/>
  <c r="D52" i="15"/>
  <c r="D53" i="15" s="1"/>
  <c r="E52" i="15"/>
  <c r="E53" i="15" s="1"/>
  <c r="F52" i="15"/>
  <c r="F53" i="15" s="1"/>
  <c r="G52" i="15"/>
  <c r="G53" i="15" s="1"/>
  <c r="H52" i="15"/>
  <c r="H53" i="15" s="1"/>
  <c r="I52" i="15"/>
  <c r="I53" i="15" s="1"/>
  <c r="J52" i="15"/>
  <c r="J53" i="15" s="1"/>
  <c r="K52" i="15"/>
  <c r="K53" i="15" s="1"/>
  <c r="L52" i="15"/>
  <c r="L53" i="15" s="1"/>
  <c r="M52" i="15"/>
  <c r="M53" i="15" s="1"/>
  <c r="N52" i="15"/>
  <c r="N53" i="15" s="1"/>
  <c r="C52" i="15"/>
  <c r="D54" i="15"/>
  <c r="E54" i="15"/>
  <c r="F54" i="15"/>
  <c r="G54" i="15"/>
  <c r="H54" i="15"/>
  <c r="I54" i="15"/>
  <c r="J54" i="15"/>
  <c r="K54" i="15"/>
  <c r="L54" i="15"/>
  <c r="M54" i="15"/>
  <c r="N54" i="15"/>
  <c r="C54" i="15"/>
  <c r="D86" i="15" l="1"/>
  <c r="E86" i="15"/>
  <c r="F86" i="15"/>
  <c r="G86" i="15"/>
  <c r="H86" i="15"/>
  <c r="I86" i="15"/>
  <c r="J86" i="15"/>
  <c r="K86" i="15"/>
  <c r="L86" i="15"/>
  <c r="M86" i="15"/>
  <c r="N86" i="15"/>
  <c r="C86" i="15"/>
  <c r="E194" i="16"/>
  <c r="F194" i="16"/>
  <c r="G194" i="16"/>
  <c r="H194" i="16"/>
  <c r="I194" i="16"/>
  <c r="J194" i="16"/>
  <c r="K194" i="16"/>
  <c r="L194" i="16"/>
  <c r="M194" i="16"/>
  <c r="N194" i="16"/>
  <c r="O194" i="16"/>
  <c r="D194" i="16"/>
  <c r="D122" i="15"/>
  <c r="E122" i="15"/>
  <c r="F122" i="15"/>
  <c r="G122" i="15"/>
  <c r="H122" i="15"/>
  <c r="I122" i="15"/>
  <c r="J122" i="15"/>
  <c r="K122" i="15"/>
  <c r="L122" i="15"/>
  <c r="M122" i="15"/>
  <c r="N122" i="15"/>
  <c r="C122" i="15"/>
  <c r="D112" i="15"/>
  <c r="E112" i="15"/>
  <c r="F112" i="15"/>
  <c r="G112" i="15"/>
  <c r="H112" i="15"/>
  <c r="I112" i="15"/>
  <c r="J112" i="15"/>
  <c r="K112" i="15"/>
  <c r="L112" i="15"/>
  <c r="M112" i="15"/>
  <c r="N112" i="15"/>
  <c r="C112" i="15"/>
  <c r="D102" i="15"/>
  <c r="E102" i="15"/>
  <c r="F102" i="15"/>
  <c r="G102" i="15"/>
  <c r="H102" i="15"/>
  <c r="I102" i="15"/>
  <c r="J102" i="15"/>
  <c r="K102" i="15"/>
  <c r="L102" i="15"/>
  <c r="M102" i="15"/>
  <c r="N102" i="15"/>
  <c r="C102" i="15"/>
  <c r="D92" i="15"/>
  <c r="E92" i="15"/>
  <c r="F92" i="15"/>
  <c r="G92" i="15"/>
  <c r="H92" i="15"/>
  <c r="I92" i="15"/>
  <c r="J92" i="15"/>
  <c r="K92" i="15"/>
  <c r="L92" i="15"/>
  <c r="M92" i="15"/>
  <c r="N92" i="15"/>
  <c r="C92" i="15"/>
  <c r="F277" i="1" l="1"/>
  <c r="I244" i="16"/>
  <c r="J244" i="16"/>
  <c r="E236" i="16"/>
  <c r="F236" i="16"/>
  <c r="G236" i="16"/>
  <c r="H236" i="16"/>
  <c r="I236" i="16"/>
  <c r="J236" i="16"/>
  <c r="K236" i="16"/>
  <c r="L236" i="16"/>
  <c r="M236" i="16"/>
  <c r="P236" i="16" s="1"/>
  <c r="N236" i="16"/>
  <c r="O236" i="16"/>
  <c r="D236" i="16"/>
  <c r="E228" i="16"/>
  <c r="E244" i="16" s="1"/>
  <c r="F228" i="16"/>
  <c r="F244" i="16" s="1"/>
  <c r="G228" i="16"/>
  <c r="G244" i="16" s="1"/>
  <c r="H228" i="16"/>
  <c r="H244" i="16" s="1"/>
  <c r="I228" i="16"/>
  <c r="J228" i="16"/>
  <c r="K228" i="16"/>
  <c r="K244" i="16" s="1"/>
  <c r="L228" i="16"/>
  <c r="L244" i="16" s="1"/>
  <c r="M228" i="16"/>
  <c r="M244" i="16" s="1"/>
  <c r="N228" i="16"/>
  <c r="N244" i="16" s="1"/>
  <c r="O228" i="16"/>
  <c r="O244" i="16" s="1"/>
  <c r="D228" i="16"/>
  <c r="D244" i="16" s="1"/>
  <c r="E226" i="16"/>
  <c r="F226" i="16"/>
  <c r="G226" i="16"/>
  <c r="H226" i="16"/>
  <c r="I226" i="16"/>
  <c r="J226" i="16"/>
  <c r="K226" i="16"/>
  <c r="L226" i="16"/>
  <c r="M226" i="16"/>
  <c r="N226" i="16"/>
  <c r="O226" i="16"/>
  <c r="E227" i="16"/>
  <c r="F227" i="16"/>
  <c r="G227" i="16"/>
  <c r="H227" i="16"/>
  <c r="I227" i="16"/>
  <c r="J227" i="16"/>
  <c r="K227" i="16"/>
  <c r="L227" i="16"/>
  <c r="M227" i="16"/>
  <c r="N227" i="16"/>
  <c r="O227" i="16"/>
  <c r="D227" i="16"/>
  <c r="D226" i="16"/>
  <c r="E234" i="16"/>
  <c r="E242" i="16" s="1"/>
  <c r="F234" i="16"/>
  <c r="G234" i="16"/>
  <c r="H234" i="16"/>
  <c r="H242" i="16" s="1"/>
  <c r="I234" i="16"/>
  <c r="J234" i="16"/>
  <c r="K234" i="16"/>
  <c r="L234" i="16"/>
  <c r="L242" i="16" s="1"/>
  <c r="M234" i="16"/>
  <c r="M242" i="16" s="1"/>
  <c r="N234" i="16"/>
  <c r="O234" i="16"/>
  <c r="E235" i="16"/>
  <c r="E243" i="16" s="1"/>
  <c r="F235" i="16"/>
  <c r="F243" i="16" s="1"/>
  <c r="G235" i="16"/>
  <c r="H235" i="16"/>
  <c r="I235" i="16"/>
  <c r="I243" i="16" s="1"/>
  <c r="J235" i="16"/>
  <c r="K235" i="16"/>
  <c r="L235" i="16"/>
  <c r="M235" i="16"/>
  <c r="M243" i="16" s="1"/>
  <c r="N235" i="16"/>
  <c r="O235" i="16"/>
  <c r="D235" i="16"/>
  <c r="D234" i="16"/>
  <c r="D242" i="16" s="1"/>
  <c r="P244" i="16" l="1"/>
  <c r="P235" i="16"/>
  <c r="P228" i="16"/>
  <c r="N243" i="16"/>
  <c r="J243" i="16"/>
  <c r="D243" i="16"/>
  <c r="H243" i="16"/>
  <c r="K242" i="16"/>
  <c r="P242" i="16" s="1"/>
  <c r="O243" i="16"/>
  <c r="G243" i="16"/>
  <c r="J242" i="16"/>
  <c r="I242" i="16"/>
  <c r="L243" i="16"/>
  <c r="O242" i="16"/>
  <c r="G242" i="16"/>
  <c r="K243" i="16"/>
  <c r="N242" i="16"/>
  <c r="F242" i="16"/>
  <c r="P226" i="16"/>
  <c r="P234" i="16"/>
  <c r="P227" i="16"/>
  <c r="P243" i="16" l="1"/>
  <c r="J600" i="2" l="1"/>
  <c r="H600" i="2"/>
  <c r="G600" i="2"/>
  <c r="O600" i="2"/>
  <c r="M600" i="2"/>
  <c r="L600" i="2"/>
  <c r="K600" i="2"/>
  <c r="I600" i="2"/>
  <c r="F11" i="17"/>
  <c r="F10" i="17"/>
  <c r="F9" i="17"/>
  <c r="F13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W130" i="15" l="1"/>
  <c r="X130" i="15" s="1"/>
  <c r="V130" i="15"/>
  <c r="W119" i="15"/>
  <c r="X119" i="15" s="1"/>
  <c r="V119" i="15"/>
  <c r="W109" i="15"/>
  <c r="X109" i="15" s="1"/>
  <c r="V109" i="15"/>
  <c r="W99" i="15"/>
  <c r="X99" i="15" s="1"/>
  <c r="V99" i="15"/>
  <c r="W89" i="15"/>
  <c r="X89" i="15" s="1"/>
  <c r="V89" i="15"/>
  <c r="W79" i="15"/>
  <c r="X79" i="15" s="1"/>
  <c r="V79" i="15"/>
  <c r="W69" i="15"/>
  <c r="X69" i="15" s="1"/>
  <c r="V69" i="15"/>
  <c r="W59" i="15"/>
  <c r="V59" i="15"/>
  <c r="W49" i="15"/>
  <c r="X49" i="15" s="1"/>
  <c r="V49" i="15"/>
  <c r="X39" i="15"/>
  <c r="W39" i="15"/>
  <c r="V39" i="15"/>
  <c r="X59" i="15" l="1"/>
  <c r="O467" i="2" l="1"/>
  <c r="O453" i="2"/>
  <c r="N96" i="15" l="1"/>
  <c r="J96" i="15"/>
  <c r="H96" i="15"/>
  <c r="F96" i="15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N91" i="15"/>
  <c r="M91" i="15"/>
  <c r="M96" i="15" s="1"/>
  <c r="L91" i="15"/>
  <c r="L96" i="15" s="1"/>
  <c r="K91" i="15"/>
  <c r="K96" i="15" s="1"/>
  <c r="K93" i="15" s="1"/>
  <c r="J91" i="15"/>
  <c r="J93" i="15" s="1"/>
  <c r="I91" i="15"/>
  <c r="H91" i="15"/>
  <c r="G91" i="15"/>
  <c r="F91" i="15"/>
  <c r="F93" i="15" s="1"/>
  <c r="E91" i="15"/>
  <c r="E96" i="15" s="1"/>
  <c r="D91" i="15"/>
  <c r="D96" i="15" s="1"/>
  <c r="C91" i="15"/>
  <c r="H76" i="15"/>
  <c r="G76" i="15"/>
  <c r="D74" i="15"/>
  <c r="E74" i="15" s="1"/>
  <c r="F74" i="15" s="1"/>
  <c r="G74" i="15" s="1"/>
  <c r="H74" i="15" s="1"/>
  <c r="I74" i="15" s="1"/>
  <c r="J74" i="15" s="1"/>
  <c r="K74" i="15" s="1"/>
  <c r="L74" i="15" s="1"/>
  <c r="M74" i="15" s="1"/>
  <c r="N74" i="15" s="1"/>
  <c r="N71" i="15"/>
  <c r="N76" i="15" s="1"/>
  <c r="M71" i="15"/>
  <c r="M76" i="15" s="1"/>
  <c r="L71" i="15"/>
  <c r="L76" i="15" s="1"/>
  <c r="K71" i="15"/>
  <c r="K76" i="15" s="1"/>
  <c r="J71" i="15"/>
  <c r="J76" i="15" s="1"/>
  <c r="I71" i="15"/>
  <c r="H71" i="15"/>
  <c r="G71" i="15"/>
  <c r="G73" i="15" s="1"/>
  <c r="G75" i="15" s="1"/>
  <c r="F71" i="15"/>
  <c r="F76" i="15" s="1"/>
  <c r="E71" i="15"/>
  <c r="E76" i="15" s="1"/>
  <c r="D71" i="15"/>
  <c r="D76" i="15" s="1"/>
  <c r="C71" i="15"/>
  <c r="C76" i="15" s="1"/>
  <c r="N93" i="15" l="1"/>
  <c r="H93" i="15"/>
  <c r="F95" i="15"/>
  <c r="N95" i="15"/>
  <c r="H95" i="15"/>
  <c r="G93" i="15"/>
  <c r="G95" i="15" s="1"/>
  <c r="J95" i="15"/>
  <c r="K95" i="15"/>
  <c r="G96" i="15"/>
  <c r="D93" i="15"/>
  <c r="D95" i="15" s="1"/>
  <c r="L93" i="15"/>
  <c r="L95" i="15" s="1"/>
  <c r="I96" i="15"/>
  <c r="I93" i="15" s="1"/>
  <c r="I95" i="15" s="1"/>
  <c r="E93" i="15"/>
  <c r="E95" i="15" s="1"/>
  <c r="M93" i="15"/>
  <c r="M95" i="15" s="1"/>
  <c r="C96" i="15"/>
  <c r="C93" i="15" s="1"/>
  <c r="C95" i="15" s="1"/>
  <c r="H73" i="15"/>
  <c r="H75" i="15" s="1"/>
  <c r="J73" i="15"/>
  <c r="J75" i="15" s="1"/>
  <c r="C73" i="15"/>
  <c r="C75" i="15" s="1"/>
  <c r="K73" i="15"/>
  <c r="K75" i="15" s="1"/>
  <c r="D73" i="15"/>
  <c r="D75" i="15" s="1"/>
  <c r="L73" i="15"/>
  <c r="L75" i="15" s="1"/>
  <c r="I76" i="15"/>
  <c r="I73" i="15" s="1"/>
  <c r="I75" i="15" s="1"/>
  <c r="F73" i="15"/>
  <c r="F75" i="15" s="1"/>
  <c r="N73" i="15"/>
  <c r="N75" i="15" s="1"/>
  <c r="E73" i="15"/>
  <c r="E75" i="15" s="1"/>
  <c r="M73" i="15"/>
  <c r="M75" i="15" s="1"/>
  <c r="E25" i="15" l="1"/>
  <c r="A48" i="4" l="1"/>
  <c r="A26" i="4"/>
  <c r="AK342" i="2"/>
  <c r="AK344" i="2" s="1"/>
  <c r="AK345" i="2" s="1"/>
  <c r="AK346" i="2" s="1"/>
  <c r="N600" i="2"/>
  <c r="AK343" i="2" l="1"/>
  <c r="O139" i="15"/>
  <c r="C18" i="15" s="1"/>
  <c r="C17" i="15"/>
  <c r="AK347" i="2" l="1"/>
  <c r="H343" i="2"/>
  <c r="P343" i="2"/>
  <c r="O343" i="2"/>
  <c r="I343" i="2"/>
  <c r="E343" i="2"/>
  <c r="G343" i="2"/>
  <c r="J343" i="2"/>
  <c r="K343" i="2"/>
  <c r="L343" i="2"/>
  <c r="F343" i="2"/>
  <c r="M343" i="2"/>
  <c r="N343" i="2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O129" i="15"/>
  <c r="D134" i="15"/>
  <c r="E134" i="15" s="1"/>
  <c r="F134" i="15" s="1"/>
  <c r="G134" i="15" s="1"/>
  <c r="H134" i="15" s="1"/>
  <c r="I134" i="15" s="1"/>
  <c r="J134" i="15" s="1"/>
  <c r="K134" i="15" s="1"/>
  <c r="L134" i="15" s="1"/>
  <c r="M134" i="15" s="1"/>
  <c r="N134" i="15" s="1"/>
  <c r="N131" i="15"/>
  <c r="N136" i="15" s="1"/>
  <c r="N132" i="15" s="1"/>
  <c r="M131" i="15"/>
  <c r="M136" i="15" s="1"/>
  <c r="M132" i="15" s="1"/>
  <c r="L131" i="15"/>
  <c r="L136" i="15" s="1"/>
  <c r="L132" i="15" s="1"/>
  <c r="K131" i="15"/>
  <c r="J131" i="15"/>
  <c r="J136" i="15" s="1"/>
  <c r="J132" i="15" s="1"/>
  <c r="I131" i="15"/>
  <c r="I136" i="15" s="1"/>
  <c r="I132" i="15" s="1"/>
  <c r="H131" i="15"/>
  <c r="G131" i="15"/>
  <c r="G136" i="15" s="1"/>
  <c r="G132" i="15" s="1"/>
  <c r="F131" i="15"/>
  <c r="F136" i="15" s="1"/>
  <c r="F132" i="15" s="1"/>
  <c r="E131" i="15"/>
  <c r="E136" i="15" s="1"/>
  <c r="E132" i="15" s="1"/>
  <c r="D131" i="15"/>
  <c r="D136" i="15" s="1"/>
  <c r="D132" i="15" s="1"/>
  <c r="C131" i="15"/>
  <c r="C136" i="15" s="1"/>
  <c r="C132" i="15" s="1"/>
  <c r="E124" i="15"/>
  <c r="F124" i="15" s="1"/>
  <c r="G124" i="15" s="1"/>
  <c r="H124" i="15" s="1"/>
  <c r="I124" i="15" s="1"/>
  <c r="J124" i="15" s="1"/>
  <c r="K124" i="15" s="1"/>
  <c r="L124" i="15" s="1"/>
  <c r="M124" i="15" s="1"/>
  <c r="N124" i="15" s="1"/>
  <c r="D124" i="15"/>
  <c r="N121" i="15"/>
  <c r="N126" i="15" s="1"/>
  <c r="M121" i="15"/>
  <c r="M126" i="15" s="1"/>
  <c r="L121" i="15"/>
  <c r="K121" i="15"/>
  <c r="K126" i="15" s="1"/>
  <c r="K123" i="15" s="1"/>
  <c r="J121" i="15"/>
  <c r="I121" i="15"/>
  <c r="H121" i="15"/>
  <c r="H126" i="15" s="1"/>
  <c r="G121" i="15"/>
  <c r="G126" i="15" s="1"/>
  <c r="F121" i="15"/>
  <c r="F126" i="15" s="1"/>
  <c r="E121" i="15"/>
  <c r="E126" i="15" s="1"/>
  <c r="D121" i="15"/>
  <c r="D126" i="15" s="1"/>
  <c r="D123" i="15" s="1"/>
  <c r="D125" i="15" s="1"/>
  <c r="C121" i="15"/>
  <c r="L116" i="15"/>
  <c r="D114" i="15"/>
  <c r="E114" i="15" s="1"/>
  <c r="F114" i="15" s="1"/>
  <c r="G114" i="15" s="1"/>
  <c r="H114" i="15" s="1"/>
  <c r="I114" i="15" s="1"/>
  <c r="J114" i="15" s="1"/>
  <c r="K114" i="15" s="1"/>
  <c r="L114" i="15" s="1"/>
  <c r="M114" i="15" s="1"/>
  <c r="N114" i="15" s="1"/>
  <c r="N111" i="15"/>
  <c r="N116" i="15" s="1"/>
  <c r="M111" i="15"/>
  <c r="M116" i="15" s="1"/>
  <c r="L111" i="15"/>
  <c r="K111" i="15"/>
  <c r="K116" i="15" s="1"/>
  <c r="J111" i="15"/>
  <c r="I111" i="15"/>
  <c r="I116" i="15" s="1"/>
  <c r="H111" i="15"/>
  <c r="G111" i="15"/>
  <c r="G116" i="15" s="1"/>
  <c r="G113" i="15" s="1"/>
  <c r="G115" i="15" s="1"/>
  <c r="F111" i="15"/>
  <c r="F116" i="15" s="1"/>
  <c r="E111" i="15"/>
  <c r="D111" i="15"/>
  <c r="D116" i="15" s="1"/>
  <c r="C111" i="15"/>
  <c r="C116" i="15" s="1"/>
  <c r="D64" i="15"/>
  <c r="E64" i="15" s="1"/>
  <c r="F64" i="15" s="1"/>
  <c r="G64" i="15" s="1"/>
  <c r="H64" i="15" s="1"/>
  <c r="I64" i="15" s="1"/>
  <c r="J64" i="15" s="1"/>
  <c r="K64" i="15" s="1"/>
  <c r="L64" i="15" s="1"/>
  <c r="M64" i="15" s="1"/>
  <c r="N64" i="15" s="1"/>
  <c r="D84" i="15"/>
  <c r="E84" i="15" s="1"/>
  <c r="F84" i="15" s="1"/>
  <c r="G84" i="15" s="1"/>
  <c r="H84" i="15" s="1"/>
  <c r="I84" i="15" s="1"/>
  <c r="J84" i="15" s="1"/>
  <c r="K84" i="15" s="1"/>
  <c r="L84" i="15" s="1"/>
  <c r="M84" i="15" s="1"/>
  <c r="N84" i="15" s="1"/>
  <c r="N81" i="15"/>
  <c r="M81" i="15"/>
  <c r="L81" i="15"/>
  <c r="K81" i="15"/>
  <c r="J81" i="15"/>
  <c r="I81" i="15"/>
  <c r="H81" i="15"/>
  <c r="G81" i="15"/>
  <c r="F81" i="15"/>
  <c r="E81" i="15"/>
  <c r="D81" i="15"/>
  <c r="C81" i="15"/>
  <c r="C87" i="15" s="1"/>
  <c r="E116" i="15" l="1"/>
  <c r="E113" i="15" s="1"/>
  <c r="E115" i="15" s="1"/>
  <c r="G133" i="15"/>
  <c r="G135" i="15" s="1"/>
  <c r="I133" i="15"/>
  <c r="H136" i="15"/>
  <c r="H132" i="15" s="1"/>
  <c r="H133" i="15" s="1"/>
  <c r="H135" i="15" s="1"/>
  <c r="I135" i="15"/>
  <c r="J133" i="15"/>
  <c r="J135" i="15" s="1"/>
  <c r="D133" i="15"/>
  <c r="D135" i="15" s="1"/>
  <c r="L133" i="15"/>
  <c r="L135" i="15" s="1"/>
  <c r="E133" i="15"/>
  <c r="E135" i="15" s="1"/>
  <c r="M133" i="15"/>
  <c r="M135" i="15" s="1"/>
  <c r="F133" i="15"/>
  <c r="F135" i="15" s="1"/>
  <c r="N133" i="15"/>
  <c r="N135" i="15" s="1"/>
  <c r="K136" i="15"/>
  <c r="K132" i="15" s="1"/>
  <c r="K133" i="15" s="1"/>
  <c r="K135" i="15" s="1"/>
  <c r="C133" i="15"/>
  <c r="C135" i="15" s="1"/>
  <c r="G123" i="15"/>
  <c r="G125" i="15" s="1"/>
  <c r="I126" i="15"/>
  <c r="I123" i="15" s="1"/>
  <c r="I125" i="15" s="1"/>
  <c r="H123" i="15"/>
  <c r="H125" i="15" s="1"/>
  <c r="C123" i="15"/>
  <c r="C125" i="15" s="1"/>
  <c r="K125" i="15"/>
  <c r="E123" i="15"/>
  <c r="E125" i="15" s="1"/>
  <c r="M123" i="15"/>
  <c r="M125" i="15" s="1"/>
  <c r="J126" i="15"/>
  <c r="J123" i="15" s="1"/>
  <c r="J125" i="15" s="1"/>
  <c r="F123" i="15"/>
  <c r="F125" i="15" s="1"/>
  <c r="N123" i="15"/>
  <c r="N125" i="15" s="1"/>
  <c r="C126" i="15"/>
  <c r="L126" i="15"/>
  <c r="L123" i="15" s="1"/>
  <c r="L125" i="15" s="1"/>
  <c r="M113" i="15"/>
  <c r="M115" i="15" s="1"/>
  <c r="I113" i="15"/>
  <c r="I115" i="15" s="1"/>
  <c r="D113" i="15"/>
  <c r="D115" i="15" s="1"/>
  <c r="L113" i="15"/>
  <c r="L115" i="15" s="1"/>
  <c r="C113" i="15"/>
  <c r="C115" i="15" s="1"/>
  <c r="K113" i="15"/>
  <c r="K115" i="15" s="1"/>
  <c r="H116" i="15"/>
  <c r="H113" i="15" s="1"/>
  <c r="H115" i="15" s="1"/>
  <c r="J116" i="15"/>
  <c r="J113" i="15" s="1"/>
  <c r="J115" i="15" s="1"/>
  <c r="F113" i="15"/>
  <c r="F115" i="15" s="1"/>
  <c r="N113" i="15"/>
  <c r="N115" i="15" s="1"/>
  <c r="D176" i="16" l="1"/>
  <c r="D163" i="16"/>
  <c r="D145" i="16"/>
  <c r="D124" i="16"/>
  <c r="D79" i="16"/>
  <c r="D66" i="16"/>
  <c r="P3" i="2" l="1"/>
  <c r="P2" i="2"/>
  <c r="O2" i="2"/>
  <c r="O3" i="2"/>
  <c r="E195" i="16"/>
  <c r="F195" i="16"/>
  <c r="G195" i="16"/>
  <c r="H195" i="16"/>
  <c r="I195" i="16"/>
  <c r="J195" i="16"/>
  <c r="K195" i="16"/>
  <c r="L195" i="16"/>
  <c r="M195" i="16"/>
  <c r="N195" i="16"/>
  <c r="O195" i="16"/>
  <c r="D195" i="16"/>
  <c r="E205" i="16"/>
  <c r="F205" i="16"/>
  <c r="G205" i="16"/>
  <c r="H205" i="16"/>
  <c r="I205" i="16"/>
  <c r="J205" i="16"/>
  <c r="K205" i="16"/>
  <c r="L205" i="16"/>
  <c r="M205" i="16"/>
  <c r="N205" i="16"/>
  <c r="O205" i="16"/>
  <c r="D205" i="16"/>
  <c r="E209" i="16"/>
  <c r="E231" i="16" s="1"/>
  <c r="F209" i="16"/>
  <c r="F231" i="16" s="1"/>
  <c r="G209" i="16"/>
  <c r="G231" i="16" s="1"/>
  <c r="H209" i="16"/>
  <c r="H231" i="16" s="1"/>
  <c r="I209" i="16"/>
  <c r="I231" i="16" s="1"/>
  <c r="J209" i="16"/>
  <c r="J231" i="16" s="1"/>
  <c r="K209" i="16"/>
  <c r="K231" i="16" s="1"/>
  <c r="L209" i="16"/>
  <c r="L231" i="16" s="1"/>
  <c r="M209" i="16"/>
  <c r="N209" i="16"/>
  <c r="N231" i="16" s="1"/>
  <c r="O209" i="16"/>
  <c r="O231" i="16" s="1"/>
  <c r="E210" i="16"/>
  <c r="E232" i="16" s="1"/>
  <c r="F210" i="16"/>
  <c r="F232" i="16" s="1"/>
  <c r="G210" i="16"/>
  <c r="H210" i="16"/>
  <c r="H232" i="16" s="1"/>
  <c r="I210" i="16"/>
  <c r="I232" i="16" s="1"/>
  <c r="J210" i="16"/>
  <c r="J232" i="16" s="1"/>
  <c r="K210" i="16"/>
  <c r="K232" i="16" s="1"/>
  <c r="L210" i="16"/>
  <c r="L232" i="16" s="1"/>
  <c r="M210" i="16"/>
  <c r="M232" i="16" s="1"/>
  <c r="N210" i="16"/>
  <c r="N232" i="16" s="1"/>
  <c r="O210" i="16"/>
  <c r="D210" i="16"/>
  <c r="D232" i="16" s="1"/>
  <c r="D209" i="16"/>
  <c r="D231" i="16" s="1"/>
  <c r="E204" i="16"/>
  <c r="F204" i="16"/>
  <c r="G204" i="16"/>
  <c r="H204" i="16"/>
  <c r="I204" i="16"/>
  <c r="J204" i="16"/>
  <c r="K204" i="16"/>
  <c r="L204" i="16"/>
  <c r="M204" i="16"/>
  <c r="N204" i="16"/>
  <c r="O204" i="16"/>
  <c r="D204" i="16"/>
  <c r="E199" i="16"/>
  <c r="F199" i="16"/>
  <c r="G199" i="16"/>
  <c r="H199" i="16"/>
  <c r="I199" i="16"/>
  <c r="J199" i="16"/>
  <c r="K199" i="16"/>
  <c r="L199" i="16"/>
  <c r="M199" i="16"/>
  <c r="N199" i="16"/>
  <c r="O199" i="16"/>
  <c r="E200" i="16"/>
  <c r="F200" i="16"/>
  <c r="G200" i="16"/>
  <c r="H200" i="16"/>
  <c r="I200" i="16"/>
  <c r="J200" i="16"/>
  <c r="K200" i="16"/>
  <c r="L200" i="16"/>
  <c r="M200" i="16"/>
  <c r="N200" i="16"/>
  <c r="O200" i="16"/>
  <c r="D200" i="16"/>
  <c r="D199" i="16"/>
  <c r="O213" i="16" l="1"/>
  <c r="G223" i="16"/>
  <c r="H213" i="16"/>
  <c r="F223" i="16"/>
  <c r="L214" i="16"/>
  <c r="K233" i="16"/>
  <c r="N223" i="16"/>
  <c r="M223" i="16"/>
  <c r="E214" i="16"/>
  <c r="K213" i="16"/>
  <c r="O214" i="16"/>
  <c r="G214" i="16"/>
  <c r="K214" i="16"/>
  <c r="J213" i="16"/>
  <c r="J233" i="16"/>
  <c r="N214" i="16"/>
  <c r="F214" i="16"/>
  <c r="J224" i="16"/>
  <c r="E223" i="16"/>
  <c r="I233" i="16"/>
  <c r="I224" i="16"/>
  <c r="D213" i="16"/>
  <c r="D224" i="16"/>
  <c r="H224" i="16"/>
  <c r="I214" i="16"/>
  <c r="I213" i="16"/>
  <c r="M214" i="16"/>
  <c r="L223" i="16"/>
  <c r="L213" i="16"/>
  <c r="L215" i="16" s="1"/>
  <c r="G224" i="16"/>
  <c r="G225" i="16" s="1"/>
  <c r="J223" i="16"/>
  <c r="F224" i="16"/>
  <c r="O211" i="16"/>
  <c r="O232" i="16"/>
  <c r="O233" i="16" s="1"/>
  <c r="H214" i="16"/>
  <c r="H215" i="16" s="1"/>
  <c r="H233" i="16"/>
  <c r="O224" i="16"/>
  <c r="N233" i="16"/>
  <c r="N224" i="16"/>
  <c r="N225" i="16" s="1"/>
  <c r="I223" i="16"/>
  <c r="M211" i="16"/>
  <c r="M231" i="16"/>
  <c r="M233" i="16" s="1"/>
  <c r="E233" i="16"/>
  <c r="M224" i="16"/>
  <c r="E224" i="16"/>
  <c r="G213" i="16"/>
  <c r="G215" i="16" s="1"/>
  <c r="O223" i="16"/>
  <c r="K223" i="16"/>
  <c r="D214" i="16"/>
  <c r="F233" i="16"/>
  <c r="D223" i="16"/>
  <c r="H223" i="16"/>
  <c r="D233" i="16"/>
  <c r="L233" i="16"/>
  <c r="L224" i="16"/>
  <c r="N213" i="16"/>
  <c r="F213" i="16"/>
  <c r="K224" i="16"/>
  <c r="J214" i="16"/>
  <c r="M213" i="16"/>
  <c r="E213" i="16"/>
  <c r="G211" i="16"/>
  <c r="G232" i="16"/>
  <c r="G233" i="16" s="1"/>
  <c r="J206" i="16"/>
  <c r="K211" i="16"/>
  <c r="E211" i="16"/>
  <c r="M206" i="16"/>
  <c r="P199" i="16"/>
  <c r="N481" i="2" s="1"/>
  <c r="H211" i="16"/>
  <c r="N206" i="16"/>
  <c r="F206" i="16"/>
  <c r="N211" i="16"/>
  <c r="O206" i="16"/>
  <c r="G206" i="16"/>
  <c r="J211" i="16"/>
  <c r="I211" i="16"/>
  <c r="P200" i="16"/>
  <c r="N488" i="2" s="1"/>
  <c r="F211" i="16"/>
  <c r="P194" i="16"/>
  <c r="M481" i="2" s="1"/>
  <c r="L211" i="16"/>
  <c r="E206" i="16"/>
  <c r="P204" i="16"/>
  <c r="I206" i="16"/>
  <c r="P195" i="16"/>
  <c r="M488" i="2" s="1"/>
  <c r="L206" i="16"/>
  <c r="H206" i="16"/>
  <c r="P209" i="16"/>
  <c r="O481" i="2" s="1"/>
  <c r="P210" i="16"/>
  <c r="O488" i="2" s="1"/>
  <c r="P205" i="16"/>
  <c r="K206" i="16"/>
  <c r="M225" i="16" l="1"/>
  <c r="I225" i="16"/>
  <c r="F225" i="16"/>
  <c r="O215" i="16"/>
  <c r="I215" i="16"/>
  <c r="E215" i="16"/>
  <c r="P231" i="16"/>
  <c r="D215" i="16"/>
  <c r="H225" i="16"/>
  <c r="J225" i="16"/>
  <c r="F215" i="16"/>
  <c r="N215" i="16"/>
  <c r="E225" i="16"/>
  <c r="J215" i="16"/>
  <c r="P224" i="16"/>
  <c r="K215" i="16"/>
  <c r="P213" i="16"/>
  <c r="L225" i="16"/>
  <c r="P214" i="16"/>
  <c r="P232" i="16"/>
  <c r="K225" i="16"/>
  <c r="M215" i="16"/>
  <c r="O225" i="16"/>
  <c r="P223" i="16"/>
  <c r="P225" i="16" s="1"/>
  <c r="D225" i="16"/>
  <c r="P201" i="16"/>
  <c r="P211" i="16"/>
  <c r="P206" i="16"/>
  <c r="P233" i="16" l="1"/>
  <c r="P215" i="16"/>
  <c r="P143" i="16"/>
  <c r="P103" i="16"/>
  <c r="P102" i="16"/>
  <c r="P91" i="16"/>
  <c r="P96" i="16"/>
  <c r="P148" i="16"/>
  <c r="E72" i="16"/>
  <c r="P155" i="16"/>
  <c r="P154" i="16"/>
  <c r="O101" i="16"/>
  <c r="O104" i="16" s="1"/>
  <c r="N101" i="16"/>
  <c r="N104" i="16" s="1"/>
  <c r="M101" i="16"/>
  <c r="M104" i="16" s="1"/>
  <c r="L101" i="16"/>
  <c r="L104" i="16" s="1"/>
  <c r="K101" i="16"/>
  <c r="K104" i="16" s="1"/>
  <c r="J101" i="16"/>
  <c r="J104" i="16" s="1"/>
  <c r="I101" i="16"/>
  <c r="I104" i="16" s="1"/>
  <c r="H101" i="16"/>
  <c r="H104" i="16" s="1"/>
  <c r="G101" i="16"/>
  <c r="G104" i="16" s="1"/>
  <c r="F101" i="16"/>
  <c r="F104" i="16" s="1"/>
  <c r="E101" i="16"/>
  <c r="E104" i="16" s="1"/>
  <c r="D101" i="16"/>
  <c r="D104" i="16" s="1"/>
  <c r="P100" i="16"/>
  <c r="P99" i="16"/>
  <c r="P98" i="16"/>
  <c r="P97" i="16"/>
  <c r="P95" i="16"/>
  <c r="P94" i="16"/>
  <c r="P93" i="16"/>
  <c r="P92" i="16"/>
  <c r="P90" i="16"/>
  <c r="P89" i="16"/>
  <c r="P88" i="16"/>
  <c r="P8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P116" i="16"/>
  <c r="P115" i="16"/>
  <c r="P114" i="16"/>
  <c r="P113" i="16"/>
  <c r="P112" i="16"/>
  <c r="P111" i="16"/>
  <c r="P110" i="16"/>
  <c r="P109" i="16"/>
  <c r="P108" i="16"/>
  <c r="P107" i="16"/>
  <c r="P106" i="16"/>
  <c r="O72" i="16"/>
  <c r="N72" i="16"/>
  <c r="M72" i="16"/>
  <c r="L72" i="16"/>
  <c r="K72" i="16"/>
  <c r="J72" i="16"/>
  <c r="I72" i="16"/>
  <c r="H72" i="16"/>
  <c r="G72" i="16"/>
  <c r="F72" i="16"/>
  <c r="D72" i="16"/>
  <c r="P71" i="16"/>
  <c r="P70" i="16"/>
  <c r="P69" i="16"/>
  <c r="P68" i="16"/>
  <c r="P67" i="16"/>
  <c r="P66" i="16"/>
  <c r="P65" i="16"/>
  <c r="P64" i="16"/>
  <c r="P63" i="16"/>
  <c r="P62" i="16"/>
  <c r="P61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P58" i="16"/>
  <c r="P57" i="16"/>
  <c r="P56" i="16"/>
  <c r="P55" i="16"/>
  <c r="P54" i="16"/>
  <c r="P53" i="16"/>
  <c r="P52" i="16"/>
  <c r="P51" i="16"/>
  <c r="P50" i="16"/>
  <c r="P49" i="16"/>
  <c r="P48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P168" i="16"/>
  <c r="P167" i="16"/>
  <c r="P166" i="16"/>
  <c r="P165" i="16"/>
  <c r="P164" i="16"/>
  <c r="P163" i="16"/>
  <c r="P162" i="16"/>
  <c r="P161" i="16"/>
  <c r="P160" i="16"/>
  <c r="P159" i="16"/>
  <c r="P158" i="16"/>
  <c r="P136" i="16"/>
  <c r="P135" i="16"/>
  <c r="O134" i="16"/>
  <c r="O137" i="16" s="1"/>
  <c r="N134" i="16"/>
  <c r="N137" i="16" s="1"/>
  <c r="M134" i="16"/>
  <c r="M137" i="16" s="1"/>
  <c r="L134" i="16"/>
  <c r="L137" i="16" s="1"/>
  <c r="K134" i="16"/>
  <c r="K137" i="16" s="1"/>
  <c r="J134" i="16"/>
  <c r="J137" i="16" s="1"/>
  <c r="I134" i="16"/>
  <c r="I137" i="16" s="1"/>
  <c r="H134" i="16"/>
  <c r="H137" i="16" s="1"/>
  <c r="G134" i="16"/>
  <c r="G137" i="16" s="1"/>
  <c r="F134" i="16"/>
  <c r="F137" i="16" s="1"/>
  <c r="E134" i="16"/>
  <c r="E137" i="16" s="1"/>
  <c r="D134" i="16"/>
  <c r="D137" i="16" s="1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49" i="16"/>
  <c r="E17" i="16"/>
  <c r="F17" i="16"/>
  <c r="G17" i="16"/>
  <c r="H17" i="16"/>
  <c r="I17" i="16"/>
  <c r="J17" i="16"/>
  <c r="K17" i="16"/>
  <c r="L17" i="16"/>
  <c r="M17" i="16"/>
  <c r="N17" i="16"/>
  <c r="O17" i="16"/>
  <c r="P104" i="16" l="1"/>
  <c r="P101" i="16"/>
  <c r="P117" i="16"/>
  <c r="P72" i="16"/>
  <c r="P59" i="16"/>
  <c r="P169" i="16"/>
  <c r="P134" i="16"/>
  <c r="P137" i="16"/>
  <c r="D16" i="8" l="1"/>
  <c r="F16" i="8" s="1"/>
  <c r="C16" i="8"/>
  <c r="B16" i="8"/>
  <c r="D15" i="8"/>
  <c r="F15" i="8" s="1"/>
  <c r="C15" i="8"/>
  <c r="B15" i="8"/>
  <c r="D15" i="9"/>
  <c r="F15" i="9" s="1"/>
  <c r="D16" i="9"/>
  <c r="F16" i="9" s="1"/>
  <c r="C15" i="9"/>
  <c r="C16" i="9"/>
  <c r="B16" i="9"/>
  <c r="B15" i="9"/>
  <c r="N3" i="2"/>
  <c r="P16" i="15"/>
  <c r="M17" i="15"/>
  <c r="P17" i="15"/>
  <c r="M18" i="15"/>
  <c r="P18" i="15"/>
  <c r="M19" i="15"/>
  <c r="P19" i="15"/>
  <c r="M20" i="15"/>
  <c r="P20" i="15"/>
  <c r="M21" i="15"/>
  <c r="P21" i="15"/>
  <c r="M22" i="15"/>
  <c r="P22" i="15"/>
  <c r="M23" i="15"/>
  <c r="P23" i="15"/>
  <c r="B17" i="15"/>
  <c r="L17" i="15" s="1"/>
  <c r="B18" i="15"/>
  <c r="L18" i="15" s="1"/>
  <c r="B19" i="15"/>
  <c r="A17" i="15"/>
  <c r="A18" i="15"/>
  <c r="A19" i="15"/>
  <c r="L19" i="15" s="1"/>
  <c r="E186" i="16"/>
  <c r="E189" i="16" s="1"/>
  <c r="F186" i="16"/>
  <c r="F189" i="16" s="1"/>
  <c r="G186" i="16"/>
  <c r="G189" i="16" s="1"/>
  <c r="H186" i="16"/>
  <c r="H189" i="16" s="1"/>
  <c r="I186" i="16"/>
  <c r="I189" i="16" s="1"/>
  <c r="J186" i="16"/>
  <c r="J189" i="16" s="1"/>
  <c r="K186" i="16"/>
  <c r="K189" i="16" s="1"/>
  <c r="L186" i="16"/>
  <c r="L189" i="16" s="1"/>
  <c r="M186" i="16"/>
  <c r="M189" i="16" s="1"/>
  <c r="N186" i="16"/>
  <c r="N189" i="16" s="1"/>
  <c r="O186" i="16"/>
  <c r="O189" i="16" s="1"/>
  <c r="E10" i="9"/>
  <c r="E8" i="9"/>
  <c r="E7" i="9"/>
  <c r="E12" i="8"/>
  <c r="L93" i="18" l="1"/>
  <c r="M93" i="18" s="1"/>
  <c r="J93" i="18"/>
  <c r="I93" i="18"/>
  <c r="F93" i="18"/>
  <c r="H93" i="18" s="1"/>
  <c r="L92" i="18"/>
  <c r="M92" i="18" s="1"/>
  <c r="J92" i="18"/>
  <c r="I92" i="18"/>
  <c r="F92" i="18"/>
  <c r="H92" i="18" s="1"/>
  <c r="L91" i="18"/>
  <c r="M91" i="18" s="1"/>
  <c r="J91" i="18"/>
  <c r="I91" i="18"/>
  <c r="F91" i="18"/>
  <c r="H91" i="18" s="1"/>
  <c r="L90" i="18"/>
  <c r="M90" i="18" s="1"/>
  <c r="J90" i="18"/>
  <c r="I90" i="18"/>
  <c r="F90" i="18"/>
  <c r="H90" i="18" s="1"/>
  <c r="L89" i="18"/>
  <c r="M89" i="18" s="1"/>
  <c r="J89" i="18"/>
  <c r="I89" i="18"/>
  <c r="F89" i="18"/>
  <c r="H89" i="18" s="1"/>
  <c r="L88" i="18"/>
  <c r="M88" i="18" s="1"/>
  <c r="J88" i="18"/>
  <c r="I88" i="18"/>
  <c r="F88" i="18"/>
  <c r="H88" i="18" s="1"/>
  <c r="L87" i="18"/>
  <c r="M87" i="18" s="1"/>
  <c r="J87" i="18"/>
  <c r="I87" i="18"/>
  <c r="F87" i="18"/>
  <c r="H87" i="18" s="1"/>
  <c r="L86" i="18"/>
  <c r="M86" i="18" s="1"/>
  <c r="J86" i="18"/>
  <c r="I86" i="18"/>
  <c r="F86" i="18"/>
  <c r="H86" i="18" s="1"/>
  <c r="L85" i="18"/>
  <c r="M85" i="18" s="1"/>
  <c r="J85" i="18"/>
  <c r="I85" i="18"/>
  <c r="F85" i="18"/>
  <c r="H85" i="18" s="1"/>
  <c r="L84" i="18"/>
  <c r="M84" i="18" s="1"/>
  <c r="J84" i="18"/>
  <c r="I84" i="18"/>
  <c r="F84" i="18"/>
  <c r="H84" i="18" s="1"/>
  <c r="L83" i="18"/>
  <c r="M83" i="18" s="1"/>
  <c r="J83" i="18"/>
  <c r="I83" i="18"/>
  <c r="F83" i="18"/>
  <c r="H83" i="18" s="1"/>
  <c r="L82" i="18"/>
  <c r="M82" i="18" s="1"/>
  <c r="J82" i="18"/>
  <c r="I82" i="18"/>
  <c r="F82" i="18"/>
  <c r="H82" i="18" s="1"/>
  <c r="L81" i="18"/>
  <c r="M81" i="18" s="1"/>
  <c r="J81" i="18"/>
  <c r="I81" i="18"/>
  <c r="F81" i="18"/>
  <c r="H81" i="18" s="1"/>
  <c r="E56" i="18"/>
  <c r="D66" i="18" s="1"/>
  <c r="D56" i="18"/>
  <c r="D71" i="18" s="1"/>
  <c r="J55" i="18"/>
  <c r="I55" i="18"/>
  <c r="F55" i="18"/>
  <c r="H55" i="18" s="1"/>
  <c r="J54" i="18"/>
  <c r="I54" i="18"/>
  <c r="F54" i="18"/>
  <c r="H54" i="18" s="1"/>
  <c r="J53" i="18"/>
  <c r="I53" i="18"/>
  <c r="F53" i="18"/>
  <c r="H53" i="18" s="1"/>
  <c r="J52" i="18"/>
  <c r="I52" i="18"/>
  <c r="F52" i="18"/>
  <c r="H52" i="18" s="1"/>
  <c r="J51" i="18"/>
  <c r="I51" i="18"/>
  <c r="F51" i="18"/>
  <c r="H51" i="18" s="1"/>
  <c r="J50" i="18"/>
  <c r="I50" i="18"/>
  <c r="F50" i="18"/>
  <c r="H50" i="18" s="1"/>
  <c r="J49" i="18"/>
  <c r="I49" i="18"/>
  <c r="F49" i="18"/>
  <c r="H49" i="18" s="1"/>
  <c r="J48" i="18"/>
  <c r="I48" i="18"/>
  <c r="F48" i="18"/>
  <c r="E24" i="18"/>
  <c r="D34" i="18" s="1"/>
  <c r="D24" i="18"/>
  <c r="D39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J20" i="18"/>
  <c r="I20" i="18"/>
  <c r="F20" i="18"/>
  <c r="H20" i="18" s="1"/>
  <c r="J19" i="18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J8" i="18"/>
  <c r="I8" i="18"/>
  <c r="F8" i="18"/>
  <c r="D68" i="18" l="1"/>
  <c r="H48" i="18"/>
  <c r="H60" i="18" s="1" a="1"/>
  <c r="H62" i="18" s="1"/>
  <c r="D62" i="18" s="1"/>
  <c r="D36" i="18"/>
  <c r="H8" i="18"/>
  <c r="H28" i="18" s="1" a="1"/>
  <c r="I30" i="18" s="1"/>
  <c r="H61" i="18" l="1"/>
  <c r="H60" i="18"/>
  <c r="D60" i="18" s="1"/>
  <c r="I61" i="18"/>
  <c r="I62" i="18"/>
  <c r="I60" i="18"/>
  <c r="D61" i="18" s="1"/>
  <c r="D67" i="18" s="1"/>
  <c r="D70" i="18" s="1"/>
  <c r="D72" i="18" s="1"/>
  <c r="D73" i="18" s="1"/>
  <c r="D74" i="18" s="1"/>
  <c r="I28" i="18"/>
  <c r="D29" i="18" s="1"/>
  <c r="D35" i="18" s="1"/>
  <c r="D38" i="18" s="1"/>
  <c r="D40" i="18" s="1"/>
  <c r="D41" i="18" s="1"/>
  <c r="D42" i="18" s="1"/>
  <c r="I29" i="18"/>
  <c r="H29" i="18"/>
  <c r="H30" i="18"/>
  <c r="D30" i="18" s="1"/>
  <c r="H28" i="18"/>
  <c r="D28" i="18" s="1"/>
  <c r="F431" i="1" l="1"/>
  <c r="F400" i="1"/>
  <c r="F399" i="1"/>
  <c r="F397" i="1"/>
  <c r="F276" i="1"/>
  <c r="F275" i="1"/>
  <c r="F257" i="1"/>
  <c r="F256" i="1"/>
  <c r="F250" i="1"/>
  <c r="F243" i="1"/>
  <c r="F242" i="1"/>
  <c r="F223" i="1"/>
  <c r="F222" i="1"/>
  <c r="F220" i="1"/>
  <c r="F108" i="1"/>
  <c r="F67" i="1"/>
  <c r="F66" i="1"/>
  <c r="F65" i="1"/>
  <c r="F50" i="1"/>
  <c r="F49" i="1"/>
  <c r="F48" i="1"/>
  <c r="F47" i="1"/>
  <c r="F42" i="1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N196" i="16"/>
  <c r="M196" i="16"/>
  <c r="L196" i="16"/>
  <c r="K196" i="16"/>
  <c r="F196" i="16"/>
  <c r="E196" i="16"/>
  <c r="D196" i="16"/>
  <c r="P196" i="16"/>
  <c r="P188" i="16"/>
  <c r="P187" i="16"/>
  <c r="D186" i="16"/>
  <c r="D189" i="16" s="1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171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P84" i="16"/>
  <c r="P83" i="16"/>
  <c r="P82" i="16"/>
  <c r="P81" i="16"/>
  <c r="P80" i="16"/>
  <c r="P79" i="16"/>
  <c r="P78" i="16"/>
  <c r="P77" i="16"/>
  <c r="P76" i="16"/>
  <c r="P75" i="16"/>
  <c r="P74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P152" i="16"/>
  <c r="P151" i="16"/>
  <c r="P150" i="16"/>
  <c r="P147" i="16"/>
  <c r="P146" i="16"/>
  <c r="P145" i="16"/>
  <c r="P144" i="16"/>
  <c r="P142" i="16"/>
  <c r="P141" i="16"/>
  <c r="P140" i="16"/>
  <c r="P139" i="16"/>
  <c r="O31" i="16"/>
  <c r="O239" i="16" s="1"/>
  <c r="N31" i="16"/>
  <c r="N239" i="16" s="1"/>
  <c r="M31" i="16"/>
  <c r="M239" i="16" s="1"/>
  <c r="L31" i="16"/>
  <c r="L239" i="16" s="1"/>
  <c r="K31" i="16"/>
  <c r="K239" i="16" s="1"/>
  <c r="J31" i="16"/>
  <c r="J239" i="16" s="1"/>
  <c r="I31" i="16"/>
  <c r="I239" i="16" s="1"/>
  <c r="H31" i="16"/>
  <c r="H239" i="16" s="1"/>
  <c r="G31" i="16"/>
  <c r="G239" i="16" s="1"/>
  <c r="F31" i="16"/>
  <c r="F239" i="16" s="1"/>
  <c r="E31" i="16"/>
  <c r="E239" i="16" s="1"/>
  <c r="D31" i="16"/>
  <c r="D239" i="16" s="1"/>
  <c r="P29" i="16"/>
  <c r="P28" i="16"/>
  <c r="P27" i="16"/>
  <c r="P26" i="16"/>
  <c r="P23" i="16"/>
  <c r="P22" i="16"/>
  <c r="P20" i="16"/>
  <c r="P19" i="16"/>
  <c r="P18" i="16"/>
  <c r="D17" i="16"/>
  <c r="P16" i="16"/>
  <c r="P15" i="16"/>
  <c r="O14" i="16"/>
  <c r="O24" i="16" s="1"/>
  <c r="N14" i="16"/>
  <c r="N24" i="16" s="1"/>
  <c r="M14" i="16"/>
  <c r="M24" i="16" s="1"/>
  <c r="L14" i="16"/>
  <c r="L24" i="16" s="1"/>
  <c r="K14" i="16"/>
  <c r="K24" i="16" s="1"/>
  <c r="J14" i="16"/>
  <c r="J24" i="16" s="1"/>
  <c r="I14" i="16"/>
  <c r="I24" i="16" s="1"/>
  <c r="H14" i="16"/>
  <c r="H24" i="16" s="1"/>
  <c r="G14" i="16"/>
  <c r="G24" i="16" s="1"/>
  <c r="F14" i="16"/>
  <c r="F24" i="16" s="1"/>
  <c r="E14" i="16"/>
  <c r="E24" i="16" s="1"/>
  <c r="D14" i="16"/>
  <c r="P13" i="16"/>
  <c r="P12" i="16"/>
  <c r="P11" i="16"/>
  <c r="P10" i="16"/>
  <c r="P9" i="16"/>
  <c r="P8" i="16"/>
  <c r="P7" i="16"/>
  <c r="P6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P239" i="16" l="1"/>
  <c r="D24" i="16"/>
  <c r="O156" i="16"/>
  <c r="I156" i="16"/>
  <c r="K156" i="16"/>
  <c r="H156" i="16"/>
  <c r="J156" i="16"/>
  <c r="D156" i="16"/>
  <c r="L156" i="16"/>
  <c r="E156" i="16"/>
  <c r="M156" i="16"/>
  <c r="G156" i="16"/>
  <c r="F156" i="16"/>
  <c r="N156" i="16"/>
  <c r="A18" i="16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F32" i="16"/>
  <c r="M32" i="16"/>
  <c r="I201" i="16"/>
  <c r="J196" i="16"/>
  <c r="J201" i="16"/>
  <c r="G196" i="16"/>
  <c r="O196" i="16"/>
  <c r="K201" i="16"/>
  <c r="H196" i="16"/>
  <c r="I196" i="16"/>
  <c r="I32" i="16"/>
  <c r="K32" i="16"/>
  <c r="P217" i="16"/>
  <c r="F201" i="16"/>
  <c r="L201" i="16"/>
  <c r="H201" i="16"/>
  <c r="D201" i="16"/>
  <c r="P153" i="16"/>
  <c r="G201" i="16"/>
  <c r="O201" i="16"/>
  <c r="E201" i="16"/>
  <c r="M201" i="16"/>
  <c r="N201" i="16"/>
  <c r="J32" i="16"/>
  <c r="P17" i="16"/>
  <c r="Q19" i="16" s="1"/>
  <c r="P85" i="16"/>
  <c r="P14" i="16"/>
  <c r="D32" i="16"/>
  <c r="L32" i="16"/>
  <c r="L240" i="16" s="1"/>
  <c r="L241" i="16" s="1"/>
  <c r="P186" i="16"/>
  <c r="E32" i="16"/>
  <c r="N32" i="16"/>
  <c r="N240" i="16" s="1"/>
  <c r="N241" i="16" s="1"/>
  <c r="G32" i="16"/>
  <c r="G240" i="16" s="1"/>
  <c r="G241" i="16" s="1"/>
  <c r="O32" i="16"/>
  <c r="O240" i="16" s="1"/>
  <c r="O241" i="16" s="1"/>
  <c r="P218" i="16"/>
  <c r="H32" i="16"/>
  <c r="H240" i="16" s="1"/>
  <c r="H241" i="16" s="1"/>
  <c r="P31" i="16"/>
  <c r="K33" i="16" l="1"/>
  <c r="K34" i="16" s="1"/>
  <c r="K240" i="16"/>
  <c r="K241" i="16" s="1"/>
  <c r="I33" i="16"/>
  <c r="I34" i="16" s="1"/>
  <c r="I240" i="16"/>
  <c r="I241" i="16" s="1"/>
  <c r="E33" i="16"/>
  <c r="E34" i="16" s="1"/>
  <c r="E240" i="16"/>
  <c r="E241" i="16" s="1"/>
  <c r="D33" i="16"/>
  <c r="D35" i="16" s="1"/>
  <c r="D240" i="16"/>
  <c r="M33" i="16"/>
  <c r="M34" i="16" s="1"/>
  <c r="M240" i="16"/>
  <c r="M241" i="16" s="1"/>
  <c r="F33" i="16"/>
  <c r="F34" i="16" s="1"/>
  <c r="F240" i="16"/>
  <c r="F241" i="16" s="1"/>
  <c r="J33" i="16"/>
  <c r="J36" i="16" s="1"/>
  <c r="J240" i="16"/>
  <c r="J241" i="16" s="1"/>
  <c r="D206" i="16"/>
  <c r="P156" i="16"/>
  <c r="P24" i="16"/>
  <c r="P41" i="16" s="1"/>
  <c r="P43" i="16" s="1"/>
  <c r="I35" i="16"/>
  <c r="N33" i="16"/>
  <c r="N36" i="16" s="1"/>
  <c r="P189" i="16"/>
  <c r="L33" i="16"/>
  <c r="L36" i="16" s="1"/>
  <c r="G33" i="16"/>
  <c r="G36" i="16" s="1"/>
  <c r="O33" i="16"/>
  <c r="H33" i="16"/>
  <c r="H36" i="16" s="1"/>
  <c r="P32" i="16"/>
  <c r="I36" i="16" l="1"/>
  <c r="M36" i="16"/>
  <c r="F35" i="16"/>
  <c r="F36" i="16"/>
  <c r="M35" i="16"/>
  <c r="K35" i="16"/>
  <c r="K36" i="16"/>
  <c r="E36" i="16"/>
  <c r="D34" i="16"/>
  <c r="J35" i="16"/>
  <c r="J34" i="16"/>
  <c r="D36" i="16"/>
  <c r="E35" i="16"/>
  <c r="P240" i="16"/>
  <c r="P241" i="16" s="1"/>
  <c r="D241" i="16"/>
  <c r="P33" i="16"/>
  <c r="P35" i="16" s="1"/>
  <c r="H479" i="1" s="1"/>
  <c r="D211" i="16"/>
  <c r="H34" i="16"/>
  <c r="H35" i="16"/>
  <c r="L34" i="16"/>
  <c r="L35" i="16"/>
  <c r="N34" i="16"/>
  <c r="N35" i="16"/>
  <c r="O34" i="16"/>
  <c r="O35" i="16"/>
  <c r="G34" i="16"/>
  <c r="G35" i="16"/>
  <c r="O36" i="16"/>
  <c r="P36" i="16" l="1"/>
  <c r="I479" i="1" s="1"/>
  <c r="P34" i="16"/>
  <c r="B42" i="4" l="1"/>
  <c r="C42" i="4"/>
  <c r="B43" i="4"/>
  <c r="C43" i="4"/>
  <c r="N348" i="2" l="1"/>
  <c r="F348" i="2"/>
  <c r="N341" i="2" l="1"/>
  <c r="M341" i="2"/>
  <c r="L341" i="2"/>
  <c r="K341" i="2"/>
  <c r="J341" i="2"/>
  <c r="I341" i="2"/>
  <c r="H341" i="2"/>
  <c r="G341" i="2"/>
  <c r="F341" i="2"/>
  <c r="E341" i="2"/>
  <c r="O119" i="15"/>
  <c r="C16" i="15" s="1"/>
  <c r="D14" i="9" l="1"/>
  <c r="M16" i="15"/>
  <c r="AG341" i="2"/>
  <c r="O40" i="15" l="1"/>
  <c r="O39" i="15"/>
  <c r="F14" i="9"/>
  <c r="B14" i="9"/>
  <c r="C14" i="9"/>
  <c r="D14" i="8"/>
  <c r="F14" i="8" s="1"/>
  <c r="C14" i="8"/>
  <c r="B14" i="8"/>
  <c r="N2" i="2"/>
  <c r="C41" i="4"/>
  <c r="B41" i="4"/>
  <c r="H42" i="1" l="1"/>
  <c r="H43" i="1"/>
  <c r="H44" i="1"/>
  <c r="M348" i="2" l="1"/>
  <c r="L348" i="2"/>
  <c r="K348" i="2"/>
  <c r="J348" i="2"/>
  <c r="I348" i="2"/>
  <c r="H348" i="2"/>
  <c r="G348" i="2"/>
  <c r="E358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H344" i="2" l="1"/>
  <c r="G344" i="2"/>
  <c r="J344" i="2"/>
  <c r="K344" i="2"/>
  <c r="M344" i="2"/>
  <c r="E344" i="2"/>
  <c r="N344" i="2"/>
  <c r="F344" i="2"/>
  <c r="L344" i="2"/>
  <c r="I344" i="2"/>
  <c r="I342" i="2"/>
  <c r="K342" i="2"/>
  <c r="L342" i="2"/>
  <c r="M342" i="2"/>
  <c r="E342" i="2"/>
  <c r="F342" i="2"/>
  <c r="N342" i="2"/>
  <c r="G342" i="2"/>
  <c r="H342" i="2"/>
  <c r="J342" i="2"/>
  <c r="AG344" i="2" l="1"/>
  <c r="AH344" i="2" s="1"/>
  <c r="AG342" i="2"/>
  <c r="AH342" i="2" s="1"/>
  <c r="AK360" i="2"/>
  <c r="E360" i="2" s="1"/>
  <c r="AK361" i="2"/>
  <c r="AK362" i="2"/>
  <c r="E362" i="2" s="1"/>
  <c r="AK363" i="2"/>
  <c r="E363" i="2" s="1"/>
  <c r="AK364" i="2"/>
  <c r="AK366" i="2"/>
  <c r="E366" i="2" s="1"/>
  <c r="AK367" i="2"/>
  <c r="E367" i="2" s="1"/>
  <c r="E368" i="2"/>
  <c r="AK369" i="2"/>
  <c r="E369" i="2" s="1"/>
  <c r="AK370" i="2"/>
  <c r="AK372" i="2"/>
  <c r="E372" i="2" s="1"/>
  <c r="AK373" i="2"/>
  <c r="E373" i="2" s="1"/>
  <c r="AK359" i="2"/>
  <c r="E359" i="2" s="1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Z514" i="17"/>
  <c r="AA514" i="17"/>
  <c r="AB514" i="17"/>
  <c r="AC514" i="17"/>
  <c r="AD514" i="17"/>
  <c r="AE514" i="17"/>
  <c r="AF514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Z515" i="17"/>
  <c r="AA515" i="17"/>
  <c r="AB515" i="17"/>
  <c r="AC515" i="17"/>
  <c r="AD515" i="17"/>
  <c r="AE515" i="17"/>
  <c r="AF515" i="17"/>
  <c r="AD514" i="1"/>
  <c r="AE514" i="1"/>
  <c r="AF514" i="1"/>
  <c r="AD515" i="1"/>
  <c r="AE515" i="1"/>
  <c r="AF515" i="1"/>
  <c r="F514" i="17"/>
  <c r="G514" i="17"/>
  <c r="H514" i="17"/>
  <c r="I514" i="17"/>
  <c r="J514" i="17"/>
  <c r="K514" i="17"/>
  <c r="L514" i="17"/>
  <c r="M514" i="17"/>
  <c r="F515" i="17"/>
  <c r="G515" i="17"/>
  <c r="H515" i="17"/>
  <c r="I515" i="17"/>
  <c r="J515" i="17"/>
  <c r="K515" i="17"/>
  <c r="L515" i="17"/>
  <c r="M515" i="17"/>
  <c r="E514" i="17"/>
  <c r="E515" i="17"/>
  <c r="E361" i="2" l="1"/>
  <c r="L361" i="2"/>
  <c r="K361" i="2"/>
  <c r="J361" i="2"/>
  <c r="G361" i="2"/>
  <c r="N361" i="2"/>
  <c r="M361" i="2"/>
  <c r="I361" i="2"/>
  <c r="P361" i="2"/>
  <c r="H361" i="2"/>
  <c r="O361" i="2"/>
  <c r="F361" i="2"/>
  <c r="E364" i="2"/>
  <c r="AK365" i="2"/>
  <c r="E365" i="2" s="1"/>
  <c r="E370" i="2"/>
  <c r="AK371" i="2"/>
  <c r="E371" i="2" s="1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D41" i="15"/>
  <c r="E41" i="15"/>
  <c r="F41" i="15"/>
  <c r="G41" i="15"/>
  <c r="H41" i="15"/>
  <c r="I41" i="15"/>
  <c r="J41" i="15"/>
  <c r="K41" i="15"/>
  <c r="L41" i="15"/>
  <c r="M41" i="15"/>
  <c r="N41" i="15"/>
  <c r="C41" i="15"/>
  <c r="M34" i="15"/>
  <c r="K34" i="15"/>
  <c r="H34" i="15"/>
  <c r="F34" i="15"/>
  <c r="D34" i="15"/>
  <c r="E34" i="15"/>
  <c r="G34" i="15"/>
  <c r="I34" i="15"/>
  <c r="J34" i="15"/>
  <c r="L34" i="15"/>
  <c r="N34" i="15"/>
  <c r="C34" i="15"/>
  <c r="N83" i="15" l="1"/>
  <c r="N85" i="15" s="1"/>
  <c r="M83" i="15"/>
  <c r="M85" i="15" s="1"/>
  <c r="L83" i="15"/>
  <c r="L85" i="15" s="1"/>
  <c r="K83" i="15"/>
  <c r="K85" i="15" s="1"/>
  <c r="J83" i="15"/>
  <c r="J85" i="15" s="1"/>
  <c r="I83" i="15"/>
  <c r="I85" i="15" s="1"/>
  <c r="H83" i="15"/>
  <c r="H85" i="15" s="1"/>
  <c r="G83" i="15"/>
  <c r="G85" i="15" s="1"/>
  <c r="F83" i="15"/>
  <c r="F85" i="15" s="1"/>
  <c r="E83" i="15"/>
  <c r="E85" i="15" s="1"/>
  <c r="D83" i="15"/>
  <c r="D85" i="15" s="1"/>
  <c r="C83" i="15"/>
  <c r="C85" i="15" s="1"/>
  <c r="C9" i="17"/>
  <c r="C66" i="15" l="1"/>
  <c r="C56" i="15"/>
  <c r="A1" i="16" l="1"/>
  <c r="D106" i="15" l="1"/>
  <c r="D104" i="15"/>
  <c r="E104" i="15" s="1"/>
  <c r="F104" i="15" s="1"/>
  <c r="G104" i="15" s="1"/>
  <c r="H104" i="15" s="1"/>
  <c r="I104" i="15" s="1"/>
  <c r="J104" i="15" s="1"/>
  <c r="K104" i="15" s="1"/>
  <c r="L104" i="15" s="1"/>
  <c r="M104" i="15" s="1"/>
  <c r="N104" i="15" s="1"/>
  <c r="N106" i="15"/>
  <c r="M106" i="15"/>
  <c r="L106" i="15"/>
  <c r="K106" i="15"/>
  <c r="J106" i="15"/>
  <c r="I106" i="15"/>
  <c r="H106" i="15"/>
  <c r="G106" i="15"/>
  <c r="C106" i="15"/>
  <c r="B13" i="9"/>
  <c r="C13" i="9"/>
  <c r="B13" i="8"/>
  <c r="C13" i="8"/>
  <c r="M3" i="2"/>
  <c r="M2" i="2"/>
  <c r="B40" i="4"/>
  <c r="C40" i="4"/>
  <c r="E106" i="15" l="1"/>
  <c r="E103" i="15" s="1"/>
  <c r="E105" i="15" s="1"/>
  <c r="F106" i="15"/>
  <c r="F103" i="15" s="1"/>
  <c r="F105" i="15" s="1"/>
  <c r="D103" i="15"/>
  <c r="D105" i="15" s="1"/>
  <c r="L103" i="15"/>
  <c r="L105" i="15" s="1"/>
  <c r="M103" i="15"/>
  <c r="M105" i="15" s="1"/>
  <c r="N103" i="15"/>
  <c r="N105" i="15" s="1"/>
  <c r="G103" i="15"/>
  <c r="G105" i="15" s="1"/>
  <c r="H103" i="15"/>
  <c r="H105" i="15" s="1"/>
  <c r="I103" i="15"/>
  <c r="I105" i="15" s="1"/>
  <c r="J103" i="15"/>
  <c r="J105" i="15" s="1"/>
  <c r="C103" i="15"/>
  <c r="C105" i="15" s="1"/>
  <c r="K103" i="15"/>
  <c r="K105" i="15" s="1"/>
  <c r="A1" i="18" l="1"/>
  <c r="A1" i="9"/>
  <c r="A1" i="8"/>
  <c r="A1" i="15"/>
  <c r="A1" i="17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A40" i="4" s="1"/>
  <c r="A41" i="4" s="1"/>
  <c r="A42" i="4" l="1"/>
  <c r="A43" i="4" s="1"/>
  <c r="K3" i="2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L9" i="15" s="1"/>
  <c r="B10" i="15"/>
  <c r="L10" i="15" s="1"/>
  <c r="B11" i="15"/>
  <c r="L11" i="15" s="1"/>
  <c r="B12" i="15"/>
  <c r="L12" i="15" s="1"/>
  <c r="B13" i="15"/>
  <c r="L13" i="15" s="1"/>
  <c r="B14" i="15"/>
  <c r="L14" i="15" s="1"/>
  <c r="B15" i="15"/>
  <c r="A9" i="15"/>
  <c r="A10" i="15"/>
  <c r="A11" i="15"/>
  <c r="A12" i="15"/>
  <c r="A13" i="15"/>
  <c r="A14" i="15"/>
  <c r="A15" i="15"/>
  <c r="A109" i="15" s="1"/>
  <c r="B109" i="15" l="1"/>
  <c r="L15" i="15"/>
  <c r="L94" i="18"/>
  <c r="M94" i="18" s="1"/>
  <c r="J94" i="18"/>
  <c r="I94" i="18"/>
  <c r="F94" i="18"/>
  <c r="H94" i="18" s="1"/>
  <c r="H130" i="18" l="1"/>
  <c r="H129" i="18"/>
  <c r="H128" i="18"/>
  <c r="N51" i="15"/>
  <c r="N57" i="15" s="1"/>
  <c r="M51" i="15"/>
  <c r="M57" i="15" s="1"/>
  <c r="L51" i="15"/>
  <c r="L57" i="15" s="1"/>
  <c r="K51" i="15"/>
  <c r="K57" i="15" s="1"/>
  <c r="J51" i="15"/>
  <c r="J57" i="15" s="1"/>
  <c r="I51" i="15"/>
  <c r="I57" i="15" s="1"/>
  <c r="H51" i="15"/>
  <c r="H57" i="15" s="1"/>
  <c r="G51" i="15"/>
  <c r="G57" i="15" s="1"/>
  <c r="F51" i="15"/>
  <c r="F57" i="15" s="1"/>
  <c r="E51" i="15"/>
  <c r="E57" i="15" s="1"/>
  <c r="D51" i="15"/>
  <c r="D57" i="15" s="1"/>
  <c r="C51" i="15"/>
  <c r="L95" i="18" l="1"/>
  <c r="L96" i="18"/>
  <c r="L97" i="18"/>
  <c r="L98" i="18"/>
  <c r="L99" i="18"/>
  <c r="L100" i="18"/>
  <c r="L101" i="18"/>
  <c r="L102" i="18"/>
  <c r="L103" i="18"/>
  <c r="L104" i="18"/>
  <c r="L80" i="18"/>
  <c r="K407" i="2"/>
  <c r="C67" i="15" l="1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C63" i="15" l="1"/>
  <c r="C65" i="15" s="1"/>
  <c r="C53" i="15"/>
  <c r="C55" i="15" s="1"/>
  <c r="O109" i="15" l="1"/>
  <c r="C15" i="15" s="1"/>
  <c r="O99" i="15"/>
  <c r="C14" i="15" s="1"/>
  <c r="O89" i="15"/>
  <c r="C13" i="15" s="1"/>
  <c r="O79" i="15"/>
  <c r="C12" i="15" s="1"/>
  <c r="O69" i="15"/>
  <c r="C11" i="15" s="1"/>
  <c r="O59" i="15"/>
  <c r="C10" i="15" s="1"/>
  <c r="O49" i="15"/>
  <c r="C9" i="15" s="1"/>
  <c r="C8" i="15"/>
  <c r="D13" i="9" l="1"/>
  <c r="F13" i="9" s="1"/>
  <c r="D13" i="8"/>
  <c r="F13" i="8" l="1"/>
  <c r="L2" i="2" l="1"/>
  <c r="B9" i="17"/>
  <c r="E105" i="18" l="1"/>
  <c r="D105" i="18"/>
  <c r="D120" i="18" s="1"/>
  <c r="M104" i="18"/>
  <c r="J104" i="18"/>
  <c r="I104" i="18"/>
  <c r="F104" i="18"/>
  <c r="H104" i="18" s="1"/>
  <c r="M103" i="18"/>
  <c r="J103" i="18"/>
  <c r="I103" i="18"/>
  <c r="F103" i="18"/>
  <c r="H103" i="18" s="1"/>
  <c r="M102" i="18"/>
  <c r="J102" i="18"/>
  <c r="I102" i="18"/>
  <c r="F102" i="18"/>
  <c r="H102" i="18" s="1"/>
  <c r="M101" i="18"/>
  <c r="J101" i="18"/>
  <c r="I101" i="18"/>
  <c r="F101" i="18"/>
  <c r="H101" i="18" s="1"/>
  <c r="M100" i="18"/>
  <c r="J100" i="18"/>
  <c r="I100" i="18"/>
  <c r="F100" i="18"/>
  <c r="H100" i="18" s="1"/>
  <c r="M99" i="18"/>
  <c r="J99" i="18"/>
  <c r="I99" i="18"/>
  <c r="F99" i="18"/>
  <c r="H99" i="18" s="1"/>
  <c r="M98" i="18"/>
  <c r="J98" i="18"/>
  <c r="I98" i="18"/>
  <c r="F98" i="18"/>
  <c r="H98" i="18" s="1"/>
  <c r="M97" i="18"/>
  <c r="J97" i="18"/>
  <c r="I97" i="18"/>
  <c r="F97" i="18"/>
  <c r="H97" i="18" s="1"/>
  <c r="M96" i="18"/>
  <c r="J96" i="18"/>
  <c r="I96" i="18"/>
  <c r="F96" i="18"/>
  <c r="H96" i="18" s="1"/>
  <c r="M95" i="18"/>
  <c r="J95" i="18"/>
  <c r="I95" i="18"/>
  <c r="F95" i="18"/>
  <c r="H95" i="18" s="1"/>
  <c r="M80" i="18"/>
  <c r="J80" i="18"/>
  <c r="I80" i="18"/>
  <c r="F80" i="18"/>
  <c r="H80" i="18" s="1"/>
  <c r="AG346" i="2"/>
  <c r="AH346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I43" i="15"/>
  <c r="I45" i="15" s="1"/>
  <c r="D47" i="15"/>
  <c r="E316" i="2"/>
  <c r="E338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16" i="2"/>
  <c r="F417" i="2" s="1"/>
  <c r="F418" i="2" s="1"/>
  <c r="C43" i="15"/>
  <c r="C45" i="15" s="1"/>
  <c r="C6" i="8"/>
  <c r="B6" i="8"/>
  <c r="C6" i="9"/>
  <c r="B6" i="9"/>
  <c r="A33" i="15"/>
  <c r="O110" i="15"/>
  <c r="O111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49" i="15"/>
  <c r="B59" i="15"/>
  <c r="B69" i="15"/>
  <c r="B79" i="15"/>
  <c r="B89" i="15"/>
  <c r="B99" i="15"/>
  <c r="B16" i="15"/>
  <c r="L16" i="15" s="1"/>
  <c r="B129" i="15"/>
  <c r="B139" i="15"/>
  <c r="B149" i="15"/>
  <c r="B20" i="15"/>
  <c r="B159" i="15" s="1"/>
  <c r="B21" i="15"/>
  <c r="B169" i="15" s="1"/>
  <c r="B22" i="15"/>
  <c r="B179" i="15" s="1"/>
  <c r="B23" i="15"/>
  <c r="B189" i="15" s="1"/>
  <c r="A23" i="15"/>
  <c r="A22" i="15"/>
  <c r="A21" i="15"/>
  <c r="A20" i="15"/>
  <c r="A149" i="15"/>
  <c r="A139" i="15"/>
  <c r="A129" i="15"/>
  <c r="A16" i="15"/>
  <c r="A119" i="15" s="1"/>
  <c r="A8" i="15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27" i="2" s="1"/>
  <c r="T432" i="2" s="1"/>
  <c r="T439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27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27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27" i="2" s="1"/>
  <c r="O153" i="15"/>
  <c r="O150" i="15"/>
  <c r="O140" i="15"/>
  <c r="D18" i="15" s="1"/>
  <c r="Q133" i="15"/>
  <c r="H17" i="15" s="1"/>
  <c r="O427" i="2" s="1"/>
  <c r="O133" i="15"/>
  <c r="O130" i="15"/>
  <c r="Q123" i="15"/>
  <c r="H16" i="15" s="1"/>
  <c r="N427" i="2" s="1"/>
  <c r="O123" i="15"/>
  <c r="O120" i="15"/>
  <c r="O121" i="15" s="1"/>
  <c r="Q113" i="15"/>
  <c r="H15" i="15" s="1"/>
  <c r="M427" i="2" s="1"/>
  <c r="O113" i="15"/>
  <c r="N6" i="15"/>
  <c r="P6" i="15"/>
  <c r="P8" i="15"/>
  <c r="P9" i="15"/>
  <c r="P10" i="15"/>
  <c r="P11" i="15"/>
  <c r="P12" i="15"/>
  <c r="P13" i="15"/>
  <c r="P14" i="15"/>
  <c r="P15" i="15"/>
  <c r="M6" i="15"/>
  <c r="M15" i="15"/>
  <c r="M5" i="15"/>
  <c r="E37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Q287" i="1"/>
  <c r="S639" i="2"/>
  <c r="S629" i="2"/>
  <c r="S627" i="2"/>
  <c r="AG420" i="2"/>
  <c r="AH420" i="2" s="1"/>
  <c r="Z407" i="2"/>
  <c r="U416" i="2"/>
  <c r="U417" i="2" s="1"/>
  <c r="U419" i="2" s="1"/>
  <c r="T416" i="2"/>
  <c r="T417" i="2" s="1"/>
  <c r="S416" i="2"/>
  <c r="S417" i="2" s="1"/>
  <c r="R416" i="2"/>
  <c r="R421" i="2" s="1"/>
  <c r="Q416" i="2"/>
  <c r="Q421" i="2" s="1"/>
  <c r="P416" i="2"/>
  <c r="P417" i="2" s="1"/>
  <c r="O416" i="2"/>
  <c r="O417" i="2" s="1"/>
  <c r="O419" i="2" s="1"/>
  <c r="N416" i="2"/>
  <c r="M416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O199" i="15"/>
  <c r="V415" i="2"/>
  <c r="W415" i="2"/>
  <c r="X415" i="2"/>
  <c r="Y415" i="2"/>
  <c r="Z415" i="2"/>
  <c r="AA415" i="2"/>
  <c r="AB415" i="2"/>
  <c r="AB393" i="2" s="1"/>
  <c r="AC415" i="2"/>
  <c r="AD415" i="2"/>
  <c r="AD393" i="2" s="1"/>
  <c r="AE415" i="2"/>
  <c r="AF415" i="2"/>
  <c r="V399" i="2"/>
  <c r="V400" i="2" s="1"/>
  <c r="W399" i="2"/>
  <c r="W400" i="2" s="1"/>
  <c r="X399" i="2"/>
  <c r="X400" i="2" s="1"/>
  <c r="Y399" i="2"/>
  <c r="Y400" i="2" s="1"/>
  <c r="Z399" i="2"/>
  <c r="Z400" i="2" s="1"/>
  <c r="AA399" i="2"/>
  <c r="AA400" i="2" s="1"/>
  <c r="AB399" i="2"/>
  <c r="AB400" i="2" s="1"/>
  <c r="AC399" i="2"/>
  <c r="AC400" i="2" s="1"/>
  <c r="AD399" i="2"/>
  <c r="AD400" i="2" s="1"/>
  <c r="AE399" i="2"/>
  <c r="AE400" i="2" s="1"/>
  <c r="AF399" i="2"/>
  <c r="AF400" i="2" s="1"/>
  <c r="V432" i="2"/>
  <c r="V439" i="2" s="1"/>
  <c r="V446" i="2"/>
  <c r="V453" i="2" s="1"/>
  <c r="V460" i="2"/>
  <c r="V467" i="2" s="1"/>
  <c r="V479" i="2"/>
  <c r="V486" i="2"/>
  <c r="V552" i="2"/>
  <c r="V554" i="2"/>
  <c r="V563" i="2"/>
  <c r="V568" i="2"/>
  <c r="V588" i="2"/>
  <c r="V614" i="2" s="1"/>
  <c r="V593" i="2"/>
  <c r="V619" i="2" s="1"/>
  <c r="Q324" i="1"/>
  <c r="Q326" i="1" s="1"/>
  <c r="F352" i="1"/>
  <c r="F343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7" i="1"/>
  <c r="Y347" i="1"/>
  <c r="W347" i="1"/>
  <c r="U347" i="1"/>
  <c r="S347" i="1"/>
  <c r="R347" i="1"/>
  <c r="P347" i="1"/>
  <c r="O347" i="1"/>
  <c r="M347" i="1"/>
  <c r="K347" i="1"/>
  <c r="I347" i="1"/>
  <c r="H347" i="1"/>
  <c r="AA346" i="1"/>
  <c r="Y346" i="1"/>
  <c r="W346" i="1"/>
  <c r="U346" i="1"/>
  <c r="S346" i="1"/>
  <c r="R346" i="1"/>
  <c r="P346" i="1"/>
  <c r="O346" i="1"/>
  <c r="M346" i="1"/>
  <c r="K346" i="1"/>
  <c r="I346" i="1"/>
  <c r="H346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335" i="1"/>
  <c r="Y335" i="1"/>
  <c r="W335" i="1"/>
  <c r="U335" i="1"/>
  <c r="S335" i="1"/>
  <c r="R335" i="1"/>
  <c r="P335" i="1"/>
  <c r="O335" i="1"/>
  <c r="M335" i="1"/>
  <c r="K335" i="1"/>
  <c r="I335" i="1"/>
  <c r="H335" i="1"/>
  <c r="AA334" i="1"/>
  <c r="Y334" i="1"/>
  <c r="W334" i="1"/>
  <c r="U334" i="1"/>
  <c r="S334" i="1"/>
  <c r="R334" i="1"/>
  <c r="P334" i="1"/>
  <c r="O334" i="1"/>
  <c r="M334" i="1"/>
  <c r="K334" i="1"/>
  <c r="I334" i="1"/>
  <c r="H334" i="1"/>
  <c r="AA177" i="1"/>
  <c r="Y177" i="1"/>
  <c r="W177" i="1"/>
  <c r="U177" i="1"/>
  <c r="S177" i="1"/>
  <c r="R177" i="1"/>
  <c r="P177" i="1"/>
  <c r="O177" i="1"/>
  <c r="M177" i="1"/>
  <c r="K177" i="1"/>
  <c r="AB485" i="1"/>
  <c r="AC485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77" i="2"/>
  <c r="AE603" i="2" s="1"/>
  <c r="AE578" i="2"/>
  <c r="AE604" i="2" s="1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F441" i="2"/>
  <c r="E441" i="2"/>
  <c r="F412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63" i="15"/>
  <c r="N65" i="15" s="1"/>
  <c r="M63" i="15"/>
  <c r="M65" i="15" s="1"/>
  <c r="L63" i="15"/>
  <c r="L65" i="15" s="1"/>
  <c r="K63" i="15"/>
  <c r="K65" i="15" s="1"/>
  <c r="J63" i="15"/>
  <c r="J65" i="15" s="1"/>
  <c r="I63" i="15"/>
  <c r="I65" i="15" s="1"/>
  <c r="H63" i="15"/>
  <c r="H65" i="15" s="1"/>
  <c r="G63" i="15"/>
  <c r="G65" i="15" s="1"/>
  <c r="F63" i="15"/>
  <c r="F65" i="15" s="1"/>
  <c r="E63" i="15"/>
  <c r="E65" i="15" s="1"/>
  <c r="D63" i="15"/>
  <c r="D65" i="15" s="1"/>
  <c r="O50" i="15"/>
  <c r="O51" i="15" s="1"/>
  <c r="N43" i="15"/>
  <c r="N45" i="15" s="1"/>
  <c r="M47" i="15"/>
  <c r="L47" i="15"/>
  <c r="K43" i="15"/>
  <c r="K45" i="15" s="1"/>
  <c r="J47" i="15"/>
  <c r="G47" i="15"/>
  <c r="F43" i="15"/>
  <c r="F45" i="15" s="1"/>
  <c r="E47" i="15"/>
  <c r="O41" i="15"/>
  <c r="M40" i="1"/>
  <c r="L54" i="1"/>
  <c r="L56" i="1" s="1"/>
  <c r="L58" i="1" s="1"/>
  <c r="F54" i="1"/>
  <c r="F390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48" i="2"/>
  <c r="AG448" i="2" s="1"/>
  <c r="AH448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K175" i="1"/>
  <c r="M175" i="1"/>
  <c r="O175" i="1"/>
  <c r="P175" i="1"/>
  <c r="R175" i="1"/>
  <c r="S175" i="1"/>
  <c r="U175" i="1"/>
  <c r="W175" i="1"/>
  <c r="Y175" i="1"/>
  <c r="AA175" i="1"/>
  <c r="AA430" i="1"/>
  <c r="W430" i="1"/>
  <c r="U430" i="1"/>
  <c r="S430" i="1"/>
  <c r="R430" i="1"/>
  <c r="P430" i="1"/>
  <c r="O430" i="1"/>
  <c r="M430" i="1"/>
  <c r="K430" i="1"/>
  <c r="I430" i="1"/>
  <c r="H430" i="1"/>
  <c r="Y430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46" i="2"/>
  <c r="AD453" i="2" s="1"/>
  <c r="AC446" i="2"/>
  <c r="AC453" i="2" s="1"/>
  <c r="AA446" i="2"/>
  <c r="AA476" i="2" s="1"/>
  <c r="Z417" i="2"/>
  <c r="Z418" i="2" s="1"/>
  <c r="AB417" i="2"/>
  <c r="AB419" i="2" s="1"/>
  <c r="AD417" i="2"/>
  <c r="AD418" i="2" s="1"/>
  <c r="AA417" i="2"/>
  <c r="AA419" i="2" s="1"/>
  <c r="AC417" i="2"/>
  <c r="AC419" i="2" s="1"/>
  <c r="AE417" i="2"/>
  <c r="AE418" i="2" s="1"/>
  <c r="AF417" i="2"/>
  <c r="AF419" i="2" s="1"/>
  <c r="AE432" i="2"/>
  <c r="AE439" i="2" s="1"/>
  <c r="AF432" i="2"/>
  <c r="AF439" i="2" s="1"/>
  <c r="AG434" i="2"/>
  <c r="AH434" i="2" s="1"/>
  <c r="AE446" i="2"/>
  <c r="AE476" i="2" s="1"/>
  <c r="AF446" i="2"/>
  <c r="AF476" i="2" s="1"/>
  <c r="AD455" i="2"/>
  <c r="AG455" i="2" s="1"/>
  <c r="AH455" i="2" s="1"/>
  <c r="AF460" i="2"/>
  <c r="AF467" i="2" s="1"/>
  <c r="AG462" i="2"/>
  <c r="AH462" i="2" s="1"/>
  <c r="AE467" i="2"/>
  <c r="AG469" i="2"/>
  <c r="AH469" i="2" s="1"/>
  <c r="E476" i="2"/>
  <c r="AF479" i="2"/>
  <c r="AF486" i="2"/>
  <c r="AF614" i="2"/>
  <c r="AF619" i="2"/>
  <c r="AE620" i="2"/>
  <c r="Z446" i="2"/>
  <c r="Z476" i="2" s="1"/>
  <c r="Z460" i="2"/>
  <c r="Z467" i="2" s="1"/>
  <c r="AD467" i="2"/>
  <c r="AB432" i="2"/>
  <c r="AB439" i="2" s="1"/>
  <c r="AB460" i="2"/>
  <c r="AB467" i="2" s="1"/>
  <c r="K28" i="1"/>
  <c r="K29" i="1"/>
  <c r="K30" i="1"/>
  <c r="K31" i="1"/>
  <c r="K32" i="1"/>
  <c r="K33" i="1"/>
  <c r="M41" i="1"/>
  <c r="M109" i="1" s="1"/>
  <c r="M42" i="1"/>
  <c r="M379" i="1" s="1"/>
  <c r="M43" i="1"/>
  <c r="M111" i="1" s="1"/>
  <c r="M44" i="1"/>
  <c r="M205" i="1" s="1"/>
  <c r="M45" i="1"/>
  <c r="M299" i="1" s="1"/>
  <c r="M46" i="1"/>
  <c r="M223" i="1" s="1"/>
  <c r="M47" i="1"/>
  <c r="M401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86" i="1" s="1"/>
  <c r="O49" i="1"/>
  <c r="O117" i="1" s="1"/>
  <c r="O50" i="1"/>
  <c r="O383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1" i="1" s="1"/>
  <c r="U45" i="1"/>
  <c r="U113" i="1" s="1"/>
  <c r="U46" i="1"/>
  <c r="U400" i="1" s="1"/>
  <c r="U47" i="1"/>
  <c r="U301" i="1" s="1"/>
  <c r="U48" i="1"/>
  <c r="U302" i="1" s="1"/>
  <c r="U49" i="1"/>
  <c r="U303" i="1" s="1"/>
  <c r="U50" i="1"/>
  <c r="U51" i="1"/>
  <c r="U52" i="1"/>
  <c r="U402" i="1" s="1"/>
  <c r="S27" i="1"/>
  <c r="S28" i="1"/>
  <c r="S29" i="1"/>
  <c r="S30" i="1"/>
  <c r="S31" i="1"/>
  <c r="S32" i="1"/>
  <c r="S33" i="1"/>
  <c r="S40" i="1"/>
  <c r="S41" i="1"/>
  <c r="S42" i="1"/>
  <c r="S380" i="1" s="1"/>
  <c r="S43" i="1"/>
  <c r="S111" i="1" s="1"/>
  <c r="S44" i="1"/>
  <c r="S399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86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0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86" i="1" s="1"/>
  <c r="Y49" i="1"/>
  <c r="Y384" i="1" s="1"/>
  <c r="Y50" i="1"/>
  <c r="Y118" i="1" s="1"/>
  <c r="Y52" i="1"/>
  <c r="Y402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86" i="1" s="1"/>
  <c r="AA157" i="1"/>
  <c r="AA49" i="1"/>
  <c r="AA303" i="1" s="1"/>
  <c r="AA50" i="1"/>
  <c r="AA207" i="1" s="1"/>
  <c r="AA154" i="1"/>
  <c r="AA51" i="1"/>
  <c r="AA52" i="1"/>
  <c r="AA402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4" i="1" s="1"/>
  <c r="P50" i="1"/>
  <c r="P383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0" i="1" s="1"/>
  <c r="W43" i="1"/>
  <c r="W44" i="1"/>
  <c r="W298" i="1" s="1"/>
  <c r="W45" i="1"/>
  <c r="W299" i="1" s="1"/>
  <c r="W46" i="1"/>
  <c r="W300" i="1" s="1"/>
  <c r="W47" i="1"/>
  <c r="W224" i="1" s="1"/>
  <c r="W48" i="1"/>
  <c r="W386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5" i="1"/>
  <c r="Y360" i="1"/>
  <c r="Y361" i="1"/>
  <c r="Y415" i="1"/>
  <c r="Y416" i="1"/>
  <c r="Y417" i="1"/>
  <c r="Y418" i="1"/>
  <c r="Y419" i="1"/>
  <c r="Y424" i="1"/>
  <c r="Y425" i="1"/>
  <c r="Y426" i="1"/>
  <c r="Y427" i="1"/>
  <c r="Y428" i="1"/>
  <c r="Y429" i="1"/>
  <c r="Y431" i="1"/>
  <c r="Y432" i="1"/>
  <c r="Y433" i="1"/>
  <c r="Y434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6" i="1"/>
  <c r="F375" i="1"/>
  <c r="F421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5" i="1"/>
  <c r="W415" i="1"/>
  <c r="W416" i="1"/>
  <c r="W417" i="1"/>
  <c r="W418" i="1"/>
  <c r="W419" i="1"/>
  <c r="W424" i="1"/>
  <c r="W425" i="1"/>
  <c r="W426" i="1"/>
  <c r="W427" i="1"/>
  <c r="W428" i="1"/>
  <c r="W429" i="1"/>
  <c r="W431" i="1"/>
  <c r="W432" i="1"/>
  <c r="W433" i="1"/>
  <c r="W434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5" i="1"/>
  <c r="U415" i="1"/>
  <c r="U416" i="1"/>
  <c r="U417" i="1"/>
  <c r="U418" i="1"/>
  <c r="U419" i="1"/>
  <c r="U424" i="1"/>
  <c r="U425" i="1"/>
  <c r="U426" i="1"/>
  <c r="U427" i="1"/>
  <c r="U428" i="1"/>
  <c r="U429" i="1"/>
  <c r="U431" i="1"/>
  <c r="U432" i="1"/>
  <c r="U433" i="1"/>
  <c r="U434" i="1"/>
  <c r="U360" i="1"/>
  <c r="U361" i="1"/>
  <c r="R385" i="1"/>
  <c r="R360" i="1"/>
  <c r="R361" i="1"/>
  <c r="R415" i="1"/>
  <c r="R416" i="1"/>
  <c r="R417" i="1"/>
  <c r="R418" i="1"/>
  <c r="R419" i="1"/>
  <c r="R424" i="1"/>
  <c r="R425" i="1"/>
  <c r="R426" i="1"/>
  <c r="R427" i="1"/>
  <c r="R428" i="1"/>
  <c r="R429" i="1"/>
  <c r="R431" i="1"/>
  <c r="R432" i="1"/>
  <c r="R433" i="1"/>
  <c r="R434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0" i="1"/>
  <c r="W361" i="1"/>
  <c r="K202" i="1"/>
  <c r="K42" i="1"/>
  <c r="K204" i="1" s="1"/>
  <c r="K44" i="1"/>
  <c r="K381" i="1" s="1"/>
  <c r="K46" i="1"/>
  <c r="K114" i="1" s="1"/>
  <c r="K50" i="1"/>
  <c r="K383" i="1" s="1"/>
  <c r="K49" i="1"/>
  <c r="K384" i="1" s="1"/>
  <c r="K209" i="1"/>
  <c r="K48" i="1"/>
  <c r="K386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78" i="1"/>
  <c r="K385" i="1"/>
  <c r="K387" i="1"/>
  <c r="K388" i="1"/>
  <c r="K397" i="1"/>
  <c r="K404" i="1"/>
  <c r="K415" i="1"/>
  <c r="K416" i="1"/>
  <c r="K417" i="1"/>
  <c r="K418" i="1"/>
  <c r="K419" i="1"/>
  <c r="K424" i="1"/>
  <c r="K425" i="1"/>
  <c r="K426" i="1"/>
  <c r="K427" i="1"/>
  <c r="K428" i="1"/>
  <c r="K429" i="1"/>
  <c r="K431" i="1"/>
  <c r="K432" i="1"/>
  <c r="K433" i="1"/>
  <c r="K434" i="1"/>
  <c r="K78" i="1"/>
  <c r="K41" i="1"/>
  <c r="K295" i="1" s="1"/>
  <c r="K43" i="1"/>
  <c r="K45" i="1"/>
  <c r="K108" i="1"/>
  <c r="S385" i="1"/>
  <c r="S360" i="1"/>
  <c r="S361" i="1"/>
  <c r="S415" i="1"/>
  <c r="S416" i="1"/>
  <c r="S417" i="1"/>
  <c r="S418" i="1"/>
  <c r="S419" i="1"/>
  <c r="S424" i="1"/>
  <c r="S425" i="1"/>
  <c r="S426" i="1"/>
  <c r="S427" i="1"/>
  <c r="S428" i="1"/>
  <c r="S429" i="1"/>
  <c r="S431" i="1"/>
  <c r="S432" i="1"/>
  <c r="S433" i="1"/>
  <c r="S434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5" i="1"/>
  <c r="AA415" i="1"/>
  <c r="AA416" i="1"/>
  <c r="AA417" i="1"/>
  <c r="AA418" i="1"/>
  <c r="AA419" i="1"/>
  <c r="AA424" i="1"/>
  <c r="AA425" i="1"/>
  <c r="AA426" i="1"/>
  <c r="AA427" i="1"/>
  <c r="AA428" i="1"/>
  <c r="AA429" i="1"/>
  <c r="AA431" i="1"/>
  <c r="AA432" i="1"/>
  <c r="AA433" i="1"/>
  <c r="AA434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5" i="1"/>
  <c r="P415" i="1"/>
  <c r="P416" i="1"/>
  <c r="P417" i="1"/>
  <c r="P418" i="1"/>
  <c r="P419" i="1"/>
  <c r="P424" i="1"/>
  <c r="P425" i="1"/>
  <c r="P426" i="1"/>
  <c r="P427" i="1"/>
  <c r="P428" i="1"/>
  <c r="P429" i="1"/>
  <c r="P431" i="1"/>
  <c r="P432" i="1"/>
  <c r="P433" i="1"/>
  <c r="P434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2" i="1" s="1"/>
  <c r="I47" i="1"/>
  <c r="I401" i="1" s="1"/>
  <c r="I48" i="1"/>
  <c r="I386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5" i="1"/>
  <c r="I415" i="1"/>
  <c r="I416" i="1"/>
  <c r="I417" i="1"/>
  <c r="I418" i="1"/>
  <c r="I419" i="1"/>
  <c r="I424" i="1"/>
  <c r="I425" i="1"/>
  <c r="I426" i="1"/>
  <c r="I427" i="1"/>
  <c r="I428" i="1"/>
  <c r="I429" i="1"/>
  <c r="I431" i="1"/>
  <c r="I432" i="1"/>
  <c r="I433" i="1"/>
  <c r="I434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5" i="1"/>
  <c r="M415" i="1"/>
  <c r="M416" i="1"/>
  <c r="M417" i="1"/>
  <c r="M418" i="1"/>
  <c r="M419" i="1"/>
  <c r="M424" i="1"/>
  <c r="M425" i="1"/>
  <c r="M426" i="1"/>
  <c r="M427" i="1"/>
  <c r="M428" i="1"/>
  <c r="M429" i="1"/>
  <c r="M431" i="1"/>
  <c r="M432" i="1"/>
  <c r="M433" i="1"/>
  <c r="M434" i="1"/>
  <c r="AA360" i="1"/>
  <c r="AA361" i="1"/>
  <c r="M360" i="1"/>
  <c r="M361" i="1"/>
  <c r="S178" i="1"/>
  <c r="P360" i="1"/>
  <c r="P361" i="1"/>
  <c r="O385" i="1"/>
  <c r="O360" i="1"/>
  <c r="O361" i="1"/>
  <c r="O415" i="1"/>
  <c r="O416" i="1"/>
  <c r="O417" i="1"/>
  <c r="O418" i="1"/>
  <c r="O419" i="1"/>
  <c r="O424" i="1"/>
  <c r="O425" i="1"/>
  <c r="O426" i="1"/>
  <c r="O427" i="1"/>
  <c r="O428" i="1"/>
  <c r="O429" i="1"/>
  <c r="O431" i="1"/>
  <c r="O432" i="1"/>
  <c r="O433" i="1"/>
  <c r="O434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398" i="1"/>
  <c r="H111" i="1"/>
  <c r="H222" i="1"/>
  <c r="H45" i="1"/>
  <c r="H299" i="1" s="1"/>
  <c r="H46" i="1"/>
  <c r="H300" i="1" s="1"/>
  <c r="H47" i="1"/>
  <c r="H401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5" i="1"/>
  <c r="H415" i="1"/>
  <c r="H416" i="1"/>
  <c r="H417" i="1"/>
  <c r="H418" i="1"/>
  <c r="H419" i="1"/>
  <c r="H424" i="1"/>
  <c r="H425" i="1"/>
  <c r="H426" i="1"/>
  <c r="H427" i="1"/>
  <c r="H428" i="1"/>
  <c r="H429" i="1"/>
  <c r="H431" i="1"/>
  <c r="H432" i="1"/>
  <c r="H433" i="1"/>
  <c r="H434" i="1"/>
  <c r="K40" i="1"/>
  <c r="K51" i="1"/>
  <c r="F363" i="1"/>
  <c r="F457" i="1"/>
  <c r="F312" i="1"/>
  <c r="F324" i="1" s="1"/>
  <c r="AB465" i="1"/>
  <c r="AC465" i="1" s="1"/>
  <c r="AB470" i="1"/>
  <c r="AC470" i="1" s="1"/>
  <c r="AB471" i="1"/>
  <c r="AC471" i="1" s="1"/>
  <c r="AB472" i="1"/>
  <c r="AC472" i="1" s="1"/>
  <c r="AB473" i="1"/>
  <c r="AC473" i="1" s="1"/>
  <c r="AB474" i="1"/>
  <c r="AC474" i="1" s="1"/>
  <c r="AB475" i="1"/>
  <c r="AC475" i="1" s="1"/>
  <c r="AB476" i="1"/>
  <c r="AC476" i="1" s="1"/>
  <c r="AB481" i="1"/>
  <c r="AC481" i="1" s="1"/>
  <c r="AB482" i="1"/>
  <c r="AC482" i="1"/>
  <c r="AB483" i="1"/>
  <c r="AC483" i="1" s="1"/>
  <c r="AB484" i="1"/>
  <c r="AC484" i="1" s="1"/>
  <c r="AA460" i="2"/>
  <c r="AA467" i="2" s="1"/>
  <c r="AA432" i="2"/>
  <c r="AA439" i="2" s="1"/>
  <c r="F436" i="1"/>
  <c r="Z432" i="2"/>
  <c r="Z439" i="2" s="1"/>
  <c r="AB446" i="2"/>
  <c r="AB453" i="2" s="1"/>
  <c r="AC432" i="2"/>
  <c r="AC439" i="2" s="1"/>
  <c r="AC460" i="2"/>
  <c r="AC467" i="2" s="1"/>
  <c r="AD432" i="2"/>
  <c r="AD439" i="2" s="1"/>
  <c r="K361" i="1"/>
  <c r="K360" i="1"/>
  <c r="K178" i="1"/>
  <c r="Z486" i="2"/>
  <c r="Z479" i="2"/>
  <c r="X486" i="2"/>
  <c r="Y486" i="2"/>
  <c r="W486" i="2"/>
  <c r="Y446" i="2"/>
  <c r="Y476" i="2" s="1"/>
  <c r="W460" i="2"/>
  <c r="W467" i="2" s="1"/>
  <c r="Y432" i="2"/>
  <c r="Y439" i="2" s="1"/>
  <c r="W446" i="2"/>
  <c r="W453" i="2" s="1"/>
  <c r="X446" i="2"/>
  <c r="X453" i="2" s="1"/>
  <c r="Y479" i="2"/>
  <c r="X479" i="2"/>
  <c r="X460" i="2"/>
  <c r="X467" i="2" s="1"/>
  <c r="W479" i="2"/>
  <c r="X432" i="2"/>
  <c r="X439" i="2" s="1"/>
  <c r="Y460" i="2"/>
  <c r="Y467" i="2" s="1"/>
  <c r="W432" i="2"/>
  <c r="W439" i="2" s="1"/>
  <c r="G8" i="10"/>
  <c r="P7" i="10"/>
  <c r="P8" i="10"/>
  <c r="AF593" i="2"/>
  <c r="AF568" i="2"/>
  <c r="AF564" i="2"/>
  <c r="AE554" i="2"/>
  <c r="Z554" i="2"/>
  <c r="AA554" i="2"/>
  <c r="U554" i="2"/>
  <c r="Y554" i="2"/>
  <c r="AD554" i="2"/>
  <c r="T554" i="2"/>
  <c r="AB554" i="2"/>
  <c r="AC554" i="2"/>
  <c r="AF554" i="2"/>
  <c r="AF578" i="2"/>
  <c r="AF604" i="2" s="1"/>
  <c r="X554" i="2"/>
  <c r="W554" i="2"/>
  <c r="U563" i="2"/>
  <c r="U588" i="2"/>
  <c r="U614" i="2" s="1"/>
  <c r="W563" i="2"/>
  <c r="W588" i="2"/>
  <c r="W614" i="2" s="1"/>
  <c r="AB588" i="2"/>
  <c r="AB614" i="2" s="1"/>
  <c r="AB563" i="2"/>
  <c r="AD568" i="2"/>
  <c r="AD593" i="2"/>
  <c r="AD619" i="2" s="1"/>
  <c r="AA563" i="2"/>
  <c r="AA588" i="2"/>
  <c r="AA614" i="2" s="1"/>
  <c r="AC593" i="2"/>
  <c r="AC619" i="2" s="1"/>
  <c r="AC568" i="2"/>
  <c r="Y593" i="2"/>
  <c r="Y619" i="2" s="1"/>
  <c r="Y568" i="2"/>
  <c r="T593" i="2"/>
  <c r="T619" i="2" s="1"/>
  <c r="T568" i="2"/>
  <c r="X568" i="2"/>
  <c r="X593" i="2"/>
  <c r="X619" i="2" s="1"/>
  <c r="Z568" i="2"/>
  <c r="Z593" i="2"/>
  <c r="Z619" i="2" s="1"/>
  <c r="AE563" i="2"/>
  <c r="AE588" i="2"/>
  <c r="AE614" i="2" s="1"/>
  <c r="AF569" i="2"/>
  <c r="AA568" i="2"/>
  <c r="AA593" i="2"/>
  <c r="AA619" i="2" s="1"/>
  <c r="Y563" i="2"/>
  <c r="Y588" i="2"/>
  <c r="Y614" i="2" s="1"/>
  <c r="X588" i="2"/>
  <c r="X614" i="2" s="1"/>
  <c r="X563" i="2"/>
  <c r="Z588" i="2"/>
  <c r="Z614" i="2" s="1"/>
  <c r="Z563" i="2"/>
  <c r="AE593" i="2"/>
  <c r="AE619" i="2" s="1"/>
  <c r="AE568" i="2"/>
  <c r="AF588" i="2"/>
  <c r="AF563" i="2"/>
  <c r="AC588" i="2"/>
  <c r="AC614" i="2" s="1"/>
  <c r="AC563" i="2"/>
  <c r="U593" i="2"/>
  <c r="U568" i="2"/>
  <c r="W568" i="2"/>
  <c r="W593" i="2"/>
  <c r="W619" i="2" s="1"/>
  <c r="AB593" i="2"/>
  <c r="AB619" i="2" s="1"/>
  <c r="AB568" i="2"/>
  <c r="AD563" i="2"/>
  <c r="AD588" i="2"/>
  <c r="AD614" i="2" s="1"/>
  <c r="U619" i="2"/>
  <c r="T588" i="2"/>
  <c r="T614" i="2" s="1"/>
  <c r="T563" i="2"/>
  <c r="AD552" i="2"/>
  <c r="AC552" i="2"/>
  <c r="AF552" i="2"/>
  <c r="AF577" i="2"/>
  <c r="AF603" i="2" s="1"/>
  <c r="T552" i="2"/>
  <c r="U552" i="2"/>
  <c r="X552" i="2"/>
  <c r="AE552" i="2"/>
  <c r="AA552" i="2"/>
  <c r="W552" i="2"/>
  <c r="Y552" i="2"/>
  <c r="AB552" i="2"/>
  <c r="Z552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0" i="2"/>
  <c r="L195" i="15"/>
  <c r="D195" i="15"/>
  <c r="J195" i="15"/>
  <c r="O193" i="15"/>
  <c r="Q193" i="15"/>
  <c r="H23" i="15" s="1"/>
  <c r="U427" i="2" s="1"/>
  <c r="O67" i="15"/>
  <c r="F10" i="15" s="1"/>
  <c r="H428" i="2" s="1"/>
  <c r="H446" i="2" s="1"/>
  <c r="H453" i="2" s="1"/>
  <c r="P67" i="15"/>
  <c r="G10" i="15" s="1"/>
  <c r="P77" i="15"/>
  <c r="G11" i="15" s="1"/>
  <c r="O77" i="15"/>
  <c r="F11" i="15" s="1"/>
  <c r="I428" i="2" s="1"/>
  <c r="I446" i="2" s="1"/>
  <c r="I453" i="2" s="1"/>
  <c r="O87" i="15"/>
  <c r="F12" i="15" s="1"/>
  <c r="P87" i="15"/>
  <c r="G12" i="15" s="1"/>
  <c r="S400" i="2"/>
  <c r="T400" i="2"/>
  <c r="K139" i="1"/>
  <c r="F229" i="1"/>
  <c r="F35" i="1"/>
  <c r="F199" i="1"/>
  <c r="F215" i="1"/>
  <c r="F246" i="1"/>
  <c r="F283" i="1"/>
  <c r="Y244" i="1"/>
  <c r="Q83" i="15"/>
  <c r="H12" i="15" s="1"/>
  <c r="O83" i="15"/>
  <c r="K89" i="1"/>
  <c r="K137" i="1"/>
  <c r="K138" i="1"/>
  <c r="K105" i="1"/>
  <c r="AA258" i="1"/>
  <c r="F170" i="1"/>
  <c r="F354" i="1"/>
  <c r="AF407" i="2"/>
  <c r="V407" i="2"/>
  <c r="Q407" i="2"/>
  <c r="N407" i="2"/>
  <c r="I407" i="2"/>
  <c r="AC407" i="2"/>
  <c r="J407" i="2"/>
  <c r="S407" i="2"/>
  <c r="X407" i="2"/>
  <c r="H407" i="2"/>
  <c r="G407" i="2"/>
  <c r="AA407" i="2"/>
  <c r="AE407" i="2"/>
  <c r="R407" i="2"/>
  <c r="Y407" i="2"/>
  <c r="AD407" i="2"/>
  <c r="W407" i="2"/>
  <c r="O407" i="2"/>
  <c r="U407" i="2"/>
  <c r="G414" i="2"/>
  <c r="T407" i="2"/>
  <c r="AB407" i="2"/>
  <c r="F407" i="2"/>
  <c r="P57" i="15"/>
  <c r="G9" i="15" s="1"/>
  <c r="O57" i="15"/>
  <c r="F9" i="15" s="1"/>
  <c r="G428" i="2" s="1"/>
  <c r="AA453" i="2"/>
  <c r="O90" i="15"/>
  <c r="D13" i="15" s="1"/>
  <c r="X476" i="2"/>
  <c r="D9" i="15"/>
  <c r="D43" i="15"/>
  <c r="D7" i="8"/>
  <c r="F7" i="8" s="1"/>
  <c r="B39" i="15" l="1"/>
  <c r="L8" i="15"/>
  <c r="J428" i="2"/>
  <c r="J446" i="2" s="1"/>
  <c r="J453" i="2" s="1"/>
  <c r="J427" i="2"/>
  <c r="J147" i="15"/>
  <c r="J143" i="15"/>
  <c r="J145" i="15" s="1"/>
  <c r="C147" i="15"/>
  <c r="C143" i="15"/>
  <c r="K147" i="15"/>
  <c r="K143" i="15"/>
  <c r="K145" i="15" s="1"/>
  <c r="D147" i="15"/>
  <c r="P147" i="15" s="1"/>
  <c r="G18" i="15" s="1"/>
  <c r="D143" i="15"/>
  <c r="D145" i="15" s="1"/>
  <c r="L147" i="15"/>
  <c r="L143" i="15"/>
  <c r="L145" i="15" s="1"/>
  <c r="M147" i="15"/>
  <c r="M143" i="15"/>
  <c r="M145" i="15" s="1"/>
  <c r="E147" i="15"/>
  <c r="E143" i="15"/>
  <c r="E145" i="15" s="1"/>
  <c r="F147" i="15"/>
  <c r="F143" i="15"/>
  <c r="F145" i="15" s="1"/>
  <c r="N147" i="15"/>
  <c r="N143" i="15"/>
  <c r="N145" i="15" s="1"/>
  <c r="G147" i="15"/>
  <c r="G143" i="15"/>
  <c r="G145" i="15" s="1"/>
  <c r="H147" i="15"/>
  <c r="H143" i="15"/>
  <c r="H145" i="15" s="1"/>
  <c r="I147" i="15"/>
  <c r="I143" i="15"/>
  <c r="I145" i="15" s="1"/>
  <c r="S145" i="15" s="1"/>
  <c r="J18" i="15" s="1"/>
  <c r="P425" i="2" s="1"/>
  <c r="A159" i="15"/>
  <c r="L20" i="15"/>
  <c r="A169" i="15"/>
  <c r="L21" i="15"/>
  <c r="A179" i="15"/>
  <c r="L22" i="15"/>
  <c r="A189" i="15"/>
  <c r="L23" i="15"/>
  <c r="O421" i="2"/>
  <c r="O422" i="2"/>
  <c r="Q23" i="15"/>
  <c r="Q18" i="15"/>
  <c r="Q21" i="15"/>
  <c r="Q16" i="15"/>
  <c r="Q22" i="15"/>
  <c r="Q17" i="15"/>
  <c r="Q19" i="15"/>
  <c r="Q20" i="15"/>
  <c r="P413" i="2"/>
  <c r="P486" i="2" s="1"/>
  <c r="N18" i="15"/>
  <c r="AB418" i="2"/>
  <c r="AF453" i="2"/>
  <c r="AE453" i="2"/>
  <c r="W476" i="2"/>
  <c r="N9" i="15"/>
  <c r="N10" i="15"/>
  <c r="AA418" i="2"/>
  <c r="Z419" i="2"/>
  <c r="G446" i="2"/>
  <c r="J476" i="2"/>
  <c r="J477" i="2" s="1"/>
  <c r="X477" i="2"/>
  <c r="B119" i="15"/>
  <c r="F99" i="1"/>
  <c r="A99" i="15"/>
  <c r="S7" i="10"/>
  <c r="T7" i="10" s="1"/>
  <c r="AB358" i="2"/>
  <c r="AB359" i="2"/>
  <c r="AA393" i="2"/>
  <c r="AA359" i="2"/>
  <c r="AA358" i="2"/>
  <c r="V358" i="2"/>
  <c r="V359" i="2"/>
  <c r="Z453" i="2"/>
  <c r="S8" i="10"/>
  <c r="T8" i="10" s="1"/>
  <c r="AF393" i="2"/>
  <c r="AF358" i="2"/>
  <c r="AF359" i="2"/>
  <c r="Z393" i="2"/>
  <c r="Z359" i="2"/>
  <c r="Z358" i="2"/>
  <c r="Y453" i="2"/>
  <c r="AB476" i="2"/>
  <c r="AB477" i="2" s="1"/>
  <c r="P352" i="1"/>
  <c r="AE393" i="2"/>
  <c r="AE358" i="2"/>
  <c r="AE359" i="2"/>
  <c r="Y393" i="2"/>
  <c r="Y359" i="2"/>
  <c r="Y358" i="2"/>
  <c r="X393" i="2"/>
  <c r="X358" i="2"/>
  <c r="X359" i="2"/>
  <c r="F56" i="1"/>
  <c r="F58" i="1" s="1"/>
  <c r="AD358" i="2"/>
  <c r="AD359" i="2"/>
  <c r="W393" i="2"/>
  <c r="W358" i="2"/>
  <c r="W359" i="2"/>
  <c r="AC393" i="2"/>
  <c r="AC359" i="2"/>
  <c r="AC358" i="2"/>
  <c r="V393" i="2"/>
  <c r="U352" i="1"/>
  <c r="AE621" i="2"/>
  <c r="AG441" i="2"/>
  <c r="AH441" i="2" s="1"/>
  <c r="AF477" i="2"/>
  <c r="Y477" i="2"/>
  <c r="AE419" i="2"/>
  <c r="AF565" i="2"/>
  <c r="AF570" i="2"/>
  <c r="AD476" i="2"/>
  <c r="AD477" i="2" s="1"/>
  <c r="AF418" i="2"/>
  <c r="AC476" i="2"/>
  <c r="AC477" i="2" s="1"/>
  <c r="AC418" i="2"/>
  <c r="AA477" i="2"/>
  <c r="AE477" i="2"/>
  <c r="W477" i="2"/>
  <c r="V476" i="2"/>
  <c r="V477" i="2" s="1"/>
  <c r="AD419" i="2"/>
  <c r="F47" i="15"/>
  <c r="Q103" i="15"/>
  <c r="H14" i="15" s="1"/>
  <c r="L427" i="2" s="1"/>
  <c r="D16" i="15"/>
  <c r="K47" i="15"/>
  <c r="Q10" i="15"/>
  <c r="D117" i="18"/>
  <c r="M105" i="18"/>
  <c r="D115" i="18" s="1"/>
  <c r="F408" i="1"/>
  <c r="F410" i="1" s="1"/>
  <c r="F412" i="1" s="1"/>
  <c r="F459" i="1" s="1"/>
  <c r="F461" i="1" s="1"/>
  <c r="F82" i="1"/>
  <c r="F98" i="1" s="1"/>
  <c r="AA352" i="1"/>
  <c r="Y352" i="1"/>
  <c r="W352" i="1"/>
  <c r="F231" i="1"/>
  <c r="F235" i="1" s="1"/>
  <c r="U299" i="1"/>
  <c r="M224" i="1"/>
  <c r="U403" i="1"/>
  <c r="S384" i="1"/>
  <c r="K115" i="1"/>
  <c r="Y302" i="1"/>
  <c r="W398" i="1"/>
  <c r="P210" i="1"/>
  <c r="M301" i="1"/>
  <c r="U208" i="1"/>
  <c r="I402" i="1"/>
  <c r="S208" i="1"/>
  <c r="K118" i="1"/>
  <c r="M363" i="1"/>
  <c r="M24" i="1"/>
  <c r="M293" i="1" s="1"/>
  <c r="S24" i="1"/>
  <c r="S85" i="1" s="1"/>
  <c r="AA24" i="1"/>
  <c r="AA293" i="1" s="1"/>
  <c r="F419" i="2"/>
  <c r="R402" i="1"/>
  <c r="R116" i="1"/>
  <c r="O208" i="1"/>
  <c r="W222" i="1"/>
  <c r="P398" i="1"/>
  <c r="H115" i="1"/>
  <c r="W112" i="1"/>
  <c r="W116" i="1"/>
  <c r="H301" i="1"/>
  <c r="O303" i="1"/>
  <c r="M208" i="1"/>
  <c r="U119" i="1"/>
  <c r="AA399" i="1"/>
  <c r="W381" i="1"/>
  <c r="P207" i="1"/>
  <c r="I352" i="1"/>
  <c r="H383" i="1"/>
  <c r="K363" i="1"/>
  <c r="H206" i="1"/>
  <c r="M381" i="1"/>
  <c r="U223" i="1"/>
  <c r="W115" i="1"/>
  <c r="M403" i="1"/>
  <c r="M206" i="1"/>
  <c r="Y203" i="1"/>
  <c r="AA298" i="1"/>
  <c r="H223" i="1"/>
  <c r="M226" i="1"/>
  <c r="Y304" i="1"/>
  <c r="Y206" i="1"/>
  <c r="W301" i="1"/>
  <c r="H379" i="1"/>
  <c r="M117" i="1"/>
  <c r="AA205" i="1"/>
  <c r="H114" i="1"/>
  <c r="W225" i="1"/>
  <c r="AA363" i="1"/>
  <c r="M384" i="1"/>
  <c r="Y223" i="1"/>
  <c r="U225" i="1"/>
  <c r="W401" i="1"/>
  <c r="P403" i="1"/>
  <c r="O403" i="1"/>
  <c r="O226" i="1"/>
  <c r="O384" i="1"/>
  <c r="AA302" i="1"/>
  <c r="I118" i="1"/>
  <c r="H304" i="1"/>
  <c r="I301" i="1"/>
  <c r="AA403" i="1"/>
  <c r="H207" i="1"/>
  <c r="AB249" i="1"/>
  <c r="AC249" i="1" s="1"/>
  <c r="O180" i="1"/>
  <c r="H117" i="1"/>
  <c r="AA400" i="1"/>
  <c r="Y117" i="1"/>
  <c r="K208" i="1"/>
  <c r="AB240" i="1"/>
  <c r="AC240" i="1" s="1"/>
  <c r="O246" i="1"/>
  <c r="R421" i="1"/>
  <c r="H403" i="1"/>
  <c r="I403" i="1"/>
  <c r="U224" i="1"/>
  <c r="AA110" i="1"/>
  <c r="H399" i="1"/>
  <c r="P302" i="1"/>
  <c r="AA401" i="1"/>
  <c r="K398" i="1"/>
  <c r="W203" i="1"/>
  <c r="U401" i="1"/>
  <c r="K403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2" i="1"/>
  <c r="I299" i="1"/>
  <c r="H297" i="1"/>
  <c r="Y403" i="1"/>
  <c r="AA225" i="1"/>
  <c r="R363" i="1"/>
  <c r="P262" i="1"/>
  <c r="M180" i="1"/>
  <c r="P117" i="1"/>
  <c r="I300" i="1"/>
  <c r="W206" i="1"/>
  <c r="Y303" i="1"/>
  <c r="I379" i="1"/>
  <c r="AA115" i="1"/>
  <c r="Y113" i="1"/>
  <c r="Y363" i="1"/>
  <c r="Y24" i="1"/>
  <c r="Y293" i="1" s="1"/>
  <c r="AB340" i="1"/>
  <c r="AC340" i="1" s="1"/>
  <c r="H224" i="1"/>
  <c r="M402" i="1"/>
  <c r="AA226" i="1"/>
  <c r="AA384" i="1"/>
  <c r="AA119" i="1"/>
  <c r="K110" i="1"/>
  <c r="AA117" i="1"/>
  <c r="R401" i="1"/>
  <c r="K304" i="1"/>
  <c r="U115" i="1"/>
  <c r="P386" i="1"/>
  <c r="Y208" i="1"/>
  <c r="AA301" i="1"/>
  <c r="AA208" i="1"/>
  <c r="S297" i="1"/>
  <c r="Y226" i="1"/>
  <c r="P168" i="1"/>
  <c r="O168" i="1"/>
  <c r="H168" i="1"/>
  <c r="R304" i="1"/>
  <c r="R207" i="1"/>
  <c r="R379" i="1"/>
  <c r="R203" i="1"/>
  <c r="R296" i="1"/>
  <c r="S223" i="1"/>
  <c r="S400" i="1"/>
  <c r="S206" i="1"/>
  <c r="U118" i="1"/>
  <c r="U304" i="1"/>
  <c r="AA299" i="1"/>
  <c r="AA113" i="1"/>
  <c r="S295" i="1"/>
  <c r="S109" i="1"/>
  <c r="M118" i="1"/>
  <c r="M383" i="1"/>
  <c r="M207" i="1"/>
  <c r="P110" i="1"/>
  <c r="O109" i="1"/>
  <c r="U384" i="1"/>
  <c r="Y111" i="1"/>
  <c r="AA295" i="1"/>
  <c r="S226" i="1"/>
  <c r="R380" i="1"/>
  <c r="R110" i="1"/>
  <c r="Y225" i="1"/>
  <c r="M297" i="1"/>
  <c r="I303" i="1"/>
  <c r="I117" i="1"/>
  <c r="I114" i="1"/>
  <c r="I223" i="1"/>
  <c r="I400" i="1"/>
  <c r="I110" i="1"/>
  <c r="I221" i="1"/>
  <c r="I398" i="1"/>
  <c r="I296" i="1"/>
  <c r="I204" i="1"/>
  <c r="I380" i="1"/>
  <c r="K402" i="1"/>
  <c r="K305" i="1"/>
  <c r="K226" i="1"/>
  <c r="K303" i="1"/>
  <c r="K117" i="1"/>
  <c r="K296" i="1"/>
  <c r="K379" i="1"/>
  <c r="K203" i="1"/>
  <c r="K221" i="1"/>
  <c r="K380" i="1"/>
  <c r="R206" i="1"/>
  <c r="R223" i="1"/>
  <c r="S118" i="1"/>
  <c r="S383" i="1"/>
  <c r="S203" i="1"/>
  <c r="S296" i="1"/>
  <c r="U206" i="1"/>
  <c r="U382" i="1"/>
  <c r="U114" i="1"/>
  <c r="O110" i="1"/>
  <c r="O296" i="1"/>
  <c r="S398" i="1"/>
  <c r="S204" i="1"/>
  <c r="U300" i="1"/>
  <c r="R118" i="1"/>
  <c r="M112" i="1"/>
  <c r="Y224" i="1"/>
  <c r="Y401" i="1"/>
  <c r="Y115" i="1"/>
  <c r="R117" i="1"/>
  <c r="R403" i="1"/>
  <c r="U117" i="1"/>
  <c r="U226" i="1"/>
  <c r="M115" i="1"/>
  <c r="S110" i="1"/>
  <c r="R400" i="1"/>
  <c r="R383" i="1"/>
  <c r="R208" i="1"/>
  <c r="AB425" i="1"/>
  <c r="AC425" i="1" s="1"/>
  <c r="H225" i="1"/>
  <c r="H305" i="1"/>
  <c r="H402" i="1"/>
  <c r="H384" i="1"/>
  <c r="AB49" i="1"/>
  <c r="AC49" i="1" s="1"/>
  <c r="AB41" i="1"/>
  <c r="AC41" i="1" s="1"/>
  <c r="O421" i="1"/>
  <c r="M436" i="1"/>
  <c r="AB33" i="1"/>
  <c r="AC33" i="1" s="1"/>
  <c r="AA246" i="1"/>
  <c r="K299" i="1"/>
  <c r="K113" i="1"/>
  <c r="K262" i="1"/>
  <c r="K205" i="1"/>
  <c r="K222" i="1"/>
  <c r="K399" i="1"/>
  <c r="W246" i="1"/>
  <c r="W305" i="1"/>
  <c r="W402" i="1"/>
  <c r="P118" i="1"/>
  <c r="P304" i="1"/>
  <c r="AA116" i="1"/>
  <c r="AA210" i="1"/>
  <c r="AA112" i="1"/>
  <c r="AA381" i="1"/>
  <c r="Y207" i="1"/>
  <c r="Y383" i="1"/>
  <c r="Y300" i="1"/>
  <c r="Y400" i="1"/>
  <c r="Y382" i="1"/>
  <c r="Y398" i="1"/>
  <c r="Y204" i="1"/>
  <c r="Y110" i="1"/>
  <c r="Y379" i="1"/>
  <c r="Y296" i="1"/>
  <c r="Y221" i="1"/>
  <c r="R305" i="1"/>
  <c r="R119" i="1"/>
  <c r="AB254" i="1"/>
  <c r="AC254" i="1" s="1"/>
  <c r="I262" i="1"/>
  <c r="AB40" i="1"/>
  <c r="AC40" i="1" s="1"/>
  <c r="AB431" i="1"/>
  <c r="AC431" i="1" s="1"/>
  <c r="AB426" i="1"/>
  <c r="AC426" i="1" s="1"/>
  <c r="W363" i="1"/>
  <c r="U363" i="1"/>
  <c r="U246" i="1"/>
  <c r="Y421" i="1"/>
  <c r="S180" i="1"/>
  <c r="K24" i="1"/>
  <c r="K80" i="1" s="1"/>
  <c r="AB17" i="1"/>
  <c r="AC17" i="1" s="1"/>
  <c r="AB22" i="1"/>
  <c r="AC22" i="1" s="1"/>
  <c r="AB242" i="1"/>
  <c r="AC242" i="1" s="1"/>
  <c r="P402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399" i="1"/>
  <c r="P380" i="1"/>
  <c r="P204" i="1"/>
  <c r="R382" i="1"/>
  <c r="R114" i="1"/>
  <c r="R398" i="1"/>
  <c r="R204" i="1"/>
  <c r="S114" i="1"/>
  <c r="S300" i="1"/>
  <c r="S379" i="1"/>
  <c r="S221" i="1"/>
  <c r="S54" i="1"/>
  <c r="S136" i="1" s="1"/>
  <c r="U207" i="1"/>
  <c r="U383" i="1"/>
  <c r="O380" i="1"/>
  <c r="O379" i="1"/>
  <c r="H380" i="1"/>
  <c r="H204" i="1"/>
  <c r="H203" i="1"/>
  <c r="H221" i="1"/>
  <c r="AB166" i="1"/>
  <c r="AC166" i="1" s="1"/>
  <c r="H113" i="1"/>
  <c r="M421" i="1"/>
  <c r="I421" i="1"/>
  <c r="I35" i="1"/>
  <c r="I366" i="1" s="1"/>
  <c r="S436" i="1"/>
  <c r="K298" i="1"/>
  <c r="O116" i="1"/>
  <c r="H208" i="1"/>
  <c r="AB418" i="1"/>
  <c r="AC418" i="1" s="1"/>
  <c r="M386" i="1"/>
  <c r="AA398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48" i="1"/>
  <c r="AC348" i="1" s="1"/>
  <c r="AB51" i="1"/>
  <c r="AC51" i="1" s="1"/>
  <c r="R35" i="1"/>
  <c r="R372" i="1" s="1"/>
  <c r="S35" i="1"/>
  <c r="S86" i="1" s="1"/>
  <c r="K35" i="1"/>
  <c r="K86" i="1" s="1"/>
  <c r="AB255" i="1"/>
  <c r="AC255" i="1" s="1"/>
  <c r="AB430" i="1"/>
  <c r="AC430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4" i="1"/>
  <c r="AC334" i="1" s="1"/>
  <c r="AB335" i="1"/>
  <c r="AC335" i="1" s="1"/>
  <c r="AB336" i="1"/>
  <c r="AC336" i="1" s="1"/>
  <c r="AB337" i="1"/>
  <c r="AC337" i="1" s="1"/>
  <c r="AB338" i="1"/>
  <c r="AC338" i="1" s="1"/>
  <c r="AB339" i="1"/>
  <c r="AC339" i="1" s="1"/>
  <c r="AB341" i="1"/>
  <c r="AC341" i="1" s="1"/>
  <c r="AB346" i="1"/>
  <c r="AC346" i="1" s="1"/>
  <c r="O352" i="1"/>
  <c r="U109" i="1"/>
  <c r="U295" i="1"/>
  <c r="R399" i="1"/>
  <c r="R112" i="1"/>
  <c r="S210" i="1"/>
  <c r="S386" i="1"/>
  <c r="S302" i="1"/>
  <c r="U205" i="1"/>
  <c r="U222" i="1"/>
  <c r="U399" i="1"/>
  <c r="M203" i="1"/>
  <c r="M110" i="1"/>
  <c r="M398" i="1"/>
  <c r="M380" i="1"/>
  <c r="H24" i="1"/>
  <c r="AB21" i="1"/>
  <c r="AC21" i="1" s="1"/>
  <c r="AB349" i="1"/>
  <c r="AC349" i="1" s="1"/>
  <c r="AB15" i="1"/>
  <c r="AC15" i="1" s="1"/>
  <c r="I222" i="1"/>
  <c r="I399" i="1"/>
  <c r="I381" i="1"/>
  <c r="AA262" i="1"/>
  <c r="AB212" i="1"/>
  <c r="AC212" i="1" s="1"/>
  <c r="Y246" i="1"/>
  <c r="AB30" i="1"/>
  <c r="AC30" i="1" s="1"/>
  <c r="AA204" i="1"/>
  <c r="AA380" i="1"/>
  <c r="AA296" i="1"/>
  <c r="AA379" i="1"/>
  <c r="Y116" i="1"/>
  <c r="Y210" i="1"/>
  <c r="Y399" i="1"/>
  <c r="Y112" i="1"/>
  <c r="Y381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79" i="1"/>
  <c r="W54" i="1"/>
  <c r="W138" i="1" s="1"/>
  <c r="R302" i="1"/>
  <c r="R210" i="1"/>
  <c r="R54" i="1"/>
  <c r="R310" i="1" s="1"/>
  <c r="S402" i="1"/>
  <c r="S305" i="1"/>
  <c r="S119" i="1"/>
  <c r="U210" i="1"/>
  <c r="U116" i="1"/>
  <c r="U386" i="1"/>
  <c r="M400" i="1"/>
  <c r="M114" i="1"/>
  <c r="M382" i="1"/>
  <c r="M300" i="1"/>
  <c r="S352" i="1"/>
  <c r="AB350" i="1"/>
  <c r="AC350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AB162" i="1"/>
  <c r="AC162" i="1" s="1"/>
  <c r="H205" i="1"/>
  <c r="H381" i="1"/>
  <c r="H112" i="1"/>
  <c r="H298" i="1"/>
  <c r="H109" i="1"/>
  <c r="H295" i="1"/>
  <c r="O262" i="1"/>
  <c r="AB385" i="1"/>
  <c r="AC385" i="1" s="1"/>
  <c r="I224" i="1"/>
  <c r="I115" i="1"/>
  <c r="P436" i="1"/>
  <c r="S262" i="1"/>
  <c r="AB434" i="1"/>
  <c r="AC434" i="1" s="1"/>
  <c r="AB429" i="1"/>
  <c r="AC429" i="1" s="1"/>
  <c r="AB417" i="1"/>
  <c r="AC417" i="1" s="1"/>
  <c r="P363" i="1"/>
  <c r="I436" i="1"/>
  <c r="AB260" i="1"/>
  <c r="AC260" i="1" s="1"/>
  <c r="AB250" i="1"/>
  <c r="AC250" i="1" s="1"/>
  <c r="I246" i="1"/>
  <c r="I384" i="1"/>
  <c r="I226" i="1"/>
  <c r="P203" i="1"/>
  <c r="P221" i="1"/>
  <c r="P379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1" i="1"/>
  <c r="K224" i="1"/>
  <c r="W118" i="1"/>
  <c r="W383" i="1"/>
  <c r="W207" i="1"/>
  <c r="W400" i="1"/>
  <c r="W114" i="1"/>
  <c r="R109" i="1"/>
  <c r="R295" i="1"/>
  <c r="S403" i="1"/>
  <c r="S117" i="1"/>
  <c r="S299" i="1"/>
  <c r="S113" i="1"/>
  <c r="K352" i="1"/>
  <c r="O363" i="1"/>
  <c r="AA180" i="1"/>
  <c r="S421" i="1"/>
  <c r="AA305" i="1"/>
  <c r="H352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3" i="1"/>
  <c r="AC433" i="1" s="1"/>
  <c r="AB428" i="1"/>
  <c r="AC428" i="1" s="1"/>
  <c r="AB424" i="1"/>
  <c r="AC424" i="1" s="1"/>
  <c r="H54" i="1"/>
  <c r="H108" i="1" s="1"/>
  <c r="AB50" i="1"/>
  <c r="AC50" i="1" s="1"/>
  <c r="AB244" i="1"/>
  <c r="AC244" i="1" s="1"/>
  <c r="AA54" i="1"/>
  <c r="AA220" i="1" s="1"/>
  <c r="AB29" i="1"/>
  <c r="AC29" i="1" s="1"/>
  <c r="Y54" i="1"/>
  <c r="Y378" i="1" s="1"/>
  <c r="AB32" i="1"/>
  <c r="AC32" i="1" s="1"/>
  <c r="AB28" i="1"/>
  <c r="AC28" i="1" s="1"/>
  <c r="R352" i="1"/>
  <c r="K436" i="1"/>
  <c r="AB243" i="1"/>
  <c r="AC243" i="1" s="1"/>
  <c r="K246" i="1"/>
  <c r="K302" i="1"/>
  <c r="K210" i="1"/>
  <c r="K116" i="1"/>
  <c r="K400" i="1"/>
  <c r="K206" i="1"/>
  <c r="K382" i="1"/>
  <c r="K223" i="1"/>
  <c r="K300" i="1"/>
  <c r="R262" i="1"/>
  <c r="R436" i="1"/>
  <c r="U436" i="1"/>
  <c r="U262" i="1"/>
  <c r="W436" i="1"/>
  <c r="Y436" i="1"/>
  <c r="W226" i="1"/>
  <c r="W117" i="1"/>
  <c r="W208" i="1"/>
  <c r="W403" i="1"/>
  <c r="W303" i="1"/>
  <c r="W384" i="1"/>
  <c r="P109" i="1"/>
  <c r="P35" i="1"/>
  <c r="AB347" i="1"/>
  <c r="AC347" i="1" s="1"/>
  <c r="M352" i="1"/>
  <c r="AB258" i="1"/>
  <c r="AC258" i="1" s="1"/>
  <c r="M262" i="1"/>
  <c r="AB155" i="1"/>
  <c r="AC155" i="1" s="1"/>
  <c r="U168" i="1"/>
  <c r="AB163" i="1"/>
  <c r="AC163" i="1" s="1"/>
  <c r="AB164" i="1"/>
  <c r="AC164" i="1" s="1"/>
  <c r="AB416" i="1"/>
  <c r="AC416" i="1" s="1"/>
  <c r="H421" i="1"/>
  <c r="AB259" i="1"/>
  <c r="AC259" i="1" s="1"/>
  <c r="AB241" i="1"/>
  <c r="AC241" i="1" s="1"/>
  <c r="AB31" i="1"/>
  <c r="AC31" i="1" s="1"/>
  <c r="AB27" i="1"/>
  <c r="AC27" i="1" s="1"/>
  <c r="I383" i="1"/>
  <c r="I207" i="1"/>
  <c r="I302" i="1"/>
  <c r="I210" i="1"/>
  <c r="I116" i="1"/>
  <c r="I109" i="1"/>
  <c r="I54" i="1"/>
  <c r="I108" i="1" s="1"/>
  <c r="P421" i="1"/>
  <c r="AA111" i="1"/>
  <c r="AA297" i="1"/>
  <c r="AA35" i="1"/>
  <c r="AA194" i="1" s="1"/>
  <c r="R303" i="1"/>
  <c r="R384" i="1"/>
  <c r="R226" i="1"/>
  <c r="R299" i="1"/>
  <c r="R113" i="1"/>
  <c r="S207" i="1"/>
  <c r="S304" i="1"/>
  <c r="U203" i="1"/>
  <c r="U110" i="1"/>
  <c r="U296" i="1"/>
  <c r="U204" i="1"/>
  <c r="U221" i="1"/>
  <c r="U379" i="1"/>
  <c r="U380" i="1"/>
  <c r="U398" i="1"/>
  <c r="AB42" i="1"/>
  <c r="AC42" i="1" s="1"/>
  <c r="U35" i="1"/>
  <c r="AA168" i="1"/>
  <c r="AB154" i="1"/>
  <c r="AC154" i="1" s="1"/>
  <c r="AB152" i="1"/>
  <c r="AC152" i="1" s="1"/>
  <c r="AB432" i="1"/>
  <c r="AC432" i="1" s="1"/>
  <c r="AB427" i="1"/>
  <c r="AC427" i="1" s="1"/>
  <c r="AB419" i="1"/>
  <c r="AC419" i="1" s="1"/>
  <c r="AB415" i="1"/>
  <c r="AC415" i="1" s="1"/>
  <c r="AB257" i="1"/>
  <c r="AC257" i="1" s="1"/>
  <c r="AB252" i="1"/>
  <c r="AC252" i="1" s="1"/>
  <c r="H246" i="1"/>
  <c r="H302" i="1"/>
  <c r="H386" i="1"/>
  <c r="AB48" i="1"/>
  <c r="AC48" i="1" s="1"/>
  <c r="H116" i="1"/>
  <c r="AA382" i="1"/>
  <c r="AA114" i="1"/>
  <c r="AA206" i="1"/>
  <c r="AA223" i="1"/>
  <c r="R205" i="1"/>
  <c r="R381" i="1"/>
  <c r="R298" i="1"/>
  <c r="R222" i="1"/>
  <c r="H400" i="1"/>
  <c r="H382" i="1"/>
  <c r="O436" i="1"/>
  <c r="P246" i="1"/>
  <c r="S363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3" i="1"/>
  <c r="S401" i="1"/>
  <c r="S224" i="1"/>
  <c r="S301" i="1"/>
  <c r="S115" i="1"/>
  <c r="O225" i="1"/>
  <c r="O305" i="1"/>
  <c r="O402" i="1"/>
  <c r="O119" i="1"/>
  <c r="M298" i="1"/>
  <c r="M399" i="1"/>
  <c r="M222" i="1"/>
  <c r="AB209" i="1"/>
  <c r="AC209" i="1" s="1"/>
  <c r="I112" i="1"/>
  <c r="I298" i="1"/>
  <c r="AA436" i="1"/>
  <c r="W297" i="1"/>
  <c r="W111" i="1"/>
  <c r="U180" i="1"/>
  <c r="M246" i="1"/>
  <c r="I225" i="1"/>
  <c r="I305" i="1"/>
  <c r="U421" i="1"/>
  <c r="S381" i="1"/>
  <c r="S112" i="1"/>
  <c r="S298" i="1"/>
  <c r="S205" i="1"/>
  <c r="S222" i="1"/>
  <c r="O118" i="1"/>
  <c r="O304" i="1"/>
  <c r="O398" i="1"/>
  <c r="O204" i="1"/>
  <c r="O203" i="1"/>
  <c r="K168" i="1"/>
  <c r="S168" i="1"/>
  <c r="H436" i="1"/>
  <c r="AA421" i="1"/>
  <c r="S246" i="1"/>
  <c r="K421" i="1"/>
  <c r="W421" i="1"/>
  <c r="W180" i="1"/>
  <c r="K109" i="1"/>
  <c r="R246" i="1"/>
  <c r="O35" i="1"/>
  <c r="W35" i="1"/>
  <c r="G413" i="2"/>
  <c r="G486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26" i="2" s="1"/>
  <c r="T460" i="2"/>
  <c r="T467" i="2" s="1"/>
  <c r="R417" i="2"/>
  <c r="R419" i="2" s="1"/>
  <c r="AG412" i="2"/>
  <c r="J43" i="15"/>
  <c r="J45" i="15" s="1"/>
  <c r="D6" i="9"/>
  <c r="F6" i="9" s="1"/>
  <c r="E43" i="15"/>
  <c r="E45" i="15" s="1"/>
  <c r="Q9" i="15"/>
  <c r="P407" i="2"/>
  <c r="AG407" i="2" s="1"/>
  <c r="AH407" i="2" s="1"/>
  <c r="L55" i="15"/>
  <c r="O81" i="15"/>
  <c r="G416" i="2"/>
  <c r="G417" i="2" s="1"/>
  <c r="G418" i="2" s="1"/>
  <c r="M43" i="15"/>
  <c r="M45" i="15" s="1"/>
  <c r="Q12" i="15"/>
  <c r="L43" i="15"/>
  <c r="L45" i="15" s="1"/>
  <c r="D15" i="15"/>
  <c r="O155" i="15"/>
  <c r="R155" i="15" s="1"/>
  <c r="I19" i="15" s="1"/>
  <c r="Q426" i="2" s="1"/>
  <c r="G55" i="15"/>
  <c r="Q15" i="15"/>
  <c r="Q14" i="15"/>
  <c r="D55" i="15"/>
  <c r="H55" i="15"/>
  <c r="E412" i="2"/>
  <c r="V345" i="2" s="1"/>
  <c r="O141" i="15"/>
  <c r="S175" i="15"/>
  <c r="J21" i="15" s="1"/>
  <c r="S425" i="2" s="1"/>
  <c r="A59" i="15"/>
  <c r="J413" i="2"/>
  <c r="J486" i="2" s="1"/>
  <c r="N12" i="15"/>
  <c r="A69" i="15"/>
  <c r="O165" i="15"/>
  <c r="R165" i="15" s="1"/>
  <c r="I20" i="15" s="1"/>
  <c r="R426" i="2" s="1"/>
  <c r="O175" i="15"/>
  <c r="R175" i="15" s="1"/>
  <c r="O107" i="15"/>
  <c r="F14" i="15" s="1"/>
  <c r="L428" i="2" s="1"/>
  <c r="L446" i="2" s="1"/>
  <c r="L453" i="2" s="1"/>
  <c r="P25" i="15"/>
  <c r="Q8" i="15"/>
  <c r="C47" i="15"/>
  <c r="Q417" i="2"/>
  <c r="Q419" i="2" s="1"/>
  <c r="Q25" i="15"/>
  <c r="D23" i="15"/>
  <c r="D22" i="15"/>
  <c r="J55" i="15"/>
  <c r="N55" i="15"/>
  <c r="M9" i="15"/>
  <c r="Q13" i="15"/>
  <c r="Q11" i="15"/>
  <c r="H413" i="2"/>
  <c r="H486" i="2" s="1"/>
  <c r="D8" i="15"/>
  <c r="D25" i="15" s="1"/>
  <c r="N47" i="15"/>
  <c r="O61" i="15"/>
  <c r="S195" i="15"/>
  <c r="J23" i="15" s="1"/>
  <c r="U425" i="2" s="1"/>
  <c r="P419" i="2"/>
  <c r="P418" i="2"/>
  <c r="S419" i="2"/>
  <c r="S418" i="2"/>
  <c r="S422" i="2" s="1"/>
  <c r="O187" i="15"/>
  <c r="F22" i="15" s="1"/>
  <c r="T428" i="2" s="1"/>
  <c r="T446" i="2" s="1"/>
  <c r="T453" i="2" s="1"/>
  <c r="U418" i="2"/>
  <c r="O177" i="15"/>
  <c r="F21" i="15" s="1"/>
  <c r="S428" i="2" s="1"/>
  <c r="S446" i="2" s="1"/>
  <c r="U421" i="2"/>
  <c r="P167" i="15"/>
  <c r="G20" i="15" s="1"/>
  <c r="O71" i="15"/>
  <c r="D11" i="15"/>
  <c r="O125" i="15"/>
  <c r="R125" i="15" s="1"/>
  <c r="I16" i="15" s="1"/>
  <c r="N426" i="2" s="1"/>
  <c r="F55" i="15"/>
  <c r="O185" i="15"/>
  <c r="R185" i="15" s="1"/>
  <c r="I22" i="15" s="1"/>
  <c r="T426" i="2" s="1"/>
  <c r="T479" i="2" s="1"/>
  <c r="A39" i="15"/>
  <c r="P107" i="15"/>
  <c r="G14" i="15" s="1"/>
  <c r="C25" i="15"/>
  <c r="M8" i="15"/>
  <c r="K55" i="15"/>
  <c r="S165" i="15"/>
  <c r="J20" i="15" s="1"/>
  <c r="R425" i="2" s="1"/>
  <c r="E55" i="15"/>
  <c r="I55" i="15"/>
  <c r="M55" i="15"/>
  <c r="P137" i="15"/>
  <c r="G17" i="15" s="1"/>
  <c r="O137" i="15"/>
  <c r="F17" i="15" s="1"/>
  <c r="O428" i="2" s="1"/>
  <c r="D45" i="15"/>
  <c r="D17" i="15"/>
  <c r="O131" i="15"/>
  <c r="O151" i="15"/>
  <c r="D19" i="15"/>
  <c r="O161" i="15"/>
  <c r="D20" i="15"/>
  <c r="I416" i="2"/>
  <c r="M11" i="15"/>
  <c r="O117" i="15"/>
  <c r="F15" i="15" s="1"/>
  <c r="M428" i="2" s="1"/>
  <c r="M446" i="2" s="1"/>
  <c r="M453" i="2" s="1"/>
  <c r="P117" i="15"/>
  <c r="G15" i="15" s="1"/>
  <c r="P127" i="15"/>
  <c r="G16" i="15" s="1"/>
  <c r="D14" i="15"/>
  <c r="O195" i="15"/>
  <c r="R195" i="15" s="1"/>
  <c r="I23" i="15" s="1"/>
  <c r="U426" i="2" s="1"/>
  <c r="U479" i="2" s="1"/>
  <c r="P197" i="15"/>
  <c r="G23" i="15" s="1"/>
  <c r="O197" i="15"/>
  <c r="F23" i="15" s="1"/>
  <c r="U428" i="2" s="1"/>
  <c r="U446" i="2" s="1"/>
  <c r="U476" i="2" s="1"/>
  <c r="U477" i="2" s="1"/>
  <c r="M417" i="2"/>
  <c r="M419" i="2" s="1"/>
  <c r="T418" i="2"/>
  <c r="T419" i="2"/>
  <c r="H43" i="15"/>
  <c r="H47" i="15"/>
  <c r="P177" i="15"/>
  <c r="G21" i="15" s="1"/>
  <c r="N417" i="2"/>
  <c r="O157" i="15"/>
  <c r="F19" i="15" s="1"/>
  <c r="Q428" i="2" s="1"/>
  <c r="Q446" i="2" s="1"/>
  <c r="Q476" i="2" s="1"/>
  <c r="Q477" i="2" s="1"/>
  <c r="O171" i="15"/>
  <c r="D21" i="15"/>
  <c r="P187" i="15"/>
  <c r="G22" i="15" s="1"/>
  <c r="O127" i="15"/>
  <c r="F16" i="15" s="1"/>
  <c r="N428" i="2" s="1"/>
  <c r="O418" i="2"/>
  <c r="O115" i="15"/>
  <c r="R115" i="15" s="1"/>
  <c r="S115" i="15"/>
  <c r="J15" i="15" s="1"/>
  <c r="M425" i="2" s="1"/>
  <c r="S135" i="15"/>
  <c r="J17" i="15" s="1"/>
  <c r="O425" i="2" s="1"/>
  <c r="P157" i="15"/>
  <c r="G19" i="15" s="1"/>
  <c r="S155" i="15"/>
  <c r="J19" i="15" s="1"/>
  <c r="Q425" i="2" s="1"/>
  <c r="O167" i="15"/>
  <c r="F20" i="15" s="1"/>
  <c r="R428" i="2" s="1"/>
  <c r="R446" i="2" s="1"/>
  <c r="R476" i="2" s="1"/>
  <c r="R477" i="2" s="1"/>
  <c r="S185" i="15"/>
  <c r="J22" i="15" s="1"/>
  <c r="T425" i="2" s="1"/>
  <c r="D11" i="9"/>
  <c r="F11" i="9" s="1"/>
  <c r="M13" i="15"/>
  <c r="K416" i="2"/>
  <c r="K417" i="2" s="1"/>
  <c r="K419" i="2" s="1"/>
  <c r="L416" i="2"/>
  <c r="M14" i="15"/>
  <c r="D10" i="8"/>
  <c r="F10" i="8" s="1"/>
  <c r="J416" i="2"/>
  <c r="M12" i="15"/>
  <c r="S125" i="15"/>
  <c r="J16" i="15" s="1"/>
  <c r="N425" i="2" s="1"/>
  <c r="K413" i="2"/>
  <c r="K486" i="2" s="1"/>
  <c r="N13" i="15"/>
  <c r="P415" i="2"/>
  <c r="U432" i="2"/>
  <c r="U460" i="2"/>
  <c r="I476" i="2"/>
  <c r="H416" i="2"/>
  <c r="A89" i="15"/>
  <c r="D9" i="8"/>
  <c r="D9" i="9"/>
  <c r="F9" i="9" s="1"/>
  <c r="F8" i="8"/>
  <c r="H109" i="18" a="1"/>
  <c r="S382" i="1"/>
  <c r="A49" i="15"/>
  <c r="D8" i="9"/>
  <c r="F8" i="9" s="1"/>
  <c r="Z477" i="2"/>
  <c r="M10" i="15"/>
  <c r="A79" i="15"/>
  <c r="D10" i="9"/>
  <c r="F10" i="9" s="1"/>
  <c r="D11" i="8"/>
  <c r="F11" i="8" s="1"/>
  <c r="G476" i="2" l="1"/>
  <c r="G477" i="2" s="1"/>
  <c r="G453" i="2"/>
  <c r="N476" i="2"/>
  <c r="N477" i="2" s="1"/>
  <c r="N446" i="2"/>
  <c r="N453" i="2" s="1"/>
  <c r="O147" i="15"/>
  <c r="F18" i="15" s="1"/>
  <c r="P428" i="2" s="1"/>
  <c r="P446" i="2" s="1"/>
  <c r="P453" i="2" s="1"/>
  <c r="Q143" i="15"/>
  <c r="H18" i="15" s="1"/>
  <c r="P427" i="2" s="1"/>
  <c r="O143" i="15"/>
  <c r="C145" i="15"/>
  <c r="O145" i="15" s="1"/>
  <c r="R145" i="15" s="1"/>
  <c r="I18" i="15" s="1"/>
  <c r="P426" i="2" s="1"/>
  <c r="P479" i="2" s="1"/>
  <c r="C26" i="15"/>
  <c r="P422" i="2"/>
  <c r="P421" i="2"/>
  <c r="N413" i="2"/>
  <c r="N16" i="15"/>
  <c r="M422" i="2"/>
  <c r="M421" i="2"/>
  <c r="K421" i="2"/>
  <c r="K422" i="2"/>
  <c r="N20" i="15"/>
  <c r="N19" i="15"/>
  <c r="N21" i="15"/>
  <c r="N22" i="15"/>
  <c r="N17" i="15"/>
  <c r="N23" i="15"/>
  <c r="M476" i="2"/>
  <c r="M477" i="2" s="1"/>
  <c r="H202" i="1"/>
  <c r="H87" i="1"/>
  <c r="X345" i="2"/>
  <c r="W345" i="2"/>
  <c r="AC345" i="2"/>
  <c r="Z345" i="2"/>
  <c r="AB345" i="2"/>
  <c r="AE345" i="2"/>
  <c r="AA345" i="2"/>
  <c r="AD345" i="2"/>
  <c r="Y345" i="2"/>
  <c r="AF345" i="2"/>
  <c r="H476" i="2"/>
  <c r="H477" i="2" s="1"/>
  <c r="M413" i="2"/>
  <c r="F413" i="2"/>
  <c r="F486" i="2" s="1"/>
  <c r="M26" i="15"/>
  <c r="F422" i="2"/>
  <c r="F438" i="1"/>
  <c r="F237" i="1"/>
  <c r="F285" i="1" s="1"/>
  <c r="P393" i="2"/>
  <c r="P345" i="2"/>
  <c r="P358" i="2"/>
  <c r="P359" i="2"/>
  <c r="U139" i="1"/>
  <c r="G415" i="2"/>
  <c r="O103" i="15"/>
  <c r="N415" i="2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3" i="1"/>
  <c r="S343" i="1" s="1"/>
  <c r="S354" i="1" s="1"/>
  <c r="S106" i="1"/>
  <c r="AA149" i="1"/>
  <c r="AA159" i="1" s="1"/>
  <c r="AA170" i="1" s="1"/>
  <c r="AA85" i="1"/>
  <c r="M333" i="1"/>
  <c r="M343" i="1" s="1"/>
  <c r="M149" i="1"/>
  <c r="M159" i="1" s="1"/>
  <c r="M80" i="1"/>
  <c r="M85" i="1"/>
  <c r="AA80" i="1"/>
  <c r="R333" i="1"/>
  <c r="R343" i="1" s="1"/>
  <c r="R354" i="1" s="1"/>
  <c r="AA106" i="1"/>
  <c r="AA333" i="1"/>
  <c r="AA343" i="1" s="1"/>
  <c r="AA354" i="1" s="1"/>
  <c r="T476" i="2"/>
  <c r="T477" i="2" s="1"/>
  <c r="E416" i="2"/>
  <c r="S65" i="15"/>
  <c r="J10" i="15" s="1"/>
  <c r="H425" i="2" s="1"/>
  <c r="F421" i="2"/>
  <c r="I194" i="1"/>
  <c r="I372" i="1"/>
  <c r="W136" i="1"/>
  <c r="U89" i="1"/>
  <c r="U397" i="1"/>
  <c r="H185" i="1"/>
  <c r="R188" i="1"/>
  <c r="U137" i="1"/>
  <c r="Y404" i="1"/>
  <c r="U138" i="1"/>
  <c r="U78" i="1"/>
  <c r="U310" i="1"/>
  <c r="R86" i="1"/>
  <c r="U387" i="1"/>
  <c r="M387" i="1"/>
  <c r="K188" i="1"/>
  <c r="AA136" i="1"/>
  <c r="H196" i="1"/>
  <c r="M211" i="1"/>
  <c r="H188" i="1"/>
  <c r="AA196" i="1"/>
  <c r="M378" i="1"/>
  <c r="R85" i="1"/>
  <c r="M310" i="1"/>
  <c r="S107" i="1"/>
  <c r="I183" i="1"/>
  <c r="M306" i="1"/>
  <c r="AA189" i="1"/>
  <c r="Y85" i="1"/>
  <c r="M202" i="1"/>
  <c r="S183" i="1"/>
  <c r="AA369" i="1"/>
  <c r="H306" i="1"/>
  <c r="AA192" i="1"/>
  <c r="R192" i="1"/>
  <c r="M183" i="1"/>
  <c r="W106" i="1"/>
  <c r="P170" i="1"/>
  <c r="Y333" i="1"/>
  <c r="Y343" i="1" s="1"/>
  <c r="Y354" i="1" s="1"/>
  <c r="M89" i="1"/>
  <c r="M105" i="1"/>
  <c r="I371" i="1"/>
  <c r="I191" i="1"/>
  <c r="R294" i="1"/>
  <c r="M196" i="1"/>
  <c r="R194" i="1"/>
  <c r="Y80" i="1"/>
  <c r="Y149" i="1"/>
  <c r="Y159" i="1" s="1"/>
  <c r="Y170" i="1" s="1"/>
  <c r="H187" i="1"/>
  <c r="H183" i="1"/>
  <c r="P80" i="1"/>
  <c r="K367" i="1"/>
  <c r="H190" i="1"/>
  <c r="H189" i="1"/>
  <c r="P333" i="1"/>
  <c r="P343" i="1" s="1"/>
  <c r="P354" i="1" s="1"/>
  <c r="M388" i="1"/>
  <c r="H191" i="1"/>
  <c r="R193" i="1"/>
  <c r="Y106" i="1"/>
  <c r="H186" i="1"/>
  <c r="K190" i="1"/>
  <c r="H194" i="1"/>
  <c r="H372" i="1"/>
  <c r="AB304" i="1"/>
  <c r="AC304" i="1" s="1"/>
  <c r="Y189" i="1"/>
  <c r="K390" i="1"/>
  <c r="I368" i="1"/>
  <c r="S186" i="1"/>
  <c r="I189" i="1"/>
  <c r="S366" i="1"/>
  <c r="I186" i="1"/>
  <c r="U136" i="1"/>
  <c r="Y227" i="1"/>
  <c r="I196" i="1"/>
  <c r="I197" i="1"/>
  <c r="I185" i="1"/>
  <c r="U202" i="1"/>
  <c r="U388" i="1"/>
  <c r="U56" i="1"/>
  <c r="U64" i="1" s="1"/>
  <c r="R371" i="1"/>
  <c r="R366" i="1"/>
  <c r="W378" i="1"/>
  <c r="S202" i="1"/>
  <c r="U105" i="1"/>
  <c r="U220" i="1"/>
  <c r="W149" i="1"/>
  <c r="W159" i="1" s="1"/>
  <c r="W170" i="1" s="1"/>
  <c r="I190" i="1"/>
  <c r="R373" i="1"/>
  <c r="K85" i="1"/>
  <c r="I192" i="1"/>
  <c r="I369" i="1"/>
  <c r="I188" i="1"/>
  <c r="S189" i="1"/>
  <c r="S191" i="1"/>
  <c r="W397" i="1"/>
  <c r="W387" i="1"/>
  <c r="I373" i="1"/>
  <c r="U227" i="1"/>
  <c r="I86" i="1"/>
  <c r="I107" i="1"/>
  <c r="I370" i="1"/>
  <c r="I195" i="1"/>
  <c r="U306" i="1"/>
  <c r="I56" i="1"/>
  <c r="I10" i="1" s="1"/>
  <c r="R370" i="1"/>
  <c r="U87" i="1"/>
  <c r="S306" i="1"/>
  <c r="U404" i="1"/>
  <c r="R195" i="1"/>
  <c r="AB203" i="1"/>
  <c r="AC203" i="1" s="1"/>
  <c r="K196" i="1"/>
  <c r="Y89" i="1"/>
  <c r="R367" i="1"/>
  <c r="R369" i="1"/>
  <c r="R186" i="1"/>
  <c r="M191" i="1"/>
  <c r="M194" i="1"/>
  <c r="S139" i="1"/>
  <c r="R184" i="1"/>
  <c r="R293" i="1"/>
  <c r="W333" i="1"/>
  <c r="W343" i="1" s="1"/>
  <c r="W354" i="1" s="1"/>
  <c r="R185" i="1"/>
  <c r="R191" i="1"/>
  <c r="R149" i="1"/>
  <c r="R159" i="1" s="1"/>
  <c r="R170" i="1" s="1"/>
  <c r="R80" i="1"/>
  <c r="I106" i="1"/>
  <c r="AB117" i="1"/>
  <c r="AC117" i="1" s="1"/>
  <c r="Y387" i="1"/>
  <c r="K372" i="1"/>
  <c r="M188" i="1"/>
  <c r="Y87" i="1"/>
  <c r="R190" i="1"/>
  <c r="R107" i="1"/>
  <c r="R197" i="1"/>
  <c r="R368" i="1"/>
  <c r="M186" i="1"/>
  <c r="R183" i="1"/>
  <c r="R187" i="1"/>
  <c r="AB110" i="1"/>
  <c r="AC110" i="1" s="1"/>
  <c r="K183" i="1"/>
  <c r="K368" i="1"/>
  <c r="R227" i="1"/>
  <c r="R397" i="1"/>
  <c r="M189" i="1"/>
  <c r="M373" i="1"/>
  <c r="M367" i="1"/>
  <c r="M107" i="1"/>
  <c r="M184" i="1"/>
  <c r="I293" i="1"/>
  <c r="K189" i="1"/>
  <c r="AA186" i="1"/>
  <c r="H139" i="1"/>
  <c r="Y220" i="1"/>
  <c r="K184" i="1"/>
  <c r="K370" i="1"/>
  <c r="K192" i="1"/>
  <c r="K197" i="1"/>
  <c r="S197" i="1"/>
  <c r="K191" i="1"/>
  <c r="M190" i="1"/>
  <c r="S373" i="1"/>
  <c r="Y213" i="1"/>
  <c r="AA188" i="1"/>
  <c r="AA372" i="1"/>
  <c r="AA86" i="1"/>
  <c r="AB204" i="1"/>
  <c r="AC204" i="1" s="1"/>
  <c r="Y306" i="1"/>
  <c r="H89" i="1"/>
  <c r="Y197" i="1"/>
  <c r="K406" i="1"/>
  <c r="M372" i="1"/>
  <c r="M187" i="1"/>
  <c r="M86" i="1"/>
  <c r="M193" i="1"/>
  <c r="I80" i="1"/>
  <c r="K371" i="1"/>
  <c r="AB221" i="1"/>
  <c r="AC221" i="1" s="1"/>
  <c r="O85" i="1"/>
  <c r="K369" i="1"/>
  <c r="AA294" i="1"/>
  <c r="Y78" i="1"/>
  <c r="K185" i="1"/>
  <c r="K187" i="1"/>
  <c r="M371" i="1"/>
  <c r="AA107" i="1"/>
  <c r="Y211" i="1"/>
  <c r="AA191" i="1"/>
  <c r="AA184" i="1"/>
  <c r="AA183" i="1"/>
  <c r="AA195" i="1"/>
  <c r="K373" i="1"/>
  <c r="AB119" i="1"/>
  <c r="AC119" i="1" s="1"/>
  <c r="K333" i="1"/>
  <c r="K343" i="1" s="1"/>
  <c r="K354" i="1" s="1"/>
  <c r="K293" i="1"/>
  <c r="K106" i="1"/>
  <c r="K193" i="1"/>
  <c r="AA190" i="1"/>
  <c r="S187" i="1"/>
  <c r="H227" i="1"/>
  <c r="Y139" i="1"/>
  <c r="K186" i="1"/>
  <c r="K107" i="1"/>
  <c r="K195" i="1"/>
  <c r="E433" i="2"/>
  <c r="E440" i="2" s="1"/>
  <c r="S184" i="1"/>
  <c r="AA185" i="1"/>
  <c r="Y397" i="1"/>
  <c r="AA368" i="1"/>
  <c r="AA187" i="1"/>
  <c r="K366" i="1"/>
  <c r="H78" i="1"/>
  <c r="R56" i="1"/>
  <c r="R65" i="1" s="1"/>
  <c r="M366" i="1"/>
  <c r="M368" i="1"/>
  <c r="M185" i="1"/>
  <c r="S372" i="1"/>
  <c r="K194" i="1"/>
  <c r="S188" i="1"/>
  <c r="K149" i="1"/>
  <c r="K159" i="1" s="1"/>
  <c r="K170" i="1" s="1"/>
  <c r="S213" i="1"/>
  <c r="S89" i="1"/>
  <c r="S387" i="1"/>
  <c r="H373" i="1"/>
  <c r="S190" i="1"/>
  <c r="H387" i="1"/>
  <c r="H368" i="1"/>
  <c r="H197" i="1"/>
  <c r="H371" i="1"/>
  <c r="S368" i="1"/>
  <c r="S195" i="1"/>
  <c r="S369" i="1"/>
  <c r="H136" i="1"/>
  <c r="P85" i="1"/>
  <c r="H138" i="1"/>
  <c r="Y370" i="1"/>
  <c r="R220" i="1"/>
  <c r="AB352" i="1"/>
  <c r="AC352" i="1" s="1"/>
  <c r="R388" i="1"/>
  <c r="S108" i="1"/>
  <c r="S310" i="1"/>
  <c r="S78" i="1"/>
  <c r="S220" i="1"/>
  <c r="H369" i="1"/>
  <c r="H192" i="1"/>
  <c r="S367" i="1"/>
  <c r="S87" i="1"/>
  <c r="U149" i="1"/>
  <c r="U159" i="1" s="1"/>
  <c r="U170" i="1" s="1"/>
  <c r="U85" i="1"/>
  <c r="U293" i="1"/>
  <c r="U333" i="1"/>
  <c r="U343" i="1" s="1"/>
  <c r="U354" i="1" s="1"/>
  <c r="U80" i="1"/>
  <c r="I149" i="1"/>
  <c r="I159" i="1" s="1"/>
  <c r="I170" i="1" s="1"/>
  <c r="I333" i="1"/>
  <c r="I343" i="1" s="1"/>
  <c r="I354" i="1" s="1"/>
  <c r="K56" i="1"/>
  <c r="K294" i="1"/>
  <c r="Y294" i="1"/>
  <c r="Y188" i="1"/>
  <c r="R136" i="1"/>
  <c r="R108" i="1"/>
  <c r="R404" i="1"/>
  <c r="H107" i="1"/>
  <c r="S227" i="1"/>
  <c r="S388" i="1"/>
  <c r="S105" i="1"/>
  <c r="S211" i="1"/>
  <c r="S138" i="1"/>
  <c r="H56" i="1"/>
  <c r="H66" i="1" s="1"/>
  <c r="H86" i="1"/>
  <c r="AB403" i="1"/>
  <c r="AC403" i="1" s="1"/>
  <c r="P106" i="1"/>
  <c r="S378" i="1"/>
  <c r="O106" i="1"/>
  <c r="O293" i="1"/>
  <c r="O149" i="1"/>
  <c r="O159" i="1" s="1"/>
  <c r="O170" i="1" s="1"/>
  <c r="S294" i="1"/>
  <c r="S193" i="1"/>
  <c r="S196" i="1"/>
  <c r="S192" i="1"/>
  <c r="H366" i="1"/>
  <c r="S56" i="1"/>
  <c r="S73" i="1" s="1"/>
  <c r="H220" i="1"/>
  <c r="H370" i="1"/>
  <c r="H367" i="1"/>
  <c r="H184" i="1"/>
  <c r="S185" i="1"/>
  <c r="H193" i="1"/>
  <c r="S370" i="1"/>
  <c r="H378" i="1"/>
  <c r="H105" i="1"/>
  <c r="AB398" i="1"/>
  <c r="AC398" i="1" s="1"/>
  <c r="AB402" i="1"/>
  <c r="AC402" i="1" s="1"/>
  <c r="P293" i="1"/>
  <c r="AB380" i="1"/>
  <c r="AC380" i="1" s="1"/>
  <c r="AB296" i="1"/>
  <c r="AC296" i="1" s="1"/>
  <c r="AB207" i="1"/>
  <c r="AC207" i="1" s="1"/>
  <c r="AB384" i="1"/>
  <c r="AC384" i="1" s="1"/>
  <c r="AB116" i="1"/>
  <c r="AC116" i="1" s="1"/>
  <c r="AB383" i="1"/>
  <c r="AC383" i="1" s="1"/>
  <c r="Y56" i="1"/>
  <c r="Y10" i="1" s="1"/>
  <c r="Y107" i="1"/>
  <c r="R202" i="1"/>
  <c r="S397" i="1"/>
  <c r="S404" i="1"/>
  <c r="S137" i="1"/>
  <c r="H294" i="1"/>
  <c r="AB295" i="1"/>
  <c r="AC295" i="1" s="1"/>
  <c r="AB262" i="1"/>
  <c r="AC262" i="1" s="1"/>
  <c r="S194" i="1"/>
  <c r="S371" i="1"/>
  <c r="O333" i="1"/>
  <c r="O343" i="1" s="1"/>
  <c r="O354" i="1" s="1"/>
  <c r="W293" i="1"/>
  <c r="W85" i="1"/>
  <c r="R189" i="1"/>
  <c r="R196" i="1"/>
  <c r="I184" i="1"/>
  <c r="I367" i="1"/>
  <c r="I193" i="1"/>
  <c r="I294" i="1"/>
  <c r="I187" i="1"/>
  <c r="H333" i="1"/>
  <c r="H343" i="1" s="1"/>
  <c r="H354" i="1" s="1"/>
  <c r="H80" i="1"/>
  <c r="H85" i="1"/>
  <c r="H293" i="1"/>
  <c r="H149" i="1"/>
  <c r="H159" i="1" s="1"/>
  <c r="H170" i="1" s="1"/>
  <c r="H106" i="1"/>
  <c r="AB305" i="1"/>
  <c r="AC305" i="1" s="1"/>
  <c r="AB386" i="1"/>
  <c r="AC386" i="1" s="1"/>
  <c r="AB210" i="1"/>
  <c r="AC210" i="1" s="1"/>
  <c r="AB421" i="1"/>
  <c r="AC421" i="1" s="1"/>
  <c r="AA138" i="1"/>
  <c r="AB24" i="1"/>
  <c r="AC24" i="1" s="1"/>
  <c r="W388" i="1"/>
  <c r="W105" i="1"/>
  <c r="W137" i="1"/>
  <c r="W227" i="1"/>
  <c r="W213" i="1"/>
  <c r="W211" i="1"/>
  <c r="W78" i="1"/>
  <c r="W202" i="1"/>
  <c r="W89" i="1"/>
  <c r="W310" i="1"/>
  <c r="W306" i="1"/>
  <c r="M404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88" i="1"/>
  <c r="Y137" i="1"/>
  <c r="R211" i="1"/>
  <c r="R306" i="1"/>
  <c r="R105" i="1"/>
  <c r="R137" i="1"/>
  <c r="R89" i="1"/>
  <c r="R387" i="1"/>
  <c r="R78" i="1"/>
  <c r="R87" i="1"/>
  <c r="R378" i="1"/>
  <c r="R138" i="1"/>
  <c r="R139" i="1"/>
  <c r="R213" i="1"/>
  <c r="M370" i="1"/>
  <c r="M192" i="1"/>
  <c r="M195" i="1"/>
  <c r="M369" i="1"/>
  <c r="M197" i="1"/>
  <c r="AA202" i="1"/>
  <c r="AA89" i="1"/>
  <c r="AA137" i="1"/>
  <c r="AA310" i="1"/>
  <c r="AA388" i="1"/>
  <c r="AA105" i="1"/>
  <c r="AA139" i="1"/>
  <c r="AA213" i="1"/>
  <c r="AA397" i="1"/>
  <c r="AA108" i="1"/>
  <c r="AA404" i="1"/>
  <c r="AA387" i="1"/>
  <c r="AA78" i="1"/>
  <c r="AA227" i="1"/>
  <c r="AA229" i="1" s="1"/>
  <c r="AB379" i="1"/>
  <c r="AC379" i="1" s="1"/>
  <c r="AA211" i="1"/>
  <c r="M139" i="1"/>
  <c r="M397" i="1"/>
  <c r="M136" i="1"/>
  <c r="M137" i="1"/>
  <c r="M213" i="1"/>
  <c r="M108" i="1"/>
  <c r="M56" i="1"/>
  <c r="M66" i="1" s="1"/>
  <c r="AB436" i="1"/>
  <c r="AC436" i="1" s="1"/>
  <c r="AB226" i="1"/>
  <c r="AC226" i="1" s="1"/>
  <c r="AA378" i="1"/>
  <c r="AA306" i="1"/>
  <c r="W108" i="1"/>
  <c r="K229" i="1"/>
  <c r="W404" i="1"/>
  <c r="W220" i="1"/>
  <c r="M78" i="1"/>
  <c r="M227" i="1"/>
  <c r="H137" i="1"/>
  <c r="H404" i="1"/>
  <c r="H310" i="1"/>
  <c r="H397" i="1"/>
  <c r="H211" i="1"/>
  <c r="H388" i="1"/>
  <c r="H213" i="1"/>
  <c r="U108" i="1"/>
  <c r="U211" i="1"/>
  <c r="U378" i="1"/>
  <c r="Y86" i="1"/>
  <c r="Y196" i="1"/>
  <c r="Y369" i="1"/>
  <c r="Y366" i="1"/>
  <c r="Y195" i="1"/>
  <c r="Y184" i="1"/>
  <c r="Y192" i="1"/>
  <c r="Y372" i="1"/>
  <c r="Y371" i="1"/>
  <c r="Y186" i="1"/>
  <c r="Y187" i="1"/>
  <c r="Y183" i="1"/>
  <c r="Y194" i="1"/>
  <c r="Y373" i="1"/>
  <c r="Y193" i="1"/>
  <c r="Y367" i="1"/>
  <c r="Y185" i="1"/>
  <c r="Y191" i="1"/>
  <c r="Y368" i="1"/>
  <c r="AB168" i="1"/>
  <c r="AC168" i="1" s="1"/>
  <c r="O192" i="1"/>
  <c r="O189" i="1"/>
  <c r="O190" i="1"/>
  <c r="O369" i="1"/>
  <c r="O371" i="1"/>
  <c r="O86" i="1"/>
  <c r="O191" i="1"/>
  <c r="O183" i="1"/>
  <c r="O372" i="1"/>
  <c r="O186" i="1"/>
  <c r="O107" i="1"/>
  <c r="O366" i="1"/>
  <c r="O188" i="1"/>
  <c r="O195" i="1"/>
  <c r="O294" i="1"/>
  <c r="O196" i="1"/>
  <c r="O194" i="1"/>
  <c r="O185" i="1"/>
  <c r="O370" i="1"/>
  <c r="O187" i="1"/>
  <c r="O193" i="1"/>
  <c r="O373" i="1"/>
  <c r="O197" i="1"/>
  <c r="O184" i="1"/>
  <c r="O368" i="1"/>
  <c r="O367" i="1"/>
  <c r="AB246" i="1"/>
  <c r="AC246" i="1" s="1"/>
  <c r="AA367" i="1"/>
  <c r="AA370" i="1"/>
  <c r="AA373" i="1"/>
  <c r="AA197" i="1"/>
  <c r="AA371" i="1"/>
  <c r="AA193" i="1"/>
  <c r="AA366" i="1"/>
  <c r="I139" i="1"/>
  <c r="I213" i="1"/>
  <c r="I387" i="1"/>
  <c r="I211" i="1"/>
  <c r="I310" i="1"/>
  <c r="I136" i="1"/>
  <c r="I378" i="1"/>
  <c r="I227" i="1"/>
  <c r="I138" i="1"/>
  <c r="I78" i="1"/>
  <c r="I388" i="1"/>
  <c r="I306" i="1"/>
  <c r="I87" i="1"/>
  <c r="I105" i="1"/>
  <c r="I137" i="1"/>
  <c r="I220" i="1"/>
  <c r="I202" i="1"/>
  <c r="I89" i="1"/>
  <c r="I397" i="1"/>
  <c r="I404" i="1"/>
  <c r="P186" i="1"/>
  <c r="P194" i="1"/>
  <c r="P197" i="1"/>
  <c r="P86" i="1"/>
  <c r="P368" i="1"/>
  <c r="P189" i="1"/>
  <c r="P183" i="1"/>
  <c r="P188" i="1"/>
  <c r="P366" i="1"/>
  <c r="P367" i="1"/>
  <c r="P371" i="1"/>
  <c r="P185" i="1"/>
  <c r="P369" i="1"/>
  <c r="P373" i="1"/>
  <c r="P187" i="1"/>
  <c r="P372" i="1"/>
  <c r="P196" i="1"/>
  <c r="P370" i="1"/>
  <c r="P191" i="1"/>
  <c r="P294" i="1"/>
  <c r="P107" i="1"/>
  <c r="P190" i="1"/>
  <c r="P193" i="1"/>
  <c r="P192" i="1"/>
  <c r="P184" i="1"/>
  <c r="P195" i="1"/>
  <c r="W196" i="1"/>
  <c r="W86" i="1"/>
  <c r="W367" i="1"/>
  <c r="W192" i="1"/>
  <c r="W194" i="1"/>
  <c r="W368" i="1"/>
  <c r="W189" i="1"/>
  <c r="W183" i="1"/>
  <c r="W188" i="1"/>
  <c r="W370" i="1"/>
  <c r="W193" i="1"/>
  <c r="W371" i="1"/>
  <c r="W195" i="1"/>
  <c r="W197" i="1"/>
  <c r="W190" i="1"/>
  <c r="W191" i="1"/>
  <c r="W369" i="1"/>
  <c r="W294" i="1"/>
  <c r="W366" i="1"/>
  <c r="W186" i="1"/>
  <c r="W187" i="1"/>
  <c r="W56" i="1"/>
  <c r="W185" i="1"/>
  <c r="W373" i="1"/>
  <c r="W107" i="1"/>
  <c r="W184" i="1"/>
  <c r="W372" i="1"/>
  <c r="U86" i="1"/>
  <c r="U371" i="1"/>
  <c r="U192" i="1"/>
  <c r="U184" i="1"/>
  <c r="U185" i="1"/>
  <c r="U190" i="1"/>
  <c r="U194" i="1"/>
  <c r="U187" i="1"/>
  <c r="U196" i="1"/>
  <c r="U188" i="1"/>
  <c r="U191" i="1"/>
  <c r="U294" i="1"/>
  <c r="U373" i="1"/>
  <c r="U372" i="1"/>
  <c r="U367" i="1"/>
  <c r="U193" i="1"/>
  <c r="U368" i="1"/>
  <c r="U366" i="1"/>
  <c r="U107" i="1"/>
  <c r="U370" i="1"/>
  <c r="U186" i="1"/>
  <c r="U369" i="1"/>
  <c r="U195" i="1"/>
  <c r="U183" i="1"/>
  <c r="U189" i="1"/>
  <c r="U197" i="1"/>
  <c r="AB109" i="1"/>
  <c r="AC109" i="1" s="1"/>
  <c r="AB35" i="1"/>
  <c r="AC35" i="1" s="1"/>
  <c r="S95" i="15"/>
  <c r="J13" i="15" s="1"/>
  <c r="K425" i="2" s="1"/>
  <c r="O65" i="15"/>
  <c r="R65" i="15" s="1"/>
  <c r="S55" i="15"/>
  <c r="J9" i="15" s="1"/>
  <c r="G425" i="2" s="1"/>
  <c r="R453" i="2"/>
  <c r="U453" i="2"/>
  <c r="N15" i="15"/>
  <c r="S313" i="2"/>
  <c r="N8" i="15"/>
  <c r="Z347" i="2"/>
  <c r="O313" i="2"/>
  <c r="L347" i="2"/>
  <c r="G347" i="2"/>
  <c r="H347" i="2"/>
  <c r="Q313" i="2"/>
  <c r="R418" i="2"/>
  <c r="R422" i="2" s="1"/>
  <c r="Z313" i="2"/>
  <c r="M347" i="2"/>
  <c r="W347" i="2"/>
  <c r="F313" i="2"/>
  <c r="U313" i="2"/>
  <c r="N347" i="2"/>
  <c r="R313" i="2"/>
  <c r="X347" i="2"/>
  <c r="T165" i="15"/>
  <c r="K20" i="15" s="1"/>
  <c r="R424" i="2" s="1"/>
  <c r="P313" i="2"/>
  <c r="AH412" i="2"/>
  <c r="AA347" i="2"/>
  <c r="AA313" i="2"/>
  <c r="G419" i="2"/>
  <c r="H313" i="2"/>
  <c r="AD313" i="2"/>
  <c r="Y347" i="2"/>
  <c r="Y313" i="2"/>
  <c r="G313" i="2"/>
  <c r="O347" i="2"/>
  <c r="AF313" i="2"/>
  <c r="AF347" i="2"/>
  <c r="T313" i="2"/>
  <c r="S421" i="2"/>
  <c r="V347" i="2"/>
  <c r="K313" i="2"/>
  <c r="P347" i="2"/>
  <c r="K347" i="2"/>
  <c r="I313" i="2"/>
  <c r="AB313" i="2"/>
  <c r="J313" i="2"/>
  <c r="J401" i="2" s="1"/>
  <c r="AE313" i="2"/>
  <c r="S347" i="2"/>
  <c r="T347" i="2"/>
  <c r="F347" i="2"/>
  <c r="AC313" i="2"/>
  <c r="AC347" i="2"/>
  <c r="Q418" i="2"/>
  <c r="Q422" i="2" s="1"/>
  <c r="R347" i="2"/>
  <c r="V313" i="2"/>
  <c r="AD347" i="2"/>
  <c r="W313" i="2"/>
  <c r="X313" i="2"/>
  <c r="U347" i="2"/>
  <c r="AE347" i="2"/>
  <c r="I347" i="2"/>
  <c r="M313" i="2"/>
  <c r="L313" i="2"/>
  <c r="N313" i="2"/>
  <c r="Q347" i="2"/>
  <c r="J347" i="2"/>
  <c r="T145" i="15"/>
  <c r="K18" i="15" s="1"/>
  <c r="P424" i="2" s="1"/>
  <c r="H415" i="2"/>
  <c r="O55" i="15"/>
  <c r="R55" i="15" s="1"/>
  <c r="I9" i="15" s="1"/>
  <c r="G426" i="2" s="1"/>
  <c r="G479" i="2" s="1"/>
  <c r="T413" i="2"/>
  <c r="U413" i="2"/>
  <c r="T175" i="15"/>
  <c r="K21" i="15" s="1"/>
  <c r="S424" i="2" s="1"/>
  <c r="I21" i="15"/>
  <c r="S426" i="2" s="1"/>
  <c r="J415" i="2"/>
  <c r="Q53" i="15"/>
  <c r="H9" i="15" s="1"/>
  <c r="G427" i="2" s="1"/>
  <c r="O53" i="15"/>
  <c r="S476" i="2"/>
  <c r="S477" i="2" s="1"/>
  <c r="S453" i="2"/>
  <c r="E417" i="2"/>
  <c r="M25" i="15"/>
  <c r="T195" i="15"/>
  <c r="K23" i="15" s="1"/>
  <c r="U424" i="2" s="1"/>
  <c r="Q453" i="2"/>
  <c r="N11" i="15"/>
  <c r="I413" i="2"/>
  <c r="I486" i="2" s="1"/>
  <c r="I15" i="15"/>
  <c r="M426" i="2" s="1"/>
  <c r="T115" i="15"/>
  <c r="K15" i="15" s="1"/>
  <c r="M424" i="2" s="1"/>
  <c r="S413" i="2"/>
  <c r="H45" i="15"/>
  <c r="S45" i="15" s="1"/>
  <c r="J8" i="15" s="1"/>
  <c r="F425" i="2" s="1"/>
  <c r="O43" i="15"/>
  <c r="M418" i="2"/>
  <c r="N14" i="15"/>
  <c r="L413" i="2"/>
  <c r="L486" i="2" s="1"/>
  <c r="O19" i="15"/>
  <c r="Q413" i="2"/>
  <c r="T135" i="15"/>
  <c r="K17" i="15" s="1"/>
  <c r="O424" i="2" s="1"/>
  <c r="T125" i="15"/>
  <c r="K16" i="15" s="1"/>
  <c r="N424" i="2" s="1"/>
  <c r="J417" i="2"/>
  <c r="J419" i="2" s="1"/>
  <c r="D200" i="15"/>
  <c r="T421" i="2"/>
  <c r="I417" i="2"/>
  <c r="Q63" i="15"/>
  <c r="H10" i="15" s="1"/>
  <c r="O476" i="2"/>
  <c r="O477" i="2" s="1"/>
  <c r="L417" i="2"/>
  <c r="N419" i="2"/>
  <c r="N418" i="2"/>
  <c r="P476" i="2"/>
  <c r="P477" i="2" s="1"/>
  <c r="P432" i="2"/>
  <c r="P439" i="2" s="1"/>
  <c r="P460" i="2" s="1"/>
  <c r="P467" i="2" s="1"/>
  <c r="T185" i="15"/>
  <c r="K22" i="15" s="1"/>
  <c r="T424" i="2" s="1"/>
  <c r="R413" i="2"/>
  <c r="Q43" i="15"/>
  <c r="H8" i="15" s="1"/>
  <c r="T155" i="15"/>
  <c r="K19" i="15" s="1"/>
  <c r="Q424" i="2" s="1"/>
  <c r="K418" i="2"/>
  <c r="O63" i="15"/>
  <c r="P47" i="15"/>
  <c r="G8" i="15" s="1"/>
  <c r="O47" i="15"/>
  <c r="F8" i="15" s="1"/>
  <c r="O413" i="2"/>
  <c r="S75" i="15"/>
  <c r="J11" i="15" s="1"/>
  <c r="O432" i="2"/>
  <c r="U467" i="2"/>
  <c r="H110" i="18"/>
  <c r="I109" i="18"/>
  <c r="D110" i="18" s="1"/>
  <c r="D116" i="18" s="1"/>
  <c r="D119" i="18" s="1"/>
  <c r="D121" i="18" s="1"/>
  <c r="D122" i="18" s="1"/>
  <c r="I110" i="18"/>
  <c r="H109" i="18"/>
  <c r="D109" i="18" s="1"/>
  <c r="I111" i="18"/>
  <c r="H111" i="18"/>
  <c r="D111" i="18" s="1"/>
  <c r="U439" i="2"/>
  <c r="R432" i="2"/>
  <c r="R479" i="2"/>
  <c r="D33" i="9"/>
  <c r="H417" i="2"/>
  <c r="AG416" i="2"/>
  <c r="Q479" i="2"/>
  <c r="Q432" i="2"/>
  <c r="N432" i="2"/>
  <c r="F9" i="8"/>
  <c r="D33" i="8"/>
  <c r="I477" i="2"/>
  <c r="F326" i="1"/>
  <c r="F287" i="1"/>
  <c r="K415" i="2"/>
  <c r="F427" i="2" l="1"/>
  <c r="H427" i="2"/>
  <c r="F129" i="1"/>
  <c r="F133" i="1" s="1"/>
  <c r="F415" i="2"/>
  <c r="N421" i="2"/>
  <c r="N422" i="2"/>
  <c r="J422" i="2"/>
  <c r="J421" i="2"/>
  <c r="G422" i="2"/>
  <c r="G421" i="2"/>
  <c r="O22" i="15"/>
  <c r="E46" i="4" s="1"/>
  <c r="O21" i="15"/>
  <c r="O23" i="15"/>
  <c r="E47" i="4" s="1"/>
  <c r="O16" i="15"/>
  <c r="E41" i="4" s="1"/>
  <c r="O18" i="15"/>
  <c r="E42" i="4" s="1"/>
  <c r="O17" i="15"/>
  <c r="O20" i="15"/>
  <c r="E44" i="4" s="1"/>
  <c r="AH416" i="2"/>
  <c r="AD404" i="2"/>
  <c r="H401" i="2"/>
  <c r="I401" i="2"/>
  <c r="G401" i="2"/>
  <c r="F401" i="2"/>
  <c r="M415" i="2"/>
  <c r="O75" i="15"/>
  <c r="R75" i="15" s="1"/>
  <c r="I11" i="15" s="1"/>
  <c r="I426" i="2" s="1"/>
  <c r="I479" i="2" s="1"/>
  <c r="O73" i="15"/>
  <c r="Q73" i="15"/>
  <c r="H11" i="15" s="1"/>
  <c r="I427" i="2" s="1"/>
  <c r="T404" i="2"/>
  <c r="F144" i="1"/>
  <c r="L476" i="2"/>
  <c r="L477" i="2" s="1"/>
  <c r="R404" i="2"/>
  <c r="S404" i="2"/>
  <c r="X404" i="2"/>
  <c r="Y404" i="2"/>
  <c r="W404" i="2"/>
  <c r="V404" i="2"/>
  <c r="U404" i="2"/>
  <c r="AA404" i="2"/>
  <c r="AB404" i="2"/>
  <c r="AF404" i="2"/>
  <c r="AC404" i="2"/>
  <c r="P404" i="2"/>
  <c r="O404" i="2"/>
  <c r="AE404" i="2"/>
  <c r="F404" i="2"/>
  <c r="Z404" i="2"/>
  <c r="Q404" i="2"/>
  <c r="K345" i="2"/>
  <c r="K359" i="2"/>
  <c r="F393" i="2"/>
  <c r="F345" i="2"/>
  <c r="N393" i="2"/>
  <c r="N345" i="2"/>
  <c r="N358" i="2"/>
  <c r="N359" i="2"/>
  <c r="H393" i="2"/>
  <c r="H345" i="2"/>
  <c r="H359" i="2"/>
  <c r="M393" i="2"/>
  <c r="M359" i="2"/>
  <c r="M345" i="2"/>
  <c r="M358" i="2"/>
  <c r="L415" i="2"/>
  <c r="J393" i="2"/>
  <c r="J345" i="2"/>
  <c r="J359" i="2"/>
  <c r="G393" i="2"/>
  <c r="G345" i="2"/>
  <c r="G359" i="2"/>
  <c r="R8" i="1"/>
  <c r="O105" i="15"/>
  <c r="R105" i="15" s="1"/>
  <c r="S105" i="15"/>
  <c r="J14" i="15" s="1"/>
  <c r="L425" i="2" s="1"/>
  <c r="D201" i="15"/>
  <c r="D36" i="15" s="1"/>
  <c r="E200" i="15"/>
  <c r="E201" i="15" s="1"/>
  <c r="E36" i="15" s="1"/>
  <c r="E43" i="4"/>
  <c r="S71" i="1"/>
  <c r="Y406" i="1"/>
  <c r="U70" i="1"/>
  <c r="U309" i="1"/>
  <c r="T65" i="15"/>
  <c r="K10" i="15" s="1"/>
  <c r="H424" i="2" s="1"/>
  <c r="S65" i="1"/>
  <c r="S9" i="1"/>
  <c r="S66" i="1"/>
  <c r="S10" i="1"/>
  <c r="U8" i="1"/>
  <c r="U72" i="1"/>
  <c r="U10" i="1"/>
  <c r="S63" i="1"/>
  <c r="S64" i="1"/>
  <c r="U71" i="1"/>
  <c r="S8" i="1"/>
  <c r="S58" i="1"/>
  <c r="U406" i="1"/>
  <c r="U141" i="1"/>
  <c r="U69" i="1"/>
  <c r="U9" i="1"/>
  <c r="U77" i="1"/>
  <c r="Y58" i="1"/>
  <c r="W406" i="1"/>
  <c r="R64" i="1"/>
  <c r="I70" i="1"/>
  <c r="R69" i="1"/>
  <c r="W390" i="1"/>
  <c r="I72" i="1"/>
  <c r="I71" i="1"/>
  <c r="AA65" i="1"/>
  <c r="M215" i="1"/>
  <c r="M390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0" i="1"/>
  <c r="K408" i="1"/>
  <c r="I8" i="1"/>
  <c r="AB106" i="1"/>
  <c r="AC106" i="1" s="1"/>
  <c r="AB80" i="1"/>
  <c r="AC80" i="1" s="1"/>
  <c r="S406" i="1"/>
  <c r="R406" i="1"/>
  <c r="R229" i="1"/>
  <c r="R199" i="1"/>
  <c r="U229" i="1"/>
  <c r="I65" i="1"/>
  <c r="H71" i="1"/>
  <c r="Y64" i="1"/>
  <c r="H375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5" i="1"/>
  <c r="K375" i="1"/>
  <c r="R375" i="1"/>
  <c r="H229" i="1"/>
  <c r="I73" i="1"/>
  <c r="H64" i="1"/>
  <c r="Y67" i="1"/>
  <c r="Y229" i="1"/>
  <c r="I199" i="1"/>
  <c r="K199" i="1"/>
  <c r="AG433" i="2"/>
  <c r="AH433" i="2" s="1"/>
  <c r="M199" i="1"/>
  <c r="Y390" i="1"/>
  <c r="M406" i="1"/>
  <c r="W229" i="1"/>
  <c r="AB368" i="1"/>
  <c r="AC368" i="1" s="1"/>
  <c r="AA68" i="1"/>
  <c r="H63" i="1"/>
  <c r="H10" i="1"/>
  <c r="Y71" i="1"/>
  <c r="Y73" i="1"/>
  <c r="AA375" i="1"/>
  <c r="H406" i="1"/>
  <c r="Y215" i="1"/>
  <c r="AB189" i="1"/>
  <c r="AC189" i="1" s="1"/>
  <c r="H77" i="1"/>
  <c r="H309" i="1"/>
  <c r="Y69" i="1"/>
  <c r="Y70" i="1"/>
  <c r="M141" i="1"/>
  <c r="S141" i="1"/>
  <c r="M375" i="1"/>
  <c r="M10" i="1"/>
  <c r="AB149" i="1"/>
  <c r="AC149" i="1" s="1"/>
  <c r="AA9" i="1"/>
  <c r="E435" i="2"/>
  <c r="H67" i="1"/>
  <c r="H73" i="1"/>
  <c r="H8" i="1"/>
  <c r="H70" i="1"/>
  <c r="H9" i="1"/>
  <c r="Y66" i="1"/>
  <c r="Y65" i="1"/>
  <c r="Y8" i="1"/>
  <c r="Y72" i="1"/>
  <c r="R390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5" i="1"/>
  <c r="H141" i="1"/>
  <c r="S390" i="1"/>
  <c r="R77" i="1"/>
  <c r="R66" i="1"/>
  <c r="R58" i="1"/>
  <c r="R70" i="1"/>
  <c r="R67" i="1"/>
  <c r="R73" i="1"/>
  <c r="AA141" i="1"/>
  <c r="M229" i="1"/>
  <c r="E461" i="2"/>
  <c r="E468" i="2" s="1"/>
  <c r="AB333" i="1"/>
  <c r="AC333" i="1" s="1"/>
  <c r="AB186" i="1"/>
  <c r="AC186" i="1" s="1"/>
  <c r="I406" i="1"/>
  <c r="AB373" i="1"/>
  <c r="AC373" i="1" s="1"/>
  <c r="AB369" i="1"/>
  <c r="AC369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06" i="1"/>
  <c r="AA390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67" i="1"/>
  <c r="AC367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0" i="1"/>
  <c r="AB192" i="1"/>
  <c r="AC192" i="1" s="1"/>
  <c r="AB86" i="1"/>
  <c r="AC86" i="1" s="1"/>
  <c r="AB197" i="1"/>
  <c r="AC197" i="1" s="1"/>
  <c r="AB370" i="1"/>
  <c r="AC370" i="1" s="1"/>
  <c r="Y375" i="1"/>
  <c r="AB188" i="1"/>
  <c r="AC188" i="1" s="1"/>
  <c r="AB372" i="1"/>
  <c r="AC372" i="1" s="1"/>
  <c r="AB196" i="1"/>
  <c r="AC196" i="1" s="1"/>
  <c r="AB195" i="1"/>
  <c r="AC195" i="1" s="1"/>
  <c r="AB371" i="1"/>
  <c r="AC371" i="1" s="1"/>
  <c r="AB185" i="1"/>
  <c r="AC185" i="1" s="1"/>
  <c r="AB107" i="1"/>
  <c r="AC107" i="1" s="1"/>
  <c r="AB190" i="1"/>
  <c r="AC190" i="1" s="1"/>
  <c r="U375" i="1"/>
  <c r="I390" i="1"/>
  <c r="U199" i="1"/>
  <c r="W375" i="1"/>
  <c r="I215" i="1"/>
  <c r="I141" i="1"/>
  <c r="O375" i="1"/>
  <c r="W199" i="1"/>
  <c r="P199" i="1"/>
  <c r="AB191" i="1"/>
  <c r="AC191" i="1" s="1"/>
  <c r="AB366" i="1"/>
  <c r="AC366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5" i="1"/>
  <c r="I229" i="1"/>
  <c r="O199" i="1"/>
  <c r="I10" i="15"/>
  <c r="H426" i="2" s="1"/>
  <c r="H479" i="2" s="1"/>
  <c r="Y349" i="2"/>
  <c r="V349" i="2"/>
  <c r="X349" i="2"/>
  <c r="AB349" i="2"/>
  <c r="E45" i="4"/>
  <c r="AA349" i="2"/>
  <c r="AG347" i="2"/>
  <c r="AH347" i="2" s="1"/>
  <c r="P349" i="2"/>
  <c r="W349" i="2"/>
  <c r="AE349" i="2"/>
  <c r="AG313" i="2"/>
  <c r="AH313" i="2" s="1"/>
  <c r="G404" i="2"/>
  <c r="O14" i="15"/>
  <c r="E39" i="4" s="1"/>
  <c r="AD349" i="2"/>
  <c r="AG348" i="2"/>
  <c r="AH348" i="2" s="1"/>
  <c r="Z349" i="2"/>
  <c r="AF349" i="2"/>
  <c r="AC349" i="2"/>
  <c r="T55" i="15"/>
  <c r="K9" i="15" s="1"/>
  <c r="G424" i="2" s="1"/>
  <c r="S479" i="2"/>
  <c r="S432" i="2"/>
  <c r="S439" i="2" s="1"/>
  <c r="S460" i="2" s="1"/>
  <c r="S467" i="2" s="1"/>
  <c r="T415" i="2"/>
  <c r="T486" i="2"/>
  <c r="U415" i="2"/>
  <c r="U486" i="2"/>
  <c r="I415" i="2"/>
  <c r="N409" i="2"/>
  <c r="E418" i="2"/>
  <c r="N404" i="2"/>
  <c r="O415" i="2"/>
  <c r="R486" i="2"/>
  <c r="R415" i="2"/>
  <c r="J418" i="2"/>
  <c r="S486" i="2"/>
  <c r="S415" i="2"/>
  <c r="Q486" i="2"/>
  <c r="Q415" i="2"/>
  <c r="AG413" i="2"/>
  <c r="I419" i="2"/>
  <c r="I418" i="2"/>
  <c r="M432" i="2"/>
  <c r="O45" i="15"/>
  <c r="R45" i="15" s="1"/>
  <c r="F428" i="2"/>
  <c r="K404" i="2"/>
  <c r="L418" i="2"/>
  <c r="L419" i="2"/>
  <c r="O9" i="15"/>
  <c r="E34" i="4" s="1"/>
  <c r="O25" i="15"/>
  <c r="O11" i="15"/>
  <c r="E36" i="4" s="1"/>
  <c r="O10" i="15"/>
  <c r="E35" i="4" s="1"/>
  <c r="O12" i="15"/>
  <c r="E37" i="4" s="1"/>
  <c r="O13" i="15"/>
  <c r="E38" i="4" s="1"/>
  <c r="N25" i="15"/>
  <c r="O8" i="15"/>
  <c r="E33" i="4" s="1"/>
  <c r="E413" i="2"/>
  <c r="O15" i="15"/>
  <c r="E40" i="4" s="1"/>
  <c r="M404" i="2"/>
  <c r="G432" i="2"/>
  <c r="D128" i="18"/>
  <c r="O467" i="1" s="1"/>
  <c r="O466" i="1" s="1"/>
  <c r="O43" i="1" s="1"/>
  <c r="E128" i="18"/>
  <c r="Q439" i="2"/>
  <c r="F33" i="9"/>
  <c r="E130" i="18"/>
  <c r="D123" i="18"/>
  <c r="D130" i="18" s="1"/>
  <c r="O469" i="1" s="1"/>
  <c r="I425" i="2"/>
  <c r="K393" i="2"/>
  <c r="M170" i="1"/>
  <c r="AB159" i="1"/>
  <c r="AC159" i="1" s="1"/>
  <c r="H418" i="2"/>
  <c r="H419" i="2"/>
  <c r="AG417" i="2"/>
  <c r="AH417" i="2" s="1"/>
  <c r="E442" i="2"/>
  <c r="AG440" i="2"/>
  <c r="AH440" i="2" s="1"/>
  <c r="D129" i="18"/>
  <c r="O468" i="1" s="1"/>
  <c r="E129" i="18"/>
  <c r="P468" i="1" s="1"/>
  <c r="T75" i="15"/>
  <c r="K11" i="15" s="1"/>
  <c r="I424" i="2" s="1"/>
  <c r="N439" i="2"/>
  <c r="N460" i="2" s="1"/>
  <c r="N467" i="2" s="1"/>
  <c r="M354" i="1"/>
  <c r="AB343" i="1"/>
  <c r="AC343" i="1" s="1"/>
  <c r="R439" i="2"/>
  <c r="F33" i="8"/>
  <c r="O439" i="2"/>
  <c r="L422" i="2" l="1"/>
  <c r="L421" i="2"/>
  <c r="I421" i="2"/>
  <c r="I422" i="2"/>
  <c r="H421" i="2"/>
  <c r="H422" i="2"/>
  <c r="E401" i="2"/>
  <c r="L314" i="2" s="1"/>
  <c r="L316" i="2" s="1"/>
  <c r="L338" i="2" s="1"/>
  <c r="G32" i="8"/>
  <c r="G24" i="8"/>
  <c r="G25" i="8"/>
  <c r="G31" i="8"/>
  <c r="G23" i="8"/>
  <c r="G30" i="8"/>
  <c r="G22" i="8"/>
  <c r="G29" i="8"/>
  <c r="G21" i="8"/>
  <c r="G28" i="8"/>
  <c r="G20" i="8"/>
  <c r="G26" i="8"/>
  <c r="G27" i="8"/>
  <c r="G19" i="8"/>
  <c r="G18" i="8"/>
  <c r="G17" i="8"/>
  <c r="G15" i="8"/>
  <c r="O406" i="2" s="1"/>
  <c r="G16" i="8"/>
  <c r="G13" i="9"/>
  <c r="M399" i="2" s="1"/>
  <c r="M400" i="2" s="1"/>
  <c r="G15" i="9"/>
  <c r="O399" i="2" s="1"/>
  <c r="G16" i="9"/>
  <c r="P399" i="2" s="1"/>
  <c r="AG401" i="2"/>
  <c r="K408" i="2"/>
  <c r="O314" i="2"/>
  <c r="O316" i="2" s="1"/>
  <c r="O338" i="2" s="1"/>
  <c r="I432" i="2"/>
  <c r="I439" i="2" s="1"/>
  <c r="I460" i="2" s="1"/>
  <c r="I467" i="2" s="1"/>
  <c r="G13" i="8"/>
  <c r="M406" i="2" s="1"/>
  <c r="G14" i="8"/>
  <c r="N406" i="2" s="1"/>
  <c r="K405" i="2"/>
  <c r="N408" i="2"/>
  <c r="M408" i="2"/>
  <c r="G408" i="2"/>
  <c r="G20" i="9"/>
  <c r="G28" i="9"/>
  <c r="Q399" i="2" s="1"/>
  <c r="Q400" i="2" s="1"/>
  <c r="G33" i="9"/>
  <c r="G21" i="9"/>
  <c r="G29" i="9"/>
  <c r="G30" i="9"/>
  <c r="R399" i="2" s="1"/>
  <c r="R400" i="2" s="1"/>
  <c r="G25" i="9"/>
  <c r="G14" i="9"/>
  <c r="N399" i="2" s="1"/>
  <c r="G22" i="9"/>
  <c r="G23" i="9"/>
  <c r="G31" i="9"/>
  <c r="G17" i="9"/>
  <c r="G24" i="9"/>
  <c r="G32" i="9"/>
  <c r="G9" i="9"/>
  <c r="I399" i="2" s="1"/>
  <c r="I400" i="2" s="1"/>
  <c r="G18" i="9"/>
  <c r="G26" i="9"/>
  <c r="G19" i="9"/>
  <c r="G27" i="9"/>
  <c r="G7" i="9"/>
  <c r="G399" i="2" s="1"/>
  <c r="G400" i="2" s="1"/>
  <c r="G8" i="9"/>
  <c r="H399" i="2" s="1"/>
  <c r="H400" i="2" s="1"/>
  <c r="G6" i="9"/>
  <c r="G12" i="9"/>
  <c r="L399" i="2" s="1"/>
  <c r="L400" i="2" s="1"/>
  <c r="G11" i="9"/>
  <c r="K399" i="2" s="1"/>
  <c r="K400" i="2" s="1"/>
  <c r="G10" i="9"/>
  <c r="J399" i="2" s="1"/>
  <c r="J400" i="2" s="1"/>
  <c r="I409" i="2"/>
  <c r="V408" i="2"/>
  <c r="Z405" i="2"/>
  <c r="Z408" i="2"/>
  <c r="V405" i="2"/>
  <c r="X405" i="2"/>
  <c r="AD405" i="2"/>
  <c r="AC405" i="2"/>
  <c r="AB405" i="2"/>
  <c r="AF405" i="2"/>
  <c r="Y405" i="2"/>
  <c r="W408" i="2"/>
  <c r="W405" i="2"/>
  <c r="Y408" i="2"/>
  <c r="AA405" i="2"/>
  <c r="X408" i="2"/>
  <c r="AE405" i="2"/>
  <c r="R405" i="2"/>
  <c r="Q405" i="2"/>
  <c r="AC408" i="2"/>
  <c r="AB408" i="2"/>
  <c r="AF408" i="2"/>
  <c r="AA408" i="2"/>
  <c r="U408" i="2"/>
  <c r="F408" i="2"/>
  <c r="Q408" i="2"/>
  <c r="M405" i="2"/>
  <c r="P408" i="2"/>
  <c r="S408" i="2"/>
  <c r="O408" i="2"/>
  <c r="O405" i="2"/>
  <c r="AE408" i="2"/>
  <c r="R408" i="2"/>
  <c r="U405" i="2"/>
  <c r="AD408" i="2"/>
  <c r="T408" i="2"/>
  <c r="N405" i="2"/>
  <c r="T405" i="2"/>
  <c r="S405" i="2"/>
  <c r="J405" i="2"/>
  <c r="G405" i="2"/>
  <c r="L405" i="2"/>
  <c r="L409" i="2"/>
  <c r="P405" i="2"/>
  <c r="F405" i="2"/>
  <c r="F358" i="2"/>
  <c r="J358" i="2"/>
  <c r="H358" i="2"/>
  <c r="K358" i="2"/>
  <c r="K349" i="2"/>
  <c r="G358" i="2"/>
  <c r="E48" i="4"/>
  <c r="O111" i="1"/>
  <c r="O297" i="1"/>
  <c r="P467" i="1"/>
  <c r="AB467" i="1" s="1"/>
  <c r="AC467" i="1" s="1"/>
  <c r="P469" i="1"/>
  <c r="AB469" i="1" s="1"/>
  <c r="AC469" i="1" s="1"/>
  <c r="N349" i="2"/>
  <c r="Q393" i="2"/>
  <c r="Q359" i="2"/>
  <c r="Q345" i="2"/>
  <c r="O393" i="2"/>
  <c r="O359" i="2"/>
  <c r="O345" i="2"/>
  <c r="U393" i="2"/>
  <c r="U359" i="2"/>
  <c r="U345" i="2"/>
  <c r="I393" i="2"/>
  <c r="I359" i="2"/>
  <c r="I345" i="2"/>
  <c r="S393" i="2"/>
  <c r="S359" i="2"/>
  <c r="S345" i="2"/>
  <c r="R393" i="2"/>
  <c r="R345" i="2"/>
  <c r="R359" i="2"/>
  <c r="T393" i="2"/>
  <c r="T345" i="2"/>
  <c r="T359" i="2"/>
  <c r="M349" i="2"/>
  <c r="L345" i="2"/>
  <c r="L359" i="2"/>
  <c r="L393" i="2"/>
  <c r="F359" i="2"/>
  <c r="R12" i="1"/>
  <c r="O44" i="1"/>
  <c r="O45" i="1"/>
  <c r="AB468" i="1"/>
  <c r="AC468" i="1" s="1"/>
  <c r="O46" i="1"/>
  <c r="P45" i="1"/>
  <c r="P46" i="1"/>
  <c r="O47" i="1"/>
  <c r="I14" i="15"/>
  <c r="L426" i="2" s="1"/>
  <c r="L479" i="2" s="1"/>
  <c r="T105" i="15"/>
  <c r="K14" i="15" s="1"/>
  <c r="L424" i="2" s="1"/>
  <c r="F200" i="15"/>
  <c r="F201" i="15" s="1"/>
  <c r="F36" i="15" s="1"/>
  <c r="H432" i="2"/>
  <c r="Y408" i="1"/>
  <c r="Y410" i="1" s="1"/>
  <c r="Y438" i="1" s="1"/>
  <c r="Y448" i="1" s="1"/>
  <c r="U231" i="1"/>
  <c r="U233" i="1" s="1"/>
  <c r="U264" i="1" s="1"/>
  <c r="U269" i="1" s="1"/>
  <c r="W408" i="1"/>
  <c r="W410" i="1" s="1"/>
  <c r="W412" i="1" s="1"/>
  <c r="J409" i="2"/>
  <c r="S12" i="1"/>
  <c r="U75" i="1"/>
  <c r="U307" i="1" s="1"/>
  <c r="U12" i="1"/>
  <c r="U408" i="1"/>
  <c r="U410" i="1" s="1"/>
  <c r="U412" i="1" s="1"/>
  <c r="M408" i="1"/>
  <c r="M410" i="1" s="1"/>
  <c r="M438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2" i="1" s="1"/>
  <c r="S231" i="1"/>
  <c r="S237" i="1" s="1"/>
  <c r="H231" i="1"/>
  <c r="H233" i="1" s="1"/>
  <c r="R408" i="1"/>
  <c r="R410" i="1" s="1"/>
  <c r="R412" i="1" s="1"/>
  <c r="K410" i="1"/>
  <c r="K412" i="1" s="1"/>
  <c r="S408" i="1"/>
  <c r="S410" i="1" s="1"/>
  <c r="S412" i="1" s="1"/>
  <c r="M12" i="1"/>
  <c r="I75" i="1"/>
  <c r="I454" i="1" s="1"/>
  <c r="K235" i="1"/>
  <c r="W231" i="1"/>
  <c r="W233" i="1" s="1"/>
  <c r="W264" i="1" s="1"/>
  <c r="K233" i="1"/>
  <c r="K264" i="1" s="1"/>
  <c r="K269" i="1" s="1"/>
  <c r="H408" i="1"/>
  <c r="H410" i="1" s="1"/>
  <c r="K237" i="1"/>
  <c r="R75" i="1"/>
  <c r="R121" i="1" s="1"/>
  <c r="H12" i="1"/>
  <c r="AG461" i="2"/>
  <c r="AH461" i="2" s="1"/>
  <c r="I408" i="1"/>
  <c r="I410" i="1" s="1"/>
  <c r="I438" i="1" s="1"/>
  <c r="I270" i="1" s="1"/>
  <c r="AA75" i="1"/>
  <c r="AA454" i="1" s="1"/>
  <c r="M75" i="1"/>
  <c r="M121" i="1" s="1"/>
  <c r="AA12" i="1"/>
  <c r="H75" i="1"/>
  <c r="H454" i="1" s="1"/>
  <c r="E436" i="2"/>
  <c r="AA408" i="1"/>
  <c r="AA410" i="1" s="1"/>
  <c r="Y75" i="1"/>
  <c r="AA237" i="1"/>
  <c r="AA235" i="1"/>
  <c r="AA233" i="1"/>
  <c r="AA264" i="1" s="1"/>
  <c r="AA450" i="1" s="1"/>
  <c r="E463" i="2"/>
  <c r="K75" i="1"/>
  <c r="K12" i="1"/>
  <c r="AB199" i="1"/>
  <c r="AC199" i="1" s="1"/>
  <c r="AB375" i="1"/>
  <c r="W12" i="1"/>
  <c r="I231" i="1"/>
  <c r="W75" i="1"/>
  <c r="G12" i="8"/>
  <c r="L406" i="2" s="1"/>
  <c r="AG486" i="2"/>
  <c r="AH486" i="2" s="1"/>
  <c r="AH413" i="2"/>
  <c r="AE409" i="2"/>
  <c r="U409" i="2"/>
  <c r="AD409" i="2"/>
  <c r="Q409" i="2"/>
  <c r="Y409" i="2"/>
  <c r="X409" i="2"/>
  <c r="V409" i="2"/>
  <c r="P409" i="2"/>
  <c r="AA409" i="2"/>
  <c r="Z409" i="2"/>
  <c r="AC409" i="2"/>
  <c r="F409" i="2"/>
  <c r="G409" i="2"/>
  <c r="W409" i="2"/>
  <c r="AB409" i="2"/>
  <c r="S409" i="2"/>
  <c r="R409" i="2"/>
  <c r="O409" i="2"/>
  <c r="AF409" i="2"/>
  <c r="T409" i="2"/>
  <c r="M409" i="2"/>
  <c r="K409" i="2"/>
  <c r="M439" i="2"/>
  <c r="M460" i="2" s="1"/>
  <c r="M467" i="2" s="1"/>
  <c r="I408" i="2"/>
  <c r="I404" i="2"/>
  <c r="L404" i="2"/>
  <c r="L408" i="2"/>
  <c r="F446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E316" i="2"/>
  <c r="AE338" i="2" s="1"/>
  <c r="AE351" i="2" s="1"/>
  <c r="J408" i="2"/>
  <c r="J404" i="2"/>
  <c r="AG415" i="2"/>
  <c r="AH415" i="2" s="1"/>
  <c r="T45" i="15"/>
  <c r="K8" i="15" s="1"/>
  <c r="F424" i="2" s="1"/>
  <c r="I8" i="15"/>
  <c r="F426" i="2" s="1"/>
  <c r="F432" i="2" s="1"/>
  <c r="H404" i="2"/>
  <c r="H408" i="2"/>
  <c r="AG419" i="2"/>
  <c r="AH419" i="2" s="1"/>
  <c r="Q460" i="2"/>
  <c r="E443" i="2"/>
  <c r="AG418" i="2"/>
  <c r="AH418" i="2" s="1"/>
  <c r="E470" i="2"/>
  <c r="AG468" i="2"/>
  <c r="AH468" i="2" s="1"/>
  <c r="E33" i="8"/>
  <c r="G6" i="8"/>
  <c r="F406" i="2" s="1"/>
  <c r="G7" i="8"/>
  <c r="G406" i="2" s="1"/>
  <c r="G10" i="8"/>
  <c r="J406" i="2" s="1"/>
  <c r="G11" i="8"/>
  <c r="K406" i="2" s="1"/>
  <c r="G8" i="8"/>
  <c r="H406" i="2" s="1"/>
  <c r="AB170" i="1"/>
  <c r="AC170" i="1" s="1"/>
  <c r="G439" i="2"/>
  <c r="G460" i="2" s="1"/>
  <c r="G467" i="2" s="1"/>
  <c r="G9" i="8"/>
  <c r="I406" i="2" s="1"/>
  <c r="R460" i="2"/>
  <c r="AB354" i="1"/>
  <c r="AC354" i="1" s="1"/>
  <c r="E33" i="9"/>
  <c r="Q314" i="2" l="1"/>
  <c r="Q316" i="2" s="1"/>
  <c r="Q338" i="2" s="1"/>
  <c r="P400" i="2"/>
  <c r="N166" i="2"/>
  <c r="N242" i="2"/>
  <c r="N128" i="2"/>
  <c r="O90" i="2"/>
  <c r="O515" i="2" s="1"/>
  <c r="N204" i="2"/>
  <c r="N13" i="2"/>
  <c r="N52" i="2"/>
  <c r="N90" i="2"/>
  <c r="N515" i="2" s="1"/>
  <c r="O400" i="2"/>
  <c r="R314" i="2"/>
  <c r="R316" i="2" s="1"/>
  <c r="R338" i="2" s="1"/>
  <c r="U314" i="2"/>
  <c r="U316" i="2" s="1"/>
  <c r="U338" i="2" s="1"/>
  <c r="N314" i="2"/>
  <c r="N316" i="2" s="1"/>
  <c r="N338" i="2" s="1"/>
  <c r="N351" i="2" s="1"/>
  <c r="D18" i="4" s="1"/>
  <c r="S314" i="2"/>
  <c r="S316" i="2" s="1"/>
  <c r="S338" i="2" s="1"/>
  <c r="M314" i="2"/>
  <c r="M316" i="2" s="1"/>
  <c r="M338" i="2" s="1"/>
  <c r="M351" i="2" s="1"/>
  <c r="D17" i="4" s="1"/>
  <c r="P314" i="2"/>
  <c r="P316" i="2" s="1"/>
  <c r="P338" i="2" s="1"/>
  <c r="P351" i="2" s="1"/>
  <c r="D20" i="4" s="1"/>
  <c r="T314" i="2"/>
  <c r="T316" i="2" s="1"/>
  <c r="T338" i="2" s="1"/>
  <c r="AH401" i="2"/>
  <c r="N400" i="2"/>
  <c r="AG421" i="2"/>
  <c r="AH421" i="2" s="1"/>
  <c r="AC375" i="1"/>
  <c r="H405" i="2"/>
  <c r="I405" i="2"/>
  <c r="I358" i="2"/>
  <c r="P44" i="1"/>
  <c r="P298" i="1" s="1"/>
  <c r="P466" i="1"/>
  <c r="P47" i="1"/>
  <c r="AB47" i="1" s="1"/>
  <c r="AC47" i="1" s="1"/>
  <c r="AG345" i="2"/>
  <c r="AH345" i="2" s="1"/>
  <c r="AG393" i="2"/>
  <c r="AH393" i="2" s="1"/>
  <c r="U358" i="2"/>
  <c r="U349" i="2"/>
  <c r="O358" i="2"/>
  <c r="O349" i="2"/>
  <c r="O351" i="2" s="1"/>
  <c r="D19" i="4" s="1"/>
  <c r="AG359" i="2"/>
  <c r="AH359" i="2" s="1"/>
  <c r="T358" i="2"/>
  <c r="T349" i="2"/>
  <c r="R358" i="2"/>
  <c r="R349" i="2"/>
  <c r="Q358" i="2"/>
  <c r="Q349" i="2"/>
  <c r="S358" i="2"/>
  <c r="S349" i="2"/>
  <c r="AH341" i="2"/>
  <c r="L358" i="2"/>
  <c r="L349" i="2"/>
  <c r="L351" i="2" s="1"/>
  <c r="D16" i="4" s="1"/>
  <c r="O298" i="1"/>
  <c r="O222" i="1"/>
  <c r="O205" i="1"/>
  <c r="O399" i="1"/>
  <c r="O381" i="1"/>
  <c r="O112" i="1"/>
  <c r="O400" i="1"/>
  <c r="O114" i="1"/>
  <c r="O206" i="1"/>
  <c r="AB46" i="1"/>
  <c r="AC46" i="1" s="1"/>
  <c r="O223" i="1"/>
  <c r="O300" i="1"/>
  <c r="O382" i="1"/>
  <c r="P299" i="1"/>
  <c r="P113" i="1"/>
  <c r="P114" i="1"/>
  <c r="P223" i="1"/>
  <c r="P400" i="1"/>
  <c r="P206" i="1"/>
  <c r="P300" i="1"/>
  <c r="P382" i="1"/>
  <c r="O113" i="1"/>
  <c r="AB45" i="1"/>
  <c r="AC45" i="1" s="1"/>
  <c r="O299" i="1"/>
  <c r="O115" i="1"/>
  <c r="O401" i="1"/>
  <c r="O301" i="1"/>
  <c r="O224" i="1"/>
  <c r="O54" i="1"/>
  <c r="L432" i="2"/>
  <c r="G200" i="15"/>
  <c r="G201" i="15" s="1"/>
  <c r="G36" i="15" s="1"/>
  <c r="H439" i="2"/>
  <c r="H460" i="2" s="1"/>
  <c r="H467" i="2" s="1"/>
  <c r="U235" i="1"/>
  <c r="U237" i="1"/>
  <c r="M237" i="1"/>
  <c r="U88" i="1"/>
  <c r="U91" i="1" s="1"/>
  <c r="U99" i="1" s="1"/>
  <c r="U121" i="1"/>
  <c r="U82" i="1"/>
  <c r="U142" i="1" s="1"/>
  <c r="U455" i="1"/>
  <c r="U120" i="1"/>
  <c r="U454" i="1"/>
  <c r="U308" i="1"/>
  <c r="U312" i="1" s="1"/>
  <c r="U279" i="1"/>
  <c r="U122" i="1"/>
  <c r="U280" i="1"/>
  <c r="Y52" i="2"/>
  <c r="M445" i="1"/>
  <c r="M449" i="1"/>
  <c r="M274" i="1"/>
  <c r="H52" i="2"/>
  <c r="X437" i="2"/>
  <c r="L204" i="2"/>
  <c r="K438" i="1"/>
  <c r="K445" i="1" s="1"/>
  <c r="R237" i="1"/>
  <c r="S82" i="1"/>
  <c r="E25" i="2" s="1"/>
  <c r="M270" i="1"/>
  <c r="AA277" i="1"/>
  <c r="H235" i="1"/>
  <c r="Y273" i="1"/>
  <c r="M273" i="1"/>
  <c r="M448" i="1"/>
  <c r="X52" i="2"/>
  <c r="Z52" i="2"/>
  <c r="AE90" i="2"/>
  <c r="AA276" i="1"/>
  <c r="K446" i="1"/>
  <c r="Y235" i="1"/>
  <c r="M412" i="1"/>
  <c r="L13" i="2"/>
  <c r="G13" i="2"/>
  <c r="Y233" i="1"/>
  <c r="Y264" i="1" s="1"/>
  <c r="Y452" i="1" s="1"/>
  <c r="S88" i="1"/>
  <c r="S91" i="1" s="1"/>
  <c r="S99" i="1" s="1"/>
  <c r="I437" i="2"/>
  <c r="P204" i="2"/>
  <c r="S279" i="1"/>
  <c r="S280" i="1"/>
  <c r="S308" i="1"/>
  <c r="AE52" i="2"/>
  <c r="AD204" i="2"/>
  <c r="L52" i="2"/>
  <c r="AA437" i="2"/>
  <c r="S233" i="1"/>
  <c r="S264" i="1" s="1"/>
  <c r="S444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4" i="1"/>
  <c r="I308" i="1"/>
  <c r="S120" i="1"/>
  <c r="S455" i="1"/>
  <c r="Y449" i="1"/>
  <c r="K450" i="1"/>
  <c r="Y270" i="1"/>
  <c r="T13" i="2"/>
  <c r="V90" i="2"/>
  <c r="F204" i="2"/>
  <c r="K437" i="2"/>
  <c r="AD437" i="2"/>
  <c r="AA52" i="2"/>
  <c r="G52" i="2"/>
  <c r="I52" i="2"/>
  <c r="M275" i="1"/>
  <c r="K451" i="1"/>
  <c r="K277" i="1"/>
  <c r="W237" i="1"/>
  <c r="Y274" i="1"/>
  <c r="G204" i="2"/>
  <c r="H437" i="2"/>
  <c r="I204" i="2"/>
  <c r="Z204" i="2"/>
  <c r="M437" i="2"/>
  <c r="F90" i="2"/>
  <c r="F515" i="2" s="1"/>
  <c r="M204" i="2"/>
  <c r="AF437" i="2"/>
  <c r="M444" i="1"/>
  <c r="K276" i="1"/>
  <c r="S235" i="1"/>
  <c r="Y412" i="1"/>
  <c r="W235" i="1"/>
  <c r="M82" i="1"/>
  <c r="M98" i="1" s="1"/>
  <c r="H307" i="1"/>
  <c r="W446" i="1"/>
  <c r="W452" i="1"/>
  <c r="U437" i="2"/>
  <c r="F52" i="2"/>
  <c r="Q13" i="2"/>
  <c r="AA13" i="2"/>
  <c r="I13" i="2"/>
  <c r="AA204" i="2"/>
  <c r="AE437" i="2"/>
  <c r="AD52" i="2"/>
  <c r="P13" i="2"/>
  <c r="V52" i="2"/>
  <c r="V437" i="2"/>
  <c r="X90" i="2"/>
  <c r="J437" i="2"/>
  <c r="W52" i="2"/>
  <c r="K52" i="2"/>
  <c r="K13" i="2"/>
  <c r="V204" i="2"/>
  <c r="M451" i="1"/>
  <c r="M446" i="1"/>
  <c r="I279" i="1"/>
  <c r="I121" i="1"/>
  <c r="Y445" i="1"/>
  <c r="Z90" i="2"/>
  <c r="AF204" i="2"/>
  <c r="W437" i="2"/>
  <c r="O13" i="2"/>
  <c r="H13" i="2"/>
  <c r="R52" i="2"/>
  <c r="O52" i="2"/>
  <c r="U204" i="2"/>
  <c r="M90" i="2"/>
  <c r="M515" i="2" s="1"/>
  <c r="N437" i="2"/>
  <c r="Q52" i="2"/>
  <c r="U13" i="2"/>
  <c r="Y90" i="2"/>
  <c r="P90" i="2"/>
  <c r="P515" i="2" s="1"/>
  <c r="T204" i="2"/>
  <c r="AF90" i="2"/>
  <c r="AF13" i="2"/>
  <c r="X204" i="2"/>
  <c r="Q437" i="2"/>
  <c r="R13" i="2"/>
  <c r="R204" i="2"/>
  <c r="Q90" i="2"/>
  <c r="Q515" i="2" s="1"/>
  <c r="AB13" i="2"/>
  <c r="M13" i="2"/>
  <c r="S204" i="2"/>
  <c r="J52" i="2"/>
  <c r="I90" i="2"/>
  <c r="I515" i="2" s="1"/>
  <c r="AA90" i="2"/>
  <c r="AC52" i="2"/>
  <c r="AD13" i="2"/>
  <c r="AE204" i="2"/>
  <c r="S90" i="2"/>
  <c r="M450" i="1"/>
  <c r="M271" i="1"/>
  <c r="M269" i="1"/>
  <c r="I120" i="1"/>
  <c r="I280" i="1"/>
  <c r="I307" i="1"/>
  <c r="K275" i="1"/>
  <c r="K452" i="1"/>
  <c r="K271" i="1"/>
  <c r="J13" i="2"/>
  <c r="Y13" i="2"/>
  <c r="J204" i="2"/>
  <c r="H204" i="2"/>
  <c r="G437" i="2"/>
  <c r="T52" i="2"/>
  <c r="AB437" i="2"/>
  <c r="O204" i="2"/>
  <c r="T90" i="2"/>
  <c r="AB90" i="2"/>
  <c r="F437" i="2"/>
  <c r="F13" i="2"/>
  <c r="AB52" i="2"/>
  <c r="K90" i="2"/>
  <c r="K515" i="2" s="1"/>
  <c r="AC204" i="2"/>
  <c r="L437" i="2"/>
  <c r="S52" i="2"/>
  <c r="I82" i="1"/>
  <c r="I142" i="1" s="1"/>
  <c r="AE13" i="2"/>
  <c r="L90" i="2"/>
  <c r="L515" i="2" s="1"/>
  <c r="AF52" i="2"/>
  <c r="J90" i="2"/>
  <c r="J515" i="2" s="1"/>
  <c r="Y204" i="2"/>
  <c r="P52" i="2"/>
  <c r="H90" i="2"/>
  <c r="H515" i="2" s="1"/>
  <c r="R90" i="2"/>
  <c r="R515" i="2" s="1"/>
  <c r="R544" i="2" s="1"/>
  <c r="T437" i="2"/>
  <c r="R437" i="2"/>
  <c r="AD90" i="2"/>
  <c r="X13" i="2"/>
  <c r="V13" i="2"/>
  <c r="K204" i="2"/>
  <c r="M52" i="2"/>
  <c r="W90" i="2"/>
  <c r="AC13" i="2"/>
  <c r="Q204" i="2"/>
  <c r="AC90" i="2"/>
  <c r="O437" i="2"/>
  <c r="W13" i="2"/>
  <c r="P437" i="2"/>
  <c r="AB204" i="2"/>
  <c r="Z437" i="2"/>
  <c r="U90" i="2"/>
  <c r="W204" i="2"/>
  <c r="G90" i="2"/>
  <c r="G515" i="2" s="1"/>
  <c r="Y437" i="2"/>
  <c r="AC437" i="2"/>
  <c r="S437" i="2"/>
  <c r="Z13" i="2"/>
  <c r="U52" i="2"/>
  <c r="S13" i="2"/>
  <c r="M276" i="1"/>
  <c r="M277" i="1"/>
  <c r="I88" i="1"/>
  <c r="I91" i="1" s="1"/>
  <c r="I455" i="1"/>
  <c r="K444" i="1"/>
  <c r="AA271" i="1"/>
  <c r="AA444" i="1"/>
  <c r="AA452" i="1"/>
  <c r="M308" i="1"/>
  <c r="W269" i="1"/>
  <c r="R88" i="1"/>
  <c r="R91" i="1" s="1"/>
  <c r="R99" i="1" s="1"/>
  <c r="R280" i="1"/>
  <c r="R454" i="1"/>
  <c r="AA269" i="1"/>
  <c r="AA451" i="1"/>
  <c r="AA275" i="1"/>
  <c r="W450" i="1"/>
  <c r="AA82" i="1"/>
  <c r="AA142" i="1" s="1"/>
  <c r="U446" i="1"/>
  <c r="AA446" i="1"/>
  <c r="AA307" i="1"/>
  <c r="R307" i="1"/>
  <c r="M122" i="1"/>
  <c r="I449" i="1"/>
  <c r="AA280" i="1"/>
  <c r="AA120" i="1"/>
  <c r="H88" i="1"/>
  <c r="H91" i="1" s="1"/>
  <c r="H99" i="1" s="1"/>
  <c r="H279" i="1"/>
  <c r="R438" i="1"/>
  <c r="R270" i="1" s="1"/>
  <c r="M280" i="1"/>
  <c r="I274" i="1"/>
  <c r="AA308" i="1"/>
  <c r="K82" i="1"/>
  <c r="E13" i="2" s="1"/>
  <c r="H122" i="1"/>
  <c r="H120" i="1"/>
  <c r="M120" i="1"/>
  <c r="M307" i="1"/>
  <c r="I445" i="1"/>
  <c r="AA279" i="1"/>
  <c r="AA455" i="1"/>
  <c r="H121" i="1"/>
  <c r="H455" i="1"/>
  <c r="W438" i="1"/>
  <c r="W274" i="1" s="1"/>
  <c r="R120" i="1"/>
  <c r="R308" i="1"/>
  <c r="R82" i="1"/>
  <c r="R122" i="1"/>
  <c r="H82" i="1"/>
  <c r="U450" i="1"/>
  <c r="M454" i="1"/>
  <c r="M279" i="1"/>
  <c r="M455" i="1"/>
  <c r="I448" i="1"/>
  <c r="M88" i="1"/>
  <c r="M91" i="1" s="1"/>
  <c r="M99" i="1" s="1"/>
  <c r="I273" i="1"/>
  <c r="AA121" i="1"/>
  <c r="AA88" i="1"/>
  <c r="AA91" i="1" s="1"/>
  <c r="AA99" i="1" s="1"/>
  <c r="H280" i="1"/>
  <c r="H308" i="1"/>
  <c r="S438" i="1"/>
  <c r="S274" i="1" s="1"/>
  <c r="R455" i="1"/>
  <c r="R279" i="1"/>
  <c r="AA438" i="1"/>
  <c r="AA412" i="1"/>
  <c r="U438" i="1"/>
  <c r="Y280" i="1"/>
  <c r="Y279" i="1"/>
  <c r="Y121" i="1"/>
  <c r="Y455" i="1"/>
  <c r="Y307" i="1"/>
  <c r="Y120" i="1"/>
  <c r="Y122" i="1"/>
  <c r="Y308" i="1"/>
  <c r="Y454" i="1"/>
  <c r="Y88" i="1"/>
  <c r="Y91" i="1" s="1"/>
  <c r="Y99" i="1" s="1"/>
  <c r="K279" i="1"/>
  <c r="K307" i="1"/>
  <c r="K88" i="1"/>
  <c r="K91" i="1" s="1"/>
  <c r="K99" i="1" s="1"/>
  <c r="K454" i="1"/>
  <c r="K308" i="1"/>
  <c r="K121" i="1"/>
  <c r="K280" i="1"/>
  <c r="K122" i="1"/>
  <c r="K120" i="1"/>
  <c r="K455" i="1"/>
  <c r="E464" i="2"/>
  <c r="W82" i="1"/>
  <c r="W130" i="1" s="1"/>
  <c r="U451" i="1"/>
  <c r="U271" i="1"/>
  <c r="U276" i="1"/>
  <c r="U277" i="1"/>
  <c r="U452" i="1"/>
  <c r="U444" i="1"/>
  <c r="U275" i="1"/>
  <c r="W276" i="1"/>
  <c r="W271" i="1"/>
  <c r="W275" i="1"/>
  <c r="W451" i="1"/>
  <c r="W444" i="1"/>
  <c r="W277" i="1"/>
  <c r="W120" i="1"/>
  <c r="W279" i="1"/>
  <c r="W454" i="1"/>
  <c r="W121" i="1"/>
  <c r="W122" i="1"/>
  <c r="W88" i="1"/>
  <c r="W91" i="1" s="1"/>
  <c r="W99" i="1" s="1"/>
  <c r="W308" i="1"/>
  <c r="W307" i="1"/>
  <c r="W280" i="1"/>
  <c r="W455" i="1"/>
  <c r="I235" i="1"/>
  <c r="I233" i="1"/>
  <c r="I264" i="1" s="1"/>
  <c r="H314" i="2"/>
  <c r="F453" i="2"/>
  <c r="F476" i="2"/>
  <c r="F479" i="2"/>
  <c r="J314" i="2"/>
  <c r="E399" i="2"/>
  <c r="F399" i="2"/>
  <c r="E471" i="2"/>
  <c r="H264" i="1"/>
  <c r="AG408" i="2"/>
  <c r="AH408" i="2" s="1"/>
  <c r="AG404" i="2"/>
  <c r="AH404" i="2" s="1"/>
  <c r="G314" i="2"/>
  <c r="G33" i="8"/>
  <c r="AG422" i="2"/>
  <c r="AH422" i="2" s="1"/>
  <c r="H409" i="2"/>
  <c r="I314" i="2"/>
  <c r="K314" i="2"/>
  <c r="Q467" i="2"/>
  <c r="R467" i="2"/>
  <c r="H438" i="1"/>
  <c r="M242" i="2"/>
  <c r="G444" i="2"/>
  <c r="M128" i="2"/>
  <c r="V128" i="2"/>
  <c r="L242" i="2"/>
  <c r="X166" i="2"/>
  <c r="K280" i="2"/>
  <c r="AA166" i="2"/>
  <c r="G242" i="2"/>
  <c r="AB444" i="2"/>
  <c r="Z280" i="2"/>
  <c r="L166" i="2"/>
  <c r="J242" i="2"/>
  <c r="H444" i="2"/>
  <c r="N444" i="2"/>
  <c r="O128" i="2"/>
  <c r="AF242" i="2"/>
  <c r="U280" i="2"/>
  <c r="AE280" i="2"/>
  <c r="AF444" i="2"/>
  <c r="O280" i="2"/>
  <c r="Z166" i="2"/>
  <c r="K128" i="2"/>
  <c r="V280" i="2"/>
  <c r="AF128" i="2"/>
  <c r="M280" i="2"/>
  <c r="K242" i="2"/>
  <c r="AD166" i="2"/>
  <c r="AD128" i="2"/>
  <c r="AC128" i="2"/>
  <c r="AC444" i="2"/>
  <c r="AB128" i="2"/>
  <c r="J280" i="2"/>
  <c r="Q280" i="2"/>
  <c r="R444" i="2"/>
  <c r="U444" i="2"/>
  <c r="O242" i="2"/>
  <c r="AA280" i="2"/>
  <c r="F242" i="2"/>
  <c r="AD444" i="2"/>
  <c r="U166" i="2"/>
  <c r="M166" i="2"/>
  <c r="T242" i="2"/>
  <c r="V166" i="2"/>
  <c r="S444" i="2"/>
  <c r="F128" i="2"/>
  <c r="S166" i="2"/>
  <c r="Q166" i="2"/>
  <c r="I444" i="2"/>
  <c r="AB280" i="2"/>
  <c r="S128" i="2"/>
  <c r="J128" i="2"/>
  <c r="AF280" i="2"/>
  <c r="P128" i="2"/>
  <c r="Y242" i="2"/>
  <c r="F280" i="2"/>
  <c r="AE444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44" i="2"/>
  <c r="W166" i="2"/>
  <c r="U242" i="2"/>
  <c r="M444" i="2"/>
  <c r="H242" i="2"/>
  <c r="G166" i="2"/>
  <c r="P166" i="2"/>
  <c r="F444" i="2"/>
  <c r="AC280" i="2"/>
  <c r="P444" i="2"/>
  <c r="K166" i="2"/>
  <c r="I242" i="2"/>
  <c r="G128" i="2"/>
  <c r="J444" i="2"/>
  <c r="T444" i="2"/>
  <c r="AE128" i="2"/>
  <c r="H280" i="2"/>
  <c r="AC242" i="2"/>
  <c r="W280" i="2"/>
  <c r="Q444" i="2"/>
  <c r="AB242" i="2"/>
  <c r="S280" i="2"/>
  <c r="R128" i="2"/>
  <c r="V242" i="2"/>
  <c r="I280" i="2"/>
  <c r="N280" i="2"/>
  <c r="O444" i="2"/>
  <c r="Y166" i="2"/>
  <c r="S242" i="2"/>
  <c r="Y280" i="2"/>
  <c r="AE242" i="2"/>
  <c r="W128" i="2"/>
  <c r="W444" i="2"/>
  <c r="AE166" i="2"/>
  <c r="H166" i="2"/>
  <c r="Y444" i="2"/>
  <c r="L444" i="2"/>
  <c r="Q128" i="2"/>
  <c r="Q242" i="2"/>
  <c r="V444" i="2"/>
  <c r="F166" i="2"/>
  <c r="O166" i="2"/>
  <c r="AD280" i="2"/>
  <c r="J166" i="2"/>
  <c r="K444" i="2"/>
  <c r="AA444" i="2"/>
  <c r="G280" i="2"/>
  <c r="AA242" i="2"/>
  <c r="AA128" i="2"/>
  <c r="Y128" i="2"/>
  <c r="X242" i="2"/>
  <c r="R166" i="2"/>
  <c r="I166" i="2"/>
  <c r="P242" i="2"/>
  <c r="T280" i="2"/>
  <c r="Z444" i="2"/>
  <c r="T166" i="2"/>
  <c r="H128" i="2"/>
  <c r="AC166" i="2"/>
  <c r="T128" i="2"/>
  <c r="AF166" i="2"/>
  <c r="X128" i="2"/>
  <c r="G544" i="2" l="1"/>
  <c r="G610" i="2"/>
  <c r="L544" i="2"/>
  <c r="L610" i="2"/>
  <c r="O544" i="2"/>
  <c r="O610" i="2"/>
  <c r="I610" i="2"/>
  <c r="I544" i="2"/>
  <c r="H610" i="2"/>
  <c r="H544" i="2"/>
  <c r="M544" i="2"/>
  <c r="M610" i="2"/>
  <c r="J544" i="2"/>
  <c r="J610" i="2"/>
  <c r="N610" i="2"/>
  <c r="Q351" i="2"/>
  <c r="U351" i="2"/>
  <c r="R351" i="2"/>
  <c r="N35" i="2"/>
  <c r="N25" i="2"/>
  <c r="S351" i="2"/>
  <c r="T351" i="2"/>
  <c r="N544" i="2"/>
  <c r="AG406" i="2"/>
  <c r="AH406" i="2" s="1"/>
  <c r="AG405" i="2"/>
  <c r="AH405" i="2" s="1"/>
  <c r="P381" i="1"/>
  <c r="AB381" i="1" s="1"/>
  <c r="AC381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399" i="1"/>
  <c r="AB399" i="1" s="1"/>
  <c r="AC399" i="1" s="1"/>
  <c r="P43" i="1"/>
  <c r="AB466" i="1"/>
  <c r="AC466" i="1" s="1"/>
  <c r="AB298" i="1"/>
  <c r="AC298" i="1" s="1"/>
  <c r="P115" i="1"/>
  <c r="AB115" i="1" s="1"/>
  <c r="AC115" i="1" s="1"/>
  <c r="P401" i="1"/>
  <c r="AB401" i="1" s="1"/>
  <c r="AC401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2" i="1"/>
  <c r="AC382" i="1" s="1"/>
  <c r="AB223" i="1"/>
  <c r="AC223" i="1" s="1"/>
  <c r="AB400" i="1"/>
  <c r="AC400" i="1" s="1"/>
  <c r="O87" i="1"/>
  <c r="O213" i="1"/>
  <c r="O306" i="1"/>
  <c r="O139" i="1"/>
  <c r="O89" i="1"/>
  <c r="O138" i="1"/>
  <c r="O397" i="1"/>
  <c r="O387" i="1"/>
  <c r="O202" i="1"/>
  <c r="O211" i="1"/>
  <c r="E447" i="2"/>
  <c r="O220" i="1"/>
  <c r="O378" i="1"/>
  <c r="O388" i="1"/>
  <c r="O404" i="1"/>
  <c r="O56" i="1"/>
  <c r="O310" i="1"/>
  <c r="O137" i="1"/>
  <c r="O136" i="1"/>
  <c r="O78" i="1"/>
  <c r="O227" i="1"/>
  <c r="O105" i="1"/>
  <c r="O108" i="1"/>
  <c r="R275" i="1"/>
  <c r="L439" i="2"/>
  <c r="L460" i="2" s="1"/>
  <c r="L467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U131" i="1"/>
  <c r="S275" i="1"/>
  <c r="Y98" i="1"/>
  <c r="Y101" i="1" s="1"/>
  <c r="Y104" i="1" s="1"/>
  <c r="Y124" i="1" s="1"/>
  <c r="Y126" i="1" s="1"/>
  <c r="R276" i="1"/>
  <c r="R269" i="1"/>
  <c r="R444" i="1"/>
  <c r="K274" i="1"/>
  <c r="S277" i="1"/>
  <c r="S130" i="1"/>
  <c r="S276" i="1"/>
  <c r="S98" i="1"/>
  <c r="S101" i="1" s="1"/>
  <c r="S104" i="1" s="1"/>
  <c r="S124" i="1" s="1"/>
  <c r="S126" i="1" s="1"/>
  <c r="S271" i="1"/>
  <c r="S131" i="1"/>
  <c r="S452" i="1"/>
  <c r="S446" i="1"/>
  <c r="S450" i="1"/>
  <c r="S93" i="1"/>
  <c r="S142" i="1"/>
  <c r="Y142" i="1"/>
  <c r="S269" i="1"/>
  <c r="K448" i="1"/>
  <c r="K449" i="1"/>
  <c r="K270" i="1"/>
  <c r="S451" i="1"/>
  <c r="K273" i="1"/>
  <c r="R452" i="1"/>
  <c r="Y131" i="1"/>
  <c r="R450" i="1"/>
  <c r="E16" i="2"/>
  <c r="R277" i="1"/>
  <c r="Y446" i="1"/>
  <c r="Y276" i="1"/>
  <c r="Y450" i="1"/>
  <c r="Y269" i="1"/>
  <c r="Y271" i="1"/>
  <c r="K130" i="1"/>
  <c r="Y130" i="1"/>
  <c r="Y444" i="1"/>
  <c r="Y275" i="1"/>
  <c r="M131" i="1"/>
  <c r="Y451" i="1"/>
  <c r="Y277" i="1"/>
  <c r="R312" i="1"/>
  <c r="E215" i="2" s="1"/>
  <c r="G215" i="2" s="1"/>
  <c r="M142" i="1"/>
  <c r="H312" i="1"/>
  <c r="E199" i="2" s="1"/>
  <c r="S312" i="1"/>
  <c r="E216" i="2" s="1"/>
  <c r="F216" i="2" s="1"/>
  <c r="R446" i="1"/>
  <c r="R451" i="1"/>
  <c r="I131" i="1"/>
  <c r="K312" i="1"/>
  <c r="E204" i="2" s="1"/>
  <c r="W270" i="1"/>
  <c r="I312" i="1"/>
  <c r="E200" i="2" s="1"/>
  <c r="V35" i="2"/>
  <c r="F35" i="2"/>
  <c r="K131" i="1"/>
  <c r="M130" i="1"/>
  <c r="P35" i="2"/>
  <c r="AG52" i="2"/>
  <c r="AA131" i="1"/>
  <c r="Y35" i="2"/>
  <c r="W131" i="1"/>
  <c r="G35" i="2"/>
  <c r="Q544" i="2"/>
  <c r="E9" i="2"/>
  <c r="AG90" i="2"/>
  <c r="AG13" i="2"/>
  <c r="AH13" i="2" s="1"/>
  <c r="AG204" i="2"/>
  <c r="I130" i="1"/>
  <c r="I98" i="1"/>
  <c r="R449" i="1"/>
  <c r="I93" i="1"/>
  <c r="AG437" i="2"/>
  <c r="AH437" i="2" s="1"/>
  <c r="I35" i="2"/>
  <c r="W445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5" i="1"/>
  <c r="S448" i="1"/>
  <c r="K98" i="1"/>
  <c r="K101" i="1" s="1"/>
  <c r="K104" i="1" s="1"/>
  <c r="K124" i="1" s="1"/>
  <c r="K126" i="1" s="1"/>
  <c r="K142" i="1"/>
  <c r="E38" i="2"/>
  <c r="H35" i="2"/>
  <c r="W35" i="2"/>
  <c r="T35" i="2"/>
  <c r="Z35" i="2"/>
  <c r="S270" i="1"/>
  <c r="AA93" i="1"/>
  <c r="L35" i="2"/>
  <c r="J35" i="2"/>
  <c r="W448" i="1"/>
  <c r="S35" i="2"/>
  <c r="U35" i="2"/>
  <c r="AE35" i="2"/>
  <c r="Q35" i="2"/>
  <c r="X35" i="2"/>
  <c r="M35" i="2"/>
  <c r="H93" i="1"/>
  <c r="M312" i="1"/>
  <c r="E207" i="2" s="1"/>
  <c r="AA312" i="1"/>
  <c r="E229" i="2" s="1"/>
  <c r="R273" i="1"/>
  <c r="R274" i="1"/>
  <c r="R448" i="1"/>
  <c r="R445" i="1"/>
  <c r="M93" i="1"/>
  <c r="W449" i="1"/>
  <c r="W273" i="1"/>
  <c r="M101" i="1"/>
  <c r="M104" i="1" s="1"/>
  <c r="M124" i="1" s="1"/>
  <c r="M126" i="1" s="1"/>
  <c r="E24" i="2"/>
  <c r="N24" i="2" s="1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5" i="1"/>
  <c r="AA448" i="1"/>
  <c r="AA449" i="1"/>
  <c r="S273" i="1"/>
  <c r="S449" i="1"/>
  <c r="U274" i="1"/>
  <c r="U448" i="1"/>
  <c r="U449" i="1"/>
  <c r="U445" i="1"/>
  <c r="U270" i="1"/>
  <c r="U273" i="1"/>
  <c r="Y312" i="1"/>
  <c r="Y93" i="1"/>
  <c r="W98" i="1"/>
  <c r="W101" i="1" s="1"/>
  <c r="E32" i="2"/>
  <c r="K93" i="1"/>
  <c r="W312" i="1"/>
  <c r="I451" i="1"/>
  <c r="I450" i="1"/>
  <c r="I277" i="1"/>
  <c r="I452" i="1"/>
  <c r="I276" i="1"/>
  <c r="I446" i="1"/>
  <c r="I271" i="1"/>
  <c r="I275" i="1"/>
  <c r="I444" i="1"/>
  <c r="I269" i="1"/>
  <c r="W93" i="1"/>
  <c r="H316" i="2"/>
  <c r="H338" i="2" s="1"/>
  <c r="I200" i="15"/>
  <c r="F439" i="2"/>
  <c r="O497" i="2"/>
  <c r="O506" i="2" s="1"/>
  <c r="O535" i="2" s="1"/>
  <c r="O558" i="2" s="1"/>
  <c r="H497" i="2"/>
  <c r="H506" i="2" s="1"/>
  <c r="H535" i="2" s="1"/>
  <c r="H558" i="2" s="1"/>
  <c r="L497" i="2"/>
  <c r="L506" i="2" s="1"/>
  <c r="L535" i="2" s="1"/>
  <c r="L558" i="2" s="1"/>
  <c r="N497" i="2"/>
  <c r="M497" i="2"/>
  <c r="F477" i="2"/>
  <c r="J497" i="2"/>
  <c r="J506" i="2" s="1"/>
  <c r="J535" i="2" s="1"/>
  <c r="J558" i="2" s="1"/>
  <c r="AG444" i="2"/>
  <c r="AH444" i="2" s="1"/>
  <c r="Q497" i="2"/>
  <c r="Q506" i="2" s="1"/>
  <c r="R497" i="2"/>
  <c r="R506" i="2" s="1"/>
  <c r="I497" i="2"/>
  <c r="I506" i="2" s="1"/>
  <c r="I535" i="2" s="1"/>
  <c r="I558" i="2" s="1"/>
  <c r="P497" i="2"/>
  <c r="P506" i="2" s="1"/>
  <c r="AG128" i="2"/>
  <c r="F497" i="2"/>
  <c r="F506" i="2" s="1"/>
  <c r="I316" i="2"/>
  <c r="G316" i="2"/>
  <c r="K497" i="2"/>
  <c r="K506" i="2" s="1"/>
  <c r="E220" i="2"/>
  <c r="AG166" i="2"/>
  <c r="AG280" i="2"/>
  <c r="I99" i="1"/>
  <c r="AG515" i="2"/>
  <c r="F544" i="2"/>
  <c r="F400" i="2"/>
  <c r="AG399" i="2"/>
  <c r="AH399" i="2" s="1"/>
  <c r="AG242" i="2"/>
  <c r="H449" i="1"/>
  <c r="H270" i="1"/>
  <c r="H448" i="1"/>
  <c r="H445" i="1"/>
  <c r="H274" i="1"/>
  <c r="H273" i="1"/>
  <c r="G497" i="2"/>
  <c r="K316" i="2"/>
  <c r="AG409" i="2"/>
  <c r="AH409" i="2" s="1"/>
  <c r="H446" i="1"/>
  <c r="H452" i="1"/>
  <c r="H271" i="1"/>
  <c r="H450" i="1"/>
  <c r="H275" i="1"/>
  <c r="H451" i="1"/>
  <c r="H276" i="1"/>
  <c r="H444" i="1"/>
  <c r="H269" i="1"/>
  <c r="H277" i="1"/>
  <c r="AA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O583" i="2" l="1"/>
  <c r="O609" i="2"/>
  <c r="O611" i="2" s="1"/>
  <c r="J609" i="2"/>
  <c r="J611" i="2" s="1"/>
  <c r="J583" i="2"/>
  <c r="I609" i="2"/>
  <c r="I611" i="2" s="1"/>
  <c r="I583" i="2"/>
  <c r="L609" i="2"/>
  <c r="L611" i="2" s="1"/>
  <c r="L583" i="2"/>
  <c r="H583" i="2"/>
  <c r="H609" i="2"/>
  <c r="H611" i="2" s="1"/>
  <c r="G506" i="2"/>
  <c r="G535" i="2" s="1"/>
  <c r="G558" i="2" s="1"/>
  <c r="M506" i="2"/>
  <c r="M535" i="2" s="1"/>
  <c r="M558" i="2" s="1"/>
  <c r="N506" i="2"/>
  <c r="N535" i="2" s="1"/>
  <c r="N558" i="2" s="1"/>
  <c r="R29" i="2"/>
  <c r="N29" i="2"/>
  <c r="N26" i="2"/>
  <c r="M38" i="2"/>
  <c r="N38" i="2"/>
  <c r="N216" i="2"/>
  <c r="V32" i="2"/>
  <c r="N32" i="2"/>
  <c r="N215" i="2"/>
  <c r="Q229" i="2"/>
  <c r="N229" i="2"/>
  <c r="X220" i="2"/>
  <c r="N220" i="2"/>
  <c r="AG497" i="2"/>
  <c r="R278" i="1"/>
  <c r="P297" i="1"/>
  <c r="AB297" i="1" s="1"/>
  <c r="AC297" i="1" s="1"/>
  <c r="P111" i="1"/>
  <c r="AB111" i="1" s="1"/>
  <c r="AC111" i="1" s="1"/>
  <c r="AB43" i="1"/>
  <c r="AC43" i="1" s="1"/>
  <c r="P54" i="1"/>
  <c r="AE32" i="2"/>
  <c r="O141" i="1"/>
  <c r="E449" i="2"/>
  <c r="AG447" i="2"/>
  <c r="AH447" i="2" s="1"/>
  <c r="E454" i="2"/>
  <c r="O406" i="1"/>
  <c r="O390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AD29" i="2"/>
  <c r="AE29" i="2"/>
  <c r="AF29" i="2"/>
  <c r="G29" i="2"/>
  <c r="O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AC215" i="2"/>
  <c r="L216" i="2"/>
  <c r="E217" i="2"/>
  <c r="AH204" i="2"/>
  <c r="M215" i="2"/>
  <c r="V215" i="2"/>
  <c r="AB216" i="2"/>
  <c r="K215" i="2"/>
  <c r="AF216" i="2"/>
  <c r="P215" i="2"/>
  <c r="V229" i="2"/>
  <c r="S320" i="1"/>
  <c r="S278" i="1"/>
  <c r="S215" i="2"/>
  <c r="AC216" i="2"/>
  <c r="G216" i="2"/>
  <c r="G217" i="2" s="1"/>
  <c r="AA215" i="2"/>
  <c r="O216" i="2"/>
  <c r="U216" i="2"/>
  <c r="T216" i="2"/>
  <c r="F215" i="2"/>
  <c r="F217" i="2" s="1"/>
  <c r="Q215" i="2"/>
  <c r="J215" i="2"/>
  <c r="AD216" i="2"/>
  <c r="Y215" i="2"/>
  <c r="L215" i="2"/>
  <c r="Y216" i="2"/>
  <c r="AB215" i="2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E63" i="2"/>
  <c r="AE229" i="2"/>
  <c r="W229" i="2"/>
  <c r="M229" i="2"/>
  <c r="AD229" i="2"/>
  <c r="S318" i="1"/>
  <c r="S447" i="1"/>
  <c r="R281" i="1"/>
  <c r="X229" i="2"/>
  <c r="AF229" i="2"/>
  <c r="J229" i="2"/>
  <c r="AA229" i="2"/>
  <c r="Z229" i="2"/>
  <c r="L229" i="2"/>
  <c r="S314" i="1"/>
  <c r="E254" i="2" s="1"/>
  <c r="N254" i="2" s="1"/>
  <c r="S316" i="1"/>
  <c r="E292" i="2" s="1"/>
  <c r="T292" i="2" s="1"/>
  <c r="S453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R314" i="1"/>
  <c r="E253" i="2" s="1"/>
  <c r="N253" i="2" s="1"/>
  <c r="R322" i="1"/>
  <c r="M32" i="2"/>
  <c r="Q32" i="2"/>
  <c r="U32" i="2"/>
  <c r="G32" i="2"/>
  <c r="H32" i="2"/>
  <c r="I32" i="2"/>
  <c r="AG35" i="2"/>
  <c r="AH35" i="2" s="1"/>
  <c r="R447" i="1"/>
  <c r="R453" i="1"/>
  <c r="S32" i="2"/>
  <c r="J32" i="2"/>
  <c r="X32" i="2"/>
  <c r="R229" i="2"/>
  <c r="S229" i="2"/>
  <c r="I229" i="2"/>
  <c r="T229" i="2"/>
  <c r="AC229" i="2"/>
  <c r="R272" i="1"/>
  <c r="R318" i="1"/>
  <c r="P32" i="2"/>
  <c r="R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U24" i="2"/>
  <c r="U26" i="2" s="1"/>
  <c r="I24" i="2"/>
  <c r="I26" i="2" s="1"/>
  <c r="J24" i="2"/>
  <c r="J26" i="2" s="1"/>
  <c r="AC24" i="2"/>
  <c r="AC26" i="2" s="1"/>
  <c r="Y24" i="2"/>
  <c r="Y26" i="2" s="1"/>
  <c r="W24" i="2"/>
  <c r="W26" i="2" s="1"/>
  <c r="L24" i="2"/>
  <c r="L26" i="2" s="1"/>
  <c r="Y281" i="1"/>
  <c r="Y447" i="1"/>
  <c r="E74" i="2"/>
  <c r="N74" i="2" s="1"/>
  <c r="Y318" i="1"/>
  <c r="Y322" i="1"/>
  <c r="Y314" i="1"/>
  <c r="E264" i="2" s="1"/>
  <c r="N264" i="2" s="1"/>
  <c r="Y278" i="1"/>
  <c r="Y316" i="1"/>
  <c r="E302" i="2" s="1"/>
  <c r="Y453" i="1"/>
  <c r="Y320" i="1"/>
  <c r="Y272" i="1"/>
  <c r="E226" i="2"/>
  <c r="N226" i="2" s="1"/>
  <c r="K447" i="1"/>
  <c r="K453" i="1"/>
  <c r="K272" i="1"/>
  <c r="K318" i="1"/>
  <c r="K322" i="1"/>
  <c r="K320" i="1"/>
  <c r="K316" i="1"/>
  <c r="E280" i="2" s="1"/>
  <c r="AH280" i="2" s="1"/>
  <c r="K314" i="1"/>
  <c r="E52" i="2"/>
  <c r="AH52" i="2" s="1"/>
  <c r="K281" i="1"/>
  <c r="K278" i="1"/>
  <c r="I101" i="1"/>
  <c r="W104" i="1"/>
  <c r="W124" i="1" s="1"/>
  <c r="W126" i="1" s="1"/>
  <c r="E223" i="2"/>
  <c r="N223" i="2" s="1"/>
  <c r="F24" i="2"/>
  <c r="F460" i="2"/>
  <c r="I201" i="15"/>
  <c r="I36" i="15" s="1"/>
  <c r="U281" i="1"/>
  <c r="E68" i="2"/>
  <c r="N68" i="2" s="1"/>
  <c r="U314" i="1"/>
  <c r="U320" i="1"/>
  <c r="U316" i="1"/>
  <c r="E296" i="2" s="1"/>
  <c r="U278" i="1"/>
  <c r="U322" i="1"/>
  <c r="U272" i="1"/>
  <c r="U447" i="1"/>
  <c r="U453" i="1"/>
  <c r="U318" i="1"/>
  <c r="E77" i="2"/>
  <c r="N77" i="2" s="1"/>
  <c r="AA447" i="1"/>
  <c r="AA453" i="1"/>
  <c r="AA278" i="1"/>
  <c r="AA314" i="1"/>
  <c r="AA316" i="1"/>
  <c r="E305" i="2" s="1"/>
  <c r="AA322" i="1"/>
  <c r="AA318" i="1"/>
  <c r="AA272" i="1"/>
  <c r="AA320" i="1"/>
  <c r="AA281" i="1"/>
  <c r="M316" i="1"/>
  <c r="E283" i="2" s="1"/>
  <c r="M318" i="1"/>
  <c r="M453" i="1"/>
  <c r="M322" i="1"/>
  <c r="M272" i="1"/>
  <c r="M320" i="1"/>
  <c r="M281" i="1"/>
  <c r="M314" i="1"/>
  <c r="E55" i="2"/>
  <c r="M278" i="1"/>
  <c r="M447" i="1"/>
  <c r="E201" i="2"/>
  <c r="H126" i="1"/>
  <c r="AE220" i="2"/>
  <c r="R220" i="2"/>
  <c r="K220" i="2"/>
  <c r="Y220" i="2"/>
  <c r="I338" i="2"/>
  <c r="G338" i="2"/>
  <c r="M220" i="2"/>
  <c r="V220" i="2"/>
  <c r="S220" i="2"/>
  <c r="J220" i="2"/>
  <c r="G220" i="2"/>
  <c r="H220" i="2"/>
  <c r="R535" i="2"/>
  <c r="R558" i="2" s="1"/>
  <c r="AG25" i="2"/>
  <c r="AH25" i="2" s="1"/>
  <c r="AG400" i="2"/>
  <c r="AH400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Q535" i="2"/>
  <c r="Q558" i="2" s="1"/>
  <c r="J338" i="2"/>
  <c r="K338" i="2"/>
  <c r="K351" i="2" s="1"/>
  <c r="P220" i="2"/>
  <c r="W220" i="2"/>
  <c r="AD220" i="2"/>
  <c r="Q220" i="2"/>
  <c r="L220" i="2"/>
  <c r="AB220" i="2"/>
  <c r="M609" i="2" l="1"/>
  <c r="M611" i="2" s="1"/>
  <c r="M583" i="2"/>
  <c r="G609" i="2"/>
  <c r="G611" i="2" s="1"/>
  <c r="G583" i="2"/>
  <c r="N583" i="2"/>
  <c r="N609" i="2"/>
  <c r="N611" i="2" s="1"/>
  <c r="N255" i="2"/>
  <c r="N217" i="2"/>
  <c r="AE63" i="2"/>
  <c r="N63" i="2"/>
  <c r="G64" i="2"/>
  <c r="N64" i="2"/>
  <c r="AG506" i="2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397" i="1"/>
  <c r="P108" i="1"/>
  <c r="AB108" i="1" s="1"/>
  <c r="AC108" i="1" s="1"/>
  <c r="P136" i="1"/>
  <c r="P202" i="1"/>
  <c r="P56" i="1"/>
  <c r="P387" i="1"/>
  <c r="AB387" i="1" s="1"/>
  <c r="AC387" i="1" s="1"/>
  <c r="P220" i="1"/>
  <c r="P378" i="1"/>
  <c r="P137" i="1"/>
  <c r="AB137" i="1" s="1"/>
  <c r="AC137" i="1" s="1"/>
  <c r="P388" i="1"/>
  <c r="AB388" i="1" s="1"/>
  <c r="AC388" i="1" s="1"/>
  <c r="P139" i="1"/>
  <c r="AB139" i="1" s="1"/>
  <c r="AC139" i="1" s="1"/>
  <c r="P404" i="1"/>
  <c r="AB404" i="1" s="1"/>
  <c r="AC404" i="1" s="1"/>
  <c r="K217" i="2"/>
  <c r="AB217" i="2"/>
  <c r="Z217" i="2"/>
  <c r="M217" i="2"/>
  <c r="O12" i="1"/>
  <c r="AG454" i="2"/>
  <c r="AH454" i="2" s="1"/>
  <c r="E456" i="2"/>
  <c r="O408" i="1"/>
  <c r="O75" i="1"/>
  <c r="O231" i="1"/>
  <c r="S449" i="2"/>
  <c r="S450" i="2" s="1"/>
  <c r="AC449" i="2"/>
  <c r="AC450" i="2" s="1"/>
  <c r="AF449" i="2"/>
  <c r="AF450" i="2" s="1"/>
  <c r="W449" i="2"/>
  <c r="W450" i="2" s="1"/>
  <c r="H449" i="2"/>
  <c r="H450" i="2" s="1"/>
  <c r="I449" i="2"/>
  <c r="I450" i="2" s="1"/>
  <c r="M449" i="2"/>
  <c r="M450" i="2" s="1"/>
  <c r="X449" i="2"/>
  <c r="X450" i="2" s="1"/>
  <c r="E450" i="2"/>
  <c r="T449" i="2"/>
  <c r="T450" i="2" s="1"/>
  <c r="N449" i="2"/>
  <c r="N450" i="2" s="1"/>
  <c r="Y449" i="2"/>
  <c r="Y450" i="2" s="1"/>
  <c r="AE449" i="2"/>
  <c r="AE450" i="2" s="1"/>
  <c r="L449" i="2"/>
  <c r="L450" i="2" s="1"/>
  <c r="O449" i="2"/>
  <c r="O450" i="2" s="1"/>
  <c r="AB449" i="2"/>
  <c r="AB450" i="2" s="1"/>
  <c r="AD449" i="2"/>
  <c r="AD450" i="2" s="1"/>
  <c r="AA449" i="2"/>
  <c r="AA450" i="2" s="1"/>
  <c r="G449" i="2"/>
  <c r="G450" i="2" s="1"/>
  <c r="Q449" i="2"/>
  <c r="Q450" i="2" s="1"/>
  <c r="Z449" i="2"/>
  <c r="Z450" i="2" s="1"/>
  <c r="U449" i="2"/>
  <c r="U450" i="2" s="1"/>
  <c r="P449" i="2"/>
  <c r="P450" i="2" s="1"/>
  <c r="V449" i="2"/>
  <c r="V450" i="2" s="1"/>
  <c r="J449" i="2"/>
  <c r="J450" i="2" s="1"/>
  <c r="R449" i="2"/>
  <c r="R450" i="2" s="1"/>
  <c r="F449" i="2"/>
  <c r="F450" i="2" s="1"/>
  <c r="P291" i="2"/>
  <c r="U217" i="2"/>
  <c r="X217" i="2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57" i="1"/>
  <c r="S459" i="1" s="1"/>
  <c r="S461" i="1" s="1"/>
  <c r="E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U292" i="2"/>
  <c r="G292" i="2"/>
  <c r="V292" i="2"/>
  <c r="AD292" i="2"/>
  <c r="AG216" i="2"/>
  <c r="AH216" i="2" s="1"/>
  <c r="S324" i="1"/>
  <c r="I63" i="2"/>
  <c r="L63" i="2"/>
  <c r="Q63" i="2"/>
  <c r="H63" i="2"/>
  <c r="T63" i="2"/>
  <c r="J63" i="2"/>
  <c r="V63" i="2"/>
  <c r="M292" i="2"/>
  <c r="S292" i="2"/>
  <c r="K292" i="2"/>
  <c r="O292" i="2"/>
  <c r="AC292" i="2"/>
  <c r="X292" i="2"/>
  <c r="AF292" i="2"/>
  <c r="AF293" i="2" s="1"/>
  <c r="I292" i="2"/>
  <c r="K64" i="2"/>
  <c r="F63" i="2"/>
  <c r="W63" i="2"/>
  <c r="R292" i="2"/>
  <c r="L292" i="2"/>
  <c r="AE292" i="2"/>
  <c r="M63" i="2"/>
  <c r="AF63" i="2"/>
  <c r="G63" i="2"/>
  <c r="O63" i="2"/>
  <c r="AD63" i="2"/>
  <c r="Z292" i="2"/>
  <c r="N292" i="2"/>
  <c r="J292" i="2"/>
  <c r="P292" i="2"/>
  <c r="AB292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Z64" i="2"/>
  <c r="AG215" i="2"/>
  <c r="AH215" i="2" s="1"/>
  <c r="AD64" i="2"/>
  <c r="I64" i="2"/>
  <c r="AA64" i="2"/>
  <c r="E65" i="2"/>
  <c r="V64" i="2"/>
  <c r="W64" i="2"/>
  <c r="I217" i="2"/>
  <c r="H64" i="2"/>
  <c r="R64" i="2"/>
  <c r="M64" i="2"/>
  <c r="T64" i="2"/>
  <c r="AG38" i="2"/>
  <c r="AH38" i="2" s="1"/>
  <c r="I104" i="1"/>
  <c r="R457" i="1"/>
  <c r="R459" i="1" s="1"/>
  <c r="R461" i="1" s="1"/>
  <c r="E177" i="2" s="1"/>
  <c r="AG32" i="2"/>
  <c r="AH32" i="2" s="1"/>
  <c r="R324" i="1"/>
  <c r="AG229" i="2"/>
  <c r="AH229" i="2" s="1"/>
  <c r="Y283" i="1"/>
  <c r="Y285" i="1" s="1"/>
  <c r="Y287" i="1" s="1"/>
  <c r="Y457" i="1"/>
  <c r="Y459" i="1" s="1"/>
  <c r="Y461" i="1" s="1"/>
  <c r="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R74" i="2"/>
  <c r="U74" i="2"/>
  <c r="M74" i="2"/>
  <c r="H74" i="2"/>
  <c r="L74" i="2"/>
  <c r="AC74" i="2"/>
  <c r="S74" i="2"/>
  <c r="Y324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H264" i="2"/>
  <c r="Z264" i="2"/>
  <c r="AD264" i="2"/>
  <c r="L264" i="2"/>
  <c r="M264" i="2"/>
  <c r="I264" i="2"/>
  <c r="F264" i="2"/>
  <c r="K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4" i="1"/>
  <c r="E242" i="2"/>
  <c r="AH242" i="2" s="1"/>
  <c r="K283" i="1"/>
  <c r="K285" i="1" s="1"/>
  <c r="K457" i="1"/>
  <c r="K459" i="1" s="1"/>
  <c r="K461" i="1" s="1"/>
  <c r="E166" i="2" s="1"/>
  <c r="AH166" i="2" s="1"/>
  <c r="W314" i="1"/>
  <c r="W320" i="1"/>
  <c r="W278" i="1"/>
  <c r="W281" i="1"/>
  <c r="W316" i="1"/>
  <c r="E299" i="2" s="1"/>
  <c r="W453" i="1"/>
  <c r="E71" i="2"/>
  <c r="N71" i="2" s="1"/>
  <c r="W318" i="1"/>
  <c r="W447" i="1"/>
  <c r="W322" i="1"/>
  <c r="W272" i="1"/>
  <c r="M457" i="1"/>
  <c r="M459" i="1" s="1"/>
  <c r="M461" i="1" s="1"/>
  <c r="E169" i="2" s="1"/>
  <c r="U283" i="1"/>
  <c r="U285" i="1" s="1"/>
  <c r="E144" i="2" s="1"/>
  <c r="N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V223" i="2"/>
  <c r="O223" i="2"/>
  <c r="Y223" i="2"/>
  <c r="R223" i="2"/>
  <c r="U223" i="2"/>
  <c r="AC223" i="2"/>
  <c r="H223" i="2"/>
  <c r="P223" i="2"/>
  <c r="AA283" i="1"/>
  <c r="AA285" i="1" s="1"/>
  <c r="AA287" i="1" s="1"/>
  <c r="S85" i="15"/>
  <c r="J12" i="15" s="1"/>
  <c r="F467" i="2"/>
  <c r="F26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35" i="2"/>
  <c r="F558" i="2" s="1"/>
  <c r="E267" i="2"/>
  <c r="N267" i="2" s="1"/>
  <c r="AA324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AA77" i="2"/>
  <c r="V77" i="2"/>
  <c r="I77" i="2"/>
  <c r="R77" i="2"/>
  <c r="T77" i="2"/>
  <c r="H77" i="2"/>
  <c r="U457" i="1"/>
  <c r="U459" i="1" s="1"/>
  <c r="U461" i="1" s="1"/>
  <c r="E182" i="2" s="1"/>
  <c r="N182" i="2" s="1"/>
  <c r="S68" i="2"/>
  <c r="AB68" i="2"/>
  <c r="L68" i="2"/>
  <c r="R68" i="2"/>
  <c r="M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281" i="1"/>
  <c r="H322" i="1"/>
  <c r="H320" i="1"/>
  <c r="H447" i="1"/>
  <c r="H318" i="1"/>
  <c r="H278" i="1"/>
  <c r="H314" i="1"/>
  <c r="E47" i="2"/>
  <c r="H316" i="1"/>
  <c r="H272" i="1"/>
  <c r="H453" i="1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D15" i="4"/>
  <c r="AG220" i="2"/>
  <c r="AH220" i="2" s="1"/>
  <c r="R583" i="2"/>
  <c r="R609" i="2"/>
  <c r="E245" i="2"/>
  <c r="M324" i="1"/>
  <c r="Q609" i="2"/>
  <c r="Q583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S253" i="2"/>
  <c r="P253" i="2"/>
  <c r="AF253" i="2"/>
  <c r="M253" i="2"/>
  <c r="W253" i="2"/>
  <c r="F253" i="2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57" i="1"/>
  <c r="AA459" i="1" s="1"/>
  <c r="AA461" i="1" s="1"/>
  <c r="E191" i="2" s="1"/>
  <c r="N191" i="2" s="1"/>
  <c r="E258" i="2"/>
  <c r="N258" i="2" s="1"/>
  <c r="U324" i="1"/>
  <c r="AE65" i="2" l="1"/>
  <c r="G65" i="2"/>
  <c r="N65" i="2"/>
  <c r="T177" i="2"/>
  <c r="N177" i="2"/>
  <c r="AE188" i="2"/>
  <c r="N188" i="2"/>
  <c r="U178" i="2"/>
  <c r="N178" i="2"/>
  <c r="V293" i="2"/>
  <c r="E101" i="2"/>
  <c r="AB101" i="2" s="1"/>
  <c r="P141" i="1"/>
  <c r="AB141" i="1" s="1"/>
  <c r="AC141" i="1" s="1"/>
  <c r="AB136" i="1"/>
  <c r="AC136" i="1" s="1"/>
  <c r="P406" i="1"/>
  <c r="AB406" i="1" s="1"/>
  <c r="AC406" i="1" s="1"/>
  <c r="AB397" i="1"/>
  <c r="AC397" i="1" s="1"/>
  <c r="AB378" i="1"/>
  <c r="AC378" i="1" s="1"/>
  <c r="P390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1" i="2"/>
  <c r="T451" i="2"/>
  <c r="F451" i="2"/>
  <c r="N451" i="2"/>
  <c r="AB456" i="2"/>
  <c r="AB457" i="2" s="1"/>
  <c r="AD456" i="2"/>
  <c r="AD457" i="2" s="1"/>
  <c r="AC456" i="2"/>
  <c r="AC457" i="2" s="1"/>
  <c r="H456" i="2"/>
  <c r="H457" i="2" s="1"/>
  <c r="I456" i="2"/>
  <c r="I457" i="2" s="1"/>
  <c r="O456" i="2"/>
  <c r="O457" i="2" s="1"/>
  <c r="S456" i="2"/>
  <c r="S457" i="2" s="1"/>
  <c r="AF456" i="2"/>
  <c r="AF457" i="2" s="1"/>
  <c r="AE456" i="2"/>
  <c r="AE457" i="2" s="1"/>
  <c r="Z456" i="2"/>
  <c r="Z457" i="2" s="1"/>
  <c r="R456" i="2"/>
  <c r="R457" i="2" s="1"/>
  <c r="G456" i="2"/>
  <c r="G457" i="2" s="1"/>
  <c r="P456" i="2"/>
  <c r="P457" i="2" s="1"/>
  <c r="Y456" i="2"/>
  <c r="Y457" i="2" s="1"/>
  <c r="E457" i="2"/>
  <c r="W456" i="2"/>
  <c r="W457" i="2" s="1"/>
  <c r="U456" i="2"/>
  <c r="U457" i="2" s="1"/>
  <c r="T456" i="2"/>
  <c r="T457" i="2" s="1"/>
  <c r="Q456" i="2"/>
  <c r="Q457" i="2" s="1"/>
  <c r="X456" i="2"/>
  <c r="X457" i="2" s="1"/>
  <c r="V456" i="2"/>
  <c r="V457" i="2" s="1"/>
  <c r="AA456" i="2"/>
  <c r="AA457" i="2" s="1"/>
  <c r="J456" i="2"/>
  <c r="J457" i="2" s="1"/>
  <c r="L456" i="2"/>
  <c r="L457" i="2" s="1"/>
  <c r="M456" i="2"/>
  <c r="M457" i="2" s="1"/>
  <c r="N456" i="2"/>
  <c r="N457" i="2" s="1"/>
  <c r="F456" i="2"/>
  <c r="F457" i="2" s="1"/>
  <c r="O237" i="1"/>
  <c r="O233" i="1"/>
  <c r="O235" i="1"/>
  <c r="O410" i="1"/>
  <c r="O82" i="1"/>
  <c r="S451" i="2"/>
  <c r="R451" i="2"/>
  <c r="M451" i="2"/>
  <c r="AB451" i="2"/>
  <c r="V451" i="2"/>
  <c r="Z451" i="2"/>
  <c r="AF451" i="2"/>
  <c r="L451" i="2"/>
  <c r="Q451" i="2"/>
  <c r="I451" i="2"/>
  <c r="P451" i="2"/>
  <c r="AD451" i="2"/>
  <c r="X451" i="2"/>
  <c r="J451" i="2"/>
  <c r="G451" i="2"/>
  <c r="H451" i="2"/>
  <c r="Y451" i="2"/>
  <c r="AA451" i="2"/>
  <c r="AE451" i="2"/>
  <c r="O451" i="2"/>
  <c r="AC451" i="2"/>
  <c r="W451" i="2"/>
  <c r="O454" i="1"/>
  <c r="O122" i="1"/>
  <c r="O121" i="1"/>
  <c r="O88" i="1"/>
  <c r="O455" i="1"/>
  <c r="O307" i="1"/>
  <c r="O279" i="1"/>
  <c r="O120" i="1"/>
  <c r="O280" i="1"/>
  <c r="O308" i="1"/>
  <c r="P293" i="2"/>
  <c r="Q65" i="2"/>
  <c r="L65" i="2"/>
  <c r="K200" i="15"/>
  <c r="K201" i="15" s="1"/>
  <c r="K36" i="15" s="1"/>
  <c r="J65" i="2"/>
  <c r="K293" i="2"/>
  <c r="AB178" i="2"/>
  <c r="Z178" i="2"/>
  <c r="AD178" i="2"/>
  <c r="X178" i="2"/>
  <c r="G178" i="2"/>
  <c r="R178" i="2"/>
  <c r="Q178" i="2"/>
  <c r="S178" i="2"/>
  <c r="AF178" i="2"/>
  <c r="E140" i="2"/>
  <c r="AC293" i="2"/>
  <c r="M293" i="2"/>
  <c r="F293" i="2"/>
  <c r="O178" i="2"/>
  <c r="P178" i="2"/>
  <c r="L293" i="2"/>
  <c r="AD293" i="2"/>
  <c r="J178" i="2"/>
  <c r="F178" i="2"/>
  <c r="X293" i="2"/>
  <c r="U293" i="2"/>
  <c r="H293" i="2"/>
  <c r="R287" i="1"/>
  <c r="J293" i="2"/>
  <c r="R293" i="2"/>
  <c r="Q293" i="2"/>
  <c r="S293" i="2"/>
  <c r="AG291" i="2"/>
  <c r="AH291" i="2" s="1"/>
  <c r="O293" i="2"/>
  <c r="AB293" i="2"/>
  <c r="AE293" i="2"/>
  <c r="AA293" i="2"/>
  <c r="N293" i="2"/>
  <c r="I293" i="2"/>
  <c r="Z293" i="2"/>
  <c r="E139" i="2"/>
  <c r="R326" i="1"/>
  <c r="S101" i="2"/>
  <c r="AB65" i="2"/>
  <c r="S65" i="2"/>
  <c r="F65" i="2"/>
  <c r="U65" i="2"/>
  <c r="W65" i="2"/>
  <c r="I65" i="2"/>
  <c r="AA178" i="2"/>
  <c r="K178" i="2"/>
  <c r="W178" i="2"/>
  <c r="I178" i="2"/>
  <c r="L178" i="2"/>
  <c r="AC178" i="2"/>
  <c r="S129" i="1"/>
  <c r="S133" i="1" s="1"/>
  <c r="S144" i="1" s="1"/>
  <c r="Y65" i="2"/>
  <c r="S326" i="1"/>
  <c r="M178" i="2"/>
  <c r="Y178" i="2"/>
  <c r="AE178" i="2"/>
  <c r="V178" i="2"/>
  <c r="H178" i="2"/>
  <c r="T178" i="2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L188" i="2"/>
  <c r="X177" i="2"/>
  <c r="AE177" i="2"/>
  <c r="AD177" i="2"/>
  <c r="M177" i="2"/>
  <c r="F177" i="2"/>
  <c r="AB177" i="2"/>
  <c r="E179" i="2"/>
  <c r="AC177" i="2"/>
  <c r="U177" i="2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Y326" i="1"/>
  <c r="E150" i="2"/>
  <c r="K326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U287" i="1"/>
  <c r="W283" i="1"/>
  <c r="W285" i="1" s="1"/>
  <c r="E147" i="2" s="1"/>
  <c r="N147" i="2" s="1"/>
  <c r="AE71" i="2"/>
  <c r="AD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N261" i="2" s="1"/>
  <c r="W324" i="1"/>
  <c r="U326" i="1"/>
  <c r="AA326" i="1"/>
  <c r="W457" i="1"/>
  <c r="W459" i="1" s="1"/>
  <c r="W461" i="1" s="1"/>
  <c r="E185" i="2" s="1"/>
  <c r="N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Y255" i="2"/>
  <c r="V255" i="2"/>
  <c r="J425" i="2"/>
  <c r="AG425" i="2" s="1"/>
  <c r="J25" i="15"/>
  <c r="E425" i="2" s="1"/>
  <c r="AG253" i="2"/>
  <c r="AH253" i="2" s="1"/>
  <c r="F255" i="2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26" i="1"/>
  <c r="H457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09" i="2"/>
  <c r="F583" i="2"/>
  <c r="K258" i="2"/>
  <c r="F258" i="2"/>
  <c r="G258" i="2"/>
  <c r="H258" i="2"/>
  <c r="J258" i="2"/>
  <c r="AC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AG316" i="2"/>
  <c r="AH316" i="2" s="1"/>
  <c r="E237" i="2"/>
  <c r="H324" i="1"/>
  <c r="AG77" i="2"/>
  <c r="AH77" i="2" s="1"/>
  <c r="T179" i="2" l="1"/>
  <c r="U179" i="2"/>
  <c r="AE101" i="2"/>
  <c r="G101" i="2"/>
  <c r="AC101" i="2"/>
  <c r="R101" i="2"/>
  <c r="H101" i="2"/>
  <c r="AF101" i="2"/>
  <c r="Q101" i="2"/>
  <c r="V101" i="2"/>
  <c r="T101" i="2"/>
  <c r="N101" i="2"/>
  <c r="W150" i="2"/>
  <c r="N150" i="2"/>
  <c r="I139" i="2"/>
  <c r="N139" i="2"/>
  <c r="K140" i="2"/>
  <c r="N140" i="2"/>
  <c r="F153" i="2"/>
  <c r="N153" i="2"/>
  <c r="N179" i="2"/>
  <c r="X139" i="2"/>
  <c r="AA101" i="2"/>
  <c r="O101" i="2"/>
  <c r="U101" i="2"/>
  <c r="I101" i="2"/>
  <c r="F101" i="2"/>
  <c r="J101" i="2"/>
  <c r="W101" i="2"/>
  <c r="L101" i="2"/>
  <c r="Y101" i="2"/>
  <c r="X101" i="2"/>
  <c r="AD101" i="2"/>
  <c r="Z101" i="2"/>
  <c r="M101" i="2"/>
  <c r="P101" i="2"/>
  <c r="E106" i="2"/>
  <c r="N106" i="2" s="1"/>
  <c r="E112" i="2"/>
  <c r="E115" i="2"/>
  <c r="N115" i="2" s="1"/>
  <c r="E102" i="2"/>
  <c r="AB390" i="1"/>
  <c r="AC390" i="1" s="1"/>
  <c r="P408" i="1"/>
  <c r="AB215" i="1"/>
  <c r="AC215" i="1" s="1"/>
  <c r="P231" i="1"/>
  <c r="AB63" i="1"/>
  <c r="AC63" i="1" s="1"/>
  <c r="P75" i="1"/>
  <c r="AB8" i="1"/>
  <c r="AC8" i="1" s="1"/>
  <c r="P12" i="1"/>
  <c r="Q458" i="2"/>
  <c r="U458" i="2"/>
  <c r="W458" i="2"/>
  <c r="T458" i="2"/>
  <c r="O312" i="1"/>
  <c r="O264" i="1"/>
  <c r="O438" i="1"/>
  <c r="O412" i="1"/>
  <c r="O131" i="1"/>
  <c r="E19" i="2"/>
  <c r="Y19" i="2" s="1"/>
  <c r="O98" i="1"/>
  <c r="O130" i="1"/>
  <c r="O142" i="1"/>
  <c r="O91" i="1"/>
  <c r="O93" i="1" s="1"/>
  <c r="O458" i="2"/>
  <c r="G458" i="2"/>
  <c r="M458" i="2"/>
  <c r="X458" i="2"/>
  <c r="H458" i="2"/>
  <c r="I458" i="2"/>
  <c r="AB458" i="2"/>
  <c r="J458" i="2"/>
  <c r="P458" i="2"/>
  <c r="AD458" i="2"/>
  <c r="AF458" i="2"/>
  <c r="V458" i="2"/>
  <c r="R458" i="2"/>
  <c r="S458" i="2"/>
  <c r="N458" i="2"/>
  <c r="AE458" i="2"/>
  <c r="Y458" i="2"/>
  <c r="AA458" i="2"/>
  <c r="AC458" i="2"/>
  <c r="Z458" i="2"/>
  <c r="L458" i="2"/>
  <c r="F458" i="2"/>
  <c r="Q179" i="2"/>
  <c r="L200" i="15"/>
  <c r="L201" i="15" s="1"/>
  <c r="L36" i="15" s="1"/>
  <c r="AB179" i="2"/>
  <c r="S102" i="2"/>
  <c r="S103" i="2" s="1"/>
  <c r="U140" i="2"/>
  <c r="M140" i="2"/>
  <c r="F140" i="2"/>
  <c r="AE140" i="2"/>
  <c r="L140" i="2"/>
  <c r="X140" i="2"/>
  <c r="H140" i="2"/>
  <c r="S140" i="2"/>
  <c r="I140" i="2"/>
  <c r="Y140" i="2"/>
  <c r="H139" i="2"/>
  <c r="R140" i="2"/>
  <c r="W140" i="2"/>
  <c r="AB140" i="2"/>
  <c r="G140" i="2"/>
  <c r="Q140" i="2"/>
  <c r="Z140" i="2"/>
  <c r="AA140" i="2"/>
  <c r="AF140" i="2"/>
  <c r="O140" i="2"/>
  <c r="K139" i="2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AE139" i="2"/>
  <c r="S139" i="2"/>
  <c r="L139" i="2"/>
  <c r="AB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O153" i="2"/>
  <c r="W287" i="1"/>
  <c r="E515" i="2"/>
  <c r="AH515" i="2" s="1"/>
  <c r="AH90" i="2"/>
  <c r="E497" i="2"/>
  <c r="E506" i="2" s="1"/>
  <c r="AH506" i="2" s="1"/>
  <c r="AH128" i="2"/>
  <c r="W326" i="1"/>
  <c r="Z261" i="2"/>
  <c r="K261" i="2"/>
  <c r="T261" i="2"/>
  <c r="I261" i="2"/>
  <c r="O261" i="2"/>
  <c r="V261" i="2"/>
  <c r="L261" i="2"/>
  <c r="Q261" i="2"/>
  <c r="AE261" i="2"/>
  <c r="H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AH425" i="2"/>
  <c r="AG191" i="2"/>
  <c r="AH191" i="2" s="1"/>
  <c r="AG258" i="2"/>
  <c r="AH258" i="2" s="1"/>
  <c r="AG144" i="2"/>
  <c r="AH144" i="2" s="1"/>
  <c r="AG182" i="2"/>
  <c r="AH182" i="2" s="1"/>
  <c r="AG267" i="2"/>
  <c r="AH267" i="2" s="1"/>
  <c r="AG338" i="2"/>
  <c r="I278" i="1"/>
  <c r="I447" i="1"/>
  <c r="I314" i="1"/>
  <c r="I272" i="1"/>
  <c r="I316" i="1"/>
  <c r="I281" i="1"/>
  <c r="I322" i="1"/>
  <c r="I318" i="1"/>
  <c r="I320" i="1"/>
  <c r="I453" i="1"/>
  <c r="E48" i="2"/>
  <c r="I141" i="2" l="1"/>
  <c r="N141" i="2"/>
  <c r="K141" i="2"/>
  <c r="AC112" i="2"/>
  <c r="N112" i="2"/>
  <c r="N19" i="2"/>
  <c r="E103" i="2"/>
  <c r="N102" i="2"/>
  <c r="N103" i="2" s="1"/>
  <c r="X141" i="2"/>
  <c r="T112" i="2"/>
  <c r="S112" i="2"/>
  <c r="M112" i="2"/>
  <c r="X112" i="2"/>
  <c r="AE112" i="2"/>
  <c r="F112" i="2"/>
  <c r="P112" i="2"/>
  <c r="O112" i="2"/>
  <c r="H112" i="2"/>
  <c r="J112" i="2"/>
  <c r="K112" i="2"/>
  <c r="W112" i="2"/>
  <c r="R112" i="2"/>
  <c r="Y112" i="2"/>
  <c r="Z112" i="2"/>
  <c r="G112" i="2"/>
  <c r="AA112" i="2"/>
  <c r="AF112" i="2"/>
  <c r="U112" i="2"/>
  <c r="I112" i="2"/>
  <c r="AD112" i="2"/>
  <c r="L112" i="2"/>
  <c r="Q112" i="2"/>
  <c r="AB112" i="2"/>
  <c r="V112" i="2"/>
  <c r="G102" i="2"/>
  <c r="G103" i="2" s="1"/>
  <c r="H102" i="2"/>
  <c r="H103" i="2" s="1"/>
  <c r="L102" i="2"/>
  <c r="L103" i="2" s="1"/>
  <c r="AC102" i="2"/>
  <c r="AC103" i="2" s="1"/>
  <c r="J102" i="2"/>
  <c r="J103" i="2" s="1"/>
  <c r="AD102" i="2"/>
  <c r="AD103" i="2" s="1"/>
  <c r="K102" i="2"/>
  <c r="O102" i="2"/>
  <c r="O103" i="2" s="1"/>
  <c r="AB102" i="2"/>
  <c r="AB103" i="2" s="1"/>
  <c r="P102" i="2"/>
  <c r="P103" i="2" s="1"/>
  <c r="AF102" i="2"/>
  <c r="AF103" i="2" s="1"/>
  <c r="V102" i="2"/>
  <c r="V103" i="2" s="1"/>
  <c r="F102" i="2"/>
  <c r="F103" i="2" s="1"/>
  <c r="R102" i="2"/>
  <c r="R103" i="2" s="1"/>
  <c r="W102" i="2"/>
  <c r="W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Y102" i="2"/>
  <c r="Y103" i="2" s="1"/>
  <c r="T102" i="2"/>
  <c r="T103" i="2" s="1"/>
  <c r="M102" i="2"/>
  <c r="M103" i="2" s="1"/>
  <c r="I102" i="2"/>
  <c r="I103" i="2" s="1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N109" i="2" s="1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0" i="1"/>
  <c r="AB408" i="1"/>
  <c r="AC408" i="1" s="1"/>
  <c r="P307" i="1"/>
  <c r="AB307" i="1" s="1"/>
  <c r="AC307" i="1" s="1"/>
  <c r="P88" i="1"/>
  <c r="P454" i="1"/>
  <c r="AB454" i="1" s="1"/>
  <c r="AC454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5" i="1"/>
  <c r="AB455" i="1" s="1"/>
  <c r="AC455" i="1" s="1"/>
  <c r="AB75" i="1"/>
  <c r="AC75" i="1" s="1"/>
  <c r="P279" i="1"/>
  <c r="AB279" i="1" s="1"/>
  <c r="AC279" i="1" s="1"/>
  <c r="Z19" i="2"/>
  <c r="J19" i="2"/>
  <c r="V141" i="2"/>
  <c r="I19" i="2"/>
  <c r="AD141" i="2"/>
  <c r="R19" i="2"/>
  <c r="W19" i="2"/>
  <c r="AF19" i="2"/>
  <c r="AD19" i="2"/>
  <c r="Q19" i="2"/>
  <c r="T141" i="2"/>
  <c r="O19" i="2"/>
  <c r="S19" i="2"/>
  <c r="M141" i="2"/>
  <c r="G19" i="2"/>
  <c r="AB19" i="2"/>
  <c r="O271" i="1"/>
  <c r="O452" i="1"/>
  <c r="O277" i="1"/>
  <c r="O276" i="1"/>
  <c r="O269" i="1"/>
  <c r="O444" i="1"/>
  <c r="O446" i="1"/>
  <c r="O275" i="1"/>
  <c r="O451" i="1"/>
  <c r="O450" i="1"/>
  <c r="AA19" i="2"/>
  <c r="U19" i="2"/>
  <c r="T19" i="2"/>
  <c r="F19" i="2"/>
  <c r="M19" i="2"/>
  <c r="P19" i="2"/>
  <c r="AE19" i="2"/>
  <c r="E210" i="2"/>
  <c r="N210" i="2" s="1"/>
  <c r="O99" i="1"/>
  <c r="O274" i="1"/>
  <c r="O445" i="1"/>
  <c r="O449" i="1"/>
  <c r="O448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497" i="2"/>
  <c r="AG185" i="2"/>
  <c r="AH185" i="2" s="1"/>
  <c r="AG147" i="2"/>
  <c r="AH147" i="2" s="1"/>
  <c r="AG261" i="2"/>
  <c r="AH261" i="2" s="1"/>
  <c r="O85" i="15"/>
  <c r="R85" i="15" s="1"/>
  <c r="E49" i="2"/>
  <c r="E238" i="2"/>
  <c r="I324" i="1"/>
  <c r="E276" i="2"/>
  <c r="I283" i="1"/>
  <c r="I457" i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2" i="1"/>
  <c r="P438" i="1"/>
  <c r="AB410" i="1"/>
  <c r="AC410" i="1" s="1"/>
  <c r="P131" i="1"/>
  <c r="AB131" i="1" s="1"/>
  <c r="AC131" i="1" s="1"/>
  <c r="P130" i="1"/>
  <c r="AB130" i="1" s="1"/>
  <c r="AC130" i="1" s="1"/>
  <c r="AB82" i="1"/>
  <c r="AC82" i="1" s="1"/>
  <c r="E20" i="2"/>
  <c r="N20" i="2" s="1"/>
  <c r="N21" i="2" s="1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J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I12" i="15"/>
  <c r="T85" i="15"/>
  <c r="K12" i="15" s="1"/>
  <c r="E277" i="2"/>
  <c r="E239" i="2"/>
  <c r="AG109" i="2" l="1"/>
  <c r="AH109" i="2" s="1"/>
  <c r="AI141" i="2"/>
  <c r="P444" i="1"/>
  <c r="P446" i="1"/>
  <c r="AB446" i="1" s="1"/>
  <c r="AC446" i="1" s="1"/>
  <c r="P452" i="1"/>
  <c r="AB452" i="1" s="1"/>
  <c r="AC452" i="1" s="1"/>
  <c r="P451" i="1"/>
  <c r="AB451" i="1" s="1"/>
  <c r="AC451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0" i="1"/>
  <c r="AB450" i="1" s="1"/>
  <c r="AC450" i="1" s="1"/>
  <c r="AB264" i="1"/>
  <c r="AC264" i="1" s="1"/>
  <c r="E211" i="2"/>
  <c r="N211" i="2" s="1"/>
  <c r="N212" i="2" s="1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J21" i="2" s="1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48" i="1"/>
  <c r="AB448" i="1" s="1"/>
  <c r="AC448" i="1" s="1"/>
  <c r="P449" i="1"/>
  <c r="AB449" i="1" s="1"/>
  <c r="AC449" i="1" s="1"/>
  <c r="P273" i="1"/>
  <c r="AB273" i="1" s="1"/>
  <c r="AC273" i="1" s="1"/>
  <c r="P445" i="1"/>
  <c r="AB445" i="1" s="1"/>
  <c r="AC445" i="1" s="1"/>
  <c r="P274" i="1"/>
  <c r="AB274" i="1" s="1"/>
  <c r="AC274" i="1" s="1"/>
  <c r="P270" i="1"/>
  <c r="AB270" i="1" s="1"/>
  <c r="AC270" i="1" s="1"/>
  <c r="AB438" i="1"/>
  <c r="AC438" i="1" s="1"/>
  <c r="P99" i="1"/>
  <c r="AB99" i="1" s="1"/>
  <c r="AC99" i="1" s="1"/>
  <c r="AB91" i="1"/>
  <c r="AC91" i="1" s="1"/>
  <c r="O104" i="1"/>
  <c r="J426" i="2"/>
  <c r="J424" i="2"/>
  <c r="J479" i="2" l="1"/>
  <c r="J432" i="2"/>
  <c r="P101" i="1"/>
  <c r="AB444" i="1"/>
  <c r="AC444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H211" i="2"/>
  <c r="H212" i="2" s="1"/>
  <c r="G211" i="2"/>
  <c r="G212" i="2" s="1"/>
  <c r="J211" i="2"/>
  <c r="J212" i="2" s="1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E320" i="2" l="1"/>
  <c r="AG211" i="2"/>
  <c r="AH211" i="2" s="1"/>
  <c r="F212" i="2"/>
  <c r="P104" i="1"/>
  <c r="AB101" i="1"/>
  <c r="AC101" i="1" s="1"/>
  <c r="O126" i="1"/>
  <c r="J439" i="2"/>
  <c r="J460" i="2" s="1"/>
  <c r="J467" i="2" s="1"/>
  <c r="P124" i="1" l="1"/>
  <c r="AB104" i="1"/>
  <c r="AC104" i="1" s="1"/>
  <c r="O318" i="1"/>
  <c r="O447" i="1"/>
  <c r="O272" i="1"/>
  <c r="O314" i="1"/>
  <c r="O320" i="1"/>
  <c r="O278" i="1"/>
  <c r="O453" i="1"/>
  <c r="O316" i="1"/>
  <c r="O281" i="1"/>
  <c r="E58" i="2"/>
  <c r="N58" i="2" s="1"/>
  <c r="O322" i="1"/>
  <c r="P126" i="1" l="1"/>
  <c r="AB124" i="1"/>
  <c r="AC124" i="1" s="1"/>
  <c r="Z58" i="2"/>
  <c r="J58" i="2"/>
  <c r="U58" i="2"/>
  <c r="L58" i="2"/>
  <c r="R58" i="2"/>
  <c r="V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57" i="1"/>
  <c r="E248" i="2"/>
  <c r="N248" i="2" s="1"/>
  <c r="O324" i="1"/>
  <c r="P316" i="1" l="1"/>
  <c r="P314" i="1"/>
  <c r="P453" i="1"/>
  <c r="AB453" i="1" s="1"/>
  <c r="AC453" i="1" s="1"/>
  <c r="P320" i="1"/>
  <c r="AB320" i="1" s="1"/>
  <c r="AC320" i="1" s="1"/>
  <c r="E59" i="2"/>
  <c r="N59" i="2" s="1"/>
  <c r="N60" i="2" s="1"/>
  <c r="P447" i="1"/>
  <c r="P278" i="1"/>
  <c r="AB278" i="1" s="1"/>
  <c r="AC278" i="1" s="1"/>
  <c r="P322" i="1"/>
  <c r="AB322" i="1" s="1"/>
  <c r="AC322" i="1" s="1"/>
  <c r="P281" i="1"/>
  <c r="AB281" i="1" s="1"/>
  <c r="AC281" i="1" s="1"/>
  <c r="P318" i="1"/>
  <c r="AB318" i="1" s="1"/>
  <c r="AC318" i="1" s="1"/>
  <c r="P272" i="1"/>
  <c r="AB126" i="1"/>
  <c r="F248" i="2"/>
  <c r="AB248" i="2"/>
  <c r="J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J286" i="2"/>
  <c r="AB286" i="2"/>
  <c r="AA286" i="2"/>
  <c r="AE286" i="2"/>
  <c r="R286" i="2"/>
  <c r="O459" i="1"/>
  <c r="O285" i="1"/>
  <c r="AC126" i="1" l="1"/>
  <c r="E249" i="2"/>
  <c r="N249" i="2" s="1"/>
  <c r="N250" i="2" s="1"/>
  <c r="P324" i="1"/>
  <c r="AB324" i="1" s="1"/>
  <c r="AC324" i="1" s="1"/>
  <c r="AB314" i="1"/>
  <c r="AC314" i="1" s="1"/>
  <c r="E287" i="2"/>
  <c r="AB316" i="1"/>
  <c r="AC316" i="1" s="1"/>
  <c r="P457" i="1"/>
  <c r="AB447" i="1"/>
  <c r="AC447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J60" i="2" s="1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1" i="1"/>
  <c r="O129" i="1"/>
  <c r="E134" i="2"/>
  <c r="O287" i="1"/>
  <c r="O326" i="1"/>
  <c r="E498" i="2" l="1"/>
  <c r="N134" i="2"/>
  <c r="AG59" i="2"/>
  <c r="AH59" i="2" s="1"/>
  <c r="F60" i="2"/>
  <c r="P285" i="1"/>
  <c r="AB283" i="1"/>
  <c r="AC283" i="1" s="1"/>
  <c r="P459" i="1"/>
  <c r="P461" i="1" s="1"/>
  <c r="E173" i="2" s="1"/>
  <c r="N173" i="2" s="1"/>
  <c r="AB457" i="1"/>
  <c r="AC457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J288" i="2" s="1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J250" i="2" s="1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J134" i="2"/>
  <c r="T134" i="2"/>
  <c r="V134" i="2"/>
  <c r="L134" i="2"/>
  <c r="I134" i="2"/>
  <c r="G134" i="2"/>
  <c r="AE134" i="2"/>
  <c r="Q134" i="2"/>
  <c r="M134" i="2"/>
  <c r="Y134" i="2"/>
  <c r="AF134" i="2"/>
  <c r="X134" i="2"/>
  <c r="U134" i="2"/>
  <c r="H134" i="2"/>
  <c r="F134" i="2"/>
  <c r="AA134" i="2"/>
  <c r="S134" i="2"/>
  <c r="AD134" i="2"/>
  <c r="O134" i="2"/>
  <c r="W134" i="2"/>
  <c r="R134" i="2"/>
  <c r="AC134" i="2"/>
  <c r="P134" i="2"/>
  <c r="Z134" i="2"/>
  <c r="O133" i="1"/>
  <c r="E172" i="2"/>
  <c r="N172" i="2" s="1"/>
  <c r="N174" i="2" l="1"/>
  <c r="E322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26" i="1"/>
  <c r="E135" i="2"/>
  <c r="P287" i="1"/>
  <c r="AG287" i="2"/>
  <c r="AH287" i="2" s="1"/>
  <c r="F288" i="2"/>
  <c r="AC172" i="2"/>
  <c r="V172" i="2"/>
  <c r="J172" i="2"/>
  <c r="W172" i="2"/>
  <c r="E174" i="2"/>
  <c r="Z172" i="2"/>
  <c r="U172" i="2"/>
  <c r="P172" i="2"/>
  <c r="O172" i="2"/>
  <c r="AE172" i="2"/>
  <c r="I172" i="2"/>
  <c r="F172" i="2"/>
  <c r="G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O144" i="1"/>
  <c r="E499" i="2" l="1"/>
  <c r="N135" i="2"/>
  <c r="N499" i="2" s="1"/>
  <c r="Z174" i="2"/>
  <c r="I174" i="2"/>
  <c r="U174" i="2"/>
  <c r="E97" i="2"/>
  <c r="N97" i="2" s="1"/>
  <c r="F174" i="2"/>
  <c r="S174" i="2"/>
  <c r="AA174" i="2"/>
  <c r="M174" i="2"/>
  <c r="AE174" i="2"/>
  <c r="AC174" i="2"/>
  <c r="T174" i="2"/>
  <c r="R174" i="2"/>
  <c r="H174" i="2"/>
  <c r="Y174" i="2"/>
  <c r="P174" i="2"/>
  <c r="O174" i="2"/>
  <c r="L174" i="2"/>
  <c r="AB174" i="2"/>
  <c r="J174" i="2"/>
  <c r="AD174" i="2"/>
  <c r="X174" i="2"/>
  <c r="V174" i="2"/>
  <c r="AF174" i="2"/>
  <c r="Q174" i="2"/>
  <c r="G174" i="2"/>
  <c r="W174" i="2"/>
  <c r="AG173" i="2"/>
  <c r="AH173" i="2" s="1"/>
  <c r="R135" i="2"/>
  <c r="R499" i="2" s="1"/>
  <c r="S135" i="2"/>
  <c r="S499" i="2" s="1"/>
  <c r="AF135" i="2"/>
  <c r="AF499" i="2" s="1"/>
  <c r="M135" i="2"/>
  <c r="M499" i="2" s="1"/>
  <c r="AC135" i="2"/>
  <c r="AC499" i="2" s="1"/>
  <c r="J135" i="2"/>
  <c r="J499" i="2" s="1"/>
  <c r="Y135" i="2"/>
  <c r="Y499" i="2" s="1"/>
  <c r="T135" i="2"/>
  <c r="T499" i="2" s="1"/>
  <c r="P135" i="2"/>
  <c r="P499" i="2" s="1"/>
  <c r="AE135" i="2"/>
  <c r="AE499" i="2" s="1"/>
  <c r="Q135" i="2"/>
  <c r="Q499" i="2" s="1"/>
  <c r="X135" i="2"/>
  <c r="X499" i="2" s="1"/>
  <c r="K135" i="2"/>
  <c r="K499" i="2" s="1"/>
  <c r="Z135" i="2"/>
  <c r="Z499" i="2" s="1"/>
  <c r="O135" i="2"/>
  <c r="O499" i="2" s="1"/>
  <c r="AD135" i="2"/>
  <c r="AD499" i="2" s="1"/>
  <c r="G135" i="2"/>
  <c r="G499" i="2" s="1"/>
  <c r="W135" i="2"/>
  <c r="W499" i="2" s="1"/>
  <c r="AB135" i="2"/>
  <c r="AB499" i="2" s="1"/>
  <c r="U135" i="2"/>
  <c r="U499" i="2" s="1"/>
  <c r="L135" i="2"/>
  <c r="L499" i="2" s="1"/>
  <c r="V135" i="2"/>
  <c r="V499" i="2" s="1"/>
  <c r="H135" i="2"/>
  <c r="H499" i="2" s="1"/>
  <c r="AA135" i="2"/>
  <c r="AA499" i="2" s="1"/>
  <c r="F135" i="2"/>
  <c r="F499" i="2" s="1"/>
  <c r="I135" i="2"/>
  <c r="I499" i="2" s="1"/>
  <c r="E136" i="2"/>
  <c r="E96" i="2"/>
  <c r="N96" i="2" s="1"/>
  <c r="AG499" i="2" l="1"/>
  <c r="AK499" i="2" s="1"/>
  <c r="N136" i="2"/>
  <c r="N98" i="2"/>
  <c r="AE136" i="2"/>
  <c r="G97" i="2"/>
  <c r="G517" i="2" s="1"/>
  <c r="M97" i="2"/>
  <c r="M517" i="2" s="1"/>
  <c r="K97" i="2"/>
  <c r="K517" i="2" s="1"/>
  <c r="AA97" i="2"/>
  <c r="AA517" i="2" s="1"/>
  <c r="AA546" i="2" s="1"/>
  <c r="Q97" i="2"/>
  <c r="Q517" i="2" s="1"/>
  <c r="Q546" i="2" s="1"/>
  <c r="P97" i="2"/>
  <c r="P517" i="2" s="1"/>
  <c r="X97" i="2"/>
  <c r="X517" i="2" s="1"/>
  <c r="X620" i="2" s="1"/>
  <c r="X621" i="2" s="1"/>
  <c r="O97" i="2"/>
  <c r="O517" i="2" s="1"/>
  <c r="N517" i="2"/>
  <c r="Y97" i="2"/>
  <c r="Y517" i="2" s="1"/>
  <c r="Y546" i="2" s="1"/>
  <c r="U97" i="2"/>
  <c r="U517" i="2" s="1"/>
  <c r="U546" i="2" s="1"/>
  <c r="AB97" i="2"/>
  <c r="AB517" i="2" s="1"/>
  <c r="AB546" i="2" s="1"/>
  <c r="AF97" i="2"/>
  <c r="AF517" i="2" s="1"/>
  <c r="AF620" i="2" s="1"/>
  <c r="AF621" i="2" s="1"/>
  <c r="AE97" i="2"/>
  <c r="AD97" i="2"/>
  <c r="AD517" i="2" s="1"/>
  <c r="AD620" i="2" s="1"/>
  <c r="AD621" i="2" s="1"/>
  <c r="S97" i="2"/>
  <c r="S517" i="2" s="1"/>
  <c r="S546" i="2" s="1"/>
  <c r="Z97" i="2"/>
  <c r="Z517" i="2" s="1"/>
  <c r="Z620" i="2" s="1"/>
  <c r="Z621" i="2" s="1"/>
  <c r="R97" i="2"/>
  <c r="R517" i="2" s="1"/>
  <c r="R546" i="2" s="1"/>
  <c r="E517" i="2"/>
  <c r="V97" i="2"/>
  <c r="V517" i="2" s="1"/>
  <c r="V546" i="2" s="1"/>
  <c r="T97" i="2"/>
  <c r="T517" i="2" s="1"/>
  <c r="T620" i="2" s="1"/>
  <c r="T621" i="2" s="1"/>
  <c r="I97" i="2"/>
  <c r="I517" i="2" s="1"/>
  <c r="AC97" i="2"/>
  <c r="AC517" i="2" s="1"/>
  <c r="AC546" i="2" s="1"/>
  <c r="H97" i="2"/>
  <c r="H517" i="2" s="1"/>
  <c r="J97" i="2"/>
  <c r="J517" i="2" s="1"/>
  <c r="F97" i="2"/>
  <c r="F517" i="2" s="1"/>
  <c r="W97" i="2"/>
  <c r="W517" i="2" s="1"/>
  <c r="W546" i="2" s="1"/>
  <c r="L97" i="2"/>
  <c r="L517" i="2" s="1"/>
  <c r="I136" i="2"/>
  <c r="AG135" i="2"/>
  <c r="F136" i="2"/>
  <c r="G136" i="2"/>
  <c r="P136" i="2"/>
  <c r="AF136" i="2"/>
  <c r="AA136" i="2"/>
  <c r="AD136" i="2"/>
  <c r="D498" i="2"/>
  <c r="E507" i="2" s="1"/>
  <c r="D499" i="2"/>
  <c r="E508" i="2" s="1"/>
  <c r="S136" i="2"/>
  <c r="H136" i="2"/>
  <c r="O136" i="2"/>
  <c r="T136" i="2"/>
  <c r="R136" i="2"/>
  <c r="V136" i="2"/>
  <c r="Z136" i="2"/>
  <c r="L136" i="2"/>
  <c r="Y136" i="2"/>
  <c r="U136" i="2"/>
  <c r="X136" i="2"/>
  <c r="J136" i="2"/>
  <c r="AB136" i="2"/>
  <c r="Q136" i="2"/>
  <c r="AC136" i="2"/>
  <c r="W136" i="2"/>
  <c r="M136" i="2"/>
  <c r="H96" i="2"/>
  <c r="Q96" i="2"/>
  <c r="V96" i="2"/>
  <c r="O96" i="2"/>
  <c r="AF96" i="2"/>
  <c r="AC96" i="2"/>
  <c r="E516" i="2"/>
  <c r="Y96" i="2"/>
  <c r="P96" i="2"/>
  <c r="R96" i="2"/>
  <c r="T96" i="2"/>
  <c r="AB96" i="2"/>
  <c r="AD96" i="2"/>
  <c r="M96" i="2"/>
  <c r="S96" i="2"/>
  <c r="J96" i="2"/>
  <c r="U96" i="2"/>
  <c r="AA96" i="2"/>
  <c r="AE96" i="2"/>
  <c r="E98" i="2"/>
  <c r="L96" i="2"/>
  <c r="G96" i="2"/>
  <c r="Z96" i="2"/>
  <c r="X96" i="2"/>
  <c r="W96" i="2"/>
  <c r="I96" i="2"/>
  <c r="F96" i="2"/>
  <c r="L546" i="2" l="1"/>
  <c r="L620" i="2"/>
  <c r="K620" i="2"/>
  <c r="K546" i="2"/>
  <c r="M546" i="2"/>
  <c r="M620" i="2"/>
  <c r="J546" i="2"/>
  <c r="J620" i="2"/>
  <c r="G546" i="2"/>
  <c r="G620" i="2"/>
  <c r="H546" i="2"/>
  <c r="H620" i="2"/>
  <c r="O546" i="2"/>
  <c r="O620" i="2"/>
  <c r="I546" i="2"/>
  <c r="I620" i="2"/>
  <c r="N620" i="2"/>
  <c r="N546" i="2"/>
  <c r="AH135" i="2"/>
  <c r="AA620" i="2"/>
  <c r="AA621" i="2" s="1"/>
  <c r="AB620" i="2"/>
  <c r="AB621" i="2" s="1"/>
  <c r="U620" i="2"/>
  <c r="U621" i="2" s="1"/>
  <c r="X546" i="2"/>
  <c r="AD546" i="2"/>
  <c r="V620" i="2"/>
  <c r="V621" i="2" s="1"/>
  <c r="T546" i="2"/>
  <c r="Y620" i="2"/>
  <c r="Y621" i="2" s="1"/>
  <c r="W620" i="2"/>
  <c r="W621" i="2" s="1"/>
  <c r="AC620" i="2"/>
  <c r="AC621" i="2" s="1"/>
  <c r="Z546" i="2"/>
  <c r="AG97" i="2"/>
  <c r="AH97" i="2" s="1"/>
  <c r="W537" i="2"/>
  <c r="Y537" i="2"/>
  <c r="AD537" i="2"/>
  <c r="U537" i="2"/>
  <c r="V537" i="2"/>
  <c r="AB537" i="2"/>
  <c r="AC537" i="2"/>
  <c r="X537" i="2"/>
  <c r="Z537" i="2"/>
  <c r="T537" i="2"/>
  <c r="AA537" i="2"/>
  <c r="AI135" i="2"/>
  <c r="AG517" i="2"/>
  <c r="AH517" i="2" s="1"/>
  <c r="F546" i="2"/>
  <c r="F98" i="2"/>
  <c r="S98" i="2"/>
  <c r="AE98" i="2"/>
  <c r="V98" i="2"/>
  <c r="Z98" i="2"/>
  <c r="T98" i="2"/>
  <c r="G98" i="2"/>
  <c r="AA98" i="2"/>
  <c r="M98" i="2"/>
  <c r="R98" i="2"/>
  <c r="AC98" i="2"/>
  <c r="U98" i="2"/>
  <c r="AD98" i="2"/>
  <c r="P98" i="2"/>
  <c r="AF98" i="2"/>
  <c r="Q98" i="2"/>
  <c r="I98" i="2"/>
  <c r="W98" i="2"/>
  <c r="L98" i="2"/>
  <c r="X98" i="2"/>
  <c r="J98" i="2"/>
  <c r="AB98" i="2"/>
  <c r="Y98" i="2"/>
  <c r="O98" i="2"/>
  <c r="H98" i="2"/>
  <c r="AH499" i="2" l="1"/>
  <c r="C600" i="2" l="1"/>
  <c r="F600" i="2"/>
  <c r="Q610" i="2"/>
  <c r="Q611" i="2" s="1"/>
  <c r="F610" i="2"/>
  <c r="F611" i="2" s="1"/>
  <c r="L524" i="2"/>
  <c r="I524" i="2"/>
  <c r="Q524" i="2"/>
  <c r="R610" i="2"/>
  <c r="R611" i="2" s="1"/>
  <c r="N524" i="2"/>
  <c r="P524" i="2"/>
  <c r="G524" i="2"/>
  <c r="E524" i="2"/>
  <c r="Q600" i="2"/>
  <c r="J524" i="2"/>
  <c r="K524" i="2"/>
  <c r="H524" i="2"/>
  <c r="F524" i="2"/>
  <c r="O524" i="2"/>
  <c r="E639" i="2"/>
  <c r="F639" i="2" s="1"/>
  <c r="G639" i="2" s="1"/>
  <c r="H639" i="2" s="1"/>
  <c r="M524" i="2"/>
  <c r="R600" i="2"/>
  <c r="R524" i="2"/>
  <c r="S600" i="2"/>
  <c r="E526" i="2"/>
  <c r="E525" i="2"/>
  <c r="I639" i="2" l="1"/>
  <c r="Q639" i="2"/>
  <c r="R639" i="2" s="1"/>
  <c r="Q620" i="2"/>
  <c r="S620" i="2"/>
  <c r="R620" i="2"/>
  <c r="F620" i="2"/>
  <c r="J639" i="2" l="1"/>
  <c r="K639" i="2" s="1"/>
  <c r="L639" i="2" s="1"/>
  <c r="M639" i="2" s="1"/>
  <c r="N639" i="2" s="1"/>
  <c r="O639" i="2" s="1"/>
  <c r="O93" i="15"/>
  <c r="C200" i="15"/>
  <c r="Q93" i="15"/>
  <c r="H13" i="15" s="1"/>
  <c r="H25" i="15" s="1"/>
  <c r="O95" i="15"/>
  <c r="R95" i="15" s="1"/>
  <c r="E427" i="2" l="1"/>
  <c r="P397" i="2" s="1"/>
  <c r="P97" i="15"/>
  <c r="G13" i="15" s="1"/>
  <c r="G25" i="15" s="1"/>
  <c r="O97" i="15"/>
  <c r="F13" i="15" s="1"/>
  <c r="T95" i="15"/>
  <c r="K13" i="15" s="1"/>
  <c r="I13" i="15"/>
  <c r="O200" i="15"/>
  <c r="C201" i="15"/>
  <c r="C36" i="15" s="1"/>
  <c r="K427" i="2"/>
  <c r="AG427" i="2" s="1"/>
  <c r="AA398" i="2" l="1"/>
  <c r="AF397" i="2"/>
  <c r="I397" i="2"/>
  <c r="S397" i="2"/>
  <c r="N398" i="2"/>
  <c r="AD397" i="2"/>
  <c r="J397" i="2"/>
  <c r="Z397" i="2"/>
  <c r="L398" i="2"/>
  <c r="X398" i="2"/>
  <c r="AE398" i="2"/>
  <c r="AH427" i="2"/>
  <c r="Q397" i="2"/>
  <c r="F398" i="2"/>
  <c r="AE397" i="2"/>
  <c r="T397" i="2"/>
  <c r="R398" i="2"/>
  <c r="H397" i="2"/>
  <c r="G398" i="2"/>
  <c r="G397" i="2"/>
  <c r="AA397" i="2"/>
  <c r="X397" i="2"/>
  <c r="T398" i="2"/>
  <c r="L397" i="2"/>
  <c r="M397" i="2"/>
  <c r="S398" i="2"/>
  <c r="AB397" i="2"/>
  <c r="I398" i="2"/>
  <c r="U397" i="2"/>
  <c r="AD398" i="2"/>
  <c r="O398" i="2"/>
  <c r="H398" i="2"/>
  <c r="AC397" i="2"/>
  <c r="P398" i="2"/>
  <c r="V397" i="2"/>
  <c r="O397" i="2"/>
  <c r="Q398" i="2"/>
  <c r="AC398" i="2"/>
  <c r="M398" i="2"/>
  <c r="W397" i="2"/>
  <c r="J398" i="2"/>
  <c r="R397" i="2"/>
  <c r="F397" i="2"/>
  <c r="Y398" i="2"/>
  <c r="Z398" i="2"/>
  <c r="W398" i="2"/>
  <c r="N397" i="2"/>
  <c r="Y397" i="2"/>
  <c r="V398" i="2"/>
  <c r="U398" i="2"/>
  <c r="AF398" i="2"/>
  <c r="AB398" i="2"/>
  <c r="K426" i="2"/>
  <c r="K479" i="2" s="1"/>
  <c r="I25" i="15"/>
  <c r="K424" i="2"/>
  <c r="AG424" i="2" s="1"/>
  <c r="K25" i="15"/>
  <c r="E424" i="2" s="1"/>
  <c r="O201" i="15"/>
  <c r="P200" i="15"/>
  <c r="F25" i="15"/>
  <c r="K428" i="2"/>
  <c r="K397" i="2"/>
  <c r="K398" i="2"/>
  <c r="K446" i="2" l="1"/>
  <c r="K453" i="2" s="1"/>
  <c r="K610" i="2"/>
  <c r="K544" i="2"/>
  <c r="K535" i="2"/>
  <c r="K558" i="2" s="1"/>
  <c r="E428" i="2"/>
  <c r="AG398" i="2"/>
  <c r="AH398" i="2" s="1"/>
  <c r="AG397" i="2"/>
  <c r="AH397" i="2" s="1"/>
  <c r="E426" i="2"/>
  <c r="E432" i="2" s="1"/>
  <c r="O435" i="2" s="1"/>
  <c r="O436" i="2" s="1"/>
  <c r="AG479" i="2"/>
  <c r="AH479" i="2" s="1"/>
  <c r="AH424" i="2"/>
  <c r="AG428" i="2"/>
  <c r="AH428" i="2" s="1"/>
  <c r="AG426" i="2"/>
  <c r="K432" i="2"/>
  <c r="K583" i="2" l="1"/>
  <c r="K609" i="2"/>
  <c r="K611" i="2" s="1"/>
  <c r="Z396" i="2"/>
  <c r="AD396" i="2"/>
  <c r="H396" i="2"/>
  <c r="AB396" i="2"/>
  <c r="G396" i="2"/>
  <c r="S435" i="2"/>
  <c r="S436" i="2" s="1"/>
  <c r="AA435" i="2"/>
  <c r="F396" i="2"/>
  <c r="P396" i="2"/>
  <c r="U435" i="2"/>
  <c r="U436" i="2" s="1"/>
  <c r="I396" i="2"/>
  <c r="V396" i="2"/>
  <c r="U396" i="2"/>
  <c r="Q396" i="2"/>
  <c r="AH426" i="2"/>
  <c r="J396" i="2"/>
  <c r="X396" i="2"/>
  <c r="I435" i="2"/>
  <c r="I436" i="2" s="1"/>
  <c r="Q435" i="2"/>
  <c r="Q436" i="2" s="1"/>
  <c r="AB435" i="2"/>
  <c r="O396" i="2"/>
  <c r="AE396" i="2"/>
  <c r="T435" i="2"/>
  <c r="T436" i="2" s="1"/>
  <c r="W435" i="2"/>
  <c r="AE435" i="2"/>
  <c r="AA396" i="2"/>
  <c r="K396" i="2"/>
  <c r="P435" i="2"/>
  <c r="P436" i="2" s="1"/>
  <c r="AC435" i="2"/>
  <c r="N435" i="2"/>
  <c r="N436" i="2" s="1"/>
  <c r="S396" i="2"/>
  <c r="J435" i="2"/>
  <c r="J436" i="2" s="1"/>
  <c r="X435" i="2"/>
  <c r="Z435" i="2"/>
  <c r="AF435" i="2"/>
  <c r="Y396" i="2"/>
  <c r="W396" i="2"/>
  <c r="L435" i="2"/>
  <c r="L436" i="2" s="1"/>
  <c r="R435" i="2"/>
  <c r="R436" i="2" s="1"/>
  <c r="V435" i="2"/>
  <c r="Y435" i="2"/>
  <c r="R396" i="2"/>
  <c r="M396" i="2"/>
  <c r="N396" i="2"/>
  <c r="F435" i="2"/>
  <c r="F436" i="2" s="1"/>
  <c r="M435" i="2"/>
  <c r="M436" i="2" s="1"/>
  <c r="AD435" i="2"/>
  <c r="E439" i="2"/>
  <c r="U442" i="2" s="1"/>
  <c r="U443" i="2" s="1"/>
  <c r="AF396" i="2"/>
  <c r="T396" i="2"/>
  <c r="L396" i="2"/>
  <c r="AC396" i="2"/>
  <c r="H435" i="2"/>
  <c r="H436" i="2" s="1"/>
  <c r="G435" i="2"/>
  <c r="G436" i="2" s="1"/>
  <c r="K435" i="2"/>
  <c r="K439" i="2"/>
  <c r="K460" i="2" s="1"/>
  <c r="K467" i="2" s="1"/>
  <c r="AG432" i="2"/>
  <c r="AH432" i="2" s="1"/>
  <c r="AG446" i="2"/>
  <c r="AH446" i="2" s="1"/>
  <c r="K476" i="2"/>
  <c r="T442" i="2" l="1"/>
  <c r="T443" i="2" s="1"/>
  <c r="L442" i="2"/>
  <c r="L443" i="2" s="1"/>
  <c r="AF442" i="2"/>
  <c r="M442" i="2"/>
  <c r="M443" i="2" s="1"/>
  <c r="P442" i="2"/>
  <c r="P443" i="2" s="1"/>
  <c r="Q442" i="2"/>
  <c r="Q443" i="2" s="1"/>
  <c r="R442" i="2"/>
  <c r="R443" i="2" s="1"/>
  <c r="J442" i="2"/>
  <c r="J443" i="2" s="1"/>
  <c r="X442" i="2"/>
  <c r="F442" i="2"/>
  <c r="F443" i="2" s="1"/>
  <c r="AC442" i="2"/>
  <c r="H442" i="2"/>
  <c r="H443" i="2" s="1"/>
  <c r="S442" i="2"/>
  <c r="S443" i="2" s="1"/>
  <c r="AA442" i="2"/>
  <c r="G442" i="2"/>
  <c r="G443" i="2" s="1"/>
  <c r="V442" i="2"/>
  <c r="O442" i="2"/>
  <c r="O443" i="2" s="1"/>
  <c r="Z442" i="2"/>
  <c r="I442" i="2"/>
  <c r="I443" i="2" s="1"/>
  <c r="N442" i="2"/>
  <c r="N443" i="2" s="1"/>
  <c r="AE442" i="2"/>
  <c r="W442" i="2"/>
  <c r="AB442" i="2"/>
  <c r="Y442" i="2"/>
  <c r="AD442" i="2"/>
  <c r="AG396" i="2"/>
  <c r="AH396" i="2" s="1"/>
  <c r="E467" i="2"/>
  <c r="AD463" i="2"/>
  <c r="AD464" i="2" s="1"/>
  <c r="AD465" i="2" s="1"/>
  <c r="AC463" i="2"/>
  <c r="AC464" i="2" s="1"/>
  <c r="AC465" i="2" s="1"/>
  <c r="AF463" i="2"/>
  <c r="AF464" i="2" s="1"/>
  <c r="AF465" i="2" s="1"/>
  <c r="AB463" i="2"/>
  <c r="AB464" i="2" s="1"/>
  <c r="AB465" i="2" s="1"/>
  <c r="X463" i="2"/>
  <c r="X464" i="2" s="1"/>
  <c r="X465" i="2" s="1"/>
  <c r="P463" i="2"/>
  <c r="P464" i="2" s="1"/>
  <c r="P465" i="2" s="1"/>
  <c r="O463" i="2"/>
  <c r="O464" i="2" s="1"/>
  <c r="O465" i="2" s="1"/>
  <c r="Q463" i="2"/>
  <c r="Q464" i="2" s="1"/>
  <c r="Q465" i="2" s="1"/>
  <c r="N463" i="2"/>
  <c r="N464" i="2" s="1"/>
  <c r="N465" i="2" s="1"/>
  <c r="W463" i="2"/>
  <c r="W464" i="2" s="1"/>
  <c r="W465" i="2" s="1"/>
  <c r="M463" i="2"/>
  <c r="M464" i="2" s="1"/>
  <c r="M465" i="2" s="1"/>
  <c r="U463" i="2"/>
  <c r="U464" i="2" s="1"/>
  <c r="U465" i="2" s="1"/>
  <c r="S463" i="2"/>
  <c r="S464" i="2" s="1"/>
  <c r="S465" i="2" s="1"/>
  <c r="T463" i="2"/>
  <c r="T464" i="2" s="1"/>
  <c r="T465" i="2" s="1"/>
  <c r="R463" i="2"/>
  <c r="R464" i="2" s="1"/>
  <c r="R465" i="2" s="1"/>
  <c r="AA463" i="2"/>
  <c r="AA464" i="2" s="1"/>
  <c r="AA465" i="2" s="1"/>
  <c r="AE463" i="2"/>
  <c r="AE464" i="2" s="1"/>
  <c r="AE465" i="2" s="1"/>
  <c r="V463" i="2"/>
  <c r="V464" i="2" s="1"/>
  <c r="V465" i="2" s="1"/>
  <c r="Y463" i="2"/>
  <c r="Y464" i="2" s="1"/>
  <c r="Y465" i="2" s="1"/>
  <c r="Z463" i="2"/>
  <c r="Z464" i="2" s="1"/>
  <c r="Z465" i="2" s="1"/>
  <c r="I463" i="2"/>
  <c r="I464" i="2" s="1"/>
  <c r="I465" i="2" s="1"/>
  <c r="H463" i="2"/>
  <c r="H464" i="2" s="1"/>
  <c r="H465" i="2" s="1"/>
  <c r="G463" i="2"/>
  <c r="G464" i="2" s="1"/>
  <c r="G465" i="2" s="1"/>
  <c r="F463" i="2"/>
  <c r="F464" i="2" s="1"/>
  <c r="F465" i="2" s="1"/>
  <c r="L463" i="2"/>
  <c r="L464" i="2" s="1"/>
  <c r="L465" i="2" s="1"/>
  <c r="J463" i="2"/>
  <c r="J464" i="2" s="1"/>
  <c r="J465" i="2" s="1"/>
  <c r="AG453" i="2"/>
  <c r="AH453" i="2" s="1"/>
  <c r="K449" i="2"/>
  <c r="K456" i="2"/>
  <c r="AG439" i="2"/>
  <c r="AH439" i="2" s="1"/>
  <c r="K442" i="2"/>
  <c r="AG476" i="2"/>
  <c r="AH476" i="2" s="1"/>
  <c r="K477" i="2"/>
  <c r="K436" i="2"/>
  <c r="AG436" i="2" s="1"/>
  <c r="AH436" i="2" s="1"/>
  <c r="AG435" i="2"/>
  <c r="AH435" i="2" s="1"/>
  <c r="O207" i="2" l="1"/>
  <c r="O16" i="2"/>
  <c r="O55" i="2"/>
  <c r="O93" i="2"/>
  <c r="O516" i="2" s="1"/>
  <c r="H16" i="2"/>
  <c r="H207" i="2"/>
  <c r="H55" i="2"/>
  <c r="H93" i="2"/>
  <c r="H516" i="2" s="1"/>
  <c r="T207" i="2"/>
  <c r="T16" i="2"/>
  <c r="T55" i="2"/>
  <c r="T93" i="2"/>
  <c r="T516" i="2" s="1"/>
  <c r="P207" i="2"/>
  <c r="P16" i="2"/>
  <c r="P55" i="2"/>
  <c r="P93" i="2"/>
  <c r="P516" i="2" s="1"/>
  <c r="I207" i="2"/>
  <c r="I16" i="2"/>
  <c r="I55" i="2"/>
  <c r="I93" i="2"/>
  <c r="I516" i="2" s="1"/>
  <c r="S207" i="2"/>
  <c r="S16" i="2"/>
  <c r="S55" i="2"/>
  <c r="S93" i="2"/>
  <c r="S516" i="2" s="1"/>
  <c r="X207" i="2"/>
  <c r="X16" i="2"/>
  <c r="X55" i="2"/>
  <c r="X93" i="2"/>
  <c r="X516" i="2" s="1"/>
  <c r="Z207" i="2"/>
  <c r="Z16" i="2"/>
  <c r="Z55" i="2"/>
  <c r="Z93" i="2"/>
  <c r="Z516" i="2" s="1"/>
  <c r="AB207" i="2"/>
  <c r="AB16" i="2"/>
  <c r="AB55" i="2"/>
  <c r="AB93" i="2"/>
  <c r="AB516" i="2" s="1"/>
  <c r="AF207" i="2"/>
  <c r="AF16" i="2"/>
  <c r="AF55" i="2"/>
  <c r="AF93" i="2"/>
  <c r="AF516" i="2" s="1"/>
  <c r="AF615" i="2" s="1"/>
  <c r="AF616" i="2" s="1"/>
  <c r="J93" i="2"/>
  <c r="J516" i="2" s="1"/>
  <c r="J16" i="2"/>
  <c r="J55" i="2"/>
  <c r="J207" i="2"/>
  <c r="V16" i="2"/>
  <c r="V207" i="2"/>
  <c r="V55" i="2"/>
  <c r="V93" i="2"/>
  <c r="V516" i="2" s="1"/>
  <c r="W16" i="2"/>
  <c r="W207" i="2"/>
  <c r="W55" i="2"/>
  <c r="W93" i="2"/>
  <c r="W516" i="2" s="1"/>
  <c r="AC16" i="2"/>
  <c r="AC207" i="2"/>
  <c r="AC55" i="2"/>
  <c r="AC93" i="2"/>
  <c r="AC516" i="2" s="1"/>
  <c r="G55" i="2"/>
  <c r="G207" i="2"/>
  <c r="G16" i="2"/>
  <c r="G93" i="2"/>
  <c r="G516" i="2" s="1"/>
  <c r="U16" i="2"/>
  <c r="U207" i="2"/>
  <c r="U55" i="2"/>
  <c r="U93" i="2"/>
  <c r="U516" i="2" s="1"/>
  <c r="M16" i="2"/>
  <c r="M207" i="2"/>
  <c r="M55" i="2"/>
  <c r="M93" i="2"/>
  <c r="M516" i="2" s="1"/>
  <c r="L55" i="2"/>
  <c r="L207" i="2"/>
  <c r="L16" i="2"/>
  <c r="L93" i="2"/>
  <c r="L516" i="2" s="1"/>
  <c r="AE16" i="2"/>
  <c r="AE207" i="2"/>
  <c r="AE55" i="2"/>
  <c r="AE93" i="2"/>
  <c r="AE516" i="2" s="1"/>
  <c r="AE615" i="2" s="1"/>
  <c r="AE616" i="2" s="1"/>
  <c r="N207" i="2"/>
  <c r="N16" i="2"/>
  <c r="N55" i="2"/>
  <c r="N93" i="2"/>
  <c r="N516" i="2" s="1"/>
  <c r="AD207" i="2"/>
  <c r="AD16" i="2"/>
  <c r="AD55" i="2"/>
  <c r="AD93" i="2"/>
  <c r="AD516" i="2" s="1"/>
  <c r="R207" i="2"/>
  <c r="R16" i="2"/>
  <c r="R55" i="2"/>
  <c r="R93" i="2"/>
  <c r="R516" i="2" s="1"/>
  <c r="Y207" i="2"/>
  <c r="Y16" i="2"/>
  <c r="Y55" i="2"/>
  <c r="Y93" i="2"/>
  <c r="Y516" i="2" s="1"/>
  <c r="F16" i="2"/>
  <c r="F207" i="2"/>
  <c r="F55" i="2"/>
  <c r="F93" i="2"/>
  <c r="F516" i="2" s="1"/>
  <c r="AA16" i="2"/>
  <c r="AA207" i="2"/>
  <c r="AA55" i="2"/>
  <c r="AA93" i="2"/>
  <c r="AA516" i="2" s="1"/>
  <c r="Q207" i="2"/>
  <c r="Q16" i="2"/>
  <c r="Q55" i="2"/>
  <c r="Q93" i="2"/>
  <c r="Q516" i="2" s="1"/>
  <c r="AD470" i="2"/>
  <c r="AD471" i="2" s="1"/>
  <c r="AD472" i="2" s="1"/>
  <c r="W470" i="2"/>
  <c r="W471" i="2" s="1"/>
  <c r="W472" i="2" s="1"/>
  <c r="P470" i="2"/>
  <c r="P471" i="2" s="1"/>
  <c r="P472" i="2" s="1"/>
  <c r="V470" i="2"/>
  <c r="V471" i="2" s="1"/>
  <c r="V472" i="2" s="1"/>
  <c r="AA470" i="2"/>
  <c r="AA471" i="2" s="1"/>
  <c r="AA472" i="2" s="1"/>
  <c r="U470" i="2"/>
  <c r="U471" i="2" s="1"/>
  <c r="U472" i="2" s="1"/>
  <c r="AE470" i="2"/>
  <c r="AE471" i="2" s="1"/>
  <c r="AE472" i="2" s="1"/>
  <c r="AC470" i="2"/>
  <c r="AC471" i="2" s="1"/>
  <c r="AC472" i="2" s="1"/>
  <c r="Z470" i="2"/>
  <c r="Z471" i="2" s="1"/>
  <c r="Z472" i="2" s="1"/>
  <c r="M470" i="2"/>
  <c r="M471" i="2" s="1"/>
  <c r="M472" i="2" s="1"/>
  <c r="Y470" i="2"/>
  <c r="Y471" i="2" s="1"/>
  <c r="Y472" i="2" s="1"/>
  <c r="X470" i="2"/>
  <c r="X471" i="2" s="1"/>
  <c r="X472" i="2" s="1"/>
  <c r="T470" i="2"/>
  <c r="T471" i="2" s="1"/>
  <c r="T472" i="2" s="1"/>
  <c r="AF470" i="2"/>
  <c r="AF471" i="2" s="1"/>
  <c r="AF472" i="2" s="1"/>
  <c r="S470" i="2"/>
  <c r="S471" i="2" s="1"/>
  <c r="S472" i="2" s="1"/>
  <c r="AB470" i="2"/>
  <c r="AB471" i="2" s="1"/>
  <c r="AB472" i="2" s="1"/>
  <c r="N470" i="2"/>
  <c r="N471" i="2" s="1"/>
  <c r="N472" i="2" s="1"/>
  <c r="R470" i="2"/>
  <c r="R471" i="2" s="1"/>
  <c r="R472" i="2" s="1"/>
  <c r="Q470" i="2"/>
  <c r="Q471" i="2" s="1"/>
  <c r="Q472" i="2" s="1"/>
  <c r="O470" i="2"/>
  <c r="O471" i="2" s="1"/>
  <c r="O472" i="2" s="1"/>
  <c r="H470" i="2"/>
  <c r="H471" i="2" s="1"/>
  <c r="H472" i="2" s="1"/>
  <c r="I470" i="2"/>
  <c r="I471" i="2" s="1"/>
  <c r="I472" i="2" s="1"/>
  <c r="G470" i="2"/>
  <c r="G471" i="2" s="1"/>
  <c r="G472" i="2" s="1"/>
  <c r="L470" i="2"/>
  <c r="L471" i="2" s="1"/>
  <c r="L472" i="2" s="1"/>
  <c r="F470" i="2"/>
  <c r="F471" i="2" s="1"/>
  <c r="F472" i="2" s="1"/>
  <c r="J470" i="2"/>
  <c r="J471" i="2" s="1"/>
  <c r="J472" i="2" s="1"/>
  <c r="K24" i="2"/>
  <c r="AG477" i="2"/>
  <c r="AH477" i="2" s="1"/>
  <c r="K101" i="2"/>
  <c r="K63" i="2"/>
  <c r="AG456" i="2"/>
  <c r="AH456" i="2" s="1"/>
  <c r="K457" i="2"/>
  <c r="AG442" i="2"/>
  <c r="AH442" i="2" s="1"/>
  <c r="K443" i="2"/>
  <c r="AG443" i="2" s="1"/>
  <c r="AH443" i="2" s="1"/>
  <c r="AG449" i="2"/>
  <c r="AH449" i="2" s="1"/>
  <c r="K450" i="2"/>
  <c r="K463" i="2"/>
  <c r="AG460" i="2"/>
  <c r="AH460" i="2" s="1"/>
  <c r="L545" i="2" l="1"/>
  <c r="L615" i="2"/>
  <c r="H545" i="2"/>
  <c r="H615" i="2"/>
  <c r="M545" i="2"/>
  <c r="M615" i="2"/>
  <c r="G545" i="2"/>
  <c r="G615" i="2"/>
  <c r="I545" i="2"/>
  <c r="I615" i="2"/>
  <c r="O545" i="2"/>
  <c r="O615" i="2"/>
  <c r="J545" i="2"/>
  <c r="J615" i="2"/>
  <c r="AC283" i="2"/>
  <c r="AC245" i="2"/>
  <c r="AC169" i="2"/>
  <c r="AC131" i="2"/>
  <c r="N545" i="2"/>
  <c r="N615" i="2"/>
  <c r="S545" i="2"/>
  <c r="S615" i="2"/>
  <c r="AE283" i="2"/>
  <c r="AE245" i="2"/>
  <c r="AE169" i="2"/>
  <c r="AE131" i="2"/>
  <c r="Q545" i="2"/>
  <c r="Q615" i="2"/>
  <c r="AC545" i="2"/>
  <c r="AC615" i="2"/>
  <c r="AC616" i="2" s="1"/>
  <c r="H283" i="2"/>
  <c r="H169" i="2"/>
  <c r="H245" i="2"/>
  <c r="H131" i="2"/>
  <c r="O283" i="2"/>
  <c r="O169" i="2"/>
  <c r="O245" i="2"/>
  <c r="O131" i="2"/>
  <c r="X283" i="2"/>
  <c r="X169" i="2"/>
  <c r="X245" i="2"/>
  <c r="X131" i="2"/>
  <c r="V283" i="2"/>
  <c r="V169" i="2"/>
  <c r="V245" i="2"/>
  <c r="V131" i="2"/>
  <c r="AA615" i="2"/>
  <c r="AA616" i="2" s="1"/>
  <c r="AA545" i="2"/>
  <c r="Y615" i="2"/>
  <c r="Y616" i="2" s="1"/>
  <c r="Y545" i="2"/>
  <c r="AD545" i="2"/>
  <c r="AD615" i="2"/>
  <c r="AD616" i="2" s="1"/>
  <c r="W545" i="2"/>
  <c r="W615" i="2"/>
  <c r="W616" i="2" s="1"/>
  <c r="AB545" i="2"/>
  <c r="AB615" i="2"/>
  <c r="AB616" i="2" s="1"/>
  <c r="X615" i="2"/>
  <c r="X616" i="2" s="1"/>
  <c r="X545" i="2"/>
  <c r="T545" i="2"/>
  <c r="T615" i="2"/>
  <c r="T616" i="2" s="1"/>
  <c r="F545" i="2"/>
  <c r="F615" i="2"/>
  <c r="V545" i="2"/>
  <c r="V615" i="2"/>
  <c r="V616" i="2" s="1"/>
  <c r="S283" i="2"/>
  <c r="S245" i="2"/>
  <c r="S169" i="2"/>
  <c r="S131" i="2"/>
  <c r="U283" i="2"/>
  <c r="U169" i="2"/>
  <c r="U245" i="2"/>
  <c r="U131" i="2"/>
  <c r="Q283" i="2"/>
  <c r="Q245" i="2"/>
  <c r="Q169" i="2"/>
  <c r="Q131" i="2"/>
  <c r="Y283" i="2"/>
  <c r="Y245" i="2"/>
  <c r="Y169" i="2"/>
  <c r="Y131" i="2"/>
  <c r="P283" i="2"/>
  <c r="P169" i="2"/>
  <c r="P245" i="2"/>
  <c r="P131" i="2"/>
  <c r="AB283" i="2"/>
  <c r="AB169" i="2"/>
  <c r="AB245" i="2"/>
  <c r="AB131" i="2"/>
  <c r="G169" i="2"/>
  <c r="G131" i="2"/>
  <c r="G283" i="2"/>
  <c r="G245" i="2"/>
  <c r="AF283" i="2"/>
  <c r="AF245" i="2"/>
  <c r="AF169" i="2"/>
  <c r="AF131" i="2"/>
  <c r="T283" i="2"/>
  <c r="T245" i="2"/>
  <c r="T169" i="2"/>
  <c r="T131" i="2"/>
  <c r="J131" i="2"/>
  <c r="J283" i="2"/>
  <c r="J245" i="2"/>
  <c r="J169" i="2"/>
  <c r="M283" i="2"/>
  <c r="M169" i="2"/>
  <c r="M245" i="2"/>
  <c r="M131" i="2"/>
  <c r="W283" i="2"/>
  <c r="W169" i="2"/>
  <c r="W245" i="2"/>
  <c r="W131" i="2"/>
  <c r="L283" i="2"/>
  <c r="L245" i="2"/>
  <c r="L169" i="2"/>
  <c r="L131" i="2"/>
  <c r="R545" i="2"/>
  <c r="R615" i="2"/>
  <c r="U545" i="2"/>
  <c r="U615" i="2"/>
  <c r="U616" i="2" s="1"/>
  <c r="Z545" i="2"/>
  <c r="Z615" i="2"/>
  <c r="Z616" i="2" s="1"/>
  <c r="I283" i="2"/>
  <c r="I169" i="2"/>
  <c r="I245" i="2"/>
  <c r="I131" i="2"/>
  <c r="AA283" i="2"/>
  <c r="AA169" i="2"/>
  <c r="AA245" i="2"/>
  <c r="AA131" i="2"/>
  <c r="R283" i="2"/>
  <c r="R245" i="2"/>
  <c r="R169" i="2"/>
  <c r="R131" i="2"/>
  <c r="F283" i="2"/>
  <c r="F169" i="2"/>
  <c r="F245" i="2"/>
  <c r="F131" i="2"/>
  <c r="N283" i="2"/>
  <c r="N169" i="2"/>
  <c r="N245" i="2"/>
  <c r="N131" i="2"/>
  <c r="Z283" i="2"/>
  <c r="Z169" i="2"/>
  <c r="Z245" i="2"/>
  <c r="Z131" i="2"/>
  <c r="AD283" i="2"/>
  <c r="AD169" i="2"/>
  <c r="AD245" i="2"/>
  <c r="AD131" i="2"/>
  <c r="AG463" i="2"/>
  <c r="AH463" i="2" s="1"/>
  <c r="K464" i="2"/>
  <c r="K103" i="2"/>
  <c r="AG103" i="2" s="1"/>
  <c r="AH103" i="2" s="1"/>
  <c r="AG101" i="2"/>
  <c r="AH101" i="2" s="1"/>
  <c r="K451" i="2"/>
  <c r="AG450" i="2"/>
  <c r="AH450" i="2" s="1"/>
  <c r="AG457" i="2"/>
  <c r="AH457" i="2" s="1"/>
  <c r="K458" i="2"/>
  <c r="AG63" i="2"/>
  <c r="AH63" i="2" s="1"/>
  <c r="K65" i="2"/>
  <c r="AG65" i="2" s="1"/>
  <c r="AH65" i="2" s="1"/>
  <c r="AG467" i="2"/>
  <c r="AH467" i="2" s="1"/>
  <c r="K470" i="2"/>
  <c r="AG24" i="2"/>
  <c r="AH24" i="2" s="1"/>
  <c r="K26" i="2"/>
  <c r="AG26" i="2" s="1"/>
  <c r="AH26" i="2" s="1"/>
  <c r="X498" i="2" l="1"/>
  <c r="X536" i="2" s="1"/>
  <c r="L498" i="2"/>
  <c r="H498" i="2"/>
  <c r="AF498" i="2"/>
  <c r="AE498" i="2"/>
  <c r="AC498" i="2"/>
  <c r="AC536" i="2" s="1"/>
  <c r="Z498" i="2"/>
  <c r="Z536" i="2" s="1"/>
  <c r="F498" i="2"/>
  <c r="AA498" i="2"/>
  <c r="AA536" i="2" s="1"/>
  <c r="M498" i="2"/>
  <c r="T498" i="2"/>
  <c r="T536" i="2" s="1"/>
  <c r="V498" i="2"/>
  <c r="V536" i="2" s="1"/>
  <c r="O498" i="2"/>
  <c r="Q498" i="2"/>
  <c r="S498" i="2"/>
  <c r="J498" i="2"/>
  <c r="G498" i="2"/>
  <c r="P498" i="2"/>
  <c r="AD498" i="2"/>
  <c r="AD536" i="2" s="1"/>
  <c r="N498" i="2"/>
  <c r="R498" i="2"/>
  <c r="I498" i="2"/>
  <c r="W498" i="2"/>
  <c r="W536" i="2" s="1"/>
  <c r="AB498" i="2"/>
  <c r="AB536" i="2" s="1"/>
  <c r="Y498" i="2"/>
  <c r="Y536" i="2" s="1"/>
  <c r="U498" i="2"/>
  <c r="U536" i="2" s="1"/>
  <c r="AG470" i="2"/>
  <c r="AH470" i="2" s="1"/>
  <c r="K471" i="2"/>
  <c r="AG458" i="2"/>
  <c r="AH458" i="2" s="1"/>
  <c r="K286" i="2"/>
  <c r="K134" i="2"/>
  <c r="K248" i="2"/>
  <c r="K172" i="2"/>
  <c r="AG464" i="2"/>
  <c r="AH464" i="2" s="1"/>
  <c r="K465" i="2"/>
  <c r="AG451" i="2"/>
  <c r="AH451" i="2" s="1"/>
  <c r="K210" i="2"/>
  <c r="K58" i="2"/>
  <c r="K96" i="2"/>
  <c r="K19" i="2"/>
  <c r="K60" i="2" l="1"/>
  <c r="AG60" i="2" s="1"/>
  <c r="AH60" i="2" s="1"/>
  <c r="AG58" i="2"/>
  <c r="AH58" i="2" s="1"/>
  <c r="K212" i="2"/>
  <c r="AG212" i="2" s="1"/>
  <c r="AH212" i="2" s="1"/>
  <c r="AG210" i="2"/>
  <c r="AH210" i="2" s="1"/>
  <c r="AG172" i="2"/>
  <c r="AH172" i="2" s="1"/>
  <c r="K174" i="2"/>
  <c r="AG174" i="2" s="1"/>
  <c r="AH174" i="2" s="1"/>
  <c r="AG19" i="2"/>
  <c r="AH19" i="2" s="1"/>
  <c r="K21" i="2"/>
  <c r="AG21" i="2" s="1"/>
  <c r="AH21" i="2" s="1"/>
  <c r="AG248" i="2"/>
  <c r="AH248" i="2" s="1"/>
  <c r="K250" i="2"/>
  <c r="AG250" i="2" s="1"/>
  <c r="AH250" i="2" s="1"/>
  <c r="K472" i="2"/>
  <c r="AG471" i="2"/>
  <c r="AH471" i="2" s="1"/>
  <c r="AG286" i="2"/>
  <c r="AH286" i="2" s="1"/>
  <c r="K288" i="2"/>
  <c r="AG288" i="2" s="1"/>
  <c r="AH288" i="2" s="1"/>
  <c r="AG96" i="2"/>
  <c r="AH96" i="2" s="1"/>
  <c r="K98" i="2"/>
  <c r="AG98" i="2" s="1"/>
  <c r="AH98" i="2" s="1"/>
  <c r="AG465" i="2"/>
  <c r="AH465" i="2" s="1"/>
  <c r="K55" i="2"/>
  <c r="K207" i="2"/>
  <c r="K93" i="2"/>
  <c r="K16" i="2"/>
  <c r="AG134" i="2"/>
  <c r="K136" i="2"/>
  <c r="AG136" i="2" s="1"/>
  <c r="AH136" i="2" l="1"/>
  <c r="AI136" i="2"/>
  <c r="AH134" i="2"/>
  <c r="AI134" i="2"/>
  <c r="AG93" i="2"/>
  <c r="AH93" i="2" s="1"/>
  <c r="K516" i="2"/>
  <c r="AG207" i="2"/>
  <c r="AH207" i="2" s="1"/>
  <c r="AG472" i="2"/>
  <c r="AH472" i="2" s="1"/>
  <c r="K283" i="2"/>
  <c r="K169" i="2"/>
  <c r="K245" i="2"/>
  <c r="K131" i="2"/>
  <c r="AG55" i="2"/>
  <c r="AH55" i="2" s="1"/>
  <c r="AG16" i="2"/>
  <c r="AH16" i="2" s="1"/>
  <c r="K545" i="2" l="1"/>
  <c r="K615" i="2"/>
  <c r="K498" i="2"/>
  <c r="AG169" i="2"/>
  <c r="AH169" i="2" s="1"/>
  <c r="AG131" i="2"/>
  <c r="AI131" i="2" s="1"/>
  <c r="AG516" i="2"/>
  <c r="AH516" i="2" s="1"/>
  <c r="AG283" i="2"/>
  <c r="AH283" i="2" s="1"/>
  <c r="AG245" i="2"/>
  <c r="AH245" i="2" s="1"/>
  <c r="AG498" i="2" l="1"/>
  <c r="AH131" i="2"/>
  <c r="AH498" i="2" l="1"/>
  <c r="Q633" i="2" l="1"/>
  <c r="R633" i="2" s="1"/>
  <c r="AG488" i="2" l="1"/>
  <c r="AH488" i="2" s="1"/>
  <c r="AG481" i="2"/>
  <c r="AH481" i="2" s="1"/>
  <c r="I176" i="1"/>
  <c r="I178" i="1"/>
  <c r="I360" i="1"/>
  <c r="I175" i="1"/>
  <c r="I177" i="1"/>
  <c r="I361" i="1"/>
  <c r="G511" i="17"/>
  <c r="H511" i="17"/>
  <c r="F511" i="17"/>
  <c r="I511" i="17"/>
  <c r="J511" i="17"/>
  <c r="E511" i="17"/>
  <c r="K511" i="17"/>
  <c r="M511" i="17"/>
  <c r="L511" i="17"/>
  <c r="I180" i="1" l="1"/>
  <c r="I237" i="1" s="1"/>
  <c r="I285" i="1" s="1"/>
  <c r="E124" i="2" s="1"/>
  <c r="I363" i="1"/>
  <c r="I412" i="1" s="1"/>
  <c r="I459" i="1" s="1"/>
  <c r="I461" i="1" s="1"/>
  <c r="E162" i="2" s="1"/>
  <c r="H176" i="1"/>
  <c r="AB176" i="1" s="1"/>
  <c r="AC176" i="1" s="1"/>
  <c r="H178" i="1"/>
  <c r="AB178" i="1" s="1"/>
  <c r="AC178" i="1" s="1"/>
  <c r="H360" i="1"/>
  <c r="AB479" i="1"/>
  <c r="AC479" i="1" s="1"/>
  <c r="H361" i="1"/>
  <c r="AB361" i="1" s="1"/>
  <c r="AC361" i="1" s="1"/>
  <c r="H177" i="1"/>
  <c r="AB177" i="1" s="1"/>
  <c r="AC177" i="1" s="1"/>
  <c r="H175" i="1"/>
  <c r="I326" i="1" l="1"/>
  <c r="I287" i="1"/>
  <c r="I129" i="1"/>
  <c r="I133" i="1" s="1"/>
  <c r="I144" i="1" s="1"/>
  <c r="E86" i="2" s="1"/>
  <c r="E514" i="2" s="1"/>
  <c r="H180" i="1"/>
  <c r="AB175" i="1"/>
  <c r="AC175" i="1" s="1"/>
  <c r="H363" i="1"/>
  <c r="AB360" i="1"/>
  <c r="E487" i="2"/>
  <c r="E496" i="2"/>
  <c r="E505" i="2" s="1"/>
  <c r="AC360" i="1" l="1"/>
  <c r="AG487" i="2"/>
  <c r="AH487" i="2" s="1"/>
  <c r="E489" i="2"/>
  <c r="AB363" i="1"/>
  <c r="AC363" i="1" s="1"/>
  <c r="H412" i="1"/>
  <c r="H237" i="1"/>
  <c r="AB180" i="1"/>
  <c r="AC180" i="1" s="1"/>
  <c r="G489" i="2" l="1"/>
  <c r="G490" i="2" s="1"/>
  <c r="O489" i="2"/>
  <c r="O490" i="2" s="1"/>
  <c r="W489" i="2"/>
  <c r="W490" i="2" s="1"/>
  <c r="AE489" i="2"/>
  <c r="AE490" i="2" s="1"/>
  <c r="H489" i="2"/>
  <c r="H490" i="2" s="1"/>
  <c r="P489" i="2"/>
  <c r="P490" i="2" s="1"/>
  <c r="X489" i="2"/>
  <c r="X490" i="2" s="1"/>
  <c r="AF489" i="2"/>
  <c r="AF490" i="2" s="1"/>
  <c r="I489" i="2"/>
  <c r="I490" i="2" s="1"/>
  <c r="Q489" i="2"/>
  <c r="Q490" i="2" s="1"/>
  <c r="Y489" i="2"/>
  <c r="Y490" i="2" s="1"/>
  <c r="J489" i="2"/>
  <c r="J490" i="2" s="1"/>
  <c r="R489" i="2"/>
  <c r="R490" i="2" s="1"/>
  <c r="Z489" i="2"/>
  <c r="Z490" i="2" s="1"/>
  <c r="K489" i="2"/>
  <c r="K490" i="2" s="1"/>
  <c r="S489" i="2"/>
  <c r="S490" i="2" s="1"/>
  <c r="AA489" i="2"/>
  <c r="AA490" i="2" s="1"/>
  <c r="L489" i="2"/>
  <c r="L490" i="2" s="1"/>
  <c r="T489" i="2"/>
  <c r="T490" i="2" s="1"/>
  <c r="AB489" i="2"/>
  <c r="AB490" i="2" s="1"/>
  <c r="F489" i="2"/>
  <c r="N489" i="2"/>
  <c r="N490" i="2" s="1"/>
  <c r="V489" i="2"/>
  <c r="V490" i="2" s="1"/>
  <c r="AD489" i="2"/>
  <c r="AD490" i="2" s="1"/>
  <c r="E490" i="2"/>
  <c r="M489" i="2"/>
  <c r="M490" i="2" s="1"/>
  <c r="U489" i="2"/>
  <c r="U490" i="2" s="1"/>
  <c r="AC489" i="2"/>
  <c r="AC490" i="2" s="1"/>
  <c r="AB237" i="1"/>
  <c r="AC237" i="1" s="1"/>
  <c r="H285" i="1"/>
  <c r="E523" i="2"/>
  <c r="H459" i="1"/>
  <c r="AB412" i="1"/>
  <c r="AC412" i="1" s="1"/>
  <c r="AG489" i="2" l="1"/>
  <c r="AH489" i="2" s="1"/>
  <c r="F490" i="2"/>
  <c r="AG490" i="2" s="1"/>
  <c r="AH490" i="2" s="1"/>
  <c r="E123" i="2"/>
  <c r="H129" i="1"/>
  <c r="H287" i="1"/>
  <c r="AB287" i="1" s="1"/>
  <c r="AC287" i="1" s="1"/>
  <c r="H326" i="1"/>
  <c r="AB326" i="1" s="1"/>
  <c r="AC326" i="1" s="1"/>
  <c r="AB285" i="1"/>
  <c r="AC285" i="1" s="1"/>
  <c r="AB459" i="1"/>
  <c r="AC459" i="1" s="1"/>
  <c r="H461" i="1"/>
  <c r="L491" i="2"/>
  <c r="M491" i="2"/>
  <c r="U491" i="2"/>
  <c r="N491" i="2"/>
  <c r="V491" i="2"/>
  <c r="AD491" i="2"/>
  <c r="I491" i="2"/>
  <c r="Q491" i="2"/>
  <c r="Y491" i="2"/>
  <c r="G491" i="2"/>
  <c r="T491" i="2"/>
  <c r="AF491" i="2"/>
  <c r="H491" i="2"/>
  <c r="W491" i="2"/>
  <c r="J491" i="2"/>
  <c r="X491" i="2"/>
  <c r="K491" i="2"/>
  <c r="Z491" i="2"/>
  <c r="O491" i="2"/>
  <c r="AA491" i="2"/>
  <c r="P491" i="2"/>
  <c r="AB491" i="2"/>
  <c r="R491" i="2"/>
  <c r="AC491" i="2"/>
  <c r="S491" i="2"/>
  <c r="AE491" i="2"/>
  <c r="N200" i="2" l="1"/>
  <c r="N238" i="2"/>
  <c r="N9" i="2"/>
  <c r="N48" i="2"/>
  <c r="N86" i="2"/>
  <c r="N514" i="2" s="1"/>
  <c r="N124" i="2"/>
  <c r="N162" i="2"/>
  <c r="N276" i="2"/>
  <c r="F491" i="2"/>
  <c r="F86" i="2" s="1"/>
  <c r="P162" i="2"/>
  <c r="P86" i="2"/>
  <c r="P514" i="2" s="1"/>
  <c r="P48" i="2"/>
  <c r="P124" i="2"/>
  <c r="P9" i="2"/>
  <c r="P200" i="2"/>
  <c r="P238" i="2"/>
  <c r="P276" i="2"/>
  <c r="H162" i="2"/>
  <c r="H86" i="2"/>
  <c r="H514" i="2" s="1"/>
  <c r="H48" i="2"/>
  <c r="H124" i="2"/>
  <c r="H9" i="2"/>
  <c r="H238" i="2"/>
  <c r="H200" i="2"/>
  <c r="H276" i="2"/>
  <c r="V86" i="2"/>
  <c r="V48" i="2"/>
  <c r="V124" i="2"/>
  <c r="V496" i="2" s="1"/>
  <c r="V9" i="2"/>
  <c r="V200" i="2"/>
  <c r="V162" i="2"/>
  <c r="V238" i="2"/>
  <c r="V276" i="2"/>
  <c r="O86" i="2"/>
  <c r="O514" i="2" s="1"/>
  <c r="O48" i="2"/>
  <c r="O124" i="2"/>
  <c r="O162" i="2"/>
  <c r="O9" i="2"/>
  <c r="O238" i="2"/>
  <c r="O276" i="2"/>
  <c r="O200" i="2"/>
  <c r="T124" i="2"/>
  <c r="T496" i="2" s="1"/>
  <c r="T9" i="2"/>
  <c r="T162" i="2"/>
  <c r="T48" i="2"/>
  <c r="T238" i="2"/>
  <c r="T276" i="2"/>
  <c r="T200" i="2"/>
  <c r="T86" i="2"/>
  <c r="AE86" i="2"/>
  <c r="AE48" i="2"/>
  <c r="AE124" i="2"/>
  <c r="AE496" i="2" s="1"/>
  <c r="AE162" i="2"/>
  <c r="AE238" i="2"/>
  <c r="AE9" i="2"/>
  <c r="AE200" i="2"/>
  <c r="AE276" i="2"/>
  <c r="G86" i="2"/>
  <c r="G514" i="2" s="1"/>
  <c r="G48" i="2"/>
  <c r="G124" i="2"/>
  <c r="G162" i="2"/>
  <c r="G9" i="2"/>
  <c r="G238" i="2"/>
  <c r="G200" i="2"/>
  <c r="G276" i="2"/>
  <c r="U48" i="2"/>
  <c r="U124" i="2"/>
  <c r="U496" i="2" s="1"/>
  <c r="U9" i="2"/>
  <c r="U162" i="2"/>
  <c r="U86" i="2"/>
  <c r="U200" i="2"/>
  <c r="U276" i="2"/>
  <c r="U238" i="2"/>
  <c r="K9" i="2"/>
  <c r="K162" i="2"/>
  <c r="K86" i="2"/>
  <c r="K514" i="2" s="1"/>
  <c r="K124" i="2"/>
  <c r="K200" i="2"/>
  <c r="K276" i="2"/>
  <c r="K238" i="2"/>
  <c r="K48" i="2"/>
  <c r="Y9" i="2"/>
  <c r="Y162" i="2"/>
  <c r="Y86" i="2"/>
  <c r="Y48" i="2"/>
  <c r="Y124" i="2"/>
  <c r="Y496" i="2" s="1"/>
  <c r="Y200" i="2"/>
  <c r="Y238" i="2"/>
  <c r="Y276" i="2"/>
  <c r="M48" i="2"/>
  <c r="M124" i="2"/>
  <c r="M9" i="2"/>
  <c r="M200" i="2"/>
  <c r="M162" i="2"/>
  <c r="M86" i="2"/>
  <c r="M514" i="2" s="1"/>
  <c r="M276" i="2"/>
  <c r="M238" i="2"/>
  <c r="AB129" i="1"/>
  <c r="AC129" i="1" s="1"/>
  <c r="H133" i="1"/>
  <c r="Z9" i="2"/>
  <c r="Z162" i="2"/>
  <c r="Z86" i="2"/>
  <c r="Z48" i="2"/>
  <c r="Z124" i="2"/>
  <c r="Z496" i="2" s="1"/>
  <c r="Z200" i="2"/>
  <c r="Z238" i="2"/>
  <c r="Z276" i="2"/>
  <c r="AC48" i="2"/>
  <c r="AC124" i="2"/>
  <c r="AC496" i="2" s="1"/>
  <c r="AC9" i="2"/>
  <c r="AC162" i="2"/>
  <c r="AC86" i="2"/>
  <c r="AC200" i="2"/>
  <c r="AC238" i="2"/>
  <c r="AC276" i="2"/>
  <c r="X162" i="2"/>
  <c r="X86" i="2"/>
  <c r="X48" i="2"/>
  <c r="X124" i="2"/>
  <c r="X496" i="2" s="1"/>
  <c r="X9" i="2"/>
  <c r="X238" i="2"/>
  <c r="X276" i="2"/>
  <c r="X200" i="2"/>
  <c r="Q9" i="2"/>
  <c r="Q162" i="2"/>
  <c r="Q86" i="2"/>
  <c r="Q514" i="2" s="1"/>
  <c r="Q48" i="2"/>
  <c r="Q124" i="2"/>
  <c r="Q200" i="2"/>
  <c r="Q238" i="2"/>
  <c r="Q276" i="2"/>
  <c r="E125" i="2"/>
  <c r="E480" i="2"/>
  <c r="E495" i="2"/>
  <c r="E504" i="2" s="1"/>
  <c r="AF162" i="2"/>
  <c r="AF86" i="2"/>
  <c r="AF48" i="2"/>
  <c r="AF124" i="2"/>
  <c r="AF496" i="2" s="1"/>
  <c r="AF9" i="2"/>
  <c r="AF200" i="2"/>
  <c r="AF238" i="2"/>
  <c r="AF276" i="2"/>
  <c r="R9" i="2"/>
  <c r="R162" i="2"/>
  <c r="R86" i="2"/>
  <c r="R514" i="2" s="1"/>
  <c r="R48" i="2"/>
  <c r="R200" i="2"/>
  <c r="R238" i="2"/>
  <c r="R124" i="2"/>
  <c r="R276" i="2"/>
  <c r="J9" i="2"/>
  <c r="J162" i="2"/>
  <c r="J86" i="2"/>
  <c r="J514" i="2" s="1"/>
  <c r="J48" i="2"/>
  <c r="J124" i="2"/>
  <c r="J238" i="2"/>
  <c r="J200" i="2"/>
  <c r="J276" i="2"/>
  <c r="I9" i="2"/>
  <c r="I162" i="2"/>
  <c r="I86" i="2"/>
  <c r="I514" i="2" s="1"/>
  <c r="I48" i="2"/>
  <c r="I124" i="2"/>
  <c r="I238" i="2"/>
  <c r="I200" i="2"/>
  <c r="I276" i="2"/>
  <c r="L124" i="2"/>
  <c r="L9" i="2"/>
  <c r="L200" i="2"/>
  <c r="L162" i="2"/>
  <c r="L48" i="2"/>
  <c r="L86" i="2"/>
  <c r="L514" i="2" s="1"/>
  <c r="L238" i="2"/>
  <c r="L276" i="2"/>
  <c r="AA9" i="2"/>
  <c r="AA162" i="2"/>
  <c r="AA86" i="2"/>
  <c r="AA124" i="2"/>
  <c r="AA496" i="2" s="1"/>
  <c r="AA48" i="2"/>
  <c r="AA200" i="2"/>
  <c r="AA238" i="2"/>
  <c r="AA276" i="2"/>
  <c r="S9" i="2"/>
  <c r="S162" i="2"/>
  <c r="S86" i="2"/>
  <c r="S124" i="2"/>
  <c r="S496" i="2" s="1"/>
  <c r="S48" i="2"/>
  <c r="S200" i="2"/>
  <c r="S238" i="2"/>
  <c r="S276" i="2"/>
  <c r="AB124" i="2"/>
  <c r="AB496" i="2" s="1"/>
  <c r="AB9" i="2"/>
  <c r="AB162" i="2"/>
  <c r="AB48" i="2"/>
  <c r="AB238" i="2"/>
  <c r="AB86" i="2"/>
  <c r="AB276" i="2"/>
  <c r="AB200" i="2"/>
  <c r="W86" i="2"/>
  <c r="W48" i="2"/>
  <c r="W124" i="2"/>
  <c r="W496" i="2" s="1"/>
  <c r="W162" i="2"/>
  <c r="W200" i="2"/>
  <c r="W238" i="2"/>
  <c r="W9" i="2"/>
  <c r="W276" i="2"/>
  <c r="AD86" i="2"/>
  <c r="AD48" i="2"/>
  <c r="AD124" i="2"/>
  <c r="AD496" i="2" s="1"/>
  <c r="AD9" i="2"/>
  <c r="AD200" i="2"/>
  <c r="AD238" i="2"/>
  <c r="AD162" i="2"/>
  <c r="AD276" i="2"/>
  <c r="E161" i="2"/>
  <c r="AB461" i="1"/>
  <c r="AC461" i="1" s="1"/>
  <c r="M606" i="2" l="1"/>
  <c r="M543" i="2"/>
  <c r="L606" i="2"/>
  <c r="L543" i="2"/>
  <c r="K543" i="2"/>
  <c r="K606" i="2"/>
  <c r="H606" i="2"/>
  <c r="H543" i="2"/>
  <c r="G543" i="2"/>
  <c r="G606" i="2"/>
  <c r="O543" i="2"/>
  <c r="O606" i="2"/>
  <c r="I606" i="2"/>
  <c r="I543" i="2"/>
  <c r="J606" i="2"/>
  <c r="J543" i="2"/>
  <c r="N606" i="2"/>
  <c r="N543" i="2"/>
  <c r="AG491" i="2"/>
  <c r="AH491" i="2" s="1"/>
  <c r="F276" i="2"/>
  <c r="AG276" i="2" s="1"/>
  <c r="AH276" i="2" s="1"/>
  <c r="F238" i="2"/>
  <c r="AG238" i="2" s="1"/>
  <c r="AH238" i="2" s="1"/>
  <c r="F162" i="2"/>
  <c r="AG162" i="2" s="1"/>
  <c r="AH162" i="2" s="1"/>
  <c r="F200" i="2"/>
  <c r="AG200" i="2" s="1"/>
  <c r="AH200" i="2" s="1"/>
  <c r="F9" i="2"/>
  <c r="AG9" i="2" s="1"/>
  <c r="AH9" i="2" s="1"/>
  <c r="F124" i="2"/>
  <c r="AG124" i="2" s="1"/>
  <c r="AH124" i="2" s="1"/>
  <c r="F48" i="2"/>
  <c r="AG48" i="2" s="1"/>
  <c r="AH48" i="2" s="1"/>
  <c r="AD534" i="2"/>
  <c r="AD578" i="2" s="1"/>
  <c r="AD604" i="2" s="1"/>
  <c r="E163" i="2"/>
  <c r="AB534" i="2"/>
  <c r="AB578" i="2" s="1"/>
  <c r="AB604" i="2" s="1"/>
  <c r="L496" i="2"/>
  <c r="L505" i="2" s="1"/>
  <c r="L534" i="2" s="1"/>
  <c r="L554" i="2" s="1"/>
  <c r="Q496" i="2"/>
  <c r="Z534" i="2"/>
  <c r="Z578" i="2" s="1"/>
  <c r="Z604" i="2" s="1"/>
  <c r="R496" i="2"/>
  <c r="AG480" i="2"/>
  <c r="AH480" i="2" s="1"/>
  <c r="E482" i="2"/>
  <c r="Q543" i="2"/>
  <c r="Q606" i="2"/>
  <c r="Y534" i="2"/>
  <c r="Y578" i="2" s="1"/>
  <c r="Y604" i="2" s="1"/>
  <c r="X534" i="2"/>
  <c r="X578" i="2" s="1"/>
  <c r="X604" i="2" s="1"/>
  <c r="AC534" i="2"/>
  <c r="AC578" i="2" s="1"/>
  <c r="AC604" i="2" s="1"/>
  <c r="K496" i="2"/>
  <c r="K505" i="2" s="1"/>
  <c r="K534" i="2" s="1"/>
  <c r="K554" i="2" s="1"/>
  <c r="I496" i="2"/>
  <c r="I505" i="2" s="1"/>
  <c r="I534" i="2" s="1"/>
  <c r="I554" i="2" s="1"/>
  <c r="J496" i="2"/>
  <c r="J505" i="2" s="1"/>
  <c r="J534" i="2" s="1"/>
  <c r="J554" i="2" s="1"/>
  <c r="E155" i="2"/>
  <c r="N496" i="2"/>
  <c r="N505" i="2" s="1"/>
  <c r="G496" i="2"/>
  <c r="G505" i="2" s="1"/>
  <c r="G534" i="2" s="1"/>
  <c r="G554" i="2" s="1"/>
  <c r="H496" i="2"/>
  <c r="H505" i="2" s="1"/>
  <c r="H534" i="2" s="1"/>
  <c r="H554" i="2" s="1"/>
  <c r="P496" i="2"/>
  <c r="P505" i="2" s="1"/>
  <c r="AA534" i="2"/>
  <c r="AA578" i="2" s="1"/>
  <c r="AA604" i="2" s="1"/>
  <c r="H144" i="1"/>
  <c r="AB133" i="1"/>
  <c r="AC133" i="1" s="1"/>
  <c r="M496" i="2"/>
  <c r="M505" i="2" s="1"/>
  <c r="M534" i="2" s="1"/>
  <c r="M554" i="2" s="1"/>
  <c r="U534" i="2"/>
  <c r="U578" i="2" s="1"/>
  <c r="U604" i="2" s="1"/>
  <c r="O496" i="2"/>
  <c r="O505" i="2" s="1"/>
  <c r="O534" i="2" s="1"/>
  <c r="O554" i="2" s="1"/>
  <c r="V534" i="2"/>
  <c r="V578" i="2" s="1"/>
  <c r="V604" i="2" s="1"/>
  <c r="R543" i="2"/>
  <c r="R606" i="2"/>
  <c r="E500" i="2"/>
  <c r="D495" i="2"/>
  <c r="D496" i="2" s="1"/>
  <c r="AD505" i="2" s="1"/>
  <c r="W534" i="2"/>
  <c r="W578" i="2" s="1"/>
  <c r="W604" i="2" s="1"/>
  <c r="AG86" i="2"/>
  <c r="AH86" i="2" s="1"/>
  <c r="F514" i="2"/>
  <c r="T534" i="2"/>
  <c r="T578" i="2" s="1"/>
  <c r="T604" i="2" s="1"/>
  <c r="H579" i="2" l="1"/>
  <c r="H605" i="2"/>
  <c r="O579" i="2"/>
  <c r="O605" i="2"/>
  <c r="O642" i="2" s="1"/>
  <c r="E18" i="17" s="1"/>
  <c r="G605" i="2"/>
  <c r="G579" i="2"/>
  <c r="L579" i="2"/>
  <c r="L605" i="2"/>
  <c r="L642" i="2" s="1"/>
  <c r="E15" i="17" s="1"/>
  <c r="M605" i="2"/>
  <c r="M642" i="2" s="1"/>
  <c r="E16" i="17" s="1"/>
  <c r="M579" i="2"/>
  <c r="J579" i="2"/>
  <c r="J605" i="2"/>
  <c r="I579" i="2"/>
  <c r="I605" i="2"/>
  <c r="I642" i="2" s="1"/>
  <c r="K605" i="2"/>
  <c r="K642" i="2" s="1"/>
  <c r="E14" i="17" s="1"/>
  <c r="K579" i="2"/>
  <c r="F496" i="2"/>
  <c r="F505" i="2" s="1"/>
  <c r="V505" i="2"/>
  <c r="AF505" i="2"/>
  <c r="AE505" i="2"/>
  <c r="K482" i="2"/>
  <c r="K483" i="2" s="1"/>
  <c r="S482" i="2"/>
  <c r="S483" i="2" s="1"/>
  <c r="AA482" i="2"/>
  <c r="AA483" i="2" s="1"/>
  <c r="E483" i="2"/>
  <c r="L482" i="2"/>
  <c r="L483" i="2" s="1"/>
  <c r="T482" i="2"/>
  <c r="T483" i="2" s="1"/>
  <c r="AB482" i="2"/>
  <c r="AB483" i="2" s="1"/>
  <c r="M482" i="2"/>
  <c r="M483" i="2" s="1"/>
  <c r="U482" i="2"/>
  <c r="U483" i="2" s="1"/>
  <c r="AC482" i="2"/>
  <c r="AC483" i="2" s="1"/>
  <c r="F482" i="2"/>
  <c r="N482" i="2"/>
  <c r="N483" i="2" s="1"/>
  <c r="V482" i="2"/>
  <c r="V483" i="2" s="1"/>
  <c r="AD482" i="2"/>
  <c r="AD483" i="2" s="1"/>
  <c r="G482" i="2"/>
  <c r="G483" i="2" s="1"/>
  <c r="O482" i="2"/>
  <c r="O483" i="2" s="1"/>
  <c r="W482" i="2"/>
  <c r="W483" i="2" s="1"/>
  <c r="AE482" i="2"/>
  <c r="AE483" i="2" s="1"/>
  <c r="H482" i="2"/>
  <c r="H483" i="2" s="1"/>
  <c r="P482" i="2"/>
  <c r="P483" i="2" s="1"/>
  <c r="X482" i="2"/>
  <c r="X483" i="2" s="1"/>
  <c r="AF482" i="2"/>
  <c r="AF483" i="2" s="1"/>
  <c r="J482" i="2"/>
  <c r="J483" i="2" s="1"/>
  <c r="R482" i="2"/>
  <c r="R483" i="2" s="1"/>
  <c r="Z482" i="2"/>
  <c r="Z483" i="2" s="1"/>
  <c r="I482" i="2"/>
  <c r="I483" i="2" s="1"/>
  <c r="Q482" i="2"/>
  <c r="Q483" i="2" s="1"/>
  <c r="Y482" i="2"/>
  <c r="Y483" i="2" s="1"/>
  <c r="X505" i="2"/>
  <c r="AB505" i="2"/>
  <c r="AA505" i="2"/>
  <c r="AC505" i="2"/>
  <c r="F543" i="2"/>
  <c r="F606" i="2"/>
  <c r="AG514" i="2"/>
  <c r="AH514" i="2" s="1"/>
  <c r="Y505" i="2"/>
  <c r="E193" i="2"/>
  <c r="E85" i="2"/>
  <c r="AB144" i="1"/>
  <c r="AC144" i="1" s="1"/>
  <c r="AC1" i="1" s="1"/>
  <c r="W505" i="2"/>
  <c r="E509" i="2"/>
  <c r="AI124" i="2"/>
  <c r="E319" i="2"/>
  <c r="Z505" i="2"/>
  <c r="AG496" i="2" l="1"/>
  <c r="AH496" i="2" s="1"/>
  <c r="E510" i="2"/>
  <c r="E511" i="2" s="1"/>
  <c r="E87" i="2"/>
  <c r="E513" i="2"/>
  <c r="E324" i="2"/>
  <c r="H484" i="2"/>
  <c r="P484" i="2"/>
  <c r="X484" i="2"/>
  <c r="AF484" i="2"/>
  <c r="I484" i="2"/>
  <c r="Q484" i="2"/>
  <c r="Y484" i="2"/>
  <c r="J484" i="2"/>
  <c r="R484" i="2"/>
  <c r="Z484" i="2"/>
  <c r="K484" i="2"/>
  <c r="S484" i="2"/>
  <c r="AA484" i="2"/>
  <c r="L484" i="2"/>
  <c r="T484" i="2"/>
  <c r="AB484" i="2"/>
  <c r="M484" i="2"/>
  <c r="U484" i="2"/>
  <c r="AC484" i="2"/>
  <c r="G484" i="2"/>
  <c r="O484" i="2"/>
  <c r="W484" i="2"/>
  <c r="AE484" i="2"/>
  <c r="N484" i="2"/>
  <c r="V484" i="2"/>
  <c r="AD484" i="2"/>
  <c r="F483" i="2"/>
  <c r="AG483" i="2" s="1"/>
  <c r="AH483" i="2" s="1"/>
  <c r="AG482" i="2"/>
  <c r="AH482" i="2" s="1"/>
  <c r="N47" i="2" l="1"/>
  <c r="N49" i="2" s="1"/>
  <c r="N79" i="2" s="1"/>
  <c r="N275" i="2"/>
  <c r="N277" i="2" s="1"/>
  <c r="N307" i="2" s="1"/>
  <c r="N322" i="2" s="1"/>
  <c r="N8" i="2"/>
  <c r="N10" i="2" s="1"/>
  <c r="N40" i="2" s="1"/>
  <c r="N85" i="2"/>
  <c r="N87" i="2" s="1"/>
  <c r="N117" i="2" s="1"/>
  <c r="N123" i="2"/>
  <c r="N125" i="2" s="1"/>
  <c r="N155" i="2" s="1"/>
  <c r="N161" i="2"/>
  <c r="N163" i="2" s="1"/>
  <c r="N193" i="2" s="1"/>
  <c r="N370" i="2" s="1"/>
  <c r="N199" i="2"/>
  <c r="N201" i="2" s="1"/>
  <c r="N231" i="2" s="1"/>
  <c r="N237" i="2"/>
  <c r="N239" i="2" s="1"/>
  <c r="N269" i="2" s="1"/>
  <c r="N321" i="2" s="1"/>
  <c r="F484" i="2"/>
  <c r="F161" i="2" s="1"/>
  <c r="M85" i="2"/>
  <c r="M123" i="2"/>
  <c r="M47" i="2"/>
  <c r="M49" i="2" s="1"/>
  <c r="M79" i="2" s="1"/>
  <c r="M8" i="2"/>
  <c r="M10" i="2" s="1"/>
  <c r="M40" i="2" s="1"/>
  <c r="M161" i="2"/>
  <c r="M163" i="2" s="1"/>
  <c r="M193" i="2" s="1"/>
  <c r="M370" i="2" s="1"/>
  <c r="M199" i="2"/>
  <c r="M201" i="2" s="1"/>
  <c r="M231" i="2" s="1"/>
  <c r="M275" i="2"/>
  <c r="M277" i="2" s="1"/>
  <c r="M307" i="2" s="1"/>
  <c r="M237" i="2"/>
  <c r="M239" i="2" s="1"/>
  <c r="M269" i="2" s="1"/>
  <c r="M321" i="2" s="1"/>
  <c r="Z47" i="2"/>
  <c r="Z49" i="2" s="1"/>
  <c r="Z79" i="2" s="1"/>
  <c r="Z8" i="2"/>
  <c r="Z10" i="2" s="1"/>
  <c r="Z40" i="2" s="1"/>
  <c r="Z161" i="2"/>
  <c r="Z163" i="2" s="1"/>
  <c r="Z193" i="2" s="1"/>
  <c r="Z370" i="2" s="1"/>
  <c r="Z199" i="2"/>
  <c r="Z201" i="2" s="1"/>
  <c r="Z231" i="2" s="1"/>
  <c r="Z123" i="2"/>
  <c r="Z85" i="2"/>
  <c r="Z87" i="2" s="1"/>
  <c r="Z117" i="2" s="1"/>
  <c r="Z328" i="2" s="1"/>
  <c r="Z381" i="2" s="1"/>
  <c r="Z275" i="2"/>
  <c r="Z277" i="2" s="1"/>
  <c r="Z307" i="2" s="1"/>
  <c r="Z322" i="2" s="1"/>
  <c r="Z237" i="2"/>
  <c r="Z239" i="2" s="1"/>
  <c r="Z269" i="2" s="1"/>
  <c r="Z321" i="2" s="1"/>
  <c r="P8" i="2"/>
  <c r="P10" i="2" s="1"/>
  <c r="P40" i="2" s="1"/>
  <c r="P161" i="2"/>
  <c r="P163" i="2" s="1"/>
  <c r="P193" i="2" s="1"/>
  <c r="P370" i="2" s="1"/>
  <c r="P85" i="2"/>
  <c r="P123" i="2"/>
  <c r="P199" i="2"/>
  <c r="P201" i="2" s="1"/>
  <c r="P231" i="2" s="1"/>
  <c r="P275" i="2"/>
  <c r="P277" i="2" s="1"/>
  <c r="P307" i="2" s="1"/>
  <c r="P322" i="2" s="1"/>
  <c r="P47" i="2"/>
  <c r="P49" i="2" s="1"/>
  <c r="P79" i="2" s="1"/>
  <c r="P237" i="2"/>
  <c r="P239" i="2" s="1"/>
  <c r="P269" i="2" s="1"/>
  <c r="P321" i="2" s="1"/>
  <c r="E518" i="2"/>
  <c r="E522" i="2"/>
  <c r="E527" i="2" s="1"/>
  <c r="E529" i="2" s="1"/>
  <c r="AE8" i="2"/>
  <c r="AE10" i="2" s="1"/>
  <c r="AE40" i="2" s="1"/>
  <c r="AE161" i="2"/>
  <c r="AE163" i="2" s="1"/>
  <c r="AE193" i="2" s="1"/>
  <c r="AE370" i="2" s="1"/>
  <c r="AE85" i="2"/>
  <c r="AE87" i="2" s="1"/>
  <c r="AE117" i="2" s="1"/>
  <c r="AE328" i="2" s="1"/>
  <c r="AE381" i="2" s="1"/>
  <c r="AE123" i="2"/>
  <c r="AE47" i="2"/>
  <c r="AE49" i="2" s="1"/>
  <c r="AE79" i="2" s="1"/>
  <c r="AE199" i="2"/>
  <c r="AE201" i="2" s="1"/>
  <c r="AE231" i="2" s="1"/>
  <c r="AE237" i="2"/>
  <c r="AE239" i="2" s="1"/>
  <c r="AE269" i="2" s="1"/>
  <c r="AE321" i="2" s="1"/>
  <c r="AE275" i="2"/>
  <c r="AE277" i="2" s="1"/>
  <c r="AE307" i="2" s="1"/>
  <c r="AE322" i="2" s="1"/>
  <c r="AB85" i="2"/>
  <c r="AB87" i="2" s="1"/>
  <c r="AB117" i="2" s="1"/>
  <c r="AB328" i="2" s="1"/>
  <c r="AB381" i="2" s="1"/>
  <c r="AB123" i="2"/>
  <c r="AB47" i="2"/>
  <c r="AB49" i="2" s="1"/>
  <c r="AB79" i="2" s="1"/>
  <c r="AB8" i="2"/>
  <c r="AB10" i="2" s="1"/>
  <c r="AB40" i="2" s="1"/>
  <c r="AB237" i="2"/>
  <c r="AB239" i="2" s="1"/>
  <c r="AB269" i="2" s="1"/>
  <c r="AB321" i="2" s="1"/>
  <c r="AB161" i="2"/>
  <c r="AB163" i="2" s="1"/>
  <c r="AB193" i="2" s="1"/>
  <c r="AB370" i="2" s="1"/>
  <c r="AB199" i="2"/>
  <c r="AB201" i="2" s="1"/>
  <c r="AB231" i="2" s="1"/>
  <c r="AB275" i="2"/>
  <c r="AB277" i="2" s="1"/>
  <c r="AB307" i="2" s="1"/>
  <c r="AB322" i="2" s="1"/>
  <c r="J47" i="2"/>
  <c r="J49" i="2" s="1"/>
  <c r="J79" i="2" s="1"/>
  <c r="J8" i="2"/>
  <c r="J10" i="2" s="1"/>
  <c r="J40" i="2" s="1"/>
  <c r="J161" i="2"/>
  <c r="J163" i="2" s="1"/>
  <c r="J193" i="2" s="1"/>
  <c r="J370" i="2" s="1"/>
  <c r="J199" i="2"/>
  <c r="J201" i="2" s="1"/>
  <c r="J231" i="2" s="1"/>
  <c r="J123" i="2"/>
  <c r="J85" i="2"/>
  <c r="J275" i="2"/>
  <c r="J277" i="2" s="1"/>
  <c r="J307" i="2" s="1"/>
  <c r="J237" i="2"/>
  <c r="J239" i="2" s="1"/>
  <c r="J269" i="2" s="1"/>
  <c r="J321" i="2" s="1"/>
  <c r="E117" i="2"/>
  <c r="H8" i="2"/>
  <c r="H10" i="2" s="1"/>
  <c r="H40" i="2" s="1"/>
  <c r="H161" i="2"/>
  <c r="H163" i="2" s="1"/>
  <c r="H193" i="2" s="1"/>
  <c r="H370" i="2" s="1"/>
  <c r="H199" i="2"/>
  <c r="H201" i="2" s="1"/>
  <c r="H231" i="2" s="1"/>
  <c r="H85" i="2"/>
  <c r="H123" i="2"/>
  <c r="H275" i="2"/>
  <c r="H277" i="2" s="1"/>
  <c r="H307" i="2" s="1"/>
  <c r="H47" i="2"/>
  <c r="H49" i="2" s="1"/>
  <c r="H79" i="2" s="1"/>
  <c r="H237" i="2"/>
  <c r="H239" i="2" s="1"/>
  <c r="H269" i="2" s="1"/>
  <c r="H321" i="2" s="1"/>
  <c r="W8" i="2"/>
  <c r="W10" i="2" s="1"/>
  <c r="W40" i="2" s="1"/>
  <c r="W161" i="2"/>
  <c r="W163" i="2" s="1"/>
  <c r="W193" i="2" s="1"/>
  <c r="W370" i="2" s="1"/>
  <c r="W85" i="2"/>
  <c r="W87" i="2" s="1"/>
  <c r="W117" i="2" s="1"/>
  <c r="W328" i="2" s="1"/>
  <c r="W381" i="2" s="1"/>
  <c r="W123" i="2"/>
  <c r="W47" i="2"/>
  <c r="W49" i="2" s="1"/>
  <c r="W79" i="2" s="1"/>
  <c r="W275" i="2"/>
  <c r="W277" i="2" s="1"/>
  <c r="W307" i="2" s="1"/>
  <c r="W322" i="2" s="1"/>
  <c r="W199" i="2"/>
  <c r="W201" i="2" s="1"/>
  <c r="W231" i="2" s="1"/>
  <c r="W237" i="2"/>
  <c r="W239" i="2" s="1"/>
  <c r="W269" i="2" s="1"/>
  <c r="W321" i="2" s="1"/>
  <c r="T85" i="2"/>
  <c r="T87" i="2" s="1"/>
  <c r="T117" i="2" s="1"/>
  <c r="T328" i="2" s="1"/>
  <c r="T381" i="2" s="1"/>
  <c r="T123" i="2"/>
  <c r="T47" i="2"/>
  <c r="T49" i="2" s="1"/>
  <c r="T79" i="2" s="1"/>
  <c r="T8" i="2"/>
  <c r="T10" i="2" s="1"/>
  <c r="T40" i="2" s="1"/>
  <c r="T199" i="2"/>
  <c r="T201" i="2" s="1"/>
  <c r="T231" i="2" s="1"/>
  <c r="T237" i="2"/>
  <c r="T239" i="2" s="1"/>
  <c r="T269" i="2" s="1"/>
  <c r="T321" i="2" s="1"/>
  <c r="T161" i="2"/>
  <c r="T163" i="2" s="1"/>
  <c r="T193" i="2" s="1"/>
  <c r="T370" i="2" s="1"/>
  <c r="T275" i="2"/>
  <c r="T277" i="2" s="1"/>
  <c r="T307" i="2" s="1"/>
  <c r="T322" i="2" s="1"/>
  <c r="Y8" i="2"/>
  <c r="Y10" i="2" s="1"/>
  <c r="Y40" i="2" s="1"/>
  <c r="Y161" i="2"/>
  <c r="Y163" i="2" s="1"/>
  <c r="Y193" i="2" s="1"/>
  <c r="Y370" i="2" s="1"/>
  <c r="Y199" i="2"/>
  <c r="Y201" i="2" s="1"/>
  <c r="Y231" i="2" s="1"/>
  <c r="Y85" i="2"/>
  <c r="Y87" i="2" s="1"/>
  <c r="Y117" i="2" s="1"/>
  <c r="Y328" i="2" s="1"/>
  <c r="Y381" i="2" s="1"/>
  <c r="Y47" i="2"/>
  <c r="Y49" i="2" s="1"/>
  <c r="Y79" i="2" s="1"/>
  <c r="Y237" i="2"/>
  <c r="Y239" i="2" s="1"/>
  <c r="Y269" i="2" s="1"/>
  <c r="Y321" i="2" s="1"/>
  <c r="Y275" i="2"/>
  <c r="Y277" i="2" s="1"/>
  <c r="Y307" i="2" s="1"/>
  <c r="Y322" i="2" s="1"/>
  <c r="Y123" i="2"/>
  <c r="O8" i="2"/>
  <c r="O10" i="2" s="1"/>
  <c r="O40" i="2" s="1"/>
  <c r="O161" i="2"/>
  <c r="O163" i="2" s="1"/>
  <c r="O193" i="2" s="1"/>
  <c r="O370" i="2" s="1"/>
  <c r="O85" i="2"/>
  <c r="O123" i="2"/>
  <c r="O47" i="2"/>
  <c r="O49" i="2" s="1"/>
  <c r="O79" i="2" s="1"/>
  <c r="O275" i="2"/>
  <c r="O277" i="2" s="1"/>
  <c r="O307" i="2" s="1"/>
  <c r="O322" i="2" s="1"/>
  <c r="O237" i="2"/>
  <c r="O239" i="2" s="1"/>
  <c r="O269" i="2" s="1"/>
  <c r="O321" i="2" s="1"/>
  <c r="O199" i="2"/>
  <c r="O201" i="2" s="1"/>
  <c r="O231" i="2" s="1"/>
  <c r="L85" i="2"/>
  <c r="L123" i="2"/>
  <c r="L47" i="2"/>
  <c r="L49" i="2" s="1"/>
  <c r="L79" i="2" s="1"/>
  <c r="L237" i="2"/>
  <c r="L239" i="2" s="1"/>
  <c r="L269" i="2" s="1"/>
  <c r="L321" i="2" s="1"/>
  <c r="L161" i="2"/>
  <c r="L163" i="2" s="1"/>
  <c r="L193" i="2" s="1"/>
  <c r="L370" i="2" s="1"/>
  <c r="L8" i="2"/>
  <c r="L10" i="2" s="1"/>
  <c r="L40" i="2" s="1"/>
  <c r="L199" i="2"/>
  <c r="L201" i="2" s="1"/>
  <c r="L231" i="2" s="1"/>
  <c r="L275" i="2"/>
  <c r="L277" i="2" s="1"/>
  <c r="L307" i="2" s="1"/>
  <c r="Q8" i="2"/>
  <c r="Q10" i="2" s="1"/>
  <c r="Q40" i="2" s="1"/>
  <c r="Q161" i="2"/>
  <c r="Q163" i="2" s="1"/>
  <c r="Q193" i="2" s="1"/>
  <c r="Q370" i="2" s="1"/>
  <c r="Q199" i="2"/>
  <c r="Q201" i="2" s="1"/>
  <c r="Q231" i="2" s="1"/>
  <c r="Q85" i="2"/>
  <c r="Q47" i="2"/>
  <c r="Q49" i="2" s="1"/>
  <c r="Q79" i="2" s="1"/>
  <c r="Q237" i="2"/>
  <c r="Q239" i="2" s="1"/>
  <c r="Q269" i="2" s="1"/>
  <c r="Q321" i="2" s="1"/>
  <c r="Q275" i="2"/>
  <c r="Q277" i="2" s="1"/>
  <c r="Q307" i="2" s="1"/>
  <c r="Q322" i="2" s="1"/>
  <c r="Q123" i="2"/>
  <c r="E326" i="2"/>
  <c r="E355" i="2"/>
  <c r="G8" i="2"/>
  <c r="G10" i="2" s="1"/>
  <c r="G40" i="2" s="1"/>
  <c r="G161" i="2"/>
  <c r="G163" i="2" s="1"/>
  <c r="G193" i="2" s="1"/>
  <c r="G370" i="2" s="1"/>
  <c r="G85" i="2"/>
  <c r="G123" i="2"/>
  <c r="G47" i="2"/>
  <c r="G49" i="2" s="1"/>
  <c r="G79" i="2" s="1"/>
  <c r="G275" i="2"/>
  <c r="G277" i="2" s="1"/>
  <c r="G307" i="2" s="1"/>
  <c r="G199" i="2"/>
  <c r="G201" i="2" s="1"/>
  <c r="G231" i="2" s="1"/>
  <c r="G237" i="2"/>
  <c r="G239" i="2" s="1"/>
  <c r="G269" i="2" s="1"/>
  <c r="G321" i="2" s="1"/>
  <c r="AA123" i="2"/>
  <c r="AA47" i="2"/>
  <c r="AA49" i="2" s="1"/>
  <c r="AA79" i="2" s="1"/>
  <c r="AA8" i="2"/>
  <c r="AA10" i="2" s="1"/>
  <c r="AA40" i="2" s="1"/>
  <c r="AA161" i="2"/>
  <c r="AA163" i="2" s="1"/>
  <c r="AA193" i="2" s="1"/>
  <c r="AA370" i="2" s="1"/>
  <c r="AA199" i="2"/>
  <c r="AA201" i="2" s="1"/>
  <c r="AA231" i="2" s="1"/>
  <c r="AA85" i="2"/>
  <c r="AA87" i="2" s="1"/>
  <c r="AA117" i="2" s="1"/>
  <c r="AA328" i="2" s="1"/>
  <c r="AA381" i="2" s="1"/>
  <c r="AA237" i="2"/>
  <c r="AA239" i="2" s="1"/>
  <c r="AA269" i="2" s="1"/>
  <c r="AA321" i="2" s="1"/>
  <c r="AA275" i="2"/>
  <c r="AA277" i="2" s="1"/>
  <c r="AA307" i="2" s="1"/>
  <c r="AA322" i="2" s="1"/>
  <c r="I8" i="2"/>
  <c r="I10" i="2" s="1"/>
  <c r="I40" i="2" s="1"/>
  <c r="I161" i="2"/>
  <c r="I163" i="2" s="1"/>
  <c r="I193" i="2" s="1"/>
  <c r="I370" i="2" s="1"/>
  <c r="I199" i="2"/>
  <c r="I201" i="2" s="1"/>
  <c r="I231" i="2" s="1"/>
  <c r="I85" i="2"/>
  <c r="I47" i="2"/>
  <c r="I49" i="2" s="1"/>
  <c r="I79" i="2" s="1"/>
  <c r="I237" i="2"/>
  <c r="I239" i="2" s="1"/>
  <c r="I269" i="2" s="1"/>
  <c r="I321" i="2" s="1"/>
  <c r="I123" i="2"/>
  <c r="I275" i="2"/>
  <c r="I277" i="2" s="1"/>
  <c r="I307" i="2" s="1"/>
  <c r="AD8" i="2"/>
  <c r="AD10" i="2" s="1"/>
  <c r="AD40" i="2" s="1"/>
  <c r="AD161" i="2"/>
  <c r="AD163" i="2" s="1"/>
  <c r="AD193" i="2" s="1"/>
  <c r="AD370" i="2" s="1"/>
  <c r="AD85" i="2"/>
  <c r="AD87" i="2" s="1"/>
  <c r="AD117" i="2" s="1"/>
  <c r="AD328" i="2" s="1"/>
  <c r="AD381" i="2" s="1"/>
  <c r="AD123" i="2"/>
  <c r="AD47" i="2"/>
  <c r="AD49" i="2" s="1"/>
  <c r="AD79" i="2" s="1"/>
  <c r="AD237" i="2"/>
  <c r="AD239" i="2" s="1"/>
  <c r="AD269" i="2" s="1"/>
  <c r="AD321" i="2" s="1"/>
  <c r="AD275" i="2"/>
  <c r="AD277" i="2" s="1"/>
  <c r="AD307" i="2" s="1"/>
  <c r="AD322" i="2" s="1"/>
  <c r="AD199" i="2"/>
  <c r="AD201" i="2" s="1"/>
  <c r="AD231" i="2" s="1"/>
  <c r="AC85" i="2"/>
  <c r="AC87" i="2" s="1"/>
  <c r="AC117" i="2" s="1"/>
  <c r="AC328" i="2" s="1"/>
  <c r="AC381" i="2" s="1"/>
  <c r="AC123" i="2"/>
  <c r="AC47" i="2"/>
  <c r="AC49" i="2" s="1"/>
  <c r="AC79" i="2" s="1"/>
  <c r="AC8" i="2"/>
  <c r="AC10" i="2" s="1"/>
  <c r="AC40" i="2" s="1"/>
  <c r="AC161" i="2"/>
  <c r="AC163" i="2" s="1"/>
  <c r="AC193" i="2" s="1"/>
  <c r="AC370" i="2" s="1"/>
  <c r="AC199" i="2"/>
  <c r="AC201" i="2" s="1"/>
  <c r="AC231" i="2" s="1"/>
  <c r="AC275" i="2"/>
  <c r="AC277" i="2" s="1"/>
  <c r="AC307" i="2" s="1"/>
  <c r="AC322" i="2" s="1"/>
  <c r="AC237" i="2"/>
  <c r="AC239" i="2" s="1"/>
  <c r="AC269" i="2" s="1"/>
  <c r="AC321" i="2" s="1"/>
  <c r="S123" i="2"/>
  <c r="S47" i="2"/>
  <c r="S49" i="2" s="1"/>
  <c r="S79" i="2" s="1"/>
  <c r="S8" i="2"/>
  <c r="S10" i="2" s="1"/>
  <c r="S40" i="2" s="1"/>
  <c r="S161" i="2"/>
  <c r="S163" i="2" s="1"/>
  <c r="S193" i="2" s="1"/>
  <c r="S370" i="2" s="1"/>
  <c r="S199" i="2"/>
  <c r="S201" i="2" s="1"/>
  <c r="S231" i="2" s="1"/>
  <c r="S85" i="2"/>
  <c r="S87" i="2" s="1"/>
  <c r="S117" i="2" s="1"/>
  <c r="S328" i="2" s="1"/>
  <c r="S381" i="2" s="1"/>
  <c r="S237" i="2"/>
  <c r="S239" i="2" s="1"/>
  <c r="S269" i="2" s="1"/>
  <c r="S321" i="2" s="1"/>
  <c r="S275" i="2"/>
  <c r="S277" i="2" s="1"/>
  <c r="S307" i="2" s="1"/>
  <c r="S322" i="2" s="1"/>
  <c r="AF8" i="2"/>
  <c r="AF10" i="2" s="1"/>
  <c r="AF40" i="2" s="1"/>
  <c r="AF161" i="2"/>
  <c r="AF163" i="2" s="1"/>
  <c r="AF193" i="2" s="1"/>
  <c r="AF370" i="2" s="1"/>
  <c r="AF85" i="2"/>
  <c r="AF87" i="2" s="1"/>
  <c r="AF117" i="2" s="1"/>
  <c r="AF328" i="2" s="1"/>
  <c r="AF381" i="2" s="1"/>
  <c r="AF123" i="2"/>
  <c r="AF47" i="2"/>
  <c r="AF49" i="2" s="1"/>
  <c r="AF79" i="2" s="1"/>
  <c r="AF199" i="2"/>
  <c r="AF201" i="2" s="1"/>
  <c r="AF231" i="2" s="1"/>
  <c r="AF275" i="2"/>
  <c r="AF277" i="2" s="1"/>
  <c r="AF307" i="2" s="1"/>
  <c r="AF322" i="2" s="1"/>
  <c r="AF237" i="2"/>
  <c r="AF239" i="2" s="1"/>
  <c r="AF269" i="2" s="1"/>
  <c r="AF321" i="2" s="1"/>
  <c r="R47" i="2"/>
  <c r="R49" i="2" s="1"/>
  <c r="R79" i="2" s="1"/>
  <c r="R8" i="2"/>
  <c r="R10" i="2" s="1"/>
  <c r="R40" i="2" s="1"/>
  <c r="R161" i="2"/>
  <c r="R163" i="2" s="1"/>
  <c r="R193" i="2" s="1"/>
  <c r="R370" i="2" s="1"/>
  <c r="R199" i="2"/>
  <c r="R201" i="2" s="1"/>
  <c r="R231" i="2" s="1"/>
  <c r="R123" i="2"/>
  <c r="R85" i="2"/>
  <c r="R275" i="2"/>
  <c r="R277" i="2" s="1"/>
  <c r="R307" i="2" s="1"/>
  <c r="R322" i="2" s="1"/>
  <c r="R237" i="2"/>
  <c r="R239" i="2" s="1"/>
  <c r="R269" i="2" s="1"/>
  <c r="R321" i="2" s="1"/>
  <c r="V8" i="2"/>
  <c r="V10" i="2" s="1"/>
  <c r="V40" i="2" s="1"/>
  <c r="V161" i="2"/>
  <c r="V163" i="2" s="1"/>
  <c r="V193" i="2" s="1"/>
  <c r="V370" i="2" s="1"/>
  <c r="V199" i="2"/>
  <c r="V201" i="2" s="1"/>
  <c r="V231" i="2" s="1"/>
  <c r="V85" i="2"/>
  <c r="V87" i="2" s="1"/>
  <c r="V117" i="2" s="1"/>
  <c r="V328" i="2" s="1"/>
  <c r="V381" i="2" s="1"/>
  <c r="V123" i="2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U85" i="2"/>
  <c r="U87" i="2" s="1"/>
  <c r="U117" i="2" s="1"/>
  <c r="U328" i="2" s="1"/>
  <c r="U381" i="2" s="1"/>
  <c r="U123" i="2"/>
  <c r="U47" i="2"/>
  <c r="U49" i="2" s="1"/>
  <c r="U79" i="2" s="1"/>
  <c r="U8" i="2"/>
  <c r="U10" i="2" s="1"/>
  <c r="U40" i="2" s="1"/>
  <c r="U161" i="2"/>
  <c r="U163" i="2" s="1"/>
  <c r="U193" i="2" s="1"/>
  <c r="U370" i="2" s="1"/>
  <c r="U275" i="2"/>
  <c r="U277" i="2" s="1"/>
  <c r="U307" i="2" s="1"/>
  <c r="U322" i="2" s="1"/>
  <c r="U199" i="2"/>
  <c r="U201" i="2" s="1"/>
  <c r="U231" i="2" s="1"/>
  <c r="U237" i="2"/>
  <c r="U239" i="2" s="1"/>
  <c r="U269" i="2" s="1"/>
  <c r="U321" i="2" s="1"/>
  <c r="K123" i="2"/>
  <c r="K47" i="2"/>
  <c r="K49" i="2" s="1"/>
  <c r="K79" i="2" s="1"/>
  <c r="K8" i="2"/>
  <c r="K10" i="2" s="1"/>
  <c r="K40" i="2" s="1"/>
  <c r="K161" i="2"/>
  <c r="K163" i="2" s="1"/>
  <c r="K193" i="2" s="1"/>
  <c r="K370" i="2" s="1"/>
  <c r="K199" i="2"/>
  <c r="K201" i="2" s="1"/>
  <c r="K231" i="2" s="1"/>
  <c r="K85" i="2"/>
  <c r="K237" i="2"/>
  <c r="K239" i="2" s="1"/>
  <c r="K269" i="2" s="1"/>
  <c r="K321" i="2" s="1"/>
  <c r="K275" i="2"/>
  <c r="K277" i="2" s="1"/>
  <c r="K307" i="2" s="1"/>
  <c r="X8" i="2"/>
  <c r="X10" i="2" s="1"/>
  <c r="X40" i="2" s="1"/>
  <c r="X161" i="2"/>
  <c r="X163" i="2" s="1"/>
  <c r="X193" i="2" s="1"/>
  <c r="X370" i="2" s="1"/>
  <c r="X85" i="2"/>
  <c r="X87" i="2" s="1"/>
  <c r="X117" i="2" s="1"/>
  <c r="X328" i="2" s="1"/>
  <c r="X381" i="2" s="1"/>
  <c r="X123" i="2"/>
  <c r="X275" i="2"/>
  <c r="X277" i="2" s="1"/>
  <c r="X307" i="2" s="1"/>
  <c r="X322" i="2" s="1"/>
  <c r="X199" i="2"/>
  <c r="X201" i="2" s="1"/>
  <c r="X231" i="2" s="1"/>
  <c r="X47" i="2"/>
  <c r="X49" i="2" s="1"/>
  <c r="X79" i="2" s="1"/>
  <c r="X237" i="2"/>
  <c r="X239" i="2" s="1"/>
  <c r="X269" i="2" s="1"/>
  <c r="X321" i="2" s="1"/>
  <c r="N366" i="2" l="1"/>
  <c r="N523" i="2"/>
  <c r="N534" i="2"/>
  <c r="N554" i="2" s="1"/>
  <c r="N365" i="2"/>
  <c r="AG484" i="2"/>
  <c r="AH484" i="2" s="1"/>
  <c r="F8" i="2"/>
  <c r="F10" i="2" s="1"/>
  <c r="F275" i="2"/>
  <c r="F277" i="2" s="1"/>
  <c r="F237" i="2"/>
  <c r="AG237" i="2" s="1"/>
  <c r="AH237" i="2" s="1"/>
  <c r="F123" i="2"/>
  <c r="F125" i="2" s="1"/>
  <c r="F47" i="2"/>
  <c r="AG47" i="2" s="1"/>
  <c r="AH47" i="2" s="1"/>
  <c r="F85" i="2"/>
  <c r="AG85" i="2" s="1"/>
  <c r="AH85" i="2" s="1"/>
  <c r="F199" i="2"/>
  <c r="AG199" i="2" s="1"/>
  <c r="AH199" i="2" s="1"/>
  <c r="AF362" i="2"/>
  <c r="AF367" i="2"/>
  <c r="AF363" i="2"/>
  <c r="R367" i="2"/>
  <c r="R363" i="2"/>
  <c r="Q363" i="2"/>
  <c r="Q367" i="2"/>
  <c r="O367" i="2"/>
  <c r="O363" i="2"/>
  <c r="Y367" i="2"/>
  <c r="Y362" i="2"/>
  <c r="Y363" i="2"/>
  <c r="W367" i="2"/>
  <c r="W362" i="2"/>
  <c r="W363" i="2"/>
  <c r="H367" i="2"/>
  <c r="H363" i="2"/>
  <c r="AD367" i="2"/>
  <c r="AD363" i="2"/>
  <c r="AD362" i="2"/>
  <c r="J367" i="2"/>
  <c r="J363" i="2"/>
  <c r="M363" i="2"/>
  <c r="M367" i="2"/>
  <c r="V363" i="2"/>
  <c r="V362" i="2"/>
  <c r="V367" i="2"/>
  <c r="T367" i="2"/>
  <c r="T363" i="2"/>
  <c r="T362" i="2"/>
  <c r="AE362" i="2"/>
  <c r="AE363" i="2"/>
  <c r="AE367" i="2"/>
  <c r="AA367" i="2"/>
  <c r="AA362" i="2"/>
  <c r="AA363" i="2"/>
  <c r="Z362" i="2"/>
  <c r="Z367" i="2"/>
  <c r="Z363" i="2"/>
  <c r="X362" i="2"/>
  <c r="X363" i="2"/>
  <c r="X367" i="2"/>
  <c r="L363" i="2"/>
  <c r="L367" i="2"/>
  <c r="P363" i="2"/>
  <c r="P367" i="2"/>
  <c r="N363" i="2"/>
  <c r="N362" i="2"/>
  <c r="N367" i="2"/>
  <c r="U362" i="2"/>
  <c r="U363" i="2"/>
  <c r="U367" i="2"/>
  <c r="AC363" i="2"/>
  <c r="AC362" i="2"/>
  <c r="AC367" i="2"/>
  <c r="I367" i="2"/>
  <c r="I363" i="2"/>
  <c r="G367" i="2"/>
  <c r="G363" i="2"/>
  <c r="K367" i="2"/>
  <c r="K363" i="2"/>
  <c r="S367" i="2"/>
  <c r="S363" i="2"/>
  <c r="S362" i="2"/>
  <c r="AB367" i="2"/>
  <c r="AB363" i="2"/>
  <c r="AB362" i="2"/>
  <c r="AD125" i="2"/>
  <c r="AD155" i="2" s="1"/>
  <c r="AD319" i="2" s="1"/>
  <c r="AD495" i="2"/>
  <c r="AE125" i="2"/>
  <c r="AE155" i="2" s="1"/>
  <c r="AE319" i="2" s="1"/>
  <c r="AE495" i="2"/>
  <c r="K320" i="2"/>
  <c r="V125" i="2"/>
  <c r="V155" i="2" s="1"/>
  <c r="V319" i="2" s="1"/>
  <c r="V495" i="2"/>
  <c r="R125" i="2"/>
  <c r="R155" i="2" s="1"/>
  <c r="R319" i="2" s="1"/>
  <c r="R495" i="2"/>
  <c r="S320" i="2"/>
  <c r="S368" i="2"/>
  <c r="I87" i="2"/>
  <c r="I117" i="2" s="1"/>
  <c r="I362" i="2" s="1"/>
  <c r="I513" i="2"/>
  <c r="G125" i="2"/>
  <c r="G155" i="2" s="1"/>
  <c r="G495" i="2"/>
  <c r="Q125" i="2"/>
  <c r="Q155" i="2" s="1"/>
  <c r="Q319" i="2" s="1"/>
  <c r="Q495" i="2"/>
  <c r="L322" i="2"/>
  <c r="O320" i="2"/>
  <c r="J125" i="2"/>
  <c r="J155" i="2" s="1"/>
  <c r="J495" i="2"/>
  <c r="J504" i="2" s="1"/>
  <c r="J533" i="2" s="1"/>
  <c r="J552" i="2" s="1"/>
  <c r="X125" i="2"/>
  <c r="X155" i="2" s="1"/>
  <c r="X319" i="2" s="1"/>
  <c r="X495" i="2"/>
  <c r="AF125" i="2"/>
  <c r="AF155" i="2" s="1"/>
  <c r="AF319" i="2" s="1"/>
  <c r="AF495" i="2"/>
  <c r="G87" i="2"/>
  <c r="G117" i="2" s="1"/>
  <c r="G368" i="2" s="1"/>
  <c r="G513" i="2"/>
  <c r="V360" i="2"/>
  <c r="T372" i="2"/>
  <c r="AB372" i="2"/>
  <c r="V372" i="2"/>
  <c r="AE372" i="2"/>
  <c r="Z373" i="2"/>
  <c r="U374" i="2"/>
  <c r="AC374" i="2"/>
  <c r="W383" i="2"/>
  <c r="AE383" i="2"/>
  <c r="W372" i="2"/>
  <c r="AF372" i="2"/>
  <c r="S373" i="2"/>
  <c r="AA373" i="2"/>
  <c r="V374" i="2"/>
  <c r="AD374" i="2"/>
  <c r="X383" i="2"/>
  <c r="AF383" i="2"/>
  <c r="E328" i="2"/>
  <c r="E330" i="2" s="1"/>
  <c r="X372" i="2"/>
  <c r="T373" i="2"/>
  <c r="AB373" i="2"/>
  <c r="W374" i="2"/>
  <c r="AE374" i="2"/>
  <c r="Y383" i="2"/>
  <c r="Y372" i="2"/>
  <c r="U373" i="2"/>
  <c r="AC373" i="2"/>
  <c r="X374" i="2"/>
  <c r="AF374" i="2"/>
  <c r="Z383" i="2"/>
  <c r="V365" i="2"/>
  <c r="Z372" i="2"/>
  <c r="V373" i="2"/>
  <c r="AD373" i="2"/>
  <c r="Y374" i="2"/>
  <c r="S383" i="2"/>
  <c r="S385" i="2" s="1"/>
  <c r="AA383" i="2"/>
  <c r="AA372" i="2"/>
  <c r="W373" i="2"/>
  <c r="AE373" i="2"/>
  <c r="Z374" i="2"/>
  <c r="T383" i="2"/>
  <c r="T385" i="2" s="1"/>
  <c r="AB383" i="2"/>
  <c r="U372" i="2"/>
  <c r="AD372" i="2"/>
  <c r="Y373" i="2"/>
  <c r="T374" i="2"/>
  <c r="AB374" i="2"/>
  <c r="V383" i="2"/>
  <c r="AD383" i="2"/>
  <c r="X373" i="2"/>
  <c r="AF373" i="2"/>
  <c r="S374" i="2"/>
  <c r="S372" i="2"/>
  <c r="AA374" i="2"/>
  <c r="U383" i="2"/>
  <c r="U385" i="2" s="1"/>
  <c r="AC372" i="2"/>
  <c r="AC383" i="2"/>
  <c r="V320" i="2"/>
  <c r="V368" i="2"/>
  <c r="W320" i="2"/>
  <c r="W368" i="2"/>
  <c r="M320" i="2"/>
  <c r="U125" i="2"/>
  <c r="U155" i="2" s="1"/>
  <c r="U319" i="2" s="1"/>
  <c r="U495" i="2"/>
  <c r="AC125" i="2"/>
  <c r="AC155" i="2" s="1"/>
  <c r="AC319" i="2" s="1"/>
  <c r="AC495" i="2"/>
  <c r="AA125" i="2"/>
  <c r="AA155" i="2" s="1"/>
  <c r="AA319" i="2" s="1"/>
  <c r="AA495" i="2"/>
  <c r="H322" i="2"/>
  <c r="AB125" i="2"/>
  <c r="AB155" i="2" s="1"/>
  <c r="AB319" i="2" s="1"/>
  <c r="AB495" i="2"/>
  <c r="P320" i="2"/>
  <c r="Z125" i="2"/>
  <c r="Z155" i="2" s="1"/>
  <c r="Z319" i="2" s="1"/>
  <c r="Z495" i="2"/>
  <c r="N319" i="2"/>
  <c r="N495" i="2"/>
  <c r="N504" i="2" s="1"/>
  <c r="L320" i="2"/>
  <c r="K125" i="2"/>
  <c r="K155" i="2" s="1"/>
  <c r="K495" i="2"/>
  <c r="K504" i="2" s="1"/>
  <c r="K533" i="2" s="1"/>
  <c r="K552" i="2" s="1"/>
  <c r="S125" i="2"/>
  <c r="S155" i="2" s="1"/>
  <c r="S319" i="2" s="1"/>
  <c r="S495" i="2"/>
  <c r="AG161" i="2"/>
  <c r="AH161" i="2" s="1"/>
  <c r="F163" i="2"/>
  <c r="I322" i="2"/>
  <c r="Q87" i="2"/>
  <c r="Q117" i="2" s="1"/>
  <c r="Q328" i="2" s="1"/>
  <c r="Q381" i="2" s="1"/>
  <c r="Q513" i="2"/>
  <c r="O125" i="2"/>
  <c r="O155" i="2" s="1"/>
  <c r="O495" i="2"/>
  <c r="O504" i="2" s="1"/>
  <c r="O533" i="2" s="1"/>
  <c r="O552" i="2" s="1"/>
  <c r="T320" i="2"/>
  <c r="T368" i="2"/>
  <c r="H125" i="2"/>
  <c r="H155" i="2" s="1"/>
  <c r="H495" i="2"/>
  <c r="H504" i="2" s="1"/>
  <c r="H533" i="2" s="1"/>
  <c r="H552" i="2" s="1"/>
  <c r="P125" i="2"/>
  <c r="P155" i="2" s="1"/>
  <c r="P495" i="2"/>
  <c r="P504" i="2" s="1"/>
  <c r="Z320" i="2"/>
  <c r="Z368" i="2"/>
  <c r="N328" i="2"/>
  <c r="N381" i="2" s="1"/>
  <c r="N513" i="2"/>
  <c r="I320" i="2"/>
  <c r="Y125" i="2"/>
  <c r="Y155" i="2" s="1"/>
  <c r="Y319" i="2" s="1"/>
  <c r="Y495" i="2"/>
  <c r="K322" i="2"/>
  <c r="AD320" i="2"/>
  <c r="AD368" i="2"/>
  <c r="I125" i="2"/>
  <c r="I155" i="2" s="1"/>
  <c r="I495" i="2"/>
  <c r="I504" i="2" s="1"/>
  <c r="I533" i="2" s="1"/>
  <c r="I552" i="2" s="1"/>
  <c r="G320" i="2"/>
  <c r="E377" i="2"/>
  <c r="Q320" i="2"/>
  <c r="O87" i="2"/>
  <c r="O117" i="2" s="1"/>
  <c r="O328" i="2" s="1"/>
  <c r="O381" i="2" s="1"/>
  <c r="O513" i="2"/>
  <c r="W125" i="2"/>
  <c r="W155" i="2" s="1"/>
  <c r="W319" i="2" s="1"/>
  <c r="W495" i="2"/>
  <c r="H87" i="2"/>
  <c r="H117" i="2" s="1"/>
  <c r="H513" i="2"/>
  <c r="P87" i="2"/>
  <c r="P117" i="2" s="1"/>
  <c r="P328" i="2" s="1"/>
  <c r="P381" i="2" s="1"/>
  <c r="P513" i="2"/>
  <c r="N320" i="2"/>
  <c r="N368" i="2"/>
  <c r="J320" i="2"/>
  <c r="U320" i="2"/>
  <c r="U368" i="2"/>
  <c r="G322" i="2"/>
  <c r="L125" i="2"/>
  <c r="L155" i="2" s="1"/>
  <c r="L495" i="2"/>
  <c r="L504" i="2" s="1"/>
  <c r="L533" i="2" s="1"/>
  <c r="L552" i="2" s="1"/>
  <c r="Y320" i="2"/>
  <c r="Y368" i="2"/>
  <c r="H320" i="2"/>
  <c r="J322" i="2"/>
  <c r="AB320" i="2"/>
  <c r="AB368" i="2"/>
  <c r="M125" i="2"/>
  <c r="M495" i="2"/>
  <c r="R320" i="2"/>
  <c r="M322" i="2"/>
  <c r="X320" i="2"/>
  <c r="X368" i="2"/>
  <c r="K87" i="2"/>
  <c r="K117" i="2" s="1"/>
  <c r="K362" i="2" s="1"/>
  <c r="K513" i="2"/>
  <c r="R87" i="2"/>
  <c r="R117" i="2" s="1"/>
  <c r="R328" i="2" s="1"/>
  <c r="R381" i="2" s="1"/>
  <c r="R513" i="2"/>
  <c r="AF320" i="2"/>
  <c r="AF368" i="2"/>
  <c r="AC368" i="2"/>
  <c r="AC320" i="2"/>
  <c r="AA320" i="2"/>
  <c r="AA368" i="2"/>
  <c r="L87" i="2"/>
  <c r="L117" i="2" s="1"/>
  <c r="L383" i="2" s="1"/>
  <c r="L513" i="2"/>
  <c r="T125" i="2"/>
  <c r="T155" i="2" s="1"/>
  <c r="T319" i="2" s="1"/>
  <c r="T495" i="2"/>
  <c r="J87" i="2"/>
  <c r="J117" i="2" s="1"/>
  <c r="J513" i="2"/>
  <c r="AE368" i="2"/>
  <c r="AE320" i="2"/>
  <c r="M87" i="2"/>
  <c r="M117" i="2" s="1"/>
  <c r="M513" i="2"/>
  <c r="I368" i="2" l="1"/>
  <c r="G366" i="2"/>
  <c r="H366" i="2"/>
  <c r="J366" i="2"/>
  <c r="V371" i="2"/>
  <c r="L603" i="2"/>
  <c r="L577" i="2"/>
  <c r="O542" i="2"/>
  <c r="O604" i="2"/>
  <c r="H577" i="2"/>
  <c r="H603" i="2"/>
  <c r="J577" i="2"/>
  <c r="J603" i="2"/>
  <c r="I542" i="2"/>
  <c r="I604" i="2"/>
  <c r="J604" i="2"/>
  <c r="J542" i="2"/>
  <c r="H604" i="2"/>
  <c r="H542" i="2"/>
  <c r="O577" i="2"/>
  <c r="O603" i="2"/>
  <c r="G542" i="2"/>
  <c r="G604" i="2"/>
  <c r="M604" i="2"/>
  <c r="M542" i="2"/>
  <c r="L542" i="2"/>
  <c r="L604" i="2"/>
  <c r="K603" i="2"/>
  <c r="K577" i="2"/>
  <c r="K542" i="2"/>
  <c r="K604" i="2"/>
  <c r="I603" i="2"/>
  <c r="I577" i="2"/>
  <c r="M504" i="2"/>
  <c r="M533" i="2" s="1"/>
  <c r="M552" i="2" s="1"/>
  <c r="G504" i="2"/>
  <c r="G533" i="2" s="1"/>
  <c r="G552" i="2" s="1"/>
  <c r="X360" i="2"/>
  <c r="J365" i="2"/>
  <c r="X371" i="2"/>
  <c r="H371" i="2"/>
  <c r="AD371" i="2"/>
  <c r="AD365" i="2"/>
  <c r="G371" i="2"/>
  <c r="AD360" i="2"/>
  <c r="X365" i="2"/>
  <c r="H368" i="2"/>
  <c r="AE360" i="2"/>
  <c r="AF371" i="2"/>
  <c r="O319" i="2"/>
  <c r="O324" i="2" s="1"/>
  <c r="O326" i="2" s="1"/>
  <c r="O330" i="2" s="1"/>
  <c r="O331" i="2" s="1"/>
  <c r="O366" i="2"/>
  <c r="AC371" i="2"/>
  <c r="AF365" i="2"/>
  <c r="P319" i="2"/>
  <c r="P324" i="2" s="1"/>
  <c r="P326" i="2" s="1"/>
  <c r="P330" i="2" s="1"/>
  <c r="P331" i="2" s="1"/>
  <c r="P366" i="2"/>
  <c r="K369" i="2"/>
  <c r="K366" i="2"/>
  <c r="AE371" i="2"/>
  <c r="AE365" i="2"/>
  <c r="I369" i="2"/>
  <c r="I366" i="2"/>
  <c r="AF360" i="2"/>
  <c r="N579" i="2"/>
  <c r="N605" i="2"/>
  <c r="N642" i="2" s="1"/>
  <c r="E17" i="17" s="1"/>
  <c r="L369" i="2"/>
  <c r="L366" i="2"/>
  <c r="AB360" i="2"/>
  <c r="M368" i="2"/>
  <c r="K365" i="2"/>
  <c r="U371" i="2"/>
  <c r="S371" i="2"/>
  <c r="AB371" i="2"/>
  <c r="AA371" i="2"/>
  <c r="Z371" i="2"/>
  <c r="AB365" i="2"/>
  <c r="T360" i="2"/>
  <c r="Y360" i="2"/>
  <c r="L362" i="2"/>
  <c r="W360" i="2"/>
  <c r="T365" i="2"/>
  <c r="Z365" i="2"/>
  <c r="J362" i="2"/>
  <c r="J368" i="2"/>
  <c r="AC360" i="2"/>
  <c r="AA360" i="2"/>
  <c r="O368" i="2"/>
  <c r="H362" i="2"/>
  <c r="R362" i="2"/>
  <c r="Y371" i="2"/>
  <c r="U360" i="2"/>
  <c r="S360" i="2"/>
  <c r="I365" i="2"/>
  <c r="K368" i="2"/>
  <c r="AC365" i="2"/>
  <c r="W371" i="2"/>
  <c r="Y365" i="2"/>
  <c r="G362" i="2"/>
  <c r="O362" i="2"/>
  <c r="P368" i="2"/>
  <c r="L368" i="2"/>
  <c r="R368" i="2"/>
  <c r="Q368" i="2"/>
  <c r="U365" i="2"/>
  <c r="AA365" i="2"/>
  <c r="Z360" i="2"/>
  <c r="P362" i="2"/>
  <c r="M362" i="2"/>
  <c r="Q362" i="2"/>
  <c r="T371" i="2"/>
  <c r="W365" i="2"/>
  <c r="S365" i="2"/>
  <c r="M518" i="2"/>
  <c r="N604" i="2"/>
  <c r="H365" i="2"/>
  <c r="O365" i="2"/>
  <c r="G365" i="2"/>
  <c r="L365" i="2"/>
  <c r="J369" i="2"/>
  <c r="G369" i="2"/>
  <c r="H369" i="2"/>
  <c r="AF364" i="2"/>
  <c r="X364" i="2"/>
  <c r="AD369" i="2"/>
  <c r="N369" i="2"/>
  <c r="Z369" i="2"/>
  <c r="S369" i="2"/>
  <c r="R369" i="2"/>
  <c r="AB369" i="2"/>
  <c r="AE369" i="2"/>
  <c r="AC369" i="2"/>
  <c r="W369" i="2"/>
  <c r="O369" i="2"/>
  <c r="AD364" i="2"/>
  <c r="P369" i="2"/>
  <c r="AF369" i="2"/>
  <c r="X369" i="2"/>
  <c r="AA369" i="2"/>
  <c r="Q369" i="2"/>
  <c r="V369" i="2"/>
  <c r="T369" i="2"/>
  <c r="Y369" i="2"/>
  <c r="J364" i="2"/>
  <c r="AE364" i="2"/>
  <c r="U369" i="2"/>
  <c r="AA364" i="2"/>
  <c r="V364" i="2"/>
  <c r="S364" i="2"/>
  <c r="W364" i="2"/>
  <c r="Y364" i="2"/>
  <c r="AB364" i="2"/>
  <c r="AC364" i="2"/>
  <c r="T364" i="2"/>
  <c r="Z364" i="2"/>
  <c r="U364" i="2"/>
  <c r="N542" i="2"/>
  <c r="AG123" i="2"/>
  <c r="AH123" i="2" s="1"/>
  <c r="AG275" i="2"/>
  <c r="AH275" i="2" s="1"/>
  <c r="AG8" i="2"/>
  <c r="AH8" i="2" s="1"/>
  <c r="F239" i="2"/>
  <c r="F269" i="2" s="1"/>
  <c r="F49" i="2"/>
  <c r="AG49" i="2" s="1"/>
  <c r="AH49" i="2" s="1"/>
  <c r="F201" i="2"/>
  <c r="F231" i="2" s="1"/>
  <c r="F495" i="2"/>
  <c r="F504" i="2" s="1"/>
  <c r="F513" i="2"/>
  <c r="F518" i="2" s="1"/>
  <c r="F87" i="2"/>
  <c r="F117" i="2" s="1"/>
  <c r="S324" i="2"/>
  <c r="S355" i="2" s="1"/>
  <c r="T324" i="2"/>
  <c r="T326" i="2" s="1"/>
  <c r="T330" i="2" s="1"/>
  <c r="N324" i="2"/>
  <c r="N355" i="2" s="1"/>
  <c r="V324" i="2"/>
  <c r="V355" i="2" s="1"/>
  <c r="Q373" i="2"/>
  <c r="W324" i="2"/>
  <c r="W355" i="2" s="1"/>
  <c r="Q383" i="2"/>
  <c r="Q385" i="2" s="1"/>
  <c r="R374" i="2"/>
  <c r="Q372" i="2"/>
  <c r="P360" i="2"/>
  <c r="P373" i="2"/>
  <c r="J374" i="2"/>
  <c r="N364" i="2"/>
  <c r="P372" i="2"/>
  <c r="L371" i="2"/>
  <c r="L373" i="2"/>
  <c r="J372" i="2"/>
  <c r="J371" i="2"/>
  <c r="Q374" i="2"/>
  <c r="J383" i="2"/>
  <c r="O360" i="2"/>
  <c r="I371" i="2"/>
  <c r="AC324" i="2"/>
  <c r="AC326" i="2" s="1"/>
  <c r="AC330" i="2" s="1"/>
  <c r="I372" i="2"/>
  <c r="O372" i="2"/>
  <c r="J360" i="2"/>
  <c r="K372" i="2"/>
  <c r="R372" i="2"/>
  <c r="K383" i="2"/>
  <c r="R383" i="2"/>
  <c r="R385" i="2" s="1"/>
  <c r="M373" i="2"/>
  <c r="N374" i="2"/>
  <c r="M372" i="2"/>
  <c r="Q371" i="2"/>
  <c r="R360" i="2"/>
  <c r="AD324" i="2"/>
  <c r="AD326" i="2" s="1"/>
  <c r="AD330" i="2" s="1"/>
  <c r="I383" i="2"/>
  <c r="M374" i="2"/>
  <c r="I374" i="2"/>
  <c r="G372" i="2"/>
  <c r="K371" i="2"/>
  <c r="H360" i="2"/>
  <c r="O364" i="2"/>
  <c r="K360" i="2"/>
  <c r="AF324" i="2"/>
  <c r="AF355" i="2" s="1"/>
  <c r="K364" i="2"/>
  <c r="R371" i="2"/>
  <c r="P374" i="2"/>
  <c r="P383" i="2"/>
  <c r="P385" i="2" s="1"/>
  <c r="G20" i="4" s="1"/>
  <c r="K373" i="2"/>
  <c r="R373" i="2"/>
  <c r="L364" i="2"/>
  <c r="Q364" i="2"/>
  <c r="G364" i="2"/>
  <c r="P365" i="2"/>
  <c r="L374" i="2"/>
  <c r="H372" i="2"/>
  <c r="U324" i="2"/>
  <c r="U326" i="2" s="1"/>
  <c r="U330" i="2" s="1"/>
  <c r="K374" i="2"/>
  <c r="I373" i="2"/>
  <c r="O373" i="2"/>
  <c r="H374" i="2"/>
  <c r="P371" i="2"/>
  <c r="O374" i="2"/>
  <c r="H383" i="2"/>
  <c r="J373" i="2"/>
  <c r="G360" i="2"/>
  <c r="N360" i="2"/>
  <c r="I364" i="2"/>
  <c r="P364" i="2"/>
  <c r="L360" i="2"/>
  <c r="Q360" i="2"/>
  <c r="X324" i="2"/>
  <c r="X355" i="2" s="1"/>
  <c r="Q324" i="2"/>
  <c r="Q355" i="2" s="1"/>
  <c r="M383" i="2"/>
  <c r="AB324" i="2"/>
  <c r="AB355" i="2" s="1"/>
  <c r="Y324" i="2"/>
  <c r="Y355" i="2" s="1"/>
  <c r="N383" i="2"/>
  <c r="N385" i="2" s="1"/>
  <c r="G18" i="4" s="1"/>
  <c r="G373" i="2"/>
  <c r="N373" i="2"/>
  <c r="G374" i="2"/>
  <c r="N371" i="2"/>
  <c r="O383" i="2"/>
  <c r="O385" i="2" s="1"/>
  <c r="G19" i="4" s="1"/>
  <c r="L372" i="2"/>
  <c r="R364" i="2"/>
  <c r="O371" i="2"/>
  <c r="H364" i="2"/>
  <c r="Q365" i="2"/>
  <c r="I360" i="2"/>
  <c r="AE324" i="2"/>
  <c r="AE355" i="2" s="1"/>
  <c r="H373" i="2"/>
  <c r="Z324" i="2"/>
  <c r="Z326" i="2" s="1"/>
  <c r="Z330" i="2" s="1"/>
  <c r="AA324" i="2"/>
  <c r="AA355" i="2" s="1"/>
  <c r="N372" i="2"/>
  <c r="G383" i="2"/>
  <c r="R365" i="2"/>
  <c r="R324" i="2"/>
  <c r="R355" i="2" s="1"/>
  <c r="P500" i="2"/>
  <c r="J328" i="2"/>
  <c r="J381" i="2" s="1"/>
  <c r="K518" i="2"/>
  <c r="M500" i="2"/>
  <c r="AG277" i="2"/>
  <c r="AH277" i="2" s="1"/>
  <c r="F307" i="2"/>
  <c r="I500" i="2"/>
  <c r="Y500" i="2"/>
  <c r="Y504" i="2"/>
  <c r="Y533" i="2"/>
  <c r="Y577" i="2" s="1"/>
  <c r="Y603" i="2" s="1"/>
  <c r="U500" i="2"/>
  <c r="U533" i="2"/>
  <c r="U577" i="2" s="1"/>
  <c r="U603" i="2" s="1"/>
  <c r="U504" i="2"/>
  <c r="AF500" i="2"/>
  <c r="AF504" i="2"/>
  <c r="I328" i="2"/>
  <c r="I381" i="2" s="1"/>
  <c r="I319" i="2"/>
  <c r="I324" i="2" s="1"/>
  <c r="K500" i="2"/>
  <c r="AA500" i="2"/>
  <c r="AA504" i="2"/>
  <c r="AA533" i="2"/>
  <c r="AA577" i="2" s="1"/>
  <c r="AA603" i="2" s="1"/>
  <c r="X500" i="2"/>
  <c r="X533" i="2"/>
  <c r="X577" i="2" s="1"/>
  <c r="X603" i="2" s="1"/>
  <c r="X504" i="2"/>
  <c r="L518" i="2"/>
  <c r="Q518" i="2"/>
  <c r="Q542" i="2"/>
  <c r="Q604" i="2"/>
  <c r="Z500" i="2"/>
  <c r="Z504" i="2"/>
  <c r="Z533" i="2"/>
  <c r="Z577" i="2" s="1"/>
  <c r="Z603" i="2" s="1"/>
  <c r="H518" i="2"/>
  <c r="AG10" i="2"/>
  <c r="AH10" i="2" s="1"/>
  <c r="F40" i="2"/>
  <c r="AG40" i="2" s="1"/>
  <c r="AH40" i="2" s="1"/>
  <c r="H500" i="2"/>
  <c r="K319" i="2"/>
  <c r="K324" i="2" s="1"/>
  <c r="Q504" i="2"/>
  <c r="Q500" i="2"/>
  <c r="K328" i="2"/>
  <c r="K381" i="2" s="1"/>
  <c r="P518" i="2"/>
  <c r="L500" i="2"/>
  <c r="H328" i="2"/>
  <c r="H381" i="2" s="1"/>
  <c r="H319" i="2"/>
  <c r="H324" i="2" s="1"/>
  <c r="F155" i="2"/>
  <c r="AG125" i="2"/>
  <c r="AH125" i="2" s="1"/>
  <c r="J500" i="2"/>
  <c r="AE504" i="2"/>
  <c r="AE500" i="2"/>
  <c r="M328" i="2"/>
  <c r="M155" i="2"/>
  <c r="L328" i="2"/>
  <c r="L381" i="2" s="1"/>
  <c r="L385" i="2" s="1"/>
  <c r="G16" i="4" s="1"/>
  <c r="E331" i="2"/>
  <c r="X589" i="2"/>
  <c r="X590" i="2" s="1"/>
  <c r="AF589" i="2"/>
  <c r="AF590" i="2" s="1"/>
  <c r="Y589" i="2"/>
  <c r="Y590" i="2" s="1"/>
  <c r="Z589" i="2"/>
  <c r="Z590" i="2" s="1"/>
  <c r="AA589" i="2"/>
  <c r="AA590" i="2" s="1"/>
  <c r="T589" i="2"/>
  <c r="T590" i="2" s="1"/>
  <c r="AB589" i="2"/>
  <c r="AB590" i="2" s="1"/>
  <c r="U589" i="2"/>
  <c r="U590" i="2" s="1"/>
  <c r="AC589" i="2"/>
  <c r="AC590" i="2" s="1"/>
  <c r="E627" i="2"/>
  <c r="V589" i="2"/>
  <c r="V590" i="2" s="1"/>
  <c r="W589" i="2"/>
  <c r="W590" i="2" s="1"/>
  <c r="AD589" i="2"/>
  <c r="AD590" i="2" s="1"/>
  <c r="AE589" i="2"/>
  <c r="AE590" i="2" s="1"/>
  <c r="J518" i="2"/>
  <c r="L319" i="2"/>
  <c r="L324" i="2" s="1"/>
  <c r="W504" i="2"/>
  <c r="W500" i="2"/>
  <c r="W533" i="2"/>
  <c r="W577" i="2" s="1"/>
  <c r="W603" i="2" s="1"/>
  <c r="N518" i="2"/>
  <c r="F193" i="2"/>
  <c r="F370" i="2" s="1"/>
  <c r="AG370" i="2" s="1"/>
  <c r="AH370" i="2" s="1"/>
  <c r="AG163" i="2"/>
  <c r="AH163" i="2" s="1"/>
  <c r="AB500" i="2"/>
  <c r="AB504" i="2"/>
  <c r="AB533" i="2"/>
  <c r="AB577" i="2" s="1"/>
  <c r="AB603" i="2" s="1"/>
  <c r="J319" i="2"/>
  <c r="J324" i="2" s="1"/>
  <c r="G500" i="2"/>
  <c r="R500" i="2"/>
  <c r="R504" i="2"/>
  <c r="R542" i="2"/>
  <c r="R518" i="2"/>
  <c r="R604" i="2"/>
  <c r="AC500" i="2"/>
  <c r="AC533" i="2"/>
  <c r="AC577" i="2" s="1"/>
  <c r="AC603" i="2" s="1"/>
  <c r="AC504" i="2"/>
  <c r="E381" i="2"/>
  <c r="G518" i="2"/>
  <c r="G319" i="2"/>
  <c r="G324" i="2" s="1"/>
  <c r="AD500" i="2"/>
  <c r="AD504" i="2"/>
  <c r="AD533" i="2"/>
  <c r="AD577" i="2" s="1"/>
  <c r="AD603" i="2" s="1"/>
  <c r="T500" i="2"/>
  <c r="T504" i="2"/>
  <c r="T533" i="2"/>
  <c r="T577" i="2" s="1"/>
  <c r="T603" i="2" s="1"/>
  <c r="O518" i="2"/>
  <c r="O500" i="2"/>
  <c r="S500" i="2"/>
  <c r="S504" i="2"/>
  <c r="N500" i="2"/>
  <c r="N533" i="2"/>
  <c r="N552" i="2" s="1"/>
  <c r="G328" i="2"/>
  <c r="G381" i="2" s="1"/>
  <c r="I518" i="2"/>
  <c r="V500" i="2"/>
  <c r="V504" i="2"/>
  <c r="V533" i="2"/>
  <c r="V577" i="2" s="1"/>
  <c r="V603" i="2" s="1"/>
  <c r="F366" i="2" l="1"/>
  <c r="G577" i="2"/>
  <c r="G603" i="2"/>
  <c r="M603" i="2"/>
  <c r="M577" i="2"/>
  <c r="P523" i="2"/>
  <c r="O523" i="2"/>
  <c r="M365" i="2"/>
  <c r="M366" i="2"/>
  <c r="L523" i="2"/>
  <c r="K523" i="2"/>
  <c r="F365" i="2"/>
  <c r="M371" i="2"/>
  <c r="M360" i="2"/>
  <c r="N577" i="2"/>
  <c r="N603" i="2"/>
  <c r="AG87" i="2"/>
  <c r="AH87" i="2" s="1"/>
  <c r="AG239" i="2"/>
  <c r="AH239" i="2" s="1"/>
  <c r="M369" i="2"/>
  <c r="M364" i="2"/>
  <c r="AG495" i="2"/>
  <c r="AG500" i="2" s="1"/>
  <c r="AH500" i="2" s="1"/>
  <c r="F522" i="2"/>
  <c r="F79" i="2"/>
  <c r="AI123" i="2"/>
  <c r="AG201" i="2"/>
  <c r="AH201" i="2" s="1"/>
  <c r="F500" i="2"/>
  <c r="F604" i="2"/>
  <c r="AG513" i="2"/>
  <c r="AH513" i="2" s="1"/>
  <c r="F542" i="2"/>
  <c r="T355" i="2"/>
  <c r="S326" i="2"/>
  <c r="S330" i="2" s="1"/>
  <c r="S331" i="2" s="1"/>
  <c r="N326" i="2"/>
  <c r="N330" i="2" s="1"/>
  <c r="N331" i="2" s="1"/>
  <c r="V326" i="2"/>
  <c r="V330" i="2" s="1"/>
  <c r="V569" i="2" s="1"/>
  <c r="V570" i="2" s="1"/>
  <c r="U355" i="2"/>
  <c r="O355" i="2"/>
  <c r="K385" i="2"/>
  <c r="G15" i="4" s="1"/>
  <c r="P355" i="2"/>
  <c r="AC355" i="2"/>
  <c r="AF326" i="2"/>
  <c r="AF330" i="2" s="1"/>
  <c r="AF331" i="2" s="1"/>
  <c r="J385" i="2"/>
  <c r="G14" i="4" s="1"/>
  <c r="W326" i="2"/>
  <c r="W330" i="2" s="1"/>
  <c r="W564" i="2" s="1"/>
  <c r="W565" i="2" s="1"/>
  <c r="I385" i="2"/>
  <c r="G13" i="4" s="1"/>
  <c r="AB326" i="2"/>
  <c r="AB330" i="2" s="1"/>
  <c r="AB569" i="2" s="1"/>
  <c r="AB570" i="2" s="1"/>
  <c r="AE326" i="2"/>
  <c r="AE330" i="2" s="1"/>
  <c r="AE569" i="2" s="1"/>
  <c r="AE570" i="2" s="1"/>
  <c r="Z355" i="2"/>
  <c r="X326" i="2"/>
  <c r="X330" i="2" s="1"/>
  <c r="X331" i="2" s="1"/>
  <c r="AI125" i="2"/>
  <c r="R326" i="2"/>
  <c r="R330" i="2" s="1"/>
  <c r="R331" i="2" s="1"/>
  <c r="Y326" i="2"/>
  <c r="Y330" i="2" s="1"/>
  <c r="Y331" i="2" s="1"/>
  <c r="G385" i="2"/>
  <c r="G11" i="4" s="1"/>
  <c r="H385" i="2"/>
  <c r="G12" i="4" s="1"/>
  <c r="Q326" i="2"/>
  <c r="Q330" i="2" s="1"/>
  <c r="Q331" i="2" s="1"/>
  <c r="F362" i="2"/>
  <c r="AG362" i="2" s="1"/>
  <c r="AH362" i="2" s="1"/>
  <c r="F367" i="2"/>
  <c r="AG367" i="2" s="1"/>
  <c r="AH367" i="2" s="1"/>
  <c r="F369" i="2"/>
  <c r="F363" i="2"/>
  <c r="AG363" i="2" s="1"/>
  <c r="AH363" i="2" s="1"/>
  <c r="AG518" i="2"/>
  <c r="AH518" i="2" s="1"/>
  <c r="AD355" i="2"/>
  <c r="F373" i="2"/>
  <c r="AG373" i="2" s="1"/>
  <c r="AH373" i="2" s="1"/>
  <c r="F383" i="2"/>
  <c r="AG383" i="2" s="1"/>
  <c r="AH383" i="2" s="1"/>
  <c r="F360" i="2"/>
  <c r="F372" i="2"/>
  <c r="AG372" i="2" s="1"/>
  <c r="AH372" i="2" s="1"/>
  <c r="F364" i="2"/>
  <c r="F371" i="2"/>
  <c r="F374" i="2"/>
  <c r="AG374" i="2" s="1"/>
  <c r="AH374" i="2" s="1"/>
  <c r="AA326" i="2"/>
  <c r="AA330" i="2" s="1"/>
  <c r="AA564" i="2" s="1"/>
  <c r="AA565" i="2" s="1"/>
  <c r="H355" i="2"/>
  <c r="H326" i="2"/>
  <c r="H330" i="2" s="1"/>
  <c r="H331" i="2" s="1"/>
  <c r="I522" i="2"/>
  <c r="G522" i="2"/>
  <c r="Q522" i="2"/>
  <c r="Q533" i="2"/>
  <c r="Q552" i="2" s="1"/>
  <c r="K522" i="2"/>
  <c r="F322" i="2"/>
  <c r="AG322" i="2" s="1"/>
  <c r="AG307" i="2"/>
  <c r="AH307" i="2" s="1"/>
  <c r="J355" i="2"/>
  <c r="J326" i="2"/>
  <c r="J330" i="2" s="1"/>
  <c r="J331" i="2" s="1"/>
  <c r="AG117" i="2"/>
  <c r="AH117" i="2" s="1"/>
  <c r="F328" i="2"/>
  <c r="AG269" i="2"/>
  <c r="AH269" i="2" s="1"/>
  <c r="F321" i="2"/>
  <c r="AG321" i="2" s="1"/>
  <c r="AH321" i="2" s="1"/>
  <c r="E385" i="2"/>
  <c r="K326" i="2"/>
  <c r="K330" i="2" s="1"/>
  <c r="K331" i="2" s="1"/>
  <c r="K355" i="2"/>
  <c r="M522" i="2"/>
  <c r="T331" i="2"/>
  <c r="T564" i="2"/>
  <c r="T565" i="2" s="1"/>
  <c r="T569" i="2"/>
  <c r="T570" i="2" s="1"/>
  <c r="AD331" i="2"/>
  <c r="AD569" i="2"/>
  <c r="AD570" i="2" s="1"/>
  <c r="AD564" i="2"/>
  <c r="AD565" i="2" s="1"/>
  <c r="J522" i="2"/>
  <c r="I355" i="2"/>
  <c r="I326" i="2"/>
  <c r="I330" i="2" s="1"/>
  <c r="I331" i="2" s="1"/>
  <c r="S533" i="2"/>
  <c r="S522" i="2"/>
  <c r="O522" i="2"/>
  <c r="G355" i="2"/>
  <c r="G326" i="2"/>
  <c r="G330" i="2" s="1"/>
  <c r="G331" i="2" s="1"/>
  <c r="M319" i="2"/>
  <c r="AG155" i="2"/>
  <c r="AH155" i="2" s="1"/>
  <c r="F319" i="2"/>
  <c r="L522" i="2"/>
  <c r="R533" i="2"/>
  <c r="R552" i="2" s="1"/>
  <c r="R522" i="2"/>
  <c r="M381" i="2"/>
  <c r="M385" i="2" s="1"/>
  <c r="G17" i="4" s="1"/>
  <c r="H522" i="2"/>
  <c r="Z331" i="2"/>
  <c r="Z564" i="2"/>
  <c r="Z565" i="2" s="1"/>
  <c r="Z569" i="2"/>
  <c r="Z570" i="2" s="1"/>
  <c r="N522" i="2"/>
  <c r="L326" i="2"/>
  <c r="L330" i="2" s="1"/>
  <c r="L331" i="2" s="1"/>
  <c r="L355" i="2"/>
  <c r="U331" i="2"/>
  <c r="U569" i="2"/>
  <c r="U570" i="2" s="1"/>
  <c r="U564" i="2"/>
  <c r="U565" i="2" s="1"/>
  <c r="AC331" i="2"/>
  <c r="AC569" i="2"/>
  <c r="AC570" i="2" s="1"/>
  <c r="AC564" i="2"/>
  <c r="AC565" i="2" s="1"/>
  <c r="AG193" i="2"/>
  <c r="AH193" i="2" s="1"/>
  <c r="AG231" i="2"/>
  <c r="AH231" i="2" s="1"/>
  <c r="F320" i="2"/>
  <c r="AG320" i="2" s="1"/>
  <c r="F368" i="2"/>
  <c r="P522" i="2"/>
  <c r="AG371" i="2" l="1"/>
  <c r="AH371" i="2" s="1"/>
  <c r="AG365" i="2"/>
  <c r="AH365" i="2" s="1"/>
  <c r="M523" i="2"/>
  <c r="AG364" i="2"/>
  <c r="AH364" i="2" s="1"/>
  <c r="AG369" i="2"/>
  <c r="AH369" i="2" s="1"/>
  <c r="AH495" i="2"/>
  <c r="V331" i="2"/>
  <c r="AG79" i="2"/>
  <c r="AH79" i="2" s="1"/>
  <c r="AG504" i="2"/>
  <c r="AH504" i="2" s="1"/>
  <c r="F533" i="2"/>
  <c r="F552" i="2" s="1"/>
  <c r="F603" i="2" s="1"/>
  <c r="V564" i="2"/>
  <c r="V565" i="2" s="1"/>
  <c r="W331" i="2"/>
  <c r="W569" i="2"/>
  <c r="W570" i="2" s="1"/>
  <c r="AB564" i="2"/>
  <c r="AB565" i="2" s="1"/>
  <c r="AB331" i="2"/>
  <c r="AA331" i="2"/>
  <c r="X569" i="2"/>
  <c r="X570" i="2" s="1"/>
  <c r="AE331" i="2"/>
  <c r="X564" i="2"/>
  <c r="X565" i="2" s="1"/>
  <c r="AE564" i="2"/>
  <c r="AE565" i="2" s="1"/>
  <c r="AA569" i="2"/>
  <c r="AA570" i="2" s="1"/>
  <c r="Y569" i="2"/>
  <c r="Y570" i="2" s="1"/>
  <c r="Y564" i="2"/>
  <c r="Y565" i="2" s="1"/>
  <c r="AG360" i="2"/>
  <c r="AH360" i="2" s="1"/>
  <c r="Q577" i="2"/>
  <c r="Q603" i="2"/>
  <c r="S552" i="2"/>
  <c r="S577" i="2"/>
  <c r="S633" i="2"/>
  <c r="F324" i="2"/>
  <c r="AG319" i="2"/>
  <c r="AH319" i="2" s="1"/>
  <c r="R577" i="2"/>
  <c r="R603" i="2"/>
  <c r="M324" i="2"/>
  <c r="F381" i="2"/>
  <c r="AG328" i="2"/>
  <c r="AH322" i="2"/>
  <c r="AI322" i="2"/>
  <c r="AG368" i="2"/>
  <c r="AH368" i="2" s="1"/>
  <c r="AI155" i="2"/>
  <c r="AH320" i="2"/>
  <c r="AI320" i="2"/>
  <c r="F577" i="2" l="1"/>
  <c r="AG324" i="2"/>
  <c r="AH324" i="2" s="1"/>
  <c r="F355" i="2"/>
  <c r="F326" i="2"/>
  <c r="S603" i="2"/>
  <c r="M326" i="2"/>
  <c r="M355" i="2"/>
  <c r="AH328" i="2"/>
  <c r="AI328" i="2"/>
  <c r="AI319" i="2"/>
  <c r="AG381" i="2"/>
  <c r="AH381" i="2" s="1"/>
  <c r="F385" i="2"/>
  <c r="F330" i="2" l="1"/>
  <c r="F331" i="2" s="1"/>
  <c r="AG326" i="2"/>
  <c r="AI326" i="2" s="1"/>
  <c r="AG385" i="2"/>
  <c r="AH385" i="2" s="1"/>
  <c r="G10" i="4"/>
  <c r="AI324" i="2"/>
  <c r="AG355" i="2"/>
  <c r="AH355" i="2" s="1"/>
  <c r="M330" i="2"/>
  <c r="M331" i="2" s="1"/>
  <c r="G26" i="4" l="1"/>
  <c r="AG330" i="2"/>
  <c r="AH330" i="2" s="1"/>
  <c r="AH326" i="2"/>
  <c r="AA361" i="2" l="1"/>
  <c r="T361" i="2"/>
  <c r="AF361" i="2"/>
  <c r="U361" i="2"/>
  <c r="V361" i="2"/>
  <c r="S361" i="2"/>
  <c r="AD361" i="2"/>
  <c r="Y361" i="2"/>
  <c r="W361" i="2"/>
  <c r="X361" i="2"/>
  <c r="AB361" i="2"/>
  <c r="AE361" i="2"/>
  <c r="Z361" i="2"/>
  <c r="AC361" i="2"/>
  <c r="Q361" i="2"/>
  <c r="R361" i="2"/>
  <c r="E349" i="2"/>
  <c r="E351" i="2" s="1"/>
  <c r="E379" i="2" s="1"/>
  <c r="U366" i="2"/>
  <c r="J349" i="2"/>
  <c r="J351" i="2" s="1"/>
  <c r="D14" i="4" s="1"/>
  <c r="H349" i="2"/>
  <c r="H351" i="2" s="1"/>
  <c r="G349" i="2"/>
  <c r="G351" i="2" s="1"/>
  <c r="I349" i="2"/>
  <c r="I351" i="2" s="1"/>
  <c r="R366" i="2"/>
  <c r="Q366" i="2"/>
  <c r="T366" i="2"/>
  <c r="S366" i="2"/>
  <c r="P508" i="2" l="1"/>
  <c r="P507" i="2"/>
  <c r="L508" i="2"/>
  <c r="L537" i="2" s="1"/>
  <c r="L507" i="2"/>
  <c r="L536" i="2" s="1"/>
  <c r="J508" i="2"/>
  <c r="J537" i="2" s="1"/>
  <c r="J507" i="2"/>
  <c r="J536" i="2" s="1"/>
  <c r="O508" i="2"/>
  <c r="O537" i="2" s="1"/>
  <c r="O507" i="2"/>
  <c r="O536" i="2" s="1"/>
  <c r="I508" i="2"/>
  <c r="I537" i="2" s="1"/>
  <c r="I507" i="2"/>
  <c r="I536" i="2" s="1"/>
  <c r="H508" i="2"/>
  <c r="H537" i="2" s="1"/>
  <c r="H507" i="2"/>
  <c r="H536" i="2" s="1"/>
  <c r="F508" i="2"/>
  <c r="F507" i="2"/>
  <c r="G508" i="2"/>
  <c r="G537" i="2" s="1"/>
  <c r="G507" i="2"/>
  <c r="G536" i="2" s="1"/>
  <c r="M507" i="2"/>
  <c r="M536" i="2" s="1"/>
  <c r="M508" i="2"/>
  <c r="M537" i="2" s="1"/>
  <c r="N508" i="2"/>
  <c r="N507" i="2"/>
  <c r="K508" i="2"/>
  <c r="K537" i="2" s="1"/>
  <c r="K507" i="2"/>
  <c r="K536" i="2" s="1"/>
  <c r="J375" i="2"/>
  <c r="J377" i="2" s="1"/>
  <c r="E14" i="4" s="1"/>
  <c r="F14" i="4" s="1"/>
  <c r="H14" i="4" s="1"/>
  <c r="U377" i="2"/>
  <c r="U379" i="2" s="1"/>
  <c r="U387" i="2" s="1"/>
  <c r="R508" i="2"/>
  <c r="R507" i="2"/>
  <c r="P375" i="2"/>
  <c r="P377" i="2" s="1"/>
  <c r="AC508" i="2"/>
  <c r="AC507" i="2"/>
  <c r="AC377" i="2"/>
  <c r="AC379" i="2" s="1"/>
  <c r="AC387" i="2" s="1"/>
  <c r="W507" i="2"/>
  <c r="W377" i="2"/>
  <c r="W379" i="2" s="1"/>
  <c r="W387" i="2" s="1"/>
  <c r="W508" i="2"/>
  <c r="AF508" i="2"/>
  <c r="AF377" i="2"/>
  <c r="AF379" i="2" s="1"/>
  <c r="AF387" i="2" s="1"/>
  <c r="AF507" i="2"/>
  <c r="Z508" i="2"/>
  <c r="Z507" i="2"/>
  <c r="Z377" i="2"/>
  <c r="Z379" i="2" s="1"/>
  <c r="Z387" i="2" s="1"/>
  <c r="O375" i="2"/>
  <c r="O377" i="2" s="1"/>
  <c r="AE377" i="2"/>
  <c r="AE379" i="2" s="1"/>
  <c r="AE387" i="2" s="1"/>
  <c r="AE508" i="2"/>
  <c r="AE507" i="2"/>
  <c r="Y507" i="2"/>
  <c r="Y377" i="2"/>
  <c r="Y379" i="2" s="1"/>
  <c r="Y387" i="2" s="1"/>
  <c r="Y508" i="2"/>
  <c r="Q508" i="2"/>
  <c r="Q507" i="2"/>
  <c r="AG361" i="2"/>
  <c r="AH361" i="2" s="1"/>
  <c r="AD507" i="2"/>
  <c r="AD508" i="2"/>
  <c r="AD377" i="2"/>
  <c r="AD379" i="2" s="1"/>
  <c r="AD387" i="2" s="1"/>
  <c r="T507" i="2"/>
  <c r="T508" i="2"/>
  <c r="U508" i="2"/>
  <c r="U507" i="2"/>
  <c r="M375" i="2"/>
  <c r="M377" i="2" s="1"/>
  <c r="AB507" i="2"/>
  <c r="AB508" i="2"/>
  <c r="AB377" i="2"/>
  <c r="AB379" i="2" s="1"/>
  <c r="AB387" i="2" s="1"/>
  <c r="S507" i="2"/>
  <c r="S508" i="2"/>
  <c r="AA377" i="2"/>
  <c r="AA379" i="2" s="1"/>
  <c r="AA387" i="2" s="1"/>
  <c r="AA507" i="2"/>
  <c r="AA508" i="2"/>
  <c r="L375" i="2"/>
  <c r="L377" i="2" s="1"/>
  <c r="N375" i="2"/>
  <c r="N377" i="2" s="1"/>
  <c r="X507" i="2"/>
  <c r="X508" i="2"/>
  <c r="X377" i="2"/>
  <c r="X379" i="2" s="1"/>
  <c r="X387" i="2" s="1"/>
  <c r="V508" i="2"/>
  <c r="V507" i="2"/>
  <c r="V377" i="2"/>
  <c r="V379" i="2" s="1"/>
  <c r="V387" i="2" s="1"/>
  <c r="K375" i="2"/>
  <c r="K377" i="2" s="1"/>
  <c r="U505" i="2"/>
  <c r="Q505" i="2"/>
  <c r="Q375" i="2"/>
  <c r="Q377" i="2" s="1"/>
  <c r="Q379" i="2" s="1"/>
  <c r="Q387" i="2" s="1"/>
  <c r="D12" i="4"/>
  <c r="R375" i="2"/>
  <c r="R377" i="2" s="1"/>
  <c r="R379" i="2" s="1"/>
  <c r="R387" i="2" s="1"/>
  <c r="R505" i="2"/>
  <c r="D11" i="4"/>
  <c r="G375" i="2"/>
  <c r="G377" i="2" s="1"/>
  <c r="E11" i="4" s="1"/>
  <c r="J523" i="2"/>
  <c r="AG366" i="2"/>
  <c r="AH366" i="2" s="1"/>
  <c r="F375" i="2"/>
  <c r="I375" i="2"/>
  <c r="I377" i="2" s="1"/>
  <c r="E13" i="4" s="1"/>
  <c r="H375" i="2"/>
  <c r="H377" i="2" s="1"/>
  <c r="E12" i="4" s="1"/>
  <c r="AG343" i="2"/>
  <c r="F349" i="2"/>
  <c r="F351" i="2" s="1"/>
  <c r="E387" i="2"/>
  <c r="S505" i="2"/>
  <c r="S377" i="2"/>
  <c r="S379" i="2" s="1"/>
  <c r="S387" i="2" s="1"/>
  <c r="T505" i="2"/>
  <c r="T377" i="2"/>
  <c r="T379" i="2" s="1"/>
  <c r="T387" i="2" s="1"/>
  <c r="D13" i="4"/>
  <c r="G584" i="2" l="1"/>
  <c r="G585" i="2" s="1"/>
  <c r="M584" i="2"/>
  <c r="M585" i="2" s="1"/>
  <c r="I584" i="2"/>
  <c r="I585" i="2" s="1"/>
  <c r="J584" i="2"/>
  <c r="J585" i="2" s="1"/>
  <c r="L584" i="2"/>
  <c r="L585" i="2" s="1"/>
  <c r="K584" i="2"/>
  <c r="K585" i="2" s="1"/>
  <c r="O584" i="2"/>
  <c r="O585" i="2" s="1"/>
  <c r="H584" i="2"/>
  <c r="H585" i="2" s="1"/>
  <c r="L594" i="2"/>
  <c r="H594" i="2"/>
  <c r="J594" i="2"/>
  <c r="O594" i="2"/>
  <c r="G594" i="2"/>
  <c r="I594" i="2"/>
  <c r="K594" i="2"/>
  <c r="M594" i="2"/>
  <c r="L589" i="2"/>
  <c r="G589" i="2"/>
  <c r="J589" i="2"/>
  <c r="H589" i="2"/>
  <c r="I589" i="2"/>
  <c r="M589" i="2"/>
  <c r="O589" i="2"/>
  <c r="K589" i="2"/>
  <c r="G580" i="2"/>
  <c r="M580" i="2"/>
  <c r="M636" i="2" s="1"/>
  <c r="I580" i="2"/>
  <c r="I636" i="2" s="1"/>
  <c r="L580" i="2"/>
  <c r="L636" i="2" s="1"/>
  <c r="H580" i="2"/>
  <c r="K580" i="2"/>
  <c r="K636" i="2" s="1"/>
  <c r="O580" i="2"/>
  <c r="O636" i="2" s="1"/>
  <c r="J580" i="2"/>
  <c r="G578" i="2"/>
  <c r="J578" i="2"/>
  <c r="M578" i="2"/>
  <c r="K578" i="2"/>
  <c r="O578" i="2"/>
  <c r="I578" i="2"/>
  <c r="H578" i="2"/>
  <c r="L578" i="2"/>
  <c r="G588" i="2"/>
  <c r="G563" i="2"/>
  <c r="O563" i="2"/>
  <c r="O588" i="2"/>
  <c r="K563" i="2"/>
  <c r="K588" i="2"/>
  <c r="J588" i="2"/>
  <c r="J563" i="2"/>
  <c r="K568" i="2"/>
  <c r="K593" i="2"/>
  <c r="J593" i="2"/>
  <c r="J568" i="2"/>
  <c r="G593" i="2"/>
  <c r="G568" i="2"/>
  <c r="H588" i="2"/>
  <c r="H563" i="2"/>
  <c r="L563" i="2"/>
  <c r="L588" i="2"/>
  <c r="O593" i="2"/>
  <c r="O568" i="2"/>
  <c r="H593" i="2"/>
  <c r="H568" i="2"/>
  <c r="L568" i="2"/>
  <c r="L593" i="2"/>
  <c r="M568" i="2"/>
  <c r="M593" i="2"/>
  <c r="I563" i="2"/>
  <c r="I588" i="2"/>
  <c r="M588" i="2"/>
  <c r="M563" i="2"/>
  <c r="I568" i="2"/>
  <c r="I593" i="2"/>
  <c r="J379" i="2"/>
  <c r="J387" i="2" s="1"/>
  <c r="J388" i="2" s="1"/>
  <c r="J509" i="2"/>
  <c r="Z509" i="2"/>
  <c r="V509" i="2"/>
  <c r="Q509" i="2"/>
  <c r="R509" i="2"/>
  <c r="X509" i="2"/>
  <c r="AA509" i="2"/>
  <c r="AD509" i="2"/>
  <c r="Y509" i="2"/>
  <c r="AE509" i="2"/>
  <c r="AF509" i="2"/>
  <c r="K379" i="2"/>
  <c r="K387" i="2" s="1"/>
  <c r="K388" i="2" s="1"/>
  <c r="E15" i="4"/>
  <c r="F15" i="4" s="1"/>
  <c r="H15" i="4" s="1"/>
  <c r="M525" i="2"/>
  <c r="M509" i="2"/>
  <c r="H525" i="2"/>
  <c r="I525" i="2"/>
  <c r="K525" i="2"/>
  <c r="K509" i="2"/>
  <c r="N379" i="2"/>
  <c r="N387" i="2" s="1"/>
  <c r="N388" i="2" s="1"/>
  <c r="E18" i="4"/>
  <c r="F18" i="4" s="1"/>
  <c r="H18" i="4" s="1"/>
  <c r="E17" i="4"/>
  <c r="F17" i="4" s="1"/>
  <c r="H17" i="4" s="1"/>
  <c r="M379" i="2"/>
  <c r="M387" i="2" s="1"/>
  <c r="G525" i="2"/>
  <c r="H526" i="2"/>
  <c r="I526" i="2"/>
  <c r="P526" i="2"/>
  <c r="K526" i="2"/>
  <c r="N525" i="2"/>
  <c r="N536" i="2"/>
  <c r="N509" i="2"/>
  <c r="S526" i="2"/>
  <c r="S537" i="2"/>
  <c r="G526" i="2"/>
  <c r="O379" i="2"/>
  <c r="O387" i="2" s="1"/>
  <c r="E19" i="4"/>
  <c r="F19" i="4" s="1"/>
  <c r="P509" i="2"/>
  <c r="P525" i="2"/>
  <c r="O525" i="2"/>
  <c r="O509" i="2"/>
  <c r="P379" i="2"/>
  <c r="P387" i="2" s="1"/>
  <c r="P388" i="2" s="1"/>
  <c r="E20" i="4"/>
  <c r="F20" i="4" s="1"/>
  <c r="H20" i="4" s="1"/>
  <c r="N537" i="2"/>
  <c r="N526" i="2"/>
  <c r="AG508" i="2"/>
  <c r="AH508" i="2" s="1"/>
  <c r="F526" i="2"/>
  <c r="F537" i="2"/>
  <c r="J525" i="2"/>
  <c r="W509" i="2"/>
  <c r="J526" i="2"/>
  <c r="S525" i="2"/>
  <c r="S536" i="2"/>
  <c r="L525" i="2"/>
  <c r="L509" i="2"/>
  <c r="O526" i="2"/>
  <c r="U509" i="2"/>
  <c r="L379" i="2"/>
  <c r="L387" i="2" s="1"/>
  <c r="E16" i="4"/>
  <c r="F16" i="4" s="1"/>
  <c r="H16" i="4" s="1"/>
  <c r="AB509" i="2"/>
  <c r="Q536" i="2"/>
  <c r="Q525" i="2"/>
  <c r="R525" i="2"/>
  <c r="R536" i="2"/>
  <c r="F525" i="2"/>
  <c r="AG507" i="2"/>
  <c r="AH507" i="2" s="1"/>
  <c r="F536" i="2"/>
  <c r="T509" i="2"/>
  <c r="L526" i="2"/>
  <c r="S509" i="2"/>
  <c r="M526" i="2"/>
  <c r="Q526" i="2"/>
  <c r="Q537" i="2"/>
  <c r="AC509" i="2"/>
  <c r="R537" i="2"/>
  <c r="R526" i="2"/>
  <c r="N584" i="2"/>
  <c r="N585" i="2" s="1"/>
  <c r="N594" i="2"/>
  <c r="N589" i="2"/>
  <c r="N580" i="2"/>
  <c r="N636" i="2" s="1"/>
  <c r="N578" i="2"/>
  <c r="G379" i="2"/>
  <c r="G387" i="2" s="1"/>
  <c r="I379" i="2"/>
  <c r="I387" i="2" s="1"/>
  <c r="T388" i="2"/>
  <c r="F377" i="2"/>
  <c r="F379" i="2" s="1"/>
  <c r="AG375" i="2"/>
  <c r="AH375" i="2" s="1"/>
  <c r="D10" i="4"/>
  <c r="R534" i="2"/>
  <c r="R554" i="2" s="1"/>
  <c r="R523" i="2"/>
  <c r="R555" i="2"/>
  <c r="R569" i="2"/>
  <c r="R627" i="2"/>
  <c r="R549" i="2"/>
  <c r="R559" i="2"/>
  <c r="R560" i="2" s="1"/>
  <c r="R388" i="2"/>
  <c r="R564" i="2"/>
  <c r="R553" i="2"/>
  <c r="H509" i="2"/>
  <c r="H523" i="2"/>
  <c r="H379" i="2"/>
  <c r="H387" i="2" s="1"/>
  <c r="F13" i="4"/>
  <c r="H13" i="4" s="1"/>
  <c r="S388" i="2"/>
  <c r="S564" i="2"/>
  <c r="S569" i="2"/>
  <c r="I509" i="2"/>
  <c r="I523" i="2"/>
  <c r="F12" i="4"/>
  <c r="H12" i="4" s="1"/>
  <c r="F11" i="4"/>
  <c r="H11" i="4" s="1"/>
  <c r="S523" i="2"/>
  <c r="S534" i="2"/>
  <c r="Q569" i="2"/>
  <c r="Q627" i="2"/>
  <c r="Q564" i="2"/>
  <c r="Q549" i="2"/>
  <c r="Q388" i="2"/>
  <c r="Q555" i="2"/>
  <c r="Q559" i="2"/>
  <c r="Q560" i="2" s="1"/>
  <c r="Q553" i="2"/>
  <c r="AG349" i="2"/>
  <c r="AH343" i="2"/>
  <c r="F523" i="2"/>
  <c r="F534" i="2"/>
  <c r="F554" i="2" s="1"/>
  <c r="AG505" i="2"/>
  <c r="AH505" i="2" s="1"/>
  <c r="F509" i="2"/>
  <c r="F584" i="2"/>
  <c r="F585" i="2" s="1"/>
  <c r="S594" i="2"/>
  <c r="AC388" i="2"/>
  <c r="F594" i="2"/>
  <c r="X594" i="2"/>
  <c r="X595" i="2" s="1"/>
  <c r="V594" i="2"/>
  <c r="V595" i="2" s="1"/>
  <c r="E388" i="2"/>
  <c r="Q594" i="2"/>
  <c r="Q580" i="2"/>
  <c r="AB388" i="2"/>
  <c r="Z594" i="2"/>
  <c r="Z595" i="2" s="1"/>
  <c r="Q578" i="2"/>
  <c r="R578" i="2"/>
  <c r="W388" i="2"/>
  <c r="AD388" i="2"/>
  <c r="X388" i="2"/>
  <c r="AC594" i="2"/>
  <c r="AC595" i="2" s="1"/>
  <c r="AE388" i="2"/>
  <c r="R594" i="2"/>
  <c r="C574" i="2"/>
  <c r="AB594" i="2"/>
  <c r="AB595" i="2" s="1"/>
  <c r="U594" i="2"/>
  <c r="U595" i="2" s="1"/>
  <c r="W594" i="2"/>
  <c r="W595" i="2" s="1"/>
  <c r="AF594" i="2"/>
  <c r="AF595" i="2" s="1"/>
  <c r="T594" i="2"/>
  <c r="T595" i="2" s="1"/>
  <c r="AE594" i="2"/>
  <c r="AE595" i="2" s="1"/>
  <c r="AA594" i="2"/>
  <c r="AA595" i="2" s="1"/>
  <c r="R584" i="2"/>
  <c r="R585" i="2" s="1"/>
  <c r="E633" i="2"/>
  <c r="F633" i="2" s="1"/>
  <c r="G633" i="2" s="1"/>
  <c r="H633" i="2" s="1"/>
  <c r="F580" i="2"/>
  <c r="S589" i="2"/>
  <c r="R589" i="2"/>
  <c r="Y388" i="2"/>
  <c r="AF388" i="2"/>
  <c r="Q584" i="2"/>
  <c r="Q585" i="2" s="1"/>
  <c r="AD594" i="2"/>
  <c r="AD595" i="2" s="1"/>
  <c r="R580" i="2"/>
  <c r="AA388" i="2"/>
  <c r="F589" i="2"/>
  <c r="F578" i="2"/>
  <c r="Z388" i="2"/>
  <c r="Y594" i="2"/>
  <c r="Y595" i="2" s="1"/>
  <c r="Q589" i="2"/>
  <c r="V388" i="2"/>
  <c r="U388" i="2"/>
  <c r="G509" i="2"/>
  <c r="G523" i="2"/>
  <c r="Q523" i="2"/>
  <c r="Q534" i="2"/>
  <c r="Q554" i="2" s="1"/>
  <c r="H590" i="2" l="1"/>
  <c r="H636" i="2" s="1"/>
  <c r="G590" i="2"/>
  <c r="G636" i="2" s="1"/>
  <c r="J590" i="2"/>
  <c r="J636" i="2" s="1"/>
  <c r="J574" i="2"/>
  <c r="G574" i="2"/>
  <c r="K574" i="2"/>
  <c r="I574" i="2"/>
  <c r="O574" i="2"/>
  <c r="H574" i="2"/>
  <c r="M574" i="2"/>
  <c r="L574" i="2"/>
  <c r="M549" i="2"/>
  <c r="M627" i="2"/>
  <c r="M559" i="2"/>
  <c r="M560" i="2" s="1"/>
  <c r="M569" i="2"/>
  <c r="M570" i="2" s="1"/>
  <c r="M629" i="2" s="1"/>
  <c r="M564" i="2"/>
  <c r="M565" i="2" s="1"/>
  <c r="M555" i="2"/>
  <c r="M630" i="2" s="1"/>
  <c r="M553" i="2"/>
  <c r="I619" i="2"/>
  <c r="I621" i="2" s="1"/>
  <c r="I641" i="2" s="1"/>
  <c r="D12" i="17" s="1"/>
  <c r="I595" i="2"/>
  <c r="I635" i="2" s="1"/>
  <c r="L595" i="2"/>
  <c r="L635" i="2" s="1"/>
  <c r="L619" i="2"/>
  <c r="L621" i="2" s="1"/>
  <c r="L641" i="2" s="1"/>
  <c r="D15" i="17" s="1"/>
  <c r="H614" i="2"/>
  <c r="H616" i="2" s="1"/>
  <c r="H642" i="2" s="1"/>
  <c r="J614" i="2"/>
  <c r="J616" i="2" s="1"/>
  <c r="J642" i="2" s="1"/>
  <c r="E13" i="17" s="1"/>
  <c r="K590" i="2"/>
  <c r="K637" i="2" s="1"/>
  <c r="K614" i="2"/>
  <c r="K616" i="2" s="1"/>
  <c r="K643" i="2" s="1"/>
  <c r="F14" i="17" s="1"/>
  <c r="K627" i="2"/>
  <c r="K549" i="2"/>
  <c r="K559" i="2"/>
  <c r="K560" i="2" s="1"/>
  <c r="K569" i="2"/>
  <c r="K570" i="2" s="1"/>
  <c r="K629" i="2" s="1"/>
  <c r="K564" i="2"/>
  <c r="K565" i="2" s="1"/>
  <c r="K555" i="2"/>
  <c r="K630" i="2" s="1"/>
  <c r="K553" i="2"/>
  <c r="M590" i="2"/>
  <c r="M637" i="2" s="1"/>
  <c r="M614" i="2"/>
  <c r="M616" i="2" s="1"/>
  <c r="M643" i="2" s="1"/>
  <c r="F16" i="17" s="1"/>
  <c r="H619" i="2"/>
  <c r="H621" i="2" s="1"/>
  <c r="H641" i="2" s="1"/>
  <c r="D11" i="17" s="1"/>
  <c r="H595" i="2"/>
  <c r="H635" i="2" s="1"/>
  <c r="G595" i="2"/>
  <c r="G635" i="2" s="1"/>
  <c r="G619" i="2"/>
  <c r="G621" i="2" s="1"/>
  <c r="G641" i="2" s="1"/>
  <c r="D10" i="17" s="1"/>
  <c r="I549" i="2"/>
  <c r="I627" i="2"/>
  <c r="I559" i="2"/>
  <c r="I560" i="2" s="1"/>
  <c r="I569" i="2"/>
  <c r="I570" i="2" s="1"/>
  <c r="I629" i="2" s="1"/>
  <c r="I564" i="2"/>
  <c r="I565" i="2" s="1"/>
  <c r="I555" i="2"/>
  <c r="I630" i="2" s="1"/>
  <c r="I553" i="2"/>
  <c r="O388" i="2"/>
  <c r="O549" i="2"/>
  <c r="O627" i="2"/>
  <c r="O559" i="2"/>
  <c r="O560" i="2" s="1"/>
  <c r="O569" i="2"/>
  <c r="O570" i="2" s="1"/>
  <c r="O629" i="2" s="1"/>
  <c r="O564" i="2"/>
  <c r="O565" i="2" s="1"/>
  <c r="O555" i="2"/>
  <c r="O630" i="2" s="1"/>
  <c r="O553" i="2"/>
  <c r="I614" i="2"/>
  <c r="I616" i="2" s="1"/>
  <c r="I643" i="2" s="1"/>
  <c r="F12" i="17" s="1"/>
  <c r="I590" i="2"/>
  <c r="I637" i="2" s="1"/>
  <c r="O590" i="2"/>
  <c r="O637" i="2" s="1"/>
  <c r="O614" i="2"/>
  <c r="O616" i="2" s="1"/>
  <c r="O643" i="2" s="1"/>
  <c r="F18" i="17" s="1"/>
  <c r="H549" i="2"/>
  <c r="H627" i="2"/>
  <c r="H559" i="2"/>
  <c r="H560" i="2" s="1"/>
  <c r="H569" i="2"/>
  <c r="H570" i="2" s="1"/>
  <c r="H629" i="2" s="1"/>
  <c r="H564" i="2"/>
  <c r="H565" i="2" s="1"/>
  <c r="H555" i="2"/>
  <c r="H553" i="2"/>
  <c r="G549" i="2"/>
  <c r="G627" i="2"/>
  <c r="G559" i="2"/>
  <c r="G560" i="2" s="1"/>
  <c r="G569" i="2"/>
  <c r="G570" i="2" s="1"/>
  <c r="G629" i="2" s="1"/>
  <c r="G564" i="2"/>
  <c r="G565" i="2" s="1"/>
  <c r="G555" i="2"/>
  <c r="G553" i="2"/>
  <c r="O619" i="2"/>
  <c r="O621" i="2" s="1"/>
  <c r="O641" i="2" s="1"/>
  <c r="D18" i="17" s="1"/>
  <c r="O595" i="2"/>
  <c r="O635" i="2" s="1"/>
  <c r="J595" i="2"/>
  <c r="J635" i="2" s="1"/>
  <c r="J619" i="2"/>
  <c r="J621" i="2" s="1"/>
  <c r="J641" i="2" s="1"/>
  <c r="D13" i="17" s="1"/>
  <c r="L388" i="2"/>
  <c r="L627" i="2"/>
  <c r="L549" i="2"/>
  <c r="L559" i="2"/>
  <c r="L560" i="2" s="1"/>
  <c r="L569" i="2"/>
  <c r="L570" i="2" s="1"/>
  <c r="L629" i="2" s="1"/>
  <c r="L564" i="2"/>
  <c r="L565" i="2" s="1"/>
  <c r="L555" i="2"/>
  <c r="L630" i="2" s="1"/>
  <c r="L553" i="2"/>
  <c r="M595" i="2"/>
  <c r="M635" i="2" s="1"/>
  <c r="M619" i="2"/>
  <c r="M621" i="2" s="1"/>
  <c r="M641" i="2" s="1"/>
  <c r="D16" i="17" s="1"/>
  <c r="L614" i="2"/>
  <c r="L616" i="2" s="1"/>
  <c r="L643" i="2" s="1"/>
  <c r="F15" i="17" s="1"/>
  <c r="L590" i="2"/>
  <c r="L637" i="2" s="1"/>
  <c r="K595" i="2"/>
  <c r="K635" i="2" s="1"/>
  <c r="K619" i="2"/>
  <c r="K621" i="2" s="1"/>
  <c r="K641" i="2" s="1"/>
  <c r="D14" i="17" s="1"/>
  <c r="G614" i="2"/>
  <c r="G616" i="2" s="1"/>
  <c r="G642" i="2" s="1"/>
  <c r="E10" i="17" s="1"/>
  <c r="J549" i="2"/>
  <c r="J627" i="2"/>
  <c r="J559" i="2"/>
  <c r="J560" i="2" s="1"/>
  <c r="J569" i="2"/>
  <c r="J570" i="2" s="1"/>
  <c r="J629" i="2" s="1"/>
  <c r="J564" i="2"/>
  <c r="J565" i="2" s="1"/>
  <c r="J555" i="2"/>
  <c r="J553" i="2"/>
  <c r="S527" i="2"/>
  <c r="L527" i="2"/>
  <c r="K527" i="2"/>
  <c r="G527" i="2"/>
  <c r="J527" i="2"/>
  <c r="N527" i="2"/>
  <c r="I527" i="2"/>
  <c r="O527" i="2"/>
  <c r="Q593" i="2"/>
  <c r="Q619" i="2" s="1"/>
  <c r="Q621" i="2" s="1"/>
  <c r="Q641" i="2" s="1"/>
  <c r="Q568" i="2"/>
  <c r="Q570" i="2" s="1"/>
  <c r="Q629" i="2" s="1"/>
  <c r="F568" i="2"/>
  <c r="F593" i="2"/>
  <c r="F619" i="2" s="1"/>
  <c r="F621" i="2" s="1"/>
  <c r="F641" i="2" s="1"/>
  <c r="D9" i="17" s="1"/>
  <c r="R527" i="2"/>
  <c r="S593" i="2"/>
  <c r="S619" i="2" s="1"/>
  <c r="S621" i="2" s="1"/>
  <c r="S641" i="2" s="1"/>
  <c r="S568" i="2"/>
  <c r="S570" i="2" s="1"/>
  <c r="P527" i="2"/>
  <c r="R563" i="2"/>
  <c r="R565" i="2" s="1"/>
  <c r="R631" i="2" s="1"/>
  <c r="R588" i="2"/>
  <c r="R614" i="2" s="1"/>
  <c r="R616" i="2" s="1"/>
  <c r="R643" i="2" s="1"/>
  <c r="N564" i="2"/>
  <c r="N627" i="2"/>
  <c r="N559" i="2"/>
  <c r="N560" i="2" s="1"/>
  <c r="N569" i="2"/>
  <c r="N549" i="2"/>
  <c r="N555" i="2"/>
  <c r="N630" i="2" s="1"/>
  <c r="N553" i="2"/>
  <c r="F563" i="2"/>
  <c r="F614" i="2" s="1"/>
  <c r="F616" i="2" s="1"/>
  <c r="F588" i="2"/>
  <c r="F590" i="2" s="1"/>
  <c r="S563" i="2"/>
  <c r="S565" i="2" s="1"/>
  <c r="S588" i="2"/>
  <c r="S614" i="2" s="1"/>
  <c r="S616" i="2" s="1"/>
  <c r="Q527" i="2"/>
  <c r="M388" i="2"/>
  <c r="N593" i="2"/>
  <c r="N619" i="2" s="1"/>
  <c r="N621" i="2" s="1"/>
  <c r="N641" i="2" s="1"/>
  <c r="D17" i="17" s="1"/>
  <c r="N568" i="2"/>
  <c r="N588" i="2"/>
  <c r="N614" i="2" s="1"/>
  <c r="N616" i="2" s="1"/>
  <c r="N643" i="2" s="1"/>
  <c r="F17" i="17" s="1"/>
  <c r="N563" i="2"/>
  <c r="M527" i="2"/>
  <c r="R568" i="2"/>
  <c r="R570" i="2" s="1"/>
  <c r="R629" i="2" s="1"/>
  <c r="R593" i="2"/>
  <c r="R619" i="2" s="1"/>
  <c r="R621" i="2" s="1"/>
  <c r="R641" i="2" s="1"/>
  <c r="Q563" i="2"/>
  <c r="Q565" i="2" s="1"/>
  <c r="Q630" i="2" s="1"/>
  <c r="Q588" i="2"/>
  <c r="Q614" i="2" s="1"/>
  <c r="Q616" i="2" s="1"/>
  <c r="F527" i="2"/>
  <c r="H527" i="2"/>
  <c r="E12" i="17"/>
  <c r="N574" i="2"/>
  <c r="G388" i="2"/>
  <c r="I388" i="2"/>
  <c r="F574" i="2"/>
  <c r="R574" i="2"/>
  <c r="Q574" i="2"/>
  <c r="AH1" i="2"/>
  <c r="R630" i="2"/>
  <c r="R605" i="2"/>
  <c r="R642" i="2" s="1"/>
  <c r="R579" i="2"/>
  <c r="R636" i="2" s="1"/>
  <c r="F605" i="2"/>
  <c r="F579" i="2"/>
  <c r="AG351" i="2"/>
  <c r="AH351" i="2" s="1"/>
  <c r="AH349" i="2"/>
  <c r="D26" i="4"/>
  <c r="D33" i="4" s="1"/>
  <c r="S578" i="2"/>
  <c r="S554" i="2"/>
  <c r="AG379" i="2"/>
  <c r="AH379" i="2" s="1"/>
  <c r="F387" i="2"/>
  <c r="Q605" i="2"/>
  <c r="Q579" i="2"/>
  <c r="H388" i="2"/>
  <c r="AG509" i="2"/>
  <c r="AH509" i="2" s="1"/>
  <c r="E10" i="4"/>
  <c r="E26" i="4" s="1"/>
  <c r="AG377" i="2"/>
  <c r="AH377" i="2" s="1"/>
  <c r="M631" i="2" l="1"/>
  <c r="K631" i="2"/>
  <c r="I631" i="2"/>
  <c r="L631" i="2"/>
  <c r="O631" i="2"/>
  <c r="J630" i="2"/>
  <c r="H630" i="2"/>
  <c r="G630" i="2"/>
  <c r="I633" i="2"/>
  <c r="J633" i="2" s="1"/>
  <c r="F642" i="2"/>
  <c r="E9" i="17" s="1"/>
  <c r="Q595" i="2"/>
  <c r="Q635" i="2" s="1"/>
  <c r="R590" i="2"/>
  <c r="R637" i="2" s="1"/>
  <c r="R595" i="2"/>
  <c r="R635" i="2" s="1"/>
  <c r="E11" i="17"/>
  <c r="Q642" i="2"/>
  <c r="N590" i="2"/>
  <c r="N637" i="2" s="1"/>
  <c r="N595" i="2"/>
  <c r="N635" i="2" s="1"/>
  <c r="S590" i="2"/>
  <c r="S595" i="2"/>
  <c r="S635" i="2" s="1"/>
  <c r="F636" i="2"/>
  <c r="N565" i="2"/>
  <c r="N631" i="2" s="1"/>
  <c r="N570" i="2"/>
  <c r="N629" i="2" s="1"/>
  <c r="F595" i="2"/>
  <c r="F635" i="2" s="1"/>
  <c r="S630" i="2"/>
  <c r="Q590" i="2"/>
  <c r="Q636" i="2" s="1"/>
  <c r="F627" i="2"/>
  <c r="F388" i="2"/>
  <c r="F549" i="2"/>
  <c r="F553" i="2"/>
  <c r="F559" i="2"/>
  <c r="F560" i="2" s="1"/>
  <c r="F564" i="2"/>
  <c r="F565" i="2" s="1"/>
  <c r="F555" i="2"/>
  <c r="F569" i="2"/>
  <c r="F570" i="2" s="1"/>
  <c r="F629" i="2" s="1"/>
  <c r="S636" i="2"/>
  <c r="S604" i="2"/>
  <c r="S642" i="2" s="1"/>
  <c r="D48" i="4"/>
  <c r="D47" i="4"/>
  <c r="D38" i="4"/>
  <c r="D46" i="4"/>
  <c r="D41" i="4"/>
  <c r="D44" i="4"/>
  <c r="F26" i="4"/>
  <c r="H26" i="4" s="1"/>
  <c r="D43" i="4"/>
  <c r="D40" i="4"/>
  <c r="D39" i="4"/>
  <c r="D45" i="4"/>
  <c r="D42" i="4"/>
  <c r="D37" i="4"/>
  <c r="D34" i="4"/>
  <c r="D36" i="4"/>
  <c r="D35" i="4"/>
  <c r="F10" i="4"/>
  <c r="H10" i="4" s="1"/>
  <c r="K633" i="2" l="1"/>
  <c r="L633" i="2" s="1"/>
  <c r="M633" i="2" s="1"/>
  <c r="N633" i="2" s="1"/>
  <c r="O633" i="2" s="1"/>
  <c r="I20" i="4"/>
  <c r="F630" i="2"/>
  <c r="I16" i="4"/>
  <c r="I15" i="4"/>
  <c r="I18" i="4"/>
  <c r="I12" i="4"/>
  <c r="I13" i="4"/>
  <c r="I11" i="4"/>
  <c r="I17" i="4"/>
  <c r="I10" i="4"/>
  <c r="I14" i="4"/>
  <c r="I26" i="4"/>
</calcChain>
</file>

<file path=xl/sharedStrings.xml><?xml version="1.0" encoding="utf-8"?>
<sst xmlns="http://schemas.openxmlformats.org/spreadsheetml/2006/main" count="2509" uniqueCount="1207">
  <si>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</si>
  <si>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</si>
  <si>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</si>
  <si>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</si>
  <si>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</si>
  <si>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</si>
  <si>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</si>
  <si>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</si>
  <si>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</si>
  <si>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</si>
  <si>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</si>
  <si>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</si>
  <si>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</si>
  <si>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</si>
  <si>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</si>
  <si>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</si>
  <si>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</si>
  <si>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</si>
  <si>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</si>
  <si>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</si>
  <si>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</si>
  <si>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</si>
  <si>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</si>
  <si>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</si>
  <si>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</si>
  <si>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</si>
  <si>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</si>
  <si>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</si>
  <si>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</si>
  <si>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</si>
  <si>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</si>
  <si>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</si>
  <si>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</si>
  <si>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</si>
  <si>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</si>
  <si>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</si>
  <si>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</si>
  <si>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</si>
  <si>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</si>
  <si>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</si>
  <si>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</si>
  <si>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</si>
  <si>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</si>
  <si>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</si>
  <si>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</si>
  <si>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</si>
  <si>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</si>
  <si>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</si>
  <si>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</si>
  <si>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</si>
  <si>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</si>
  <si>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</si>
  <si>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</si>
  <si>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</si>
  <si>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</si>
  <si>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</si>
  <si>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</si>
  <si>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</si>
  <si>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</si>
  <si>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</si>
  <si>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</si>
  <si>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</si>
  <si>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</si>
  <si>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</si>
  <si>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</si>
  <si>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</si>
  <si>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</si>
  <si>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</si>
  <si>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</si>
  <si>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</si>
  <si>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</si>
  <si>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</si>
  <si>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</si>
  <si>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</si>
  <si>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</si>
  <si>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</si>
  <si>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</si>
  <si>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</si>
  <si>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</si>
  <si>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</si>
  <si>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</si>
  <si>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</si>
  <si>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</si>
  <si>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</si>
  <si>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</si>
  <si>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</si>
  <si>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</si>
  <si>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</si>
  <si>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</si>
  <si>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</si>
  <si>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</si>
  <si>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</si>
  <si>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</si>
  <si>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</si>
  <si>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</si>
  <si>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</si>
  <si>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</si>
  <si>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</si>
  <si>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</si>
  <si>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</si>
  <si>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</si>
  <si>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</si>
  <si>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</si>
  <si>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</si>
  <si>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</si>
  <si>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</si>
  <si>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</si>
  <si>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</si>
  <si>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</si>
  <si>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</si>
  <si>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</si>
  <si>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</si>
  <si>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</si>
  <si>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</si>
  <si>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</si>
  <si>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</si>
  <si>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</si>
  <si>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</si>
  <si>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</si>
  <si>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</si>
  <si>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</si>
  <si>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</si>
  <si>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</si>
  <si>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</si>
  <si>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</si>
  <si>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</si>
  <si>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</si>
  <si>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</si>
  <si>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</si>
  <si>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</si>
  <si>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</si>
  <si>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</si>
  <si>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</si>
  <si>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</si>
  <si>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</si>
  <si>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</si>
  <si>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</si>
  <si>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</si>
  <si>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</si>
  <si>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</si>
  <si>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</si>
  <si>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</si>
  <si>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</si>
  <si>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</si>
  <si>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</si>
  <si>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</si>
  <si>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</si>
  <si>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</si>
  <si>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</si>
  <si>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</si>
  <si>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</si>
  <si>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</si>
  <si>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</si>
  <si>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</si>
  <si>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</si>
  <si>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</si>
  <si>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</si>
  <si>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</si>
  <si>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</si>
  <si>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</si>
  <si>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</si>
  <si>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</si>
  <si>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</si>
  <si>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</si>
  <si>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</si>
  <si>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</si>
  <si>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</si>
  <si>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</si>
  <si>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</si>
  <si>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</si>
  <si>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</si>
  <si>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</si>
  <si>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</si>
  <si>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</si>
  <si>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</si>
  <si>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</si>
  <si>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</si>
  <si>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</si>
  <si>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</si>
  <si>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</si>
  <si>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</si>
  <si>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</si>
  <si>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</si>
  <si>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</si>
  <si>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</si>
  <si>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</si>
  <si>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</si>
  <si>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</si>
  <si>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</si>
  <si>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</si>
  <si>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</si>
  <si>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</si>
  <si>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</si>
  <si>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</si>
  <si>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</si>
  <si>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</si>
  <si>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</si>
  <si>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</si>
  <si>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</si>
  <si>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</si>
  <si>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</si>
  <si>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</si>
  <si>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</si>
  <si>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</si>
  <si>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</si>
  <si>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</si>
  <si>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</si>
  <si>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</si>
  <si>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</si>
  <si>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</si>
  <si>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</si>
  <si>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</si>
  <si>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</si>
  <si>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</si>
  <si>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</si>
  <si>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</si>
  <si>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</si>
  <si>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</si>
  <si>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</si>
  <si>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</si>
  <si>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</si>
  <si>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</si>
  <si>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</si>
  <si>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</si>
  <si>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</si>
  <si>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</si>
  <si>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</si>
  <si>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</si>
  <si>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</si>
  <si>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</si>
  <si>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</si>
  <si>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</si>
  <si>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</si>
  <si>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</si>
  <si>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</si>
  <si>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</si>
  <si>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</si>
  <si>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</si>
  <si>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</si>
  <si>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</si>
  <si>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</si>
  <si>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</si>
  <si>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</si>
  <si>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</si>
  <si>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</si>
  <si>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</si>
  <si>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</si>
  <si>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</si>
  <si>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</si>
  <si>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</si>
  <si>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</si>
  <si>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</si>
  <si>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</si>
  <si>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</si>
  <si>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</si>
  <si>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</si>
  <si>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</si>
  <si>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</si>
  <si>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</si>
  <si>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</si>
  <si>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</si>
  <si>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</si>
  <si>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</si>
  <si>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</si>
  <si>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</si>
  <si>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</si>
  <si>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</si>
  <si>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</si>
  <si>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</si>
  <si>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</si>
  <si>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</si>
  <si>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</si>
  <si>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</si>
  <si>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</si>
  <si>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</si>
  <si>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</si>
  <si>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</si>
  <si>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</si>
  <si>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</si>
  <si>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</si>
  <si>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</si>
  <si>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</si>
  <si>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</si>
  <si>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</si>
  <si>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</si>
  <si>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</si>
  <si>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</si>
  <si>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</si>
  <si>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</si>
  <si>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</si>
  <si>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</si>
  <si>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</si>
  <si>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</si>
  <si>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</si>
  <si>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</si>
  <si>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</si>
  <si>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</si>
  <si>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</si>
  <si>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</si>
  <si>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</si>
  <si>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</si>
  <si>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</si>
  <si>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</si>
  <si>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</si>
  <si>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</si>
  <si>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</si>
  <si>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</si>
  <si>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</si>
  <si>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</si>
  <si>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</si>
  <si>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</si>
  <si>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</si>
  <si>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</si>
  <si>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</si>
  <si>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</si>
  <si>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</si>
  <si>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</si>
  <si>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</si>
  <si>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</si>
  <si>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</si>
  <si>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</si>
  <si>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</si>
  <si>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</si>
  <si>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</si>
  <si>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</si>
  <si>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</si>
  <si>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</si>
  <si>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</si>
  <si>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</si>
  <si>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</si>
  <si>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</si>
  <si>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</si>
  <si>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</si>
  <si>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</si>
  <si>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</si>
  <si>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</si>
  <si>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</si>
  <si>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</si>
  <si>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</si>
  <si>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</si>
  <si>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</si>
  <si>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</si>
  <si>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</si>
  <si>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</si>
  <si>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</si>
  <si>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</si>
  <si>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</si>
  <si>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</si>
  <si>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</si>
  <si>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</si>
  <si>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</si>
  <si>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</si>
  <si>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</si>
  <si>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</si>
  <si>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</si>
  <si>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</si>
  <si>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</si>
  <si>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</si>
  <si>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</si>
  <si>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</si>
  <si>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</si>
  <si>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</si>
  <si>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</si>
  <si>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</si>
  <si>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</si>
  <si>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</si>
  <si>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</si>
  <si>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</si>
  <si>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</si>
  <si>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</si>
  <si>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</si>
  <si>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</si>
  <si>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</si>
  <si>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</si>
  <si>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</si>
  <si>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</si>
  <si>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</si>
  <si>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</si>
  <si>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</si>
  <si>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</si>
  <si>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</si>
  <si>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</si>
  <si>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</si>
  <si>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</si>
  <si>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</si>
  <si>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</si>
  <si>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</si>
  <si>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</si>
  <si>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</si>
  <si>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</si>
  <si>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</si>
  <si>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</si>
  <si>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</si>
  <si>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</si>
  <si>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</si>
  <si>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</si>
  <si>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</si>
  <si>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</si>
  <si>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</si>
  <si>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</si>
  <si>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</si>
  <si>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</si>
  <si>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</si>
  <si>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</si>
  <si>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</si>
  <si>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</si>
  <si>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</si>
  <si>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</si>
  <si>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</si>
  <si>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</si>
  <si>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</si>
  <si>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</si>
  <si>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</si>
  <si>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</si>
  <si>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</si>
  <si>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</si>
  <si>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</si>
  <si>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</si>
  <si>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</si>
  <si>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</si>
  <si>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</si>
  <si>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</si>
  <si>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</si>
  <si>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</si>
  <si>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</si>
  <si>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</si>
  <si>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</si>
  <si>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</si>
  <si>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</si>
  <si>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</si>
  <si>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</si>
  <si>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</si>
  <si>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</si>
  <si>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</si>
  <si>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</si>
  <si>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</si>
  <si>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</si>
  <si>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</si>
  <si>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</si>
  <si>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</si>
  <si>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</si>
  <si>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</si>
  <si>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</si>
  <si>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</si>
  <si>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</si>
  <si>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</si>
  <si>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</si>
  <si>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</si>
  <si>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</si>
  <si>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</si>
  <si>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</si>
  <si>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</si>
  <si>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</si>
  <si>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</si>
  <si>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</si>
  <si>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</si>
  <si>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</si>
  <si>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</si>
  <si>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</si>
  <si>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</si>
  <si>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</si>
  <si>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</si>
  <si>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</si>
  <si>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</si>
  <si>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</si>
  <si>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</si>
  <si>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</si>
  <si>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</si>
  <si>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</si>
  <si>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</si>
  <si>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</si>
  <si>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</si>
  <si>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</si>
  <si>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</si>
  <si>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</si>
  <si>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</si>
  <si>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</si>
  <si>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</si>
  <si>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</si>
  <si>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</si>
  <si>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</si>
  <si>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</si>
  <si>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</si>
  <si>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</si>
  <si>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</si>
  <si>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</si>
  <si>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</si>
  <si>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</si>
  <si>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</si>
  <si>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</si>
  <si>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</si>
  <si>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</si>
  <si>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</si>
  <si>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</si>
  <si>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</si>
  <si>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</si>
  <si>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</si>
  <si>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</si>
  <si>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</si>
  <si>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</si>
  <si>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</si>
  <si>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</si>
  <si>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</si>
  <si>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</si>
  <si>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</si>
  <si>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</si>
  <si>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</si>
  <si>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</si>
  <si>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</si>
  <si>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</si>
  <si>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</si>
  <si>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</si>
  <si>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</si>
  <si>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</si>
  <si>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</si>
  <si>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</si>
  <si>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</si>
  <si>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</si>
  <si>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</si>
  <si>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</si>
  <si>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</si>
  <si>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</si>
  <si>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</si>
  <si>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</si>
  <si>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</si>
  <si>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</si>
  <si>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</si>
  <si>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</si>
  <si>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</si>
  <si>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</si>
  <si>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</si>
  <si>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</si>
  <si>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</si>
  <si>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</si>
  <si>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</si>
  <si>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</si>
  <si>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</si>
  <si>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</si>
  <si>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</si>
  <si>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</si>
  <si>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</si>
  <si>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</si>
  <si>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</si>
  <si>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</si>
  <si>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</si>
  <si>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</si>
  <si>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</si>
  <si>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</si>
  <si>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</si>
  <si>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</si>
  <si>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</si>
  <si>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</si>
  <si>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</si>
  <si>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</si>
  <si>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</si>
  <si>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</si>
  <si>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</si>
  <si>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</si>
  <si>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</si>
  <si>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</si>
  <si>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</si>
  <si>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</si>
  <si>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</si>
  <si>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</si>
  <si>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</si>
  <si>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</si>
  <si>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</si>
  <si>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</si>
  <si>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</si>
  <si>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</si>
  <si>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</si>
  <si>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</si>
  <si>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</si>
  <si>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</si>
  <si>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</si>
  <si>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</si>
  <si>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</si>
  <si>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</si>
  <si>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</si>
  <si>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</si>
  <si>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</si>
  <si>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</si>
  <si>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</si>
  <si>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</si>
  <si>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</si>
  <si>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</si>
  <si>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</si>
  <si>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</si>
  <si>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</si>
  <si>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</si>
  <si>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</si>
  <si>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</si>
  <si>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</si>
  <si>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</si>
  <si>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</si>
  <si>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</si>
  <si>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</si>
  <si>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</si>
  <si>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</si>
  <si>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</si>
  <si>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</si>
  <si>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</si>
  <si>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</si>
  <si>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</si>
  <si>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</si>
  <si>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</si>
  <si>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</si>
  <si>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</si>
  <si>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</si>
  <si>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</si>
  <si>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</si>
  <si>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</si>
  <si>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</si>
  <si>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</si>
  <si>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</si>
  <si>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</si>
  <si>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</si>
  <si>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</si>
  <si>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</si>
  <si>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</si>
  <si>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</si>
  <si>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</si>
  <si>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</si>
  <si>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</si>
  <si>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</si>
  <si>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</si>
  <si>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</si>
  <si>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</si>
  <si>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</si>
  <si>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</si>
  <si>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</si>
  <si>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</si>
  <si>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</si>
  <si>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</si>
  <si>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</si>
  <si>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</si>
  <si>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</si>
  <si>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</si>
  <si>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</si>
  <si>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</si>
  <si>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</si>
  <si>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</si>
  <si>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</si>
  <si>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</si>
  <si>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</si>
  <si>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</si>
  <si>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</si>
  <si>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</si>
  <si>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</si>
  <si>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</si>
  <si>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</si>
  <si>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</si>
  <si>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</si>
  <si>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</si>
  <si>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</si>
  <si>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</si>
  <si>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</si>
  <si>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</si>
  <si>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</si>
  <si>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</si>
  <si>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</si>
  <si>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</si>
  <si>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</si>
  <si>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</si>
  <si>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</si>
  <si>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</si>
  <si>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</si>
  <si>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</si>
  <si>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</si>
  <si>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</si>
  <si>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</si>
  <si>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</si>
  <si>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</si>
  <si>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</si>
  <si>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</si>
  <si>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</si>
  <si>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</si>
  <si>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</si>
  <si>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</si>
  <si>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</si>
  <si>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</si>
  <si>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</si>
  <si>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</si>
  <si>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</si>
  <si>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</si>
  <si>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</si>
  <si>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</si>
  <si>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</si>
  <si>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</si>
  <si>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</si>
  <si>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</si>
  <si>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</si>
  <si>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</si>
  <si>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</si>
  <si>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</si>
  <si>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</si>
  <si>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</si>
  <si>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</si>
  <si>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</si>
  <si>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</si>
  <si>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</si>
  <si>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</si>
  <si>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</si>
  <si>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</si>
  <si>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</si>
  <si>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</si>
  <si>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</si>
  <si>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</si>
  <si>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</si>
  <si>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</si>
  <si>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</si>
  <si>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</si>
  <si>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</si>
  <si>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</si>
  <si>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</si>
  <si>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</si>
  <si>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</si>
  <si>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</si>
  <si>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</si>
  <si>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</si>
  <si>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</si>
  <si>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</si>
  <si>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</si>
  <si>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</si>
  <si>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</si>
  <si>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</si>
  <si>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</si>
  <si>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</si>
  <si>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</si>
  <si>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</si>
  <si>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</si>
  <si>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</si>
  <si>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</si>
  <si>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</si>
  <si>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</si>
  <si>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</si>
  <si>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</si>
  <si>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</si>
  <si>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</si>
  <si>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</si>
  <si>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</si>
  <si>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</si>
  <si>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</si>
  <si>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</si>
  <si>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</si>
  <si>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</si>
  <si>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</si>
  <si>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</si>
  <si>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</si>
  <si>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</si>
  <si>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</si>
  <si>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</si>
  <si>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</si>
  <si>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</si>
  <si>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</si>
  <si>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</si>
  <si>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</si>
  <si>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</si>
  <si>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</si>
  <si>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</si>
  <si>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</si>
  <si>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</si>
  <si>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</si>
  <si>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</si>
  <si>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</si>
  <si>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</si>
  <si>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</si>
  <si>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</si>
  <si>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</si>
  <si>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</si>
  <si>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</si>
  <si>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</si>
  <si>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</si>
  <si>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</si>
  <si>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</si>
  <si>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</si>
  <si>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</si>
  <si>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</si>
  <si>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</si>
  <si>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</si>
  <si>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</si>
  <si>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</si>
  <si>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</si>
  <si>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</si>
  <si>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</si>
  <si>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</si>
  <si>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</si>
  <si>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</si>
  <si>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</si>
  <si>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</si>
  <si>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</si>
  <si>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</si>
  <si>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</si>
  <si>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</si>
  <si>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</si>
  <si>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</si>
  <si>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</si>
  <si>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</si>
  <si>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</si>
  <si>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</si>
  <si>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</si>
  <si>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</si>
  <si>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</si>
  <si>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</si>
  <si>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</si>
  <si>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</si>
  <si>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</si>
  <si>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</si>
  <si>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</si>
  <si>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</si>
  <si>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</si>
  <si>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</si>
  <si>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</si>
  <si>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</si>
  <si>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</si>
  <si>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</si>
  <si>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</si>
  <si>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</si>
  <si>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</si>
  <si>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</si>
  <si>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</si>
  <si>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</si>
  <si>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</si>
  <si>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</si>
  <si>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</si>
  <si>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</si>
  <si>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</si>
  <si>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</si>
  <si>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</si>
  <si>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</si>
  <si>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</si>
  <si>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</si>
  <si>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</si>
  <si>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</si>
  <si>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</si>
  <si>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</si>
  <si>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</si>
  <si>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</si>
  <si>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</si>
  <si>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</si>
  <si>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</si>
  <si>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</si>
  <si>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</si>
  <si>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</si>
  <si>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</si>
  <si>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</si>
  <si>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</si>
  <si>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</si>
  <si>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</si>
  <si>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</si>
  <si>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</si>
  <si>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</si>
  <si>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</si>
  <si>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</si>
  <si>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</si>
  <si>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</si>
  <si>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</si>
  <si>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</si>
  <si>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</si>
  <si>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</si>
  <si>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</si>
  <si>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</si>
  <si>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</si>
  <si>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</si>
  <si>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</si>
  <si>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</si>
  <si>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</si>
  <si>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</si>
  <si>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</si>
  <si>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</si>
  <si>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</si>
  <si>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</si>
  <si>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</si>
  <si>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</si>
  <si>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</si>
  <si>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</si>
  <si>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</si>
  <si>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</si>
  <si>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</si>
  <si>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</si>
  <si>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</si>
  <si>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</si>
  <si>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</si>
  <si>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</si>
  <si>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</si>
  <si>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</si>
  <si>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</si>
  <si>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</si>
  <si>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</si>
  <si>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</si>
  <si>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</si>
  <si>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</si>
  <si>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</si>
  <si>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</si>
  <si>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</si>
  <si>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</si>
  <si>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</si>
  <si>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</si>
  <si>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</si>
  <si>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</si>
  <si>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</si>
  <si>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</si>
  <si>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</si>
  <si>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</si>
  <si>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</si>
  <si>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</si>
  <si>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</si>
  <si>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</si>
  <si>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</si>
  <si>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</si>
  <si>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</si>
  <si>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</si>
  <si>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</si>
  <si>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</si>
  <si>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</si>
  <si>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</si>
  <si>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</si>
  <si>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</si>
  <si>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</si>
  <si>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</si>
  <si>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</si>
  <si>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</si>
  <si>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</si>
  <si>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</si>
  <si>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</si>
  <si>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</si>
  <si>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</si>
  <si>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</si>
  <si>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</si>
  <si>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</si>
  <si>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</si>
  <si>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</si>
  <si>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</si>
  <si>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</si>
  <si>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</si>
  <si>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</si>
  <si>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</si>
  <si>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</si>
  <si>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</si>
  <si>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</si>
  <si>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</si>
  <si>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</si>
  <si>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</si>
  <si>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</si>
  <si>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</si>
  <si>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</si>
  <si>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</si>
  <si>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</si>
  <si>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</si>
  <si>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</si>
  <si>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</si>
  <si>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</si>
  <si>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</si>
  <si>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</si>
  <si>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</si>
  <si>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</si>
  <si>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</si>
  <si>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</si>
  <si>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</si>
  <si>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</si>
  <si>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</si>
  <si>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</si>
  <si>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</si>
  <si>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</si>
  <si>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</si>
  <si>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</si>
  <si>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</si>
  <si>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</si>
  <si>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</si>
  <si>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</si>
  <si>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</si>
  <si>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</si>
  <si>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</si>
  <si>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</si>
  <si>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</si>
  <si>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</si>
  <si>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</si>
  <si>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</si>
  <si>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</si>
  <si>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</si>
  <si>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</si>
  <si>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</si>
  <si>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</si>
  <si>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</si>
  <si>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</si>
  <si>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</si>
  <si>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</si>
  <si>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</si>
  <si>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</si>
  <si>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</si>
  <si>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</si>
  <si>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</si>
  <si>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</si>
  <si>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</si>
  <si>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</si>
  <si>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</si>
  <si>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</si>
  <si>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</si>
  <si>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</si>
  <si>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</si>
  <si>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</si>
  <si>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</si>
  <si>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</si>
  <si>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</si>
  <si>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</si>
  <si>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</si>
  <si>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FAC $</t>
  </si>
  <si>
    <t>ES $</t>
  </si>
  <si>
    <t>.</t>
  </si>
  <si>
    <t>Year End Customers</t>
  </si>
  <si>
    <t>Wages &amp; Salaries</t>
  </si>
  <si>
    <t>Reserved</t>
  </si>
  <si>
    <t>reserved</t>
  </si>
  <si>
    <t>Method</t>
  </si>
  <si>
    <t>After Proposed Rate Revisions</t>
  </si>
  <si>
    <t>Share of</t>
  </si>
  <si>
    <t xml:space="preserve">Share of </t>
  </si>
  <si>
    <t xml:space="preserve">Less: Customer Deposits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</si>
  <si>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</si>
  <si>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</si>
  <si>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</si>
  <si>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</si>
  <si>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</si>
  <si>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</si>
  <si>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</si>
  <si>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</si>
  <si>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</si>
  <si>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</si>
  <si>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</si>
  <si>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</si>
  <si>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Interest Expense</t>
  </si>
  <si>
    <t>Average Customers (Lighting = 0)</t>
  </si>
  <si>
    <t>Revenue Increase</t>
  </si>
  <si>
    <t>Billing Demand</t>
  </si>
  <si>
    <t>Demand $</t>
  </si>
  <si>
    <t>Energy $</t>
  </si>
  <si>
    <t>TOTAL $</t>
  </si>
  <si>
    <t>SubTotal Demand $</t>
  </si>
  <si>
    <t>SubTotal Energy $</t>
  </si>
  <si>
    <t>SubTotal $</t>
  </si>
  <si>
    <t>SubTotal Demand %</t>
  </si>
  <si>
    <t>SubTotal Energy %</t>
  </si>
  <si>
    <t>Reconciliation</t>
  </si>
  <si>
    <t>Green Power KWH</t>
  </si>
  <si>
    <t>Metered CP</t>
  </si>
  <si>
    <t>Calculated CP</t>
  </si>
  <si>
    <t>Cost-Based Rates</t>
  </si>
  <si>
    <t>Target &gt;</t>
  </si>
  <si>
    <t>Variance &gt;</t>
  </si>
  <si>
    <t>Toggle: 1= yes, 0=no</t>
  </si>
  <si>
    <t>&lt; with increase toggle</t>
  </si>
  <si>
    <t xml:space="preserve">Enter Increases here </t>
  </si>
  <si>
    <t>Toggle</t>
  </si>
  <si>
    <t>Contract Demand</t>
  </si>
  <si>
    <t>Contract Demand $</t>
  </si>
  <si>
    <t>BLUE GRASS ENERGY</t>
  </si>
  <si>
    <t>G1</t>
  </si>
  <si>
    <t>GS-1</t>
  </si>
  <si>
    <t>GS-2</t>
  </si>
  <si>
    <t>GS-3</t>
  </si>
  <si>
    <t>SC-1</t>
  </si>
  <si>
    <t>SC-2</t>
  </si>
  <si>
    <t>LP-1</t>
  </si>
  <si>
    <t>LP-2</t>
  </si>
  <si>
    <t>B-1</t>
  </si>
  <si>
    <t>B-2</t>
  </si>
  <si>
    <t>L</t>
  </si>
  <si>
    <t>General Service 0-100 KW Time of Day Rate</t>
  </si>
  <si>
    <t>Large Power (101 - 500 kW)</t>
  </si>
  <si>
    <t>Large Power (over 500 kW)</t>
  </si>
  <si>
    <t>Large Industrial (1,000 - 3,999 kW)</t>
  </si>
  <si>
    <t>Large Industrial (over 4,000 kW)</t>
  </si>
  <si>
    <t>Large Industrial Rate (15,000+ kW)</t>
  </si>
  <si>
    <t>Billing Demand (kW)</t>
  </si>
  <si>
    <t>Energy (kWh)</t>
  </si>
  <si>
    <t>Demand Charge</t>
  </si>
  <si>
    <t>Energy Charge</t>
  </si>
  <si>
    <t>Metering Point</t>
  </si>
  <si>
    <t>Sub/Wheeling Charge</t>
  </si>
  <si>
    <t>Fuel Adjustment Clause</t>
  </si>
  <si>
    <t>Environmental Surcharge</t>
  </si>
  <si>
    <t>SUBTOTAL</t>
  </si>
  <si>
    <t>Direct Load Control</t>
  </si>
  <si>
    <t>Direct Load Surcharge</t>
  </si>
  <si>
    <t>Direct Load Total Charge</t>
  </si>
  <si>
    <t>Green Power Charge</t>
  </si>
  <si>
    <t>EV Credit</t>
  </si>
  <si>
    <t>RECs</t>
  </si>
  <si>
    <t>Panel Production Credit</t>
  </si>
  <si>
    <t>CP Demand (kW)</t>
  </si>
  <si>
    <t>NCP Demand (kW)</t>
  </si>
  <si>
    <t>Contract Demand kW</t>
  </si>
  <si>
    <t>Variance $</t>
  </si>
  <si>
    <t>Estimated ES Demand Share</t>
  </si>
  <si>
    <t>Estimated ES Energy Share</t>
  </si>
  <si>
    <t>Total (Excluding Panel Production Credit)</t>
  </si>
  <si>
    <t>EKPC Bills Other Than E-2</t>
  </si>
  <si>
    <t>LP2</t>
  </si>
  <si>
    <t>CP TOD Demand</t>
  </si>
  <si>
    <t>Non-CP Demand</t>
  </si>
  <si>
    <t>Billing KWH</t>
  </si>
  <si>
    <t>Actual KWH</t>
  </si>
  <si>
    <t>Minimum KWH</t>
  </si>
  <si>
    <t>EDR Credit $</t>
  </si>
  <si>
    <t>Excess Demand $</t>
  </si>
  <si>
    <t>Interruptible Credit $ @ (5.60)</t>
  </si>
  <si>
    <t>Buy Thru Charges</t>
  </si>
  <si>
    <t>Buy Thru Credit</t>
  </si>
  <si>
    <t>Total Demand</t>
  </si>
  <si>
    <t>Total Energy</t>
  </si>
  <si>
    <t>Subtotals by Retail Rate</t>
  </si>
  <si>
    <t>BD</t>
  </si>
  <si>
    <t>CONDUCTOR - #2 ACSR</t>
  </si>
  <si>
    <t>CONDUCTOR - #4 ACSR</t>
  </si>
  <si>
    <t>CONDUCTOR - #1/0 ACSR</t>
  </si>
  <si>
    <t>CONDUCTOR - #2/0 ACSR</t>
  </si>
  <si>
    <t>CONDUCTOR - #3/0 ACSR</t>
  </si>
  <si>
    <t>CONDUCTOR - #4/0 ACSR</t>
  </si>
  <si>
    <t>CONDUCTOR - #8 ACWC</t>
  </si>
  <si>
    <t>336.4 MCM ACSR</t>
  </si>
  <si>
    <t>CONDUCTOR - #556.1 ACSR</t>
  </si>
  <si>
    <t>CONDUCTOR - #6 STEEL</t>
  </si>
  <si>
    <t>CONCUCTOR - 2 ACWC</t>
  </si>
  <si>
    <t>CONDUCTOR - #9 1/2 D</t>
  </si>
  <si>
    <t>CONDUCTOR - 6HD</t>
  </si>
  <si>
    <t>CONDUCTOR - #6 ACSR - HARRISON</t>
  </si>
  <si>
    <t>CONDUCTOR S/C 336 HENDRIX</t>
  </si>
  <si>
    <t>CONDUCTOR S/C 556 HENDRIX</t>
  </si>
  <si>
    <t>#1/0 AL PRIMARY URD</t>
  </si>
  <si>
    <t>#4/0 AL PRIMARY URD</t>
  </si>
  <si>
    <t>350 MCM URD ALUMINUM</t>
  </si>
  <si>
    <t>#2 AL PRIMARY URD</t>
  </si>
  <si>
    <t>#2 CU KVA URD</t>
  </si>
  <si>
    <t>COND-#2 COPPER URD 15 KV</t>
  </si>
  <si>
    <t>500 MCM URD PRIMARY</t>
  </si>
  <si>
    <t>750 MCM URD PRIMARY</t>
  </si>
  <si>
    <t>1.5 KVA CONVENTIONAL T-F</t>
  </si>
  <si>
    <t>5 KVA CONVENTIONAL TRANSFORMER</t>
  </si>
  <si>
    <t>10 KVA CONVENTIONAL TRANSFORMER</t>
  </si>
  <si>
    <t>15 KVA CONVENTIONAL TRANSFORMER</t>
  </si>
  <si>
    <t>25 KVA CONVENTIONAL TRANSFORMER</t>
  </si>
  <si>
    <t>37.5 KVA CONVENTIONAL T-FORMER</t>
  </si>
  <si>
    <t>50 KVA CONVENTIONAL TRANSFORMER</t>
  </si>
  <si>
    <t>300 KVA CONVENTIONAL TRANSFORMER</t>
  </si>
  <si>
    <t>75 KVA CONVENTIONAL TRANSFORMER</t>
  </si>
  <si>
    <t>100 KVA CONVENTIONAL TRANSFORMER</t>
  </si>
  <si>
    <t>167 KVA CONVENTIONAL TRANSFORMER</t>
  </si>
  <si>
    <t>1.5 KVA CSP TRANSFORMER</t>
  </si>
  <si>
    <t>3 KVA CSP TRANSFORMER</t>
  </si>
  <si>
    <t>5 KVA CSP TRANSFORMER</t>
  </si>
  <si>
    <t>7.5 KVA CSP TRANSFORMER</t>
  </si>
  <si>
    <t>10 KVA CSP TRANSFORMER</t>
  </si>
  <si>
    <t>15 KVA CSP TRANSFORMER</t>
  </si>
  <si>
    <t>25 KVA CSP TRANSFORMER</t>
  </si>
  <si>
    <t>37.5 KVA CSP TRANSFORMER</t>
  </si>
  <si>
    <t>50 KVA CSP TRANSFORMER</t>
  </si>
  <si>
    <t>10 KVA SP TRANSFORMER</t>
  </si>
  <si>
    <t>15 KVA SP TRANSFORMER</t>
  </si>
  <si>
    <t>25 KVA SP TRANSFORMER</t>
  </si>
  <si>
    <t>333 STEP DOWN TRANSFORMER</t>
  </si>
  <si>
    <t xml:space="preserve">250 KVA CONV  </t>
  </si>
  <si>
    <t>On Peak KWH</t>
  </si>
  <si>
    <t>Off Peak KWH</t>
  </si>
  <si>
    <t>Energy On Peak $</t>
  </si>
  <si>
    <t>Energy Off Peak $</t>
  </si>
  <si>
    <t>E3</t>
  </si>
  <si>
    <t>B</t>
  </si>
  <si>
    <t>GD</t>
  </si>
  <si>
    <t>3-M COMPANY</t>
  </si>
  <si>
    <t>HITACHI AUTOMOTIVE</t>
  </si>
  <si>
    <t>NOVELIS CAN PRODUCTS</t>
  </si>
  <si>
    <t>AMERESCO BENSON VALLEY</t>
  </si>
  <si>
    <t>CREATIVE LIQUID COATINGS</t>
  </si>
  <si>
    <t>MASTRONARDI BEREA</t>
  </si>
  <si>
    <t>ESSITY OPER WAUSAU LLC</t>
  </si>
  <si>
    <t>PGW</t>
  </si>
  <si>
    <t>APP HARVEST / MASTRONARDI RICHMOND</t>
  </si>
  <si>
    <t>Earnings Mechanism</t>
  </si>
  <si>
    <t>B2</t>
  </si>
  <si>
    <t>B1</t>
  </si>
  <si>
    <t>Subt</t>
  </si>
  <si>
    <t>Rate Case Expenses</t>
  </si>
  <si>
    <t>Year-End Customer Normalization</t>
  </si>
  <si>
    <t>GTCC</t>
  </si>
  <si>
    <t>Health Insurance Premiums</t>
  </si>
  <si>
    <t>Depreciation Expense Normalization</t>
  </si>
  <si>
    <t>Donations, Advertising &amp; Dues</t>
  </si>
  <si>
    <t>Directors Expense</t>
  </si>
  <si>
    <t>Life Insurance Premiums</t>
  </si>
  <si>
    <t>Payroll Taxes</t>
  </si>
  <si>
    <t>Professional Services</t>
  </si>
  <si>
    <t>Other</t>
  </si>
  <si>
    <t>Avg</t>
  </si>
  <si>
    <t>NA</t>
  </si>
  <si>
    <t>Incr(Decr)</t>
  </si>
  <si>
    <t>Year-End</t>
  </si>
  <si>
    <t>Subtotals by Wholesale Rate</t>
  </si>
  <si>
    <t>G</t>
  </si>
  <si>
    <t>E</t>
  </si>
  <si>
    <t>Residential and Farm Inclining Block</t>
  </si>
  <si>
    <t>Residential and Farm</t>
  </si>
  <si>
    <t>Residential and Farm Time-of-Day Rate</t>
  </si>
  <si>
    <t>General Service (0-100 KW)</t>
  </si>
  <si>
    <t>Check&gt;</t>
  </si>
  <si>
    <t>PFA Exp&gt;</t>
  </si>
  <si>
    <t>w/o Lights</t>
  </si>
  <si>
    <t>Total w/o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</si>
</sst>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  <numFmt numFmtId="183" formatCode="0.00000%"/>
    <numFmt numFmtId="184" formatCode="_(&quot;$&quot;* #,##0.00000_);_(&quot;$&quot;* \(#,##0.00000\);_(&quot;$&quot;* &quot;-&quot;??_);_(@_)"/>
  </numFmts>
  <fonts count="24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/>
    <xf numFmtId="167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166" fontId="5" fillId="0" borderId="0" xfId="1" applyNumberFormat="1" applyFont="1" applyAlignment="1">
      <alignment horizontal="center"/>
    </xf>
    <xf numFmtId="177" fontId="5" fillId="0" borderId="2" xfId="1" applyNumberFormat="1" applyFont="1" applyBorder="1" applyAlignment="1">
      <alignment horizontal="left"/>
    </xf>
    <xf numFmtId="177" fontId="5" fillId="0" borderId="2" xfId="1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166" fontId="6" fillId="0" borderId="0" xfId="1" applyNumberFormat="1" applyFont="1"/>
    <xf numFmtId="43" fontId="6" fillId="0" borderId="0" xfId="1" applyFont="1"/>
    <xf numFmtId="0" fontId="6" fillId="0" borderId="3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6" fontId="5" fillId="0" borderId="2" xfId="1" applyNumberFormat="1" applyFont="1" applyBorder="1" applyAlignment="1">
      <alignment horizontal="right"/>
    </xf>
    <xf numFmtId="177" fontId="6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6" fontId="6" fillId="0" borderId="0" xfId="0" applyNumberFormat="1" applyFont="1"/>
    <xf numFmtId="44" fontId="6" fillId="0" borderId="3" xfId="0" applyNumberFormat="1" applyFont="1" applyBorder="1"/>
    <xf numFmtId="166" fontId="6" fillId="0" borderId="3" xfId="1" applyNumberFormat="1" applyFont="1" applyBorder="1"/>
    <xf numFmtId="171" fontId="6" fillId="0" borderId="0" xfId="1" applyNumberFormat="1" applyFont="1"/>
    <xf numFmtId="170" fontId="6" fillId="0" borderId="0" xfId="1" applyNumberFormat="1" applyFont="1"/>
    <xf numFmtId="177" fontId="6" fillId="0" borderId="0" xfId="1" applyNumberFormat="1" applyFont="1"/>
    <xf numFmtId="44" fontId="6" fillId="0" borderId="0" xfId="2" applyFont="1"/>
    <xf numFmtId="165" fontId="6" fillId="0" borderId="0" xfId="2" applyNumberFormat="1" applyFont="1"/>
    <xf numFmtId="168" fontId="6" fillId="0" borderId="0" xfId="0" applyNumberFormat="1" applyFont="1"/>
    <xf numFmtId="10" fontId="6" fillId="0" borderId="4" xfId="3" applyNumberFormat="1" applyFont="1" applyBorder="1"/>
    <xf numFmtId="10" fontId="6" fillId="0" borderId="5" xfId="0" applyNumberFormat="1" applyFont="1" applyBorder="1"/>
    <xf numFmtId="43" fontId="6" fillId="0" borderId="0" xfId="0" applyNumberFormat="1" applyFont="1"/>
    <xf numFmtId="10" fontId="6" fillId="0" borderId="0" xfId="0" applyNumberFormat="1" applyFont="1"/>
    <xf numFmtId="43" fontId="6" fillId="0" borderId="0" xfId="1" applyFont="1" applyFill="1"/>
    <xf numFmtId="172" fontId="6" fillId="0" borderId="0" xfId="1" applyNumberFormat="1" applyFont="1" applyFill="1"/>
    <xf numFmtId="166" fontId="6" fillId="0" borderId="0" xfId="1" applyNumberFormat="1" applyFont="1" applyFill="1"/>
    <xf numFmtId="43" fontId="5" fillId="0" borderId="0" xfId="1" applyFont="1" applyFill="1" applyBorder="1" applyAlignment="1">
      <alignment horizontal="center"/>
    </xf>
    <xf numFmtId="166" fontId="5" fillId="0" borderId="0" xfId="1" applyNumberFormat="1" applyFont="1" applyFill="1" applyBorder="1" applyAlignment="1"/>
    <xf numFmtId="43" fontId="5" fillId="0" borderId="0" xfId="1" applyFont="1" applyFill="1" applyBorder="1" applyAlignment="1">
      <alignment horizontal="right"/>
    </xf>
    <xf numFmtId="172" fontId="6" fillId="0" borderId="0" xfId="1" applyNumberFormat="1" applyFont="1" applyFill="1" applyBorder="1" applyAlignment="1">
      <alignment horizontal="center" wrapText="1"/>
    </xf>
    <xf numFmtId="166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 wrapText="1"/>
    </xf>
    <xf numFmtId="172" fontId="6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172" fontId="5" fillId="0" borderId="0" xfId="1" applyNumberFormat="1" applyFont="1" applyFill="1" applyAlignment="1">
      <alignment horizontal="center"/>
    </xf>
    <xf numFmtId="172" fontId="5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/>
    </xf>
    <xf numFmtId="172" fontId="5" fillId="0" borderId="1" xfId="1" applyNumberFormat="1" applyFont="1" applyFill="1" applyBorder="1" applyAlignment="1">
      <alignment horizontal="right"/>
    </xf>
    <xf numFmtId="165" fontId="6" fillId="0" borderId="0" xfId="2" applyNumberFormat="1" applyFont="1" applyFill="1"/>
    <xf numFmtId="10" fontId="6" fillId="0" borderId="0" xfId="3" applyNumberFormat="1" applyFont="1" applyFill="1"/>
    <xf numFmtId="165" fontId="6" fillId="0" borderId="0" xfId="2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6" xfId="2" applyNumberFormat="1" applyFont="1" applyFill="1" applyBorder="1" applyAlignment="1">
      <alignment vertical="center"/>
    </xf>
    <xf numFmtId="10" fontId="6" fillId="0" borderId="6" xfId="3" applyNumberFormat="1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2" applyFont="1" applyFill="1" applyBorder="1"/>
    <xf numFmtId="10" fontId="6" fillId="0" borderId="0" xfId="3" applyNumberFormat="1" applyFont="1" applyFill="1" applyBorder="1"/>
    <xf numFmtId="166" fontId="6" fillId="0" borderId="0" xfId="1" applyNumberFormat="1" applyFont="1" applyFill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2" fontId="6" fillId="0" borderId="0" xfId="0" applyNumberFormat="1" applyFont="1"/>
    <xf numFmtId="165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5" fillId="0" borderId="0" xfId="0" quotePrefix="1" applyFont="1"/>
    <xf numFmtId="0" fontId="6" fillId="0" borderId="0" xfId="0" quotePrefix="1" applyFont="1"/>
    <xf numFmtId="169" fontId="6" fillId="0" borderId="0" xfId="0" applyNumberFormat="1" applyFont="1"/>
    <xf numFmtId="169" fontId="6" fillId="0" borderId="0" xfId="1" applyNumberFormat="1" applyFont="1" applyFill="1"/>
    <xf numFmtId="169" fontId="6" fillId="0" borderId="0" xfId="0" applyNumberFormat="1" applyFont="1" applyAlignment="1">
      <alignment horizontal="centerContinuous"/>
    </xf>
    <xf numFmtId="166" fontId="6" fillId="0" borderId="0" xfId="1" applyNumberFormat="1" applyFont="1" applyFill="1" applyAlignment="1">
      <alignment horizontal="centerContinuous"/>
    </xf>
    <xf numFmtId="171" fontId="6" fillId="0" borderId="0" xfId="1" applyNumberFormat="1" applyFont="1" applyFill="1"/>
    <xf numFmtId="165" fontId="6" fillId="0" borderId="3" xfId="2" applyNumberFormat="1" applyFont="1" applyFill="1" applyBorder="1"/>
    <xf numFmtId="10" fontId="5" fillId="0" borderId="9" xfId="3" applyNumberFormat="1" applyFont="1" applyFill="1" applyBorder="1"/>
    <xf numFmtId="1" fontId="6" fillId="0" borderId="0" xfId="0" applyNumberFormat="1" applyFont="1"/>
    <xf numFmtId="0" fontId="8" fillId="0" borderId="0" xfId="0" applyFont="1"/>
    <xf numFmtId="43" fontId="9" fillId="0" borderId="0" xfId="1" applyFont="1" applyFill="1"/>
    <xf numFmtId="166" fontId="6" fillId="0" borderId="0" xfId="1" applyNumberFormat="1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166" fontId="6" fillId="0" borderId="0" xfId="1" applyNumberFormat="1" applyFont="1" applyFill="1" applyAlignment="1"/>
    <xf numFmtId="166" fontId="6" fillId="0" borderId="0" xfId="3" applyNumberFormat="1" applyFont="1" applyFill="1" applyAlignment="1"/>
    <xf numFmtId="165" fontId="6" fillId="0" borderId="0" xfId="2" applyNumberFormat="1" applyFont="1" applyFill="1" applyAlignment="1"/>
    <xf numFmtId="9" fontId="6" fillId="0" borderId="0" xfId="3" applyFont="1" applyFill="1"/>
    <xf numFmtId="166" fontId="6" fillId="0" borderId="3" xfId="1" applyNumberFormat="1" applyFont="1" applyFill="1" applyBorder="1" applyAlignment="1"/>
    <xf numFmtId="165" fontId="6" fillId="0" borderId="3" xfId="2" applyNumberFormat="1" applyFont="1" applyFill="1" applyBorder="1" applyAlignment="1"/>
    <xf numFmtId="10" fontId="6" fillId="0" borderId="3" xfId="3" applyNumberFormat="1" applyFont="1" applyFill="1" applyBorder="1"/>
    <xf numFmtId="44" fontId="6" fillId="0" borderId="0" xfId="2" applyFont="1" applyFill="1"/>
    <xf numFmtId="166" fontId="5" fillId="0" borderId="0" xfId="1" applyNumberFormat="1" applyFont="1" applyFill="1" applyAlignment="1">
      <alignment horizontal="right"/>
    </xf>
    <xf numFmtId="166" fontId="10" fillId="0" borderId="0" xfId="1" applyNumberFormat="1" applyFont="1" applyFill="1" applyAlignment="1">
      <alignment horizontal="left"/>
    </xf>
    <xf numFmtId="166" fontId="10" fillId="0" borderId="0" xfId="1" applyNumberFormat="1" applyFont="1" applyFill="1" applyAlignment="1">
      <alignment horizontal="center"/>
    </xf>
    <xf numFmtId="180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Alignment="1">
      <alignment horizontal="right"/>
    </xf>
    <xf numFmtId="166" fontId="6" fillId="0" borderId="0" xfId="3" applyNumberFormat="1" applyFont="1" applyFill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0" xfId="1" applyNumberFormat="1" applyFont="1" applyFill="1" applyAlignment="1">
      <alignment horizontal="center"/>
    </xf>
    <xf numFmtId="165" fontId="6" fillId="0" borderId="0" xfId="2" applyNumberFormat="1" applyFont="1" applyFill="1" applyAlignment="1">
      <alignment horizontal="right"/>
    </xf>
    <xf numFmtId="10" fontId="6" fillId="0" borderId="0" xfId="3" applyNumberFormat="1" applyFont="1" applyFill="1" applyAlignment="1">
      <alignment horizontal="right"/>
    </xf>
    <xf numFmtId="0" fontId="6" fillId="0" borderId="6" xfId="0" applyFont="1" applyBorder="1"/>
    <xf numFmtId="166" fontId="6" fillId="0" borderId="6" xfId="1" applyNumberFormat="1" applyFont="1" applyFill="1" applyBorder="1" applyAlignment="1">
      <alignment horizontal="center"/>
    </xf>
    <xf numFmtId="166" fontId="6" fillId="0" borderId="6" xfId="1" applyNumberFormat="1" applyFont="1" applyFill="1" applyBorder="1"/>
    <xf numFmtId="44" fontId="6" fillId="0" borderId="6" xfId="2" applyFont="1" applyFill="1" applyBorder="1"/>
    <xf numFmtId="165" fontId="6" fillId="0" borderId="6" xfId="0" applyNumberFormat="1" applyFont="1" applyBorder="1"/>
    <xf numFmtId="10" fontId="6" fillId="0" borderId="6" xfId="0" applyNumberFormat="1" applyFont="1" applyBorder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/>
    <xf numFmtId="165" fontId="6" fillId="0" borderId="0" xfId="2" applyNumberFormat="1" applyFont="1" applyFill="1" applyAlignment="1">
      <alignment horizontal="center"/>
    </xf>
    <xf numFmtId="166" fontId="6" fillId="0" borderId="6" xfId="1" applyNumberFormat="1" applyFont="1" applyFill="1" applyBorder="1" applyAlignment="1">
      <alignment horizontal="right"/>
    </xf>
    <xf numFmtId="44" fontId="6" fillId="0" borderId="6" xfId="2" applyFont="1" applyFill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70" fontId="6" fillId="0" borderId="0" xfId="1" applyNumberFormat="1" applyFont="1" applyFill="1"/>
    <xf numFmtId="10" fontId="5" fillId="0" borderId="4" xfId="3" applyNumberFormat="1" applyFont="1" applyFill="1" applyBorder="1"/>
    <xf numFmtId="43" fontId="9" fillId="0" borderId="0" xfId="1" applyFont="1" applyFill="1" applyAlignment="1">
      <alignment vertical="center"/>
    </xf>
    <xf numFmtId="10" fontId="6" fillId="0" borderId="0" xfId="3" applyNumberFormat="1" applyFont="1" applyFill="1" applyAlignment="1"/>
    <xf numFmtId="166" fontId="6" fillId="0" borderId="0" xfId="1" applyNumberFormat="1" applyFont="1" applyFill="1" applyBorder="1" applyAlignment="1"/>
    <xf numFmtId="165" fontId="6" fillId="0" borderId="0" xfId="2" applyNumberFormat="1" applyFont="1" applyFill="1" applyBorder="1" applyAlignment="1"/>
    <xf numFmtId="170" fontId="6" fillId="0" borderId="0" xfId="0" applyNumberFormat="1" applyFont="1"/>
    <xf numFmtId="44" fontId="6" fillId="0" borderId="0" xfId="0" applyNumberFormat="1" applyFont="1"/>
    <xf numFmtId="0" fontId="6" fillId="0" borderId="0" xfId="0" quotePrefix="1" applyFont="1" applyAlignment="1">
      <alignment horizontal="left"/>
    </xf>
    <xf numFmtId="44" fontId="6" fillId="0" borderId="0" xfId="2" applyFont="1" applyAlignment="1">
      <alignment horizontal="right"/>
    </xf>
    <xf numFmtId="43" fontId="6" fillId="0" borderId="13" xfId="1" applyFont="1" applyFill="1" applyBorder="1"/>
    <xf numFmtId="166" fontId="6" fillId="0" borderId="0" xfId="1" applyNumberFormat="1" applyFont="1" applyFill="1" applyAlignment="1">
      <alignment horizontal="left"/>
    </xf>
    <xf numFmtId="44" fontId="6" fillId="0" borderId="0" xfId="0" applyNumberFormat="1" applyFont="1" applyAlignment="1">
      <alignment horizontal="center"/>
    </xf>
    <xf numFmtId="165" fontId="6" fillId="0" borderId="0" xfId="2" applyNumberFormat="1" applyFont="1" applyFill="1" applyBorder="1" applyAlignment="1">
      <alignment vertical="center"/>
    </xf>
    <xf numFmtId="10" fontId="12" fillId="0" borderId="10" xfId="3" applyNumberFormat="1" applyFont="1" applyFill="1" applyBorder="1" applyAlignment="1">
      <alignment vertical="center"/>
    </xf>
    <xf numFmtId="10" fontId="6" fillId="0" borderId="3" xfId="3" applyNumberFormat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10" fontId="11" fillId="0" borderId="0" xfId="3" applyNumberFormat="1" applyFont="1" applyFill="1"/>
    <xf numFmtId="181" fontId="6" fillId="0" borderId="0" xfId="3" applyNumberFormat="1" applyFont="1" applyFill="1"/>
    <xf numFmtId="181" fontId="6" fillId="0" borderId="0" xfId="1" applyNumberFormat="1" applyFont="1" applyFill="1"/>
    <xf numFmtId="181" fontId="6" fillId="0" borderId="6" xfId="3" applyNumberFormat="1" applyFont="1" applyFill="1" applyBorder="1" applyAlignment="1">
      <alignment vertical="center"/>
    </xf>
    <xf numFmtId="181" fontId="6" fillId="0" borderId="6" xfId="1" applyNumberFormat="1" applyFont="1" applyFill="1" applyBorder="1"/>
    <xf numFmtId="182" fontId="6" fillId="0" borderId="0" xfId="3" applyNumberFormat="1" applyFont="1" applyFill="1"/>
    <xf numFmtId="166" fontId="13" fillId="0" borderId="0" xfId="1" applyNumberFormat="1" applyFont="1" applyFill="1" applyAlignment="1">
      <alignment horizontal="center"/>
    </xf>
    <xf numFmtId="182" fontId="13" fillId="0" borderId="0" xfId="3" applyNumberFormat="1" applyFont="1" applyFill="1" applyAlignment="1">
      <alignment horizontal="center"/>
    </xf>
    <xf numFmtId="166" fontId="6" fillId="0" borderId="2" xfId="1" applyNumberFormat="1" applyFont="1" applyFill="1" applyBorder="1"/>
    <xf numFmtId="166" fontId="16" fillId="0" borderId="0" xfId="1" applyNumberFormat="1" applyFont="1" applyFill="1" applyAlignment="1">
      <alignment horizontal="right"/>
    </xf>
    <xf numFmtId="43" fontId="6" fillId="0" borderId="0" xfId="1" applyFont="1" applyFill="1" applyAlignment="1"/>
    <xf numFmtId="166" fontId="6" fillId="0" borderId="3" xfId="1" applyNumberFormat="1" applyFont="1" applyFill="1" applyBorder="1"/>
    <xf numFmtId="172" fontId="5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/>
    <xf numFmtId="171" fontId="19" fillId="0" borderId="0" xfId="1" applyNumberFormat="1" applyFont="1" applyFill="1"/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66" fontId="6" fillId="0" borderId="0" xfId="1" applyNumberFormat="1" applyFont="1" applyFill="1" applyAlignment="1">
      <alignment wrapText="1"/>
    </xf>
    <xf numFmtId="165" fontId="6" fillId="0" borderId="3" xfId="0" applyNumberFormat="1" applyFont="1" applyBorder="1"/>
    <xf numFmtId="166" fontId="8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0" fontId="5" fillId="0" borderId="7" xfId="0" applyFont="1" applyBorder="1"/>
    <xf numFmtId="0" fontId="5" fillId="0" borderId="8" xfId="0" applyFont="1" applyBorder="1"/>
    <xf numFmtId="166" fontId="5" fillId="0" borderId="0" xfId="1" applyNumberFormat="1" applyFont="1" applyFill="1"/>
    <xf numFmtId="43" fontId="5" fillId="0" borderId="0" xfId="1" applyFont="1" applyFill="1" applyBorder="1"/>
    <xf numFmtId="10" fontId="5" fillId="0" borderId="0" xfId="3" applyNumberFormat="1" applyFont="1" applyFill="1" applyBorder="1"/>
    <xf numFmtId="0" fontId="6" fillId="0" borderId="2" xfId="0" applyFont="1" applyBorder="1"/>
    <xf numFmtId="166" fontId="6" fillId="0" borderId="2" xfId="1" applyNumberFormat="1" applyFont="1" applyFill="1" applyBorder="1" applyAlignment="1">
      <alignment horizontal="right"/>
    </xf>
    <xf numFmtId="172" fontId="6" fillId="0" borderId="0" xfId="0" applyNumberFormat="1" applyFont="1"/>
    <xf numFmtId="167" fontId="6" fillId="0" borderId="0" xfId="0" applyNumberFormat="1" applyFont="1"/>
    <xf numFmtId="43" fontId="6" fillId="0" borderId="0" xfId="1" applyFont="1" applyFill="1" applyAlignment="1">
      <alignment horizontal="left"/>
    </xf>
    <xf numFmtId="165" fontId="6" fillId="0" borderId="4" xfId="0" applyNumberFormat="1" applyFont="1" applyBorder="1"/>
    <xf numFmtId="0" fontId="6" fillId="0" borderId="3" xfId="0" applyFont="1" applyBorder="1"/>
    <xf numFmtId="175" fontId="6" fillId="0" borderId="0" xfId="0" applyNumberFormat="1" applyFont="1"/>
    <xf numFmtId="174" fontId="6" fillId="0" borderId="0" xfId="0" applyNumberFormat="1" applyFont="1"/>
    <xf numFmtId="173" fontId="6" fillId="0" borderId="0" xfId="0" applyNumberFormat="1" applyFont="1"/>
    <xf numFmtId="172" fontId="6" fillId="0" borderId="0" xfId="0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176" fontId="6" fillId="0" borderId="0" xfId="0" applyNumberFormat="1" applyFont="1"/>
    <xf numFmtId="172" fontId="9" fillId="0" borderId="0" xfId="0" applyNumberFormat="1" applyFont="1"/>
    <xf numFmtId="10" fontId="6" fillId="0" borderId="0" xfId="0" applyNumberFormat="1" applyFont="1" applyAlignment="1">
      <alignment horizontal="left"/>
    </xf>
    <xf numFmtId="178" fontId="6" fillId="0" borderId="0" xfId="0" applyNumberFormat="1" applyFont="1"/>
    <xf numFmtId="171" fontId="6" fillId="0" borderId="0" xfId="0" applyNumberFormat="1" applyFont="1"/>
    <xf numFmtId="10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/>
    </xf>
    <xf numFmtId="166" fontId="6" fillId="0" borderId="3" xfId="0" applyNumberFormat="1" applyFont="1" applyBorder="1"/>
    <xf numFmtId="166" fontId="5" fillId="0" borderId="0" xfId="0" applyNumberFormat="1" applyFont="1" applyAlignment="1">
      <alignment horizontal="right"/>
    </xf>
    <xf numFmtId="0" fontId="9" fillId="0" borderId="0" xfId="0" applyFont="1"/>
    <xf numFmtId="4" fontId="6" fillId="0" borderId="0" xfId="0" applyNumberFormat="1" applyFont="1"/>
    <xf numFmtId="166" fontId="6" fillId="0" borderId="0" xfId="0" applyNumberFormat="1" applyFont="1" applyAlignment="1">
      <alignment horizontal="center"/>
    </xf>
    <xf numFmtId="0" fontId="13" fillId="0" borderId="0" xfId="0" applyFont="1"/>
    <xf numFmtId="166" fontId="11" fillId="0" borderId="0" xfId="1" applyNumberFormat="1" applyFont="1" applyFill="1"/>
    <xf numFmtId="44" fontId="11" fillId="0" borderId="0" xfId="2" applyFont="1" applyFill="1"/>
    <xf numFmtId="10" fontId="6" fillId="0" borderId="6" xfId="3" applyNumberFormat="1" applyFont="1" applyFill="1" applyBorder="1" applyAlignment="1">
      <alignment horizontal="right"/>
    </xf>
    <xf numFmtId="9" fontId="6" fillId="0" borderId="0" xfId="3" applyFont="1"/>
    <xf numFmtId="183" fontId="15" fillId="3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179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6" fontId="19" fillId="0" borderId="0" xfId="1" applyNumberFormat="1" applyFont="1" applyFill="1" applyAlignment="1">
      <alignment horizontal="center"/>
    </xf>
    <xf numFmtId="166" fontId="19" fillId="0" borderId="0" xfId="1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5" fontId="19" fillId="0" borderId="0" xfId="2" applyNumberFormat="1" applyFont="1" applyAlignment="1">
      <alignment horizontal="center"/>
    </xf>
    <xf numFmtId="0" fontId="20" fillId="0" borderId="10" xfId="0" applyFont="1" applyBorder="1" applyAlignment="1">
      <alignment horizontal="right"/>
    </xf>
    <xf numFmtId="165" fontId="20" fillId="0" borderId="10" xfId="2" applyNumberFormat="1" applyFont="1" applyBorder="1" applyAlignment="1">
      <alignment horizontal="center"/>
    </xf>
    <xf numFmtId="166" fontId="20" fillId="0" borderId="10" xfId="1" applyNumberFormat="1" applyFont="1" applyBorder="1" applyAlignment="1">
      <alignment horizontal="center"/>
    </xf>
    <xf numFmtId="166" fontId="19" fillId="0" borderId="0" xfId="0" applyNumberFormat="1" applyFont="1"/>
    <xf numFmtId="166" fontId="20" fillId="0" borderId="0" xfId="0" applyNumberFormat="1" applyFont="1" applyAlignment="1">
      <alignment horizontal="center"/>
    </xf>
    <xf numFmtId="165" fontId="19" fillId="0" borderId="0" xfId="0" applyNumberFormat="1" applyFont="1"/>
    <xf numFmtId="43" fontId="20" fillId="0" borderId="0" xfId="1" applyFont="1"/>
    <xf numFmtId="9" fontId="19" fillId="0" borderId="0" xfId="3" applyFont="1"/>
    <xf numFmtId="9" fontId="19" fillId="0" borderId="0" xfId="0" applyNumberFormat="1" applyFont="1"/>
    <xf numFmtId="166" fontId="19" fillId="0" borderId="0" xfId="1" applyNumberFormat="1" applyFont="1"/>
    <xf numFmtId="166" fontId="19" fillId="0" borderId="0" xfId="1" applyNumberFormat="1" applyFont="1" applyBorder="1"/>
    <xf numFmtId="10" fontId="19" fillId="0" borderId="0" xfId="3" applyNumberFormat="1" applyFont="1"/>
    <xf numFmtId="0" fontId="20" fillId="0" borderId="0" xfId="0" applyFont="1"/>
    <xf numFmtId="166" fontId="19" fillId="4" borderId="0" xfId="1" applyNumberFormat="1" applyFont="1" applyFill="1" applyBorder="1"/>
    <xf numFmtId="0" fontId="22" fillId="0" borderId="0" xfId="0" applyFont="1"/>
    <xf numFmtId="0" fontId="19" fillId="0" borderId="0" xfId="0" applyFont="1" applyAlignment="1">
      <alignment horizontal="left" indent="2"/>
    </xf>
    <xf numFmtId="165" fontId="19" fillId="0" borderId="0" xfId="2" applyNumberFormat="1" applyFont="1" applyFill="1"/>
    <xf numFmtId="165" fontId="19" fillId="0" borderId="3" xfId="2" applyNumberFormat="1" applyFont="1" applyFill="1" applyBorder="1"/>
    <xf numFmtId="165" fontId="19" fillId="0" borderId="3" xfId="0" applyNumberFormat="1" applyFont="1" applyBorder="1"/>
    <xf numFmtId="184" fontId="19" fillId="0" borderId="0" xfId="2" applyNumberFormat="1" applyFont="1"/>
    <xf numFmtId="44" fontId="19" fillId="0" borderId="0" xfId="0" applyNumberFormat="1" applyFont="1"/>
    <xf numFmtId="177" fontId="5" fillId="0" borderId="0" xfId="1" applyNumberFormat="1" applyFont="1" applyFill="1" applyAlignment="1">
      <alignment horizontal="right"/>
    </xf>
    <xf numFmtId="0" fontId="11" fillId="0" borderId="0" xfId="0" applyFont="1"/>
    <xf numFmtId="166" fontId="23" fillId="0" borderId="0" xfId="1" applyNumberFormat="1" applyFont="1" applyFill="1"/>
    <xf numFmtId="0" fontId="23" fillId="0" borderId="0" xfId="0" applyFont="1"/>
    <xf numFmtId="165" fontId="2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right"/>
    </xf>
    <xf numFmtId="181" fontId="6" fillId="0" borderId="0" xfId="3" applyNumberFormat="1" applyFont="1"/>
    <xf numFmtId="181" fontId="6" fillId="0" borderId="3" xfId="3" applyNumberFormat="1" applyFont="1" applyBorder="1"/>
    <xf numFmtId="0" fontId="9" fillId="0" borderId="0" xfId="0" applyFont="1" applyAlignment="1">
      <alignment horizontal="right"/>
    </xf>
    <xf numFmtId="171" fontId="16" fillId="0" borderId="0" xfId="1" applyNumberFormat="1" applyFont="1" applyFill="1"/>
    <xf numFmtId="43" fontId="16" fillId="0" borderId="0" xfId="1" applyFont="1" applyFill="1"/>
    <xf numFmtId="0" fontId="16" fillId="0" borderId="0" xfId="0" applyFont="1"/>
    <xf numFmtId="0" fontId="6" fillId="0" borderId="15" xfId="0" applyFont="1" applyBorder="1"/>
    <xf numFmtId="0" fontId="6" fillId="0" borderId="5" xfId="0" applyFont="1" applyBorder="1"/>
    <xf numFmtId="166" fontId="5" fillId="0" borderId="0" xfId="1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/>
    <xf numFmtId="0" fontId="6" fillId="0" borderId="14" xfId="0" applyFont="1" applyFill="1" applyBorder="1"/>
    <xf numFmtId="164" fontId="6" fillId="0" borderId="0" xfId="0" applyNumberFormat="1" applyFont="1" applyFill="1"/>
    <xf numFmtId="0" fontId="6" fillId="0" borderId="15" xfId="0" applyFont="1" applyFill="1" applyBorder="1"/>
    <xf numFmtId="2" fontId="6" fillId="0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left"/>
    </xf>
    <xf numFmtId="165" fontId="6" fillId="0" borderId="3" xfId="0" applyNumberFormat="1" applyFont="1" applyFill="1" applyBorder="1"/>
    <xf numFmtId="166" fontId="6" fillId="0" borderId="0" xfId="1" quotePrefix="1" applyNumberFormat="1" applyFont="1" applyFill="1" applyAlignment="1">
      <alignment horizontal="left"/>
    </xf>
    <xf numFmtId="179" fontId="7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165" fontId="6" fillId="0" borderId="0" xfId="3" applyNumberFormat="1" applyFont="1"/>
    <xf numFmtId="9" fontId="6" fillId="0" borderId="0" xfId="0" applyNumberFormat="1" applyFont="1"/>
    <xf numFmtId="0" fontId="6" fillId="4" borderId="0" xfId="0" applyFont="1" applyFill="1"/>
    <xf numFmtId="184" fontId="6" fillId="0" borderId="0" xfId="2" applyNumberFormat="1" applyFont="1"/>
    <xf numFmtId="166" fontId="6" fillId="0" borderId="0" xfId="1" applyNumberFormat="1" applyFont="1" applyBorder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</cellXfs>
  <cellStyles count="9">
    <cellStyle name="Comma" xfId="1" builtinId="3"/>
    <cellStyle name="Comma 2" xfId="5" xr:uid="{D3E40D1E-9089-4D32-9E0B-9E29F6FAB58A}"/>
    <cellStyle name="Comma 3" xfId="8" xr:uid="{178918BD-594C-4488-916C-B55FA2E6B3D2}"/>
    <cellStyle name="Currency" xfId="2" builtinId="4"/>
    <cellStyle name="Currency 2" xfId="7" xr:uid="{6BC2B8EA-7BF9-488A-B469-4DD87B2F09D1}"/>
    <cellStyle name="Normal" xfId="0" builtinId="0"/>
    <cellStyle name="Normal 2" xfId="4" xr:uid="{B7AE1133-55F2-4385-8236-A248A8FE414A}"/>
    <cellStyle name="Normal 3" xfId="6" xr:uid="{E1EB5C04-F978-4634-BF57-682CBA87ECF6}"/>
    <cellStyle name="Percent" xfId="3" builtin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  <color rgb="FF000099"/>
      <color rgb="FF66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9"/>
  <sheetViews>
    <sheetView view="pageBreakPreview" topLeftCell="A9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4.42578125" style="14" customWidth="1"/>
    <col min="2" max="2" width="37.85546875" style="27" customWidth="1"/>
    <col min="3" max="3" width="6.85546875" style="47" bestFit="1" customWidth="1"/>
    <col min="4" max="4" width="14.42578125" style="47" customWidth="1"/>
    <col min="5" max="5" width="16.85546875" style="47" customWidth="1"/>
    <col min="6" max="6" width="13.5703125" style="48" customWidth="1"/>
    <col min="7" max="7" width="13.5703125" style="14" customWidth="1"/>
    <col min="8" max="8" width="16.28515625" style="49" customWidth="1"/>
    <col min="9" max="9" width="14.42578125" style="49" bestFit="1" customWidth="1"/>
    <col min="10" max="10" width="4.42578125" style="14" customWidth="1"/>
    <col min="11" max="11" width="20.7109375" style="49" customWidth="1"/>
    <col min="12" max="12" width="14.7109375" style="49" bestFit="1" customWidth="1"/>
    <col min="13" max="13" width="15.7109375" style="49" customWidth="1"/>
    <col min="14" max="14" width="15.7109375" style="14" customWidth="1"/>
    <col min="15" max="15" width="17.28515625" style="14" customWidth="1"/>
    <col min="16" max="16" width="13" style="14" customWidth="1"/>
    <col min="17" max="17" width="9.28515625" style="14" bestFit="1" customWidth="1"/>
    <col min="18" max="18" width="14.140625" style="14" bestFit="1" customWidth="1"/>
    <col min="19" max="16384" width="9.140625" style="14"/>
  </cols>
  <sheetData>
    <row r="1" spans="1:39" x14ac:dyDescent="0.2">
      <c r="A1" s="13" t="s">
        <v>1055</v>
      </c>
      <c r="F1" s="54"/>
      <c r="G1" s="103"/>
      <c r="H1" s="103"/>
      <c r="I1" s="165"/>
    </row>
    <row r="2" spans="1:39" x14ac:dyDescent="0.2">
      <c r="A2" s="13" t="s">
        <v>675</v>
      </c>
      <c r="C2" s="50"/>
      <c r="D2" s="50"/>
      <c r="E2" s="50"/>
      <c r="F2" s="50"/>
      <c r="I2" s="103"/>
      <c r="K2" s="51"/>
      <c r="L2" s="51"/>
      <c r="M2" s="51"/>
      <c r="N2" s="51"/>
    </row>
    <row r="3" spans="1:39" x14ac:dyDescent="0.2">
      <c r="A3" s="13"/>
      <c r="C3" s="13"/>
      <c r="D3" s="52"/>
      <c r="E3" s="52"/>
      <c r="F3" s="53"/>
      <c r="K3" s="54"/>
      <c r="L3" s="59"/>
      <c r="M3" s="54"/>
      <c r="N3" s="55"/>
    </row>
    <row r="4" spans="1:39" x14ac:dyDescent="0.2">
      <c r="F4" s="56"/>
      <c r="L4" s="162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39" x14ac:dyDescent="0.2">
      <c r="A5" s="13"/>
      <c r="B5" s="57"/>
      <c r="C5" s="58"/>
      <c r="D5" s="58"/>
      <c r="E5" s="58"/>
      <c r="F5" s="58"/>
      <c r="G5" s="58"/>
      <c r="I5" s="4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39" s="57" customFormat="1" x14ac:dyDescent="0.2">
      <c r="C6" s="58"/>
      <c r="D6" s="58" t="s">
        <v>903</v>
      </c>
      <c r="E6" s="58" t="s">
        <v>903</v>
      </c>
      <c r="F6" s="58"/>
      <c r="H6" s="58" t="s">
        <v>903</v>
      </c>
      <c r="I6" s="58" t="s">
        <v>938</v>
      </c>
      <c r="K6" s="59"/>
      <c r="L6" s="163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39" s="57" customFormat="1" x14ac:dyDescent="0.2">
      <c r="C7" s="58"/>
      <c r="D7" s="58" t="s">
        <v>674</v>
      </c>
      <c r="E7" s="58" t="s">
        <v>674</v>
      </c>
      <c r="F7" s="61"/>
      <c r="G7" s="21"/>
      <c r="H7" s="21" t="s">
        <v>332</v>
      </c>
      <c r="I7" s="21" t="s">
        <v>332</v>
      </c>
      <c r="K7" s="59"/>
      <c r="L7" s="216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</row>
    <row r="8" spans="1:39" s="57" customFormat="1" ht="13.5" thickBot="1" x14ac:dyDescent="0.25">
      <c r="A8" s="62" t="s">
        <v>944</v>
      </c>
      <c r="B8" s="63" t="s">
        <v>751</v>
      </c>
      <c r="C8" s="63" t="s">
        <v>866</v>
      </c>
      <c r="D8" s="64" t="s">
        <v>346</v>
      </c>
      <c r="E8" s="64" t="s">
        <v>673</v>
      </c>
      <c r="F8" s="64" t="s">
        <v>345</v>
      </c>
      <c r="G8" s="65" t="s">
        <v>76</v>
      </c>
      <c r="H8" s="64" t="s">
        <v>864</v>
      </c>
      <c r="I8" s="64" t="s">
        <v>864</v>
      </c>
      <c r="J8" s="60"/>
      <c r="M8" s="59"/>
    </row>
    <row r="9" spans="1:39" x14ac:dyDescent="0.2">
      <c r="A9" s="27"/>
      <c r="B9" s="13"/>
      <c r="C9" s="57"/>
      <c r="F9" s="47"/>
      <c r="G9" s="48"/>
      <c r="H9" s="14"/>
      <c r="I9" s="59"/>
      <c r="J9" s="60"/>
      <c r="M9" s="5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 x14ac:dyDescent="0.2">
      <c r="A10" s="27">
        <v>1</v>
      </c>
      <c r="B10" s="108" t="s">
        <v>1200</v>
      </c>
      <c r="C10" s="27" t="s">
        <v>1057</v>
      </c>
      <c r="D10" s="66">
        <f>'Alloc &amp; Returns'!F$351</f>
        <v>106610071.44003147</v>
      </c>
      <c r="E10" s="66">
        <f>'Alloc &amp; Returns'!F$377</f>
        <v>105281842.15644509</v>
      </c>
      <c r="F10" s="66">
        <f>D10-E10</f>
        <v>1328229.2835863829</v>
      </c>
      <c r="G10" s="66">
        <f>'Alloc &amp; Returns'!F$385</f>
        <v>163775065.45959878</v>
      </c>
      <c r="H10" s="67">
        <f>IF(G10=0,0,F10/G10)</f>
        <v>8.1100824466715914E-3</v>
      </c>
      <c r="I10" s="47">
        <f>IF(H$26&lt;0,-H10/H$26,H10/H$26)</f>
        <v>0.41552561856214021</v>
      </c>
      <c r="J10" s="60"/>
      <c r="K10" s="108"/>
      <c r="L10" s="67"/>
      <c r="M10" s="59"/>
      <c r="N10" s="108"/>
      <c r="O10" s="15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</row>
    <row r="11" spans="1:39" x14ac:dyDescent="0.2">
      <c r="A11" s="27">
        <v>2</v>
      </c>
      <c r="B11" s="108" t="s">
        <v>1199</v>
      </c>
      <c r="C11" s="27" t="s">
        <v>1058</v>
      </c>
      <c r="D11" s="66">
        <f>'Alloc &amp; Returns'!G$351</f>
        <v>41141.026236899474</v>
      </c>
      <c r="E11" s="66">
        <f>'Alloc &amp; Returns'!G$377</f>
        <v>44258.697414137117</v>
      </c>
      <c r="F11" s="66">
        <f t="shared" ref="F11:F26" si="0">D11-E11</f>
        <v>-3117.6711772376439</v>
      </c>
      <c r="G11" s="66">
        <f>'Alloc &amp; Returns'!G$385</f>
        <v>176989.2809134546</v>
      </c>
      <c r="H11" s="67">
        <f t="shared" ref="H11:H20" si="1">IF(G11=0,0,F11/G11)</f>
        <v>-1.761502821609939E-2</v>
      </c>
      <c r="I11" s="47">
        <f t="shared" ref="I11:I16" si="2">IF(H$26&lt;0,-H11/H$26,H11/H$26)</f>
        <v>-0.90251801305524348</v>
      </c>
      <c r="J11" s="60"/>
      <c r="K11" s="108"/>
      <c r="L11" s="67"/>
      <c r="M11" s="59"/>
      <c r="N11" s="108"/>
      <c r="O11" s="157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</row>
    <row r="12" spans="1:39" x14ac:dyDescent="0.2">
      <c r="A12" s="27">
        <v>3</v>
      </c>
      <c r="B12" s="108" t="s">
        <v>1201</v>
      </c>
      <c r="C12" s="27" t="s">
        <v>1059</v>
      </c>
      <c r="D12" s="66">
        <f>'Alloc &amp; Returns'!H$351</f>
        <v>25268.732518249155</v>
      </c>
      <c r="E12" s="66">
        <f>'Alloc &amp; Returns'!H$377</f>
        <v>107803.52325236668</v>
      </c>
      <c r="F12" s="66">
        <f t="shared" si="0"/>
        <v>-82534.790734117531</v>
      </c>
      <c r="G12" s="66">
        <f>'Alloc &amp; Returns'!H$385</f>
        <v>573960.49943178694</v>
      </c>
      <c r="H12" s="67">
        <f t="shared" si="1"/>
        <v>-0.14379872973109795</v>
      </c>
      <c r="I12" s="47">
        <f t="shared" si="2"/>
        <v>-7.3676262248711133</v>
      </c>
      <c r="J12" s="60"/>
      <c r="K12" s="108"/>
      <c r="L12" s="67"/>
      <c r="M12" s="59"/>
      <c r="N12" s="108"/>
      <c r="O12" s="15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x14ac:dyDescent="0.2">
      <c r="A13" s="27">
        <v>4</v>
      </c>
      <c r="B13" s="108" t="s">
        <v>1202</v>
      </c>
      <c r="C13" s="27" t="s">
        <v>1060</v>
      </c>
      <c r="D13" s="66">
        <f>'Alloc &amp; Returns'!I$351</f>
        <v>12113630.983945202</v>
      </c>
      <c r="E13" s="66">
        <f>'Alloc &amp; Returns'!I$377</f>
        <v>8707460.2075074818</v>
      </c>
      <c r="F13" s="66">
        <f t="shared" si="0"/>
        <v>3406170.7764377203</v>
      </c>
      <c r="G13" s="66">
        <f>'Alloc &amp; Returns'!I$385</f>
        <v>8738557.185052475</v>
      </c>
      <c r="H13" s="67">
        <f t="shared" si="1"/>
        <v>0.3897864034424427</v>
      </c>
      <c r="I13" s="47">
        <f t="shared" si="2"/>
        <v>19.970972855399825</v>
      </c>
      <c r="J13" s="60"/>
      <c r="K13" s="108"/>
      <c r="L13" s="67"/>
      <c r="M13" s="59"/>
      <c r="N13" s="108"/>
      <c r="O13" s="157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</row>
    <row r="14" spans="1:39" x14ac:dyDescent="0.2">
      <c r="A14" s="27">
        <v>5</v>
      </c>
      <c r="B14" s="108" t="s">
        <v>1067</v>
      </c>
      <c r="C14" s="27" t="s">
        <v>1061</v>
      </c>
      <c r="D14" s="66">
        <f>'Alloc &amp; Returns'!J$351</f>
        <v>209488.48332113677</v>
      </c>
      <c r="E14" s="66">
        <f>'Alloc &amp; Returns'!J$377</f>
        <v>197760.83507194996</v>
      </c>
      <c r="F14" s="66">
        <f t="shared" si="0"/>
        <v>11727.648249186808</v>
      </c>
      <c r="G14" s="66">
        <f>'Alloc &amp; Returns'!J$385</f>
        <v>624287.78641707217</v>
      </c>
      <c r="H14" s="67">
        <f t="shared" si="1"/>
        <v>1.878564422426781E-2</v>
      </c>
      <c r="I14" s="47">
        <f t="shared" si="2"/>
        <v>0.96249532451803321</v>
      </c>
      <c r="J14" s="60"/>
      <c r="K14" s="108"/>
      <c r="L14" s="67"/>
      <c r="M14" s="59"/>
      <c r="N14" s="108"/>
      <c r="O14" s="157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</row>
    <row r="15" spans="1:39" x14ac:dyDescent="0.2">
      <c r="A15" s="27">
        <v>6</v>
      </c>
      <c r="B15" s="108" t="s">
        <v>1068</v>
      </c>
      <c r="C15" s="27" t="s">
        <v>1062</v>
      </c>
      <c r="D15" s="66">
        <f>'Alloc &amp; Returns'!K$351</f>
        <v>3842218.9284200226</v>
      </c>
      <c r="E15" s="66">
        <f>'Alloc &amp; Returns'!K$377</f>
        <v>3416833.3891001972</v>
      </c>
      <c r="F15" s="66">
        <f t="shared" si="0"/>
        <v>425385.53931982536</v>
      </c>
      <c r="G15" s="66">
        <f>'Alloc &amp; Returns'!K$385</f>
        <v>1712865.479060913</v>
      </c>
      <c r="H15" s="67">
        <f t="shared" si="1"/>
        <v>0.24834731303770866</v>
      </c>
      <c r="I15" s="47">
        <f t="shared" si="2"/>
        <v>12.72424436456757</v>
      </c>
      <c r="J15" s="60"/>
      <c r="K15" s="108"/>
      <c r="L15" s="67"/>
      <c r="M15" s="59"/>
      <c r="N15" s="108"/>
      <c r="O15" s="157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</row>
    <row r="16" spans="1:39" x14ac:dyDescent="0.2">
      <c r="A16" s="27">
        <v>7</v>
      </c>
      <c r="B16" s="108" t="s">
        <v>1069</v>
      </c>
      <c r="C16" s="27" t="s">
        <v>1063</v>
      </c>
      <c r="D16" s="66">
        <f>'Alloc &amp; Returns'!L$351</f>
        <v>10899758.705166331</v>
      </c>
      <c r="E16" s="66">
        <f>'Alloc &amp; Returns'!L$377</f>
        <v>10758731.654790429</v>
      </c>
      <c r="F16" s="66">
        <f t="shared" ref="F16" si="3">D16-E16</f>
        <v>141027.05037590116</v>
      </c>
      <c r="G16" s="66">
        <f>'Alloc &amp; Returns'!L$385</f>
        <v>4153973.1421757797</v>
      </c>
      <c r="H16" s="67">
        <f t="shared" si="1"/>
        <v>3.3949918680031145E-2</v>
      </c>
      <c r="I16" s="47">
        <f t="shared" si="2"/>
        <v>1.7394472932200451</v>
      </c>
      <c r="J16" s="60"/>
      <c r="K16" s="108"/>
      <c r="L16" s="67"/>
      <c r="M16" s="59"/>
      <c r="N16" s="108"/>
      <c r="O16" s="157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</row>
    <row r="17" spans="1:39" x14ac:dyDescent="0.2">
      <c r="A17" s="27">
        <v>8</v>
      </c>
      <c r="B17" s="108" t="s">
        <v>1070</v>
      </c>
      <c r="C17" s="27" t="s">
        <v>1064</v>
      </c>
      <c r="D17" s="66">
        <f>'Alloc &amp; Returns'!M$351</f>
        <v>5452130.4053975632</v>
      </c>
      <c r="E17" s="66">
        <f>'Alloc &amp; Returns'!M$377</f>
        <v>5389041.4267492648</v>
      </c>
      <c r="F17" s="66">
        <f t="shared" ref="F17" si="4">D17-E17</f>
        <v>63088.97864829842</v>
      </c>
      <c r="G17" s="66">
        <f>'Alloc &amp; Returns'!M$385</f>
        <v>1845188.8151157945</v>
      </c>
      <c r="H17" s="67">
        <f t="shared" si="1"/>
        <v>3.41910692995065E-2</v>
      </c>
      <c r="I17" s="47">
        <f t="shared" ref="I17" si="5">IF(H$26&lt;0,-H17/H$26,H17/H$26)</f>
        <v>1.7518028100699712</v>
      </c>
      <c r="J17" s="60"/>
      <c r="K17" s="108"/>
      <c r="L17" s="67"/>
      <c r="M17" s="59"/>
      <c r="N17" s="108"/>
      <c r="O17" s="157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</row>
    <row r="18" spans="1:39" x14ac:dyDescent="0.2">
      <c r="A18" s="27">
        <v>9</v>
      </c>
      <c r="B18" s="108" t="s">
        <v>1071</v>
      </c>
      <c r="C18" s="27" t="s">
        <v>1065</v>
      </c>
      <c r="D18" s="66">
        <f>'Alloc &amp; Returns'!N$351</f>
        <v>10672644.68247545</v>
      </c>
      <c r="E18" s="66">
        <f>'Alloc &amp; Returns'!N$377</f>
        <v>10526753.736642484</v>
      </c>
      <c r="F18" s="66">
        <f t="shared" ref="F18:F20" si="6">D18-E18</f>
        <v>145890.9458329659</v>
      </c>
      <c r="G18" s="66">
        <f>'Alloc &amp; Returns'!N$385</f>
        <v>3598813.3258976643</v>
      </c>
      <c r="H18" s="67">
        <f t="shared" si="1"/>
        <v>4.05386255472353E-2</v>
      </c>
      <c r="I18" s="47">
        <f t="shared" ref="I18:I20" si="7">IF(H$26&lt;0,-H18/H$26,H18/H$26)</f>
        <v>2.0770241938893128</v>
      </c>
      <c r="J18" s="60"/>
      <c r="K18" s="108"/>
      <c r="L18" s="67"/>
      <c r="M18" s="59"/>
      <c r="N18" s="108"/>
      <c r="O18" s="157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</row>
    <row r="19" spans="1:39" x14ac:dyDescent="0.2">
      <c r="A19" s="27">
        <v>10</v>
      </c>
      <c r="B19" s="14" t="s">
        <v>1072</v>
      </c>
      <c r="C19" s="27" t="s">
        <v>1056</v>
      </c>
      <c r="D19" s="66">
        <f>'Alloc &amp; Returns'!O$351</f>
        <v>6237157.2886838084</v>
      </c>
      <c r="E19" s="66">
        <f>'Alloc &amp; Returns'!O$377</f>
        <v>6202694.5739951022</v>
      </c>
      <c r="F19" s="66">
        <f t="shared" si="6"/>
        <v>34462.714688706212</v>
      </c>
      <c r="G19" s="66">
        <f>'Alloc &amp; Returns'!O$385</f>
        <v>814.61920352687321</v>
      </c>
      <c r="H19" s="122" t="s">
        <v>1193</v>
      </c>
      <c r="I19" s="256" t="s">
        <v>1193</v>
      </c>
      <c r="J19" s="60"/>
      <c r="K19" s="108"/>
      <c r="L19" s="108"/>
      <c r="M19" s="59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</row>
    <row r="20" spans="1:39" x14ac:dyDescent="0.2">
      <c r="A20" s="27">
        <v>11</v>
      </c>
      <c r="B20" s="14" t="s">
        <v>753</v>
      </c>
      <c r="C20" s="27" t="s">
        <v>1066</v>
      </c>
      <c r="D20" s="66">
        <f>'Alloc &amp; Returns'!P$351</f>
        <v>2476600.0739300386</v>
      </c>
      <c r="E20" s="66">
        <f>'Alloc &amp; Returns'!P$377</f>
        <v>3882085.8205993413</v>
      </c>
      <c r="F20" s="66">
        <f t="shared" si="6"/>
        <v>-1405485.7466693027</v>
      </c>
      <c r="G20" s="66">
        <f>'Alloc &amp; Returns'!P$385</f>
        <v>23064582.980382718</v>
      </c>
      <c r="H20" s="67">
        <f t="shared" si="1"/>
        <v>-6.0936967638422962E-2</v>
      </c>
      <c r="I20" s="47">
        <f t="shared" si="7"/>
        <v>-3.1221471961297511</v>
      </c>
      <c r="J20" s="60"/>
      <c r="K20" s="108"/>
      <c r="L20" s="108"/>
      <c r="M20" s="59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</row>
    <row r="21" spans="1:39" hidden="1" x14ac:dyDescent="0.2">
      <c r="A21" s="27"/>
      <c r="C21" s="27"/>
      <c r="D21" s="68"/>
      <c r="E21" s="66"/>
      <c r="F21" s="68"/>
      <c r="G21" s="66"/>
      <c r="H21" s="67"/>
      <c r="I21" s="67"/>
      <c r="J21" s="60"/>
      <c r="K21" s="108"/>
      <c r="L21" s="108"/>
      <c r="M21" s="59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</row>
    <row r="22" spans="1:39" hidden="1" x14ac:dyDescent="0.2">
      <c r="A22" s="27"/>
      <c r="B22" s="14"/>
      <c r="C22" s="27"/>
      <c r="D22" s="68"/>
      <c r="E22" s="66"/>
      <c r="F22" s="68"/>
      <c r="G22" s="68"/>
      <c r="H22" s="67"/>
      <c r="I22" s="67"/>
      <c r="J22" s="60"/>
      <c r="K22" s="108"/>
      <c r="L22" s="108"/>
      <c r="M22" s="59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</row>
    <row r="23" spans="1:39" hidden="1" x14ac:dyDescent="0.2">
      <c r="A23" s="27"/>
      <c r="B23" s="14"/>
      <c r="C23" s="27"/>
      <c r="D23" s="68"/>
      <c r="E23" s="66"/>
      <c r="F23" s="68"/>
      <c r="G23" s="68"/>
      <c r="H23" s="67"/>
      <c r="I23" s="67"/>
      <c r="J23" s="60"/>
      <c r="K23" s="161"/>
      <c r="L23" s="161"/>
      <c r="M23" s="59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</row>
    <row r="24" spans="1:39" hidden="1" x14ac:dyDescent="0.2">
      <c r="A24" s="27"/>
      <c r="B24" s="14"/>
      <c r="C24" s="27"/>
      <c r="D24" s="68"/>
      <c r="E24" s="66"/>
      <c r="F24" s="68"/>
      <c r="G24" s="68"/>
      <c r="H24" s="67"/>
      <c r="I24" s="67"/>
      <c r="J24" s="60"/>
      <c r="K24" s="108"/>
      <c r="L24" s="108"/>
      <c r="M24" s="59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spans="1:39" hidden="1" x14ac:dyDescent="0.2">
      <c r="A25" s="27"/>
      <c r="B25" s="14"/>
      <c r="C25" s="27"/>
      <c r="D25" s="68"/>
      <c r="E25" s="66"/>
      <c r="F25" s="68"/>
      <c r="G25" s="68"/>
      <c r="H25" s="67"/>
      <c r="I25" s="67"/>
      <c r="J25" s="60"/>
      <c r="K25" s="108"/>
      <c r="L25" s="108"/>
      <c r="M25" s="59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</row>
    <row r="26" spans="1:39" s="74" customFormat="1" ht="26.25" customHeight="1" thickBot="1" x14ac:dyDescent="0.25">
      <c r="A26" s="69">
        <f>A20+1</f>
        <v>12</v>
      </c>
      <c r="B26" s="171" t="s">
        <v>857</v>
      </c>
      <c r="C26" s="70"/>
      <c r="D26" s="71">
        <f>SUM(D10:D25)</f>
        <v>158580110.75012615</v>
      </c>
      <c r="E26" s="71">
        <f>SUM(E10:E25)</f>
        <v>154515266.02156785</v>
      </c>
      <c r="F26" s="71">
        <f t="shared" si="0"/>
        <v>4064844.7285583019</v>
      </c>
      <c r="G26" s="71">
        <f>SUM(G10:G25)</f>
        <v>208265098.57324997</v>
      </c>
      <c r="H26" s="72">
        <f>F26/G26</f>
        <v>1.9517647250572014E-2</v>
      </c>
      <c r="I26" s="73">
        <f>H26/H$26</f>
        <v>1</v>
      </c>
      <c r="J26" s="60"/>
      <c r="K26" s="108"/>
      <c r="L26" s="108"/>
      <c r="M26" s="59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</row>
    <row r="27" spans="1:39" s="74" customFormat="1" ht="26.45" customHeight="1" thickTop="1" x14ac:dyDescent="0.2">
      <c r="A27" s="69"/>
      <c r="B27" s="14"/>
      <c r="C27" s="69"/>
      <c r="D27" s="152"/>
      <c r="E27" s="152"/>
      <c r="F27" s="152"/>
      <c r="G27" s="152"/>
      <c r="H27" s="154"/>
      <c r="I27" s="155"/>
      <c r="J27" s="60"/>
      <c r="M27" s="59"/>
    </row>
    <row r="28" spans="1:39" s="74" customFormat="1" ht="26.25" customHeight="1" x14ac:dyDescent="0.2">
      <c r="A28" s="69"/>
      <c r="D28" s="152"/>
      <c r="E28" s="152"/>
      <c r="F28" s="152"/>
      <c r="G28" s="152"/>
      <c r="H28" s="153" t="s">
        <v>1014</v>
      </c>
      <c r="I28" s="153"/>
      <c r="J28" s="60"/>
      <c r="M28" s="59"/>
    </row>
    <row r="29" spans="1:39" x14ac:dyDescent="0.2">
      <c r="A29" s="27"/>
      <c r="B29" s="14"/>
      <c r="C29" s="27"/>
      <c r="D29" s="75"/>
      <c r="E29" s="75"/>
      <c r="F29" s="68"/>
      <c r="G29" s="75"/>
      <c r="H29" s="58" t="s">
        <v>903</v>
      </c>
      <c r="I29" s="58" t="s">
        <v>938</v>
      </c>
      <c r="J29" s="60"/>
      <c r="K29" s="57"/>
      <c r="L29" s="59"/>
      <c r="M29" s="59"/>
      <c r="N29" s="60"/>
      <c r="O29" s="57"/>
      <c r="P29" s="57"/>
      <c r="Q29" s="57"/>
    </row>
    <row r="30" spans="1:39" x14ac:dyDescent="0.2">
      <c r="A30" s="57"/>
      <c r="B30" s="14"/>
      <c r="C30" s="58"/>
      <c r="D30" s="58" t="s">
        <v>1015</v>
      </c>
      <c r="E30" s="58" t="s">
        <v>1016</v>
      </c>
      <c r="F30" s="47"/>
      <c r="G30" s="48"/>
      <c r="H30" s="21" t="s">
        <v>332</v>
      </c>
      <c r="I30" s="21" t="s">
        <v>332</v>
      </c>
      <c r="J30" s="49"/>
      <c r="K30" s="57"/>
      <c r="L30" s="59"/>
      <c r="N30" s="49"/>
    </row>
    <row r="31" spans="1:39" ht="13.5" thickBot="1" x14ac:dyDescent="0.25">
      <c r="A31" s="62" t="s">
        <v>944</v>
      </c>
      <c r="B31" s="63" t="s">
        <v>751</v>
      </c>
      <c r="C31" s="63" t="s">
        <v>866</v>
      </c>
      <c r="D31" s="64" t="s">
        <v>346</v>
      </c>
      <c r="E31" s="64" t="s">
        <v>11</v>
      </c>
      <c r="F31" s="47"/>
      <c r="G31" s="48"/>
      <c r="H31" s="64" t="s">
        <v>864</v>
      </c>
      <c r="I31" s="64" t="s">
        <v>864</v>
      </c>
      <c r="J31" s="49"/>
      <c r="K31" s="57"/>
      <c r="L31" s="59"/>
      <c r="N31" s="49"/>
    </row>
    <row r="32" spans="1:39" x14ac:dyDescent="0.2">
      <c r="A32" s="27"/>
      <c r="B32" s="13"/>
      <c r="C32" s="57"/>
      <c r="D32" s="57"/>
      <c r="F32" s="47"/>
      <c r="G32" s="48"/>
      <c r="J32" s="49"/>
      <c r="K32" s="14"/>
      <c r="N32" s="49"/>
    </row>
    <row r="33" spans="1:14" x14ac:dyDescent="0.2">
      <c r="A33" s="27">
        <f>A26+1</f>
        <v>13</v>
      </c>
      <c r="B33" s="14" t="str">
        <f>B10</f>
        <v>Residential and Farm</v>
      </c>
      <c r="C33" s="27" t="str">
        <f>C10</f>
        <v>GS-1</v>
      </c>
      <c r="D33" s="157">
        <f t="shared" ref="D33:D41" si="8">D10/D$26</f>
        <v>0.67227895689905526</v>
      </c>
      <c r="E33" s="157">
        <f>'Billing Det'!O8</f>
        <v>0.60532606314421344</v>
      </c>
      <c r="F33" s="47"/>
      <c r="G33" s="108"/>
      <c r="H33" s="67">
        <v>2.6002743286358772E-2</v>
      </c>
      <c r="I33" s="47">
        <v>0.746825539609142</v>
      </c>
      <c r="J33" s="49"/>
      <c r="K33" s="14"/>
      <c r="N33" s="49"/>
    </row>
    <row r="34" spans="1:14" x14ac:dyDescent="0.2">
      <c r="A34" s="27">
        <f>A33+1</f>
        <v>14</v>
      </c>
      <c r="B34" s="14" t="str">
        <f t="shared" ref="B34:C40" si="9">B11</f>
        <v>Residential and Farm Inclining Block</v>
      </c>
      <c r="C34" s="27" t="str">
        <f t="shared" si="9"/>
        <v>GS-2</v>
      </c>
      <c r="D34" s="157">
        <f t="shared" si="8"/>
        <v>2.5943370856718073E-4</v>
      </c>
      <c r="E34" s="157">
        <f>'Billing Det'!O9</f>
        <v>1.1329690316991118E-4</v>
      </c>
      <c r="F34" s="47"/>
      <c r="G34" s="108"/>
      <c r="H34" s="67">
        <v>3.4131043369322697E-2</v>
      </c>
      <c r="I34" s="47">
        <v>0.98027868063788703</v>
      </c>
      <c r="J34" s="49"/>
      <c r="K34" s="14"/>
      <c r="N34" s="49"/>
    </row>
    <row r="35" spans="1:14" x14ac:dyDescent="0.2">
      <c r="A35" s="27">
        <f t="shared" ref="A35:A43" si="10">A34+1</f>
        <v>15</v>
      </c>
      <c r="B35" s="14" t="str">
        <f t="shared" si="9"/>
        <v>Residential and Farm Time-of-Day Rate</v>
      </c>
      <c r="C35" s="27" t="str">
        <f t="shared" si="9"/>
        <v>GS-3</v>
      </c>
      <c r="D35" s="157">
        <f t="shared" si="8"/>
        <v>1.5934364277286301E-4</v>
      </c>
      <c r="E35" s="157">
        <f>'Billing Det'!O10</f>
        <v>1.5266283716622637E-4</v>
      </c>
      <c r="F35" s="47"/>
      <c r="G35" s="108"/>
      <c r="H35" s="67">
        <v>-0.1387872115119041</v>
      </c>
      <c r="I35" s="47">
        <v>-3.9861115031890253</v>
      </c>
      <c r="J35" s="49"/>
      <c r="K35" s="14"/>
      <c r="N35" s="49"/>
    </row>
    <row r="36" spans="1:14" x14ac:dyDescent="0.2">
      <c r="A36" s="27">
        <f t="shared" si="10"/>
        <v>16</v>
      </c>
      <c r="B36" s="14" t="str">
        <f t="shared" si="9"/>
        <v>General Service (0-100 KW)</v>
      </c>
      <c r="C36" s="27" t="str">
        <f t="shared" si="9"/>
        <v>SC-1</v>
      </c>
      <c r="D36" s="157">
        <f t="shared" si="8"/>
        <v>7.6388085029355207E-2</v>
      </c>
      <c r="E36" s="157">
        <f>'Billing Det'!O11</f>
        <v>5.9147706867519939E-2</v>
      </c>
      <c r="F36" s="47"/>
      <c r="G36" s="108"/>
      <c r="H36" s="67">
        <v>0.3897864034424427</v>
      </c>
      <c r="I36" s="47">
        <v>11.195066531150328</v>
      </c>
      <c r="J36" s="49"/>
      <c r="K36" s="14"/>
      <c r="N36" s="49"/>
    </row>
    <row r="37" spans="1:14" x14ac:dyDescent="0.2">
      <c r="A37" s="27">
        <f t="shared" si="10"/>
        <v>17</v>
      </c>
      <c r="B37" s="14" t="str">
        <f t="shared" si="9"/>
        <v>General Service 0-100 KW Time of Day Rate</v>
      </c>
      <c r="C37" s="27" t="str">
        <f t="shared" si="9"/>
        <v>SC-2</v>
      </c>
      <c r="D37" s="157">
        <f t="shared" si="8"/>
        <v>1.3210262140075477E-3</v>
      </c>
      <c r="E37" s="157">
        <f>'Billing Det'!O12</f>
        <v>1.0026301945014243E-3</v>
      </c>
      <c r="F37" s="47"/>
      <c r="G37" s="108"/>
      <c r="H37" s="67">
        <v>1.878564422426781E-2</v>
      </c>
      <c r="I37" s="47">
        <v>0.5395430293716047</v>
      </c>
      <c r="J37" s="49"/>
      <c r="K37" s="14"/>
      <c r="N37" s="49"/>
    </row>
    <row r="38" spans="1:14" x14ac:dyDescent="0.2">
      <c r="A38" s="27">
        <f t="shared" si="10"/>
        <v>18</v>
      </c>
      <c r="B38" s="14" t="str">
        <f t="shared" si="9"/>
        <v>Large Power (101 - 500 kW)</v>
      </c>
      <c r="C38" s="27" t="str">
        <f t="shared" si="9"/>
        <v>LP-1</v>
      </c>
      <c r="D38" s="157">
        <f t="shared" si="8"/>
        <v>2.4228882867121885E-2</v>
      </c>
      <c r="E38" s="157">
        <f>'Billing Det'!O13</f>
        <v>2.653290020555402E-2</v>
      </c>
      <c r="G38" s="108"/>
      <c r="H38" s="67">
        <v>0.24834731303770866</v>
      </c>
      <c r="I38" s="47">
        <v>7.1327903378243667</v>
      </c>
    </row>
    <row r="39" spans="1:14" x14ac:dyDescent="0.2">
      <c r="A39" s="27">
        <f t="shared" si="10"/>
        <v>19</v>
      </c>
      <c r="B39" s="14" t="str">
        <f t="shared" si="9"/>
        <v>Large Power (over 500 kW)</v>
      </c>
      <c r="C39" s="27" t="str">
        <f t="shared" si="9"/>
        <v>LP-2</v>
      </c>
      <c r="D39" s="157">
        <f t="shared" si="8"/>
        <v>6.8733453732675365E-2</v>
      </c>
      <c r="E39" s="157">
        <f>'Billing Det'!O14</f>
        <v>8.5629498506827828E-2</v>
      </c>
      <c r="G39" s="108"/>
      <c r="H39" s="67">
        <v>3.3949918680031145E-2</v>
      </c>
      <c r="I39" s="47">
        <v>0.97507659321476248</v>
      </c>
    </row>
    <row r="40" spans="1:14" x14ac:dyDescent="0.2">
      <c r="A40" s="27">
        <f t="shared" si="10"/>
        <v>20</v>
      </c>
      <c r="B40" s="14" t="str">
        <f t="shared" si="9"/>
        <v>Large Industrial (1,000 - 3,999 kW)</v>
      </c>
      <c r="C40" s="27" t="str">
        <f t="shared" si="9"/>
        <v>B-1</v>
      </c>
      <c r="D40" s="157">
        <f t="shared" si="8"/>
        <v>3.4380921917682709E-2</v>
      </c>
      <c r="E40" s="157">
        <f>'Billing Det'!O15</f>
        <v>4.9914152172988925E-2</v>
      </c>
      <c r="H40" s="67">
        <v>3.41910692995065E-2</v>
      </c>
      <c r="I40" s="47">
        <v>0.98200268710929561</v>
      </c>
    </row>
    <row r="41" spans="1:14" x14ac:dyDescent="0.2">
      <c r="A41" s="27">
        <f t="shared" si="10"/>
        <v>21</v>
      </c>
      <c r="B41" s="14" t="str">
        <f>B18</f>
        <v>Large Industrial (over 4,000 kW)</v>
      </c>
      <c r="C41" s="27" t="str">
        <f>C18</f>
        <v>B-2</v>
      </c>
      <c r="D41" s="157">
        <f t="shared" si="8"/>
        <v>6.7301281554105349E-2</v>
      </c>
      <c r="E41" s="157">
        <f>'Billing Det'!O16</f>
        <v>0.10023658973012178</v>
      </c>
      <c r="H41" s="67">
        <v>4.05386255472353E-2</v>
      </c>
      <c r="I41" s="47">
        <v>1.1643110331058639</v>
      </c>
    </row>
    <row r="42" spans="1:14" x14ac:dyDescent="0.2">
      <c r="A42" s="27">
        <f t="shared" si="10"/>
        <v>22</v>
      </c>
      <c r="B42" s="14" t="str">
        <f t="shared" ref="B42:C42" si="11">B19</f>
        <v>Large Industrial Rate (15,000+ kW)</v>
      </c>
      <c r="C42" s="27" t="str">
        <f t="shared" si="11"/>
        <v>G1</v>
      </c>
      <c r="D42" s="157">
        <f t="shared" ref="D42:D48" si="12">D20/D$26</f>
        <v>1.5617343576158831E-2</v>
      </c>
      <c r="E42" s="157">
        <f>'Billing Det'!O18</f>
        <v>3.882462098437095E-3</v>
      </c>
      <c r="H42" s="122" t="s">
        <v>1193</v>
      </c>
      <c r="I42" s="179" t="s">
        <v>1193</v>
      </c>
    </row>
    <row r="43" spans="1:14" x14ac:dyDescent="0.2">
      <c r="A43" s="27">
        <f t="shared" si="10"/>
        <v>23</v>
      </c>
      <c r="B43" s="14" t="str">
        <f t="shared" ref="B43:C43" si="13">B20</f>
        <v>Lighting</v>
      </c>
      <c r="C43" s="27" t="str">
        <f t="shared" si="13"/>
        <v>L</v>
      </c>
      <c r="D43" s="157">
        <f t="shared" si="12"/>
        <v>0</v>
      </c>
      <c r="E43" s="157">
        <f>'Billing Det'!O19</f>
        <v>0</v>
      </c>
      <c r="H43" s="67">
        <v>-5.0355411483361256E-2</v>
      </c>
      <c r="I43" s="47">
        <v>-1.4462592250037867</v>
      </c>
    </row>
    <row r="44" spans="1:14" hidden="1" x14ac:dyDescent="0.2">
      <c r="A44" s="27"/>
      <c r="B44" s="14"/>
      <c r="C44" s="27"/>
      <c r="D44" s="157">
        <f t="shared" si="12"/>
        <v>0</v>
      </c>
      <c r="E44" s="158">
        <f>'Billing Det'!O20</f>
        <v>0</v>
      </c>
      <c r="H44" s="156"/>
      <c r="I44" s="156"/>
    </row>
    <row r="45" spans="1:14" hidden="1" x14ac:dyDescent="0.2">
      <c r="A45" s="27"/>
      <c r="B45" s="14"/>
      <c r="C45" s="27"/>
      <c r="D45" s="157">
        <f t="shared" si="12"/>
        <v>0</v>
      </c>
      <c r="E45" s="158">
        <f>'Billing Det'!O21</f>
        <v>0</v>
      </c>
      <c r="H45" s="156"/>
      <c r="I45" s="156"/>
    </row>
    <row r="46" spans="1:14" hidden="1" x14ac:dyDescent="0.2">
      <c r="A46" s="27"/>
      <c r="B46" s="14"/>
      <c r="C46" s="27"/>
      <c r="D46" s="157">
        <f t="shared" si="12"/>
        <v>0</v>
      </c>
      <c r="E46" s="158">
        <f>'Billing Det'!O22</f>
        <v>0</v>
      </c>
      <c r="H46" s="156"/>
      <c r="I46" s="156"/>
    </row>
    <row r="47" spans="1:14" hidden="1" x14ac:dyDescent="0.2">
      <c r="A47" s="27"/>
      <c r="B47" s="14"/>
      <c r="C47" s="27"/>
      <c r="D47" s="157">
        <f t="shared" si="12"/>
        <v>0</v>
      </c>
      <c r="E47" s="158">
        <f>'Billing Det'!O23</f>
        <v>0</v>
      </c>
      <c r="H47" s="156"/>
      <c r="I47" s="156"/>
    </row>
    <row r="48" spans="1:14" ht="18.600000000000001" customHeight="1" thickBot="1" x14ac:dyDescent="0.25">
      <c r="A48" s="69">
        <f>A43+1</f>
        <v>24</v>
      </c>
      <c r="B48" s="172" t="s">
        <v>857</v>
      </c>
      <c r="C48" s="70"/>
      <c r="D48" s="159">
        <f t="shared" si="12"/>
        <v>1</v>
      </c>
      <c r="E48" s="160">
        <f>SUM(E33:E39)</f>
        <v>0.7779047586589527</v>
      </c>
      <c r="H48" s="72">
        <v>3.4817694236819414E-2</v>
      </c>
      <c r="I48" s="73">
        <v>1</v>
      </c>
    </row>
    <row r="49" ht="13.5" thickTop="1" x14ac:dyDescent="0.2"/>
  </sheetData>
  <phoneticPr fontId="0" type="noConversion"/>
  <conditionalFormatting sqref="D44">
    <cfRule type="cellIs" dxfId="15" priority="37" stopIfTrue="1" operator="lessThan">
      <formula>$H$26</formula>
    </cfRule>
    <cfRule type="cellIs" dxfId="14" priority="38" stopIfTrue="1" operator="greaterThan">
      <formula>$H$26</formula>
    </cfRule>
  </conditionalFormatting>
  <conditionalFormatting sqref="I21:I26">
    <cfRule type="cellIs" dxfId="13" priority="15" operator="greaterThan">
      <formula>$I$26</formula>
    </cfRule>
    <cfRule type="cellIs" dxfId="12" priority="16" operator="lessThan">
      <formula>$I$26</formula>
    </cfRule>
  </conditionalFormatting>
  <conditionalFormatting sqref="I48">
    <cfRule type="cellIs" dxfId="9" priority="1" operator="greaterThan">
      <formula>$I$26</formula>
    </cfRule>
    <cfRule type="cellIs" dxfId="8" priority="2" operator="lessThan">
      <formula>$I$26</formula>
    </cfRule>
  </conditionalFormatting>
  <pageMargins left="0.75" right="0.75" top="1" bottom="1" header="0.5" footer="0.5"/>
  <pageSetup scale="89" orientation="landscape" r:id="rId1"/>
  <headerFooter alignWithMargins="0">
    <oddFooter>&amp;RExhibit JW-3
Page &amp;P of &amp;N</oddFoot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5"/>
  <sheetViews>
    <sheetView view="pageBreakPreview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4.42578125" style="14" customWidth="1"/>
    <col min="2" max="2" width="46.42578125" style="27" bestFit="1" customWidth="1"/>
    <col min="3" max="3" width="8" style="27" customWidth="1"/>
    <col min="4" max="4" width="10.7109375" style="14" bestFit="1" customWidth="1"/>
    <col min="5" max="5" width="10.7109375" style="49" bestFit="1" customWidth="1"/>
    <col min="6" max="6" width="9.140625" style="49" bestFit="1" customWidth="1"/>
    <col min="7" max="7" width="9.140625" style="14"/>
    <col min="8" max="8" width="6.85546875" style="49" bestFit="1" customWidth="1"/>
    <col min="9" max="9" width="9.85546875" style="49" bestFit="1" customWidth="1"/>
    <col min="10" max="10" width="2.28515625" style="49" customWidth="1"/>
    <col min="11" max="11" width="7.85546875" style="14" bestFit="1" customWidth="1"/>
    <col min="12" max="12" width="9.85546875" style="14" bestFit="1" customWidth="1"/>
    <col min="13" max="13" width="6.85546875" style="14" bestFit="1" customWidth="1"/>
    <col min="14" max="15" width="0" style="14" hidden="1" customWidth="1"/>
    <col min="16" max="16" width="9.140625" style="14" hidden="1" customWidth="1"/>
    <col min="17" max="32" width="0" style="14" hidden="1" customWidth="1"/>
    <col min="33" max="16384" width="9.140625" style="14"/>
  </cols>
  <sheetData>
    <row r="1" spans="1:13" x14ac:dyDescent="0.2">
      <c r="A1" s="13" t="str">
        <f>'Summary of Returns'!A1</f>
        <v>BLUE GRASS ENERGY</v>
      </c>
    </row>
    <row r="2" spans="1:13" x14ac:dyDescent="0.2">
      <c r="A2" s="13" t="s">
        <v>955</v>
      </c>
      <c r="E2" s="51"/>
      <c r="F2" s="51"/>
      <c r="H2" s="265"/>
      <c r="I2" s="265"/>
      <c r="J2" s="265"/>
      <c r="K2" s="265"/>
    </row>
    <row r="3" spans="1:13" x14ac:dyDescent="0.2">
      <c r="A3" s="13"/>
      <c r="E3" s="54"/>
      <c r="F3" s="55"/>
      <c r="H3" s="54"/>
      <c r="I3" s="54"/>
      <c r="J3" s="54"/>
      <c r="K3" s="55"/>
    </row>
    <row r="4" spans="1:13" x14ac:dyDescent="0.2">
      <c r="A4" s="13"/>
      <c r="B4" s="57"/>
      <c r="C4" s="57"/>
      <c r="D4" s="266" t="s">
        <v>1046</v>
      </c>
      <c r="E4" s="267"/>
      <c r="F4" s="268"/>
    </row>
    <row r="5" spans="1:13" s="57" customFormat="1" x14ac:dyDescent="0.2">
      <c r="I5" s="59"/>
      <c r="J5" s="59"/>
      <c r="K5" s="60"/>
    </row>
    <row r="6" spans="1:13" s="57" customFormat="1" x14ac:dyDescent="0.2">
      <c r="D6" s="52" t="s">
        <v>722</v>
      </c>
      <c r="E6" s="168" t="s">
        <v>11</v>
      </c>
      <c r="F6" s="52" t="s">
        <v>10</v>
      </c>
      <c r="H6" s="59"/>
      <c r="I6" s="59"/>
      <c r="J6" s="59"/>
      <c r="K6" s="60"/>
    </row>
    <row r="7" spans="1:13" s="57" customFormat="1" ht="13.5" thickBot="1" x14ac:dyDescent="0.25">
      <c r="A7" s="62" t="s">
        <v>944</v>
      </c>
      <c r="B7" s="63" t="s">
        <v>751</v>
      </c>
      <c r="C7" s="63" t="s">
        <v>866</v>
      </c>
      <c r="D7" s="64" t="s">
        <v>951</v>
      </c>
      <c r="E7" s="64" t="s">
        <v>952</v>
      </c>
      <c r="F7" s="64" t="s">
        <v>953</v>
      </c>
      <c r="G7" s="60"/>
      <c r="I7" s="59"/>
      <c r="J7" s="59"/>
      <c r="K7" s="59"/>
      <c r="L7" s="60"/>
    </row>
    <row r="8" spans="1:13" x14ac:dyDescent="0.2">
      <c r="A8" s="27"/>
      <c r="B8" s="13"/>
      <c r="C8" s="57"/>
      <c r="D8" s="47"/>
      <c r="E8" s="48"/>
      <c r="F8" s="14"/>
      <c r="G8" s="60"/>
      <c r="H8" s="57"/>
      <c r="I8" s="59"/>
      <c r="J8" s="59"/>
      <c r="K8" s="59"/>
      <c r="L8" s="60"/>
      <c r="M8" s="57"/>
    </row>
    <row r="9" spans="1:13" x14ac:dyDescent="0.2">
      <c r="A9" s="27">
        <v>1</v>
      </c>
      <c r="B9" s="14" t="str">
        <f>'Summary of Returns'!B10</f>
        <v>Residential and Farm</v>
      </c>
      <c r="C9" s="27" t="str">
        <f>'Summary of Returns'!C10</f>
        <v>GS-1</v>
      </c>
      <c r="D9" s="149">
        <f>'Alloc &amp; Returns'!F641</f>
        <v>23.614024828366713</v>
      </c>
      <c r="E9" s="97">
        <f>'Alloc &amp; Returns'!F642</f>
        <v>0.11137893136212568</v>
      </c>
      <c r="F9" s="47">
        <f>'Alloc &amp; Returns'!F643</f>
        <v>0</v>
      </c>
      <c r="G9" s="60"/>
      <c r="H9" s="57"/>
      <c r="I9" s="59"/>
      <c r="J9" s="59"/>
      <c r="K9" s="59"/>
      <c r="L9" s="60"/>
      <c r="M9" s="57"/>
    </row>
    <row r="10" spans="1:13" x14ac:dyDescent="0.2">
      <c r="A10" s="27">
        <v>2</v>
      </c>
      <c r="B10" s="14" t="str">
        <f>'Summary of Returns'!B11</f>
        <v>Residential and Farm Inclining Block</v>
      </c>
      <c r="C10" s="27" t="str">
        <f>'Summary of Returns'!C11</f>
        <v>GS-2</v>
      </c>
      <c r="D10" s="47">
        <f>'Alloc &amp; Returns'!G641</f>
        <v>23.322761810779511</v>
      </c>
      <c r="E10" s="97">
        <f>'Alloc &amp; Returns'!G642</f>
        <v>0.11132661161841531</v>
      </c>
      <c r="F10" s="47">
        <f>'Alloc &amp; Returns'!G643</f>
        <v>0</v>
      </c>
      <c r="G10" s="60"/>
      <c r="H10" s="57"/>
      <c r="I10" s="59"/>
      <c r="J10" s="59"/>
      <c r="K10" s="59"/>
      <c r="L10" s="60"/>
      <c r="M10" s="57"/>
    </row>
    <row r="11" spans="1:13" x14ac:dyDescent="0.2">
      <c r="A11" s="27">
        <v>3</v>
      </c>
      <c r="B11" s="14" t="str">
        <f>'Summary of Returns'!B12</f>
        <v>Residential and Farm Time-of-Day Rate</v>
      </c>
      <c r="C11" s="27" t="str">
        <f>'Summary of Returns'!C12</f>
        <v>GS-3</v>
      </c>
      <c r="D11" s="47">
        <f>'Alloc &amp; Returns'!H641</f>
        <v>23.253528210502285</v>
      </c>
      <c r="E11" s="260">
        <f>'Alloc &amp; Returns'!H642</f>
        <v>0.57625487255249974</v>
      </c>
      <c r="F11" s="47">
        <f>'Alloc &amp; Returns'!H643</f>
        <v>0</v>
      </c>
      <c r="G11" s="60"/>
      <c r="H11" s="57"/>
      <c r="I11" s="59"/>
      <c r="J11" s="59"/>
      <c r="K11" s="59"/>
      <c r="L11" s="60"/>
      <c r="M11" s="57"/>
    </row>
    <row r="12" spans="1:13" x14ac:dyDescent="0.2">
      <c r="A12" s="27">
        <v>4</v>
      </c>
      <c r="B12" s="14" t="str">
        <f>'Summary of Returns'!B13</f>
        <v>General Service (0-100 KW)</v>
      </c>
      <c r="C12" s="27" t="str">
        <f>'Summary of Returns'!C13</f>
        <v>SC-1</v>
      </c>
      <c r="D12" s="47">
        <f>'Alloc &amp; Returns'!I641</f>
        <v>24.642509674132562</v>
      </c>
      <c r="E12" s="170">
        <f>'Alloc &amp; Returns'!I642</f>
        <v>6.3819258867286358E-2</v>
      </c>
      <c r="F12" s="47">
        <f>'Alloc &amp; Returns'!I643</f>
        <v>8.267713283321946</v>
      </c>
      <c r="G12" s="60"/>
      <c r="H12" s="57"/>
      <c r="I12" s="59"/>
      <c r="J12" s="59"/>
      <c r="K12" s="59"/>
      <c r="L12" s="60"/>
      <c r="M12" s="57"/>
    </row>
    <row r="13" spans="1:13" x14ac:dyDescent="0.2">
      <c r="A13" s="27">
        <v>5</v>
      </c>
      <c r="B13" s="14" t="str">
        <f>'Summary of Returns'!B14</f>
        <v>General Service 0-100 KW Time of Day Rate</v>
      </c>
      <c r="C13" s="27" t="str">
        <f>'Summary of Returns'!C14</f>
        <v>SC-2</v>
      </c>
      <c r="D13" s="47">
        <f>'Alloc &amp; Returns'!J641</f>
        <v>25.051159405654332</v>
      </c>
      <c r="E13" s="260">
        <f>'Alloc &amp; Returns'!J642</f>
        <v>0.14675055897673039</v>
      </c>
      <c r="F13" s="47">
        <f>'Alloc &amp; Returns'!J643</f>
        <v>0</v>
      </c>
      <c r="G13" s="60"/>
      <c r="H13" s="57"/>
      <c r="I13" s="59"/>
      <c r="J13" s="59"/>
      <c r="K13" s="59"/>
      <c r="L13" s="60"/>
      <c r="M13" s="57"/>
    </row>
    <row r="14" spans="1:13" x14ac:dyDescent="0.2">
      <c r="A14" s="27">
        <v>6</v>
      </c>
      <c r="B14" s="14" t="str">
        <f>'Summary of Returns'!B15</f>
        <v>Large Power (101 - 500 kW)</v>
      </c>
      <c r="C14" s="27" t="str">
        <f>'Summary of Returns'!C15</f>
        <v>LP-1</v>
      </c>
      <c r="D14" s="47">
        <f>'Alloc &amp; Returns'!K641</f>
        <v>92.823644746640909</v>
      </c>
      <c r="E14" s="97">
        <f>'Alloc &amp; Returns'!K642</f>
        <v>6.3819258867286358E-2</v>
      </c>
      <c r="F14" s="47">
        <f>'Alloc &amp; Returns'!K643</f>
        <v>9.5041289857330273</v>
      </c>
      <c r="G14" s="60"/>
      <c r="H14" s="57"/>
      <c r="I14" s="59"/>
      <c r="J14" s="59"/>
      <c r="K14" s="59"/>
      <c r="L14" s="60"/>
      <c r="M14" s="57"/>
    </row>
    <row r="15" spans="1:13" x14ac:dyDescent="0.2">
      <c r="A15" s="27">
        <v>7</v>
      </c>
      <c r="B15" s="14" t="str">
        <f>'Summary of Returns'!B16</f>
        <v>Large Power (over 500 kW)</v>
      </c>
      <c r="C15" s="27" t="str">
        <f>'Summary of Returns'!C16</f>
        <v>LP-2</v>
      </c>
      <c r="D15" s="47">
        <f>'Alloc &amp; Returns'!L641</f>
        <v>624.40367714896843</v>
      </c>
      <c r="E15" s="97">
        <f>'Alloc &amp; Returns'!L642</f>
        <v>6.3819258867286358E-2</v>
      </c>
      <c r="F15" s="261">
        <f>'Alloc &amp; Returns'!L643</f>
        <v>10.046075512678657</v>
      </c>
      <c r="G15" s="47"/>
      <c r="H15" s="57"/>
      <c r="I15" s="59"/>
      <c r="J15" s="59"/>
      <c r="K15" s="59"/>
      <c r="L15" s="60"/>
      <c r="M15" s="57"/>
    </row>
    <row r="16" spans="1:13" ht="15" customHeight="1" x14ac:dyDescent="0.2">
      <c r="A16" s="27">
        <v>8</v>
      </c>
      <c r="B16" s="14" t="str">
        <f>'Summary of Returns'!B17</f>
        <v>Large Industrial (1,000 - 3,999 kW)</v>
      </c>
      <c r="C16" s="27" t="str">
        <f>'Summary of Returns'!C17</f>
        <v>B-1</v>
      </c>
      <c r="D16" s="47">
        <f>'Alloc &amp; Returns'!M641</f>
        <v>115.88014984917818</v>
      </c>
      <c r="E16" s="97">
        <f>'Alloc &amp; Returns'!M642</f>
        <v>5.4983807064807606E-2</v>
      </c>
      <c r="F16" s="47">
        <f>'Alloc &amp; Returns'!M643</f>
        <v>11.399316884460259</v>
      </c>
      <c r="G16" s="13"/>
      <c r="H16" s="57"/>
      <c r="I16" s="59"/>
      <c r="J16" s="59"/>
      <c r="K16" s="59"/>
      <c r="L16" s="60"/>
      <c r="M16" s="57"/>
    </row>
    <row r="17" spans="1:11" ht="15" customHeight="1" x14ac:dyDescent="0.2">
      <c r="A17" s="27">
        <v>9</v>
      </c>
      <c r="B17" s="14" t="str">
        <f>'Summary of Returns'!B18</f>
        <v>Large Industrial (over 4,000 kW)</v>
      </c>
      <c r="C17" s="27" t="str">
        <f>'Summary of Returns'!C18</f>
        <v>B-2</v>
      </c>
      <c r="D17" s="47">
        <f>'Alloc &amp; Returns'!N641</f>
        <v>597.46006082127201</v>
      </c>
      <c r="E17" s="97">
        <f>'Alloc &amp; Returns'!N642</f>
        <v>5.261472324562453E-2</v>
      </c>
      <c r="F17" s="47">
        <f>'Alloc &amp; Returns'!N643</f>
        <v>12.132342651778647</v>
      </c>
      <c r="G17" s="60"/>
      <c r="K17" s="49"/>
    </row>
    <row r="18" spans="1:11" ht="15" customHeight="1" x14ac:dyDescent="0.2">
      <c r="A18" s="27">
        <v>10</v>
      </c>
      <c r="B18" s="14" t="str">
        <f>'Summary of Returns'!B19</f>
        <v>Large Industrial Rate (15,000+ kW)</v>
      </c>
      <c r="C18" s="27" t="str">
        <f>'Summary of Returns'!C19</f>
        <v>G1</v>
      </c>
      <c r="D18" s="47">
        <f>'Alloc &amp; Returns'!O641</f>
        <v>16.647397230595985</v>
      </c>
      <c r="E18" s="97">
        <f>'Alloc &amp; Returns'!O642</f>
        <v>5.105989670878211E-2</v>
      </c>
      <c r="F18" s="47">
        <f>'Alloc &amp; Returns'!O643</f>
        <v>7.1430708166909875</v>
      </c>
      <c r="G18" s="60"/>
      <c r="K18" s="49"/>
    </row>
    <row r="19" spans="1:11" ht="15" customHeight="1" x14ac:dyDescent="0.2">
      <c r="A19" s="27"/>
      <c r="B19" s="14"/>
      <c r="G19" s="60"/>
      <c r="K19" s="49"/>
    </row>
    <row r="20" spans="1:11" ht="15" customHeight="1" x14ac:dyDescent="0.2">
      <c r="A20" s="27"/>
      <c r="B20" s="262"/>
      <c r="E20" s="54"/>
      <c r="F20" s="55"/>
      <c r="G20" s="60"/>
      <c r="K20" s="49"/>
    </row>
    <row r="21" spans="1:11" ht="15" customHeight="1" x14ac:dyDescent="0.2">
      <c r="A21" s="27"/>
      <c r="B21" s="14"/>
      <c r="G21" s="60"/>
      <c r="K21" s="49"/>
    </row>
    <row r="22" spans="1:11" ht="15" customHeight="1" x14ac:dyDescent="0.2">
      <c r="A22" s="27"/>
      <c r="B22" s="14"/>
      <c r="E22" s="54"/>
      <c r="F22" s="55"/>
      <c r="G22" s="60"/>
      <c r="K22" s="49"/>
    </row>
    <row r="23" spans="1:11" ht="15" customHeight="1" x14ac:dyDescent="0.2">
      <c r="A23" s="27"/>
      <c r="B23" s="14"/>
      <c r="G23" s="60"/>
      <c r="K23" s="49"/>
    </row>
    <row r="24" spans="1:11" x14ac:dyDescent="0.2">
      <c r="A24" s="27"/>
      <c r="B24" s="14"/>
      <c r="G24" s="60"/>
      <c r="K24" s="49"/>
    </row>
    <row r="25" spans="1:11" s="74" customFormat="1" ht="26.25" customHeight="1" x14ac:dyDescent="0.2">
      <c r="A25" s="69"/>
      <c r="B25" s="14"/>
      <c r="C25" s="27"/>
      <c r="G25" s="60"/>
      <c r="J25" s="77"/>
      <c r="K25" s="77"/>
    </row>
    <row r="26" spans="1:11" x14ac:dyDescent="0.2">
      <c r="A26" s="69"/>
      <c r="B26" s="14"/>
      <c r="D26" s="74"/>
      <c r="E26" s="74"/>
      <c r="F26" s="74"/>
      <c r="G26" s="60"/>
      <c r="K26" s="49"/>
    </row>
    <row r="27" spans="1:11" x14ac:dyDescent="0.2">
      <c r="A27" s="69"/>
      <c r="B27" s="14"/>
      <c r="D27" s="74"/>
      <c r="E27" s="74"/>
      <c r="F27" s="74"/>
      <c r="G27" s="49"/>
      <c r="H27" s="57"/>
      <c r="I27" s="59"/>
      <c r="K27" s="49"/>
    </row>
    <row r="28" spans="1:11" x14ac:dyDescent="0.2">
      <c r="A28" s="69"/>
      <c r="B28" s="14"/>
      <c r="D28" s="74"/>
      <c r="E28" s="74"/>
      <c r="F28" s="74"/>
      <c r="G28" s="49"/>
      <c r="H28" s="57"/>
      <c r="I28" s="59"/>
      <c r="K28" s="49"/>
    </row>
    <row r="29" spans="1:11" x14ac:dyDescent="0.2">
      <c r="A29" s="69"/>
      <c r="B29" s="14"/>
      <c r="D29" s="74"/>
      <c r="E29" s="74"/>
      <c r="F29" s="74"/>
      <c r="G29" s="49"/>
      <c r="H29" s="57"/>
      <c r="I29" s="59"/>
      <c r="K29" s="49"/>
    </row>
    <row r="30" spans="1:11" x14ac:dyDescent="0.2">
      <c r="A30" s="69"/>
      <c r="B30" s="14"/>
      <c r="D30" s="74"/>
      <c r="E30" s="74"/>
      <c r="F30" s="74"/>
      <c r="G30" s="49"/>
      <c r="H30" s="14"/>
      <c r="K30" s="49"/>
    </row>
    <row r="31" spans="1:11" x14ac:dyDescent="0.2">
      <c r="A31" s="69"/>
      <c r="B31" s="14"/>
      <c r="D31" s="74"/>
      <c r="E31" s="74"/>
      <c r="F31" s="74"/>
      <c r="G31" s="49"/>
      <c r="H31" s="14"/>
      <c r="K31" s="49"/>
    </row>
    <row r="32" spans="1:11" x14ac:dyDescent="0.2">
      <c r="A32" s="69"/>
      <c r="B32" s="14"/>
      <c r="D32" s="74"/>
      <c r="E32" s="74"/>
      <c r="F32" s="74"/>
      <c r="G32" s="49"/>
      <c r="H32" s="14"/>
      <c r="K32" s="49"/>
    </row>
    <row r="33" spans="1:11" x14ac:dyDescent="0.2">
      <c r="A33" s="69"/>
      <c r="B33" s="14"/>
      <c r="D33" s="74"/>
      <c r="E33" s="74"/>
      <c r="F33" s="74"/>
      <c r="G33" s="49"/>
      <c r="H33" s="14"/>
      <c r="K33" s="49"/>
    </row>
    <row r="34" spans="1:11" x14ac:dyDescent="0.2">
      <c r="A34" s="69"/>
      <c r="B34" s="14"/>
      <c r="D34" s="74"/>
      <c r="E34" s="74"/>
      <c r="F34" s="74"/>
      <c r="G34" s="49"/>
      <c r="H34" s="14"/>
      <c r="K34" s="49"/>
    </row>
    <row r="35" spans="1:11" x14ac:dyDescent="0.2">
      <c r="A35" s="69"/>
      <c r="B35" s="14"/>
      <c r="D35" s="74"/>
      <c r="E35" s="74"/>
      <c r="F35" s="74"/>
      <c r="G35" s="49"/>
      <c r="H35" s="14"/>
      <c r="K35" s="49"/>
    </row>
    <row r="36" spans="1:11" x14ac:dyDescent="0.2">
      <c r="A36" s="69"/>
      <c r="B36" s="14"/>
      <c r="D36" s="74"/>
      <c r="E36" s="74"/>
      <c r="F36" s="74"/>
    </row>
    <row r="37" spans="1:11" x14ac:dyDescent="0.2">
      <c r="A37" s="69"/>
      <c r="B37" s="14"/>
      <c r="D37" s="74"/>
      <c r="E37" s="74"/>
      <c r="F37" s="74"/>
    </row>
    <row r="38" spans="1:11" x14ac:dyDescent="0.2">
      <c r="A38" s="69"/>
      <c r="B38" s="14"/>
      <c r="D38" s="74"/>
      <c r="E38" s="74"/>
      <c r="F38" s="74"/>
    </row>
    <row r="39" spans="1:11" x14ac:dyDescent="0.2">
      <c r="A39" s="69"/>
      <c r="B39" s="14"/>
      <c r="D39" s="74"/>
      <c r="E39" s="74"/>
      <c r="F39" s="74"/>
    </row>
    <row r="40" spans="1:11" x14ac:dyDescent="0.2">
      <c r="A40" s="27"/>
      <c r="B40" s="14"/>
      <c r="D40" s="74"/>
      <c r="E40" s="74"/>
      <c r="F40" s="74"/>
    </row>
    <row r="41" spans="1:11" x14ac:dyDescent="0.2">
      <c r="A41" s="27"/>
      <c r="B41" s="14"/>
      <c r="D41" s="74"/>
      <c r="E41" s="74"/>
      <c r="F41" s="74"/>
    </row>
    <row r="42" spans="1:11" x14ac:dyDescent="0.2">
      <c r="A42" s="27"/>
      <c r="B42" s="14"/>
      <c r="D42" s="74"/>
      <c r="E42" s="74"/>
      <c r="F42" s="74"/>
    </row>
    <row r="43" spans="1:11" x14ac:dyDescent="0.2">
      <c r="A43" s="27"/>
      <c r="B43" s="14"/>
      <c r="D43" s="74"/>
      <c r="E43" s="74"/>
      <c r="F43" s="74"/>
    </row>
    <row r="44" spans="1:11" x14ac:dyDescent="0.2">
      <c r="A44" s="27"/>
      <c r="B44" s="14"/>
    </row>
    <row r="45" spans="1:11" x14ac:dyDescent="0.2">
      <c r="A45" s="27"/>
      <c r="B45" s="14"/>
    </row>
    <row r="46" spans="1:11" x14ac:dyDescent="0.2">
      <c r="A46" s="27"/>
      <c r="B46" s="14"/>
    </row>
    <row r="47" spans="1:11" x14ac:dyDescent="0.2">
      <c r="A47" s="69"/>
      <c r="B47" s="74"/>
      <c r="C47" s="69"/>
    </row>
    <row r="48" spans="1:11" x14ac:dyDescent="0.2">
      <c r="A48" s="69"/>
      <c r="B48" s="74"/>
      <c r="C48" s="69"/>
    </row>
    <row r="511" spans="5:13" x14ac:dyDescent="0.2">
      <c r="E511" s="49">
        <f>E502+(E359*'Purchased Power'!$P$172)</f>
        <v>0</v>
      </c>
      <c r="F511" s="49">
        <f>F502+(F359*'Purchased Power'!$P$172)</f>
        <v>0</v>
      </c>
      <c r="G511" s="49">
        <f>G502+(G359*'Purchased Power'!$P$172)</f>
        <v>0</v>
      </c>
      <c r="H511" s="49">
        <f>H502+(H359*'Purchased Power'!$P$172)</f>
        <v>0</v>
      </c>
      <c r="I511" s="49">
        <f>I502+(I359*'Purchased Power'!$P$172)</f>
        <v>0</v>
      </c>
      <c r="J511" s="49">
        <f>J502+(J359*'Purchased Power'!$P$172)</f>
        <v>0</v>
      </c>
      <c r="K511" s="49">
        <f>K502+(K359*'Purchased Power'!$P$172)</f>
        <v>0</v>
      </c>
      <c r="L511" s="49">
        <f>L502+(L359*'Purchased Power'!$P$172)</f>
        <v>0</v>
      </c>
      <c r="M511" s="49">
        <f>M502+(M359*'Purchased Power'!$P$172)</f>
        <v>0</v>
      </c>
    </row>
    <row r="512" spans="5:13" x14ac:dyDescent="0.2">
      <c r="G512" s="49"/>
      <c r="K512" s="49"/>
      <c r="L512" s="49"/>
      <c r="M512" s="49"/>
    </row>
    <row r="513" spans="5:32" x14ac:dyDescent="0.2">
      <c r="G513" s="49"/>
      <c r="K513" s="49"/>
      <c r="L513" s="49"/>
      <c r="M513" s="49"/>
    </row>
    <row r="514" spans="5:32" x14ac:dyDescent="0.2">
      <c r="E514" s="49">
        <f>E505+E375+(E360+E362+E363+E364+E365+E369+E370+E371)*$D$505</f>
        <v>0</v>
      </c>
      <c r="F514" s="49">
        <f t="shared" ref="F514:M514" si="0">F505+F375+(F360+F362+F363+F364+F365+F369+F370+F371)*$D$505</f>
        <v>0</v>
      </c>
      <c r="G514" s="49">
        <f t="shared" si="0"/>
        <v>0</v>
      </c>
      <c r="H514" s="49">
        <f t="shared" si="0"/>
        <v>0</v>
      </c>
      <c r="I514" s="49">
        <f t="shared" si="0"/>
        <v>0</v>
      </c>
      <c r="J514" s="49">
        <f t="shared" si="0"/>
        <v>0</v>
      </c>
      <c r="K514" s="49">
        <f t="shared" si="0"/>
        <v>0</v>
      </c>
      <c r="L514" s="49">
        <f t="shared" si="0"/>
        <v>0</v>
      </c>
      <c r="M514" s="49">
        <f t="shared" si="0"/>
        <v>0</v>
      </c>
      <c r="N514" s="49">
        <f t="shared" ref="N514:AF514" si="1">N505+N375+(N360+N362+N363+N364+N365+N369+N370+N371)*$D$505</f>
        <v>0</v>
      </c>
      <c r="O514" s="49">
        <f t="shared" si="1"/>
        <v>0</v>
      </c>
      <c r="P514" s="49">
        <f t="shared" si="1"/>
        <v>0</v>
      </c>
      <c r="Q514" s="49">
        <f t="shared" si="1"/>
        <v>0</v>
      </c>
      <c r="R514" s="49">
        <f t="shared" si="1"/>
        <v>0</v>
      </c>
      <c r="S514" s="49">
        <f t="shared" si="1"/>
        <v>0</v>
      </c>
      <c r="T514" s="49">
        <f t="shared" si="1"/>
        <v>0</v>
      </c>
      <c r="U514" s="49">
        <f t="shared" si="1"/>
        <v>0</v>
      </c>
      <c r="V514" s="49">
        <f t="shared" si="1"/>
        <v>0</v>
      </c>
      <c r="W514" s="49">
        <f t="shared" si="1"/>
        <v>0</v>
      </c>
      <c r="X514" s="49">
        <f t="shared" si="1"/>
        <v>0</v>
      </c>
      <c r="Y514" s="49">
        <f t="shared" si="1"/>
        <v>0</v>
      </c>
      <c r="Z514" s="49">
        <f t="shared" si="1"/>
        <v>0</v>
      </c>
      <c r="AA514" s="49">
        <f t="shared" si="1"/>
        <v>0</v>
      </c>
      <c r="AB514" s="49">
        <f t="shared" si="1"/>
        <v>0</v>
      </c>
      <c r="AC514" s="49">
        <f t="shared" si="1"/>
        <v>0</v>
      </c>
      <c r="AD514" s="49">
        <f t="shared" si="1"/>
        <v>0</v>
      </c>
      <c r="AE514" s="49">
        <f t="shared" si="1"/>
        <v>0</v>
      </c>
      <c r="AF514" s="49">
        <f t="shared" si="1"/>
        <v>0</v>
      </c>
    </row>
    <row r="515" spans="5:32" x14ac:dyDescent="0.2">
      <c r="E515" s="49">
        <f>E506+(E360+E362+E363+E364+E365+E369+E370+E371)*$D$506</f>
        <v>0</v>
      </c>
      <c r="F515" s="49">
        <f t="shared" ref="F515:M515" si="2">F506+(F360+F362+F363+F364+F365+F369+F370+F371)*$D$506</f>
        <v>0</v>
      </c>
      <c r="G515" s="49">
        <f t="shared" si="2"/>
        <v>0</v>
      </c>
      <c r="H515" s="49">
        <f t="shared" si="2"/>
        <v>0</v>
      </c>
      <c r="I515" s="49">
        <f t="shared" si="2"/>
        <v>0</v>
      </c>
      <c r="J515" s="49">
        <f t="shared" si="2"/>
        <v>0</v>
      </c>
      <c r="K515" s="49">
        <f t="shared" si="2"/>
        <v>0</v>
      </c>
      <c r="L515" s="49">
        <f t="shared" si="2"/>
        <v>0</v>
      </c>
      <c r="M515" s="49">
        <f t="shared" si="2"/>
        <v>0</v>
      </c>
      <c r="N515" s="49">
        <f t="shared" ref="N515:AF515" si="3">N506+(N360+N362+N363+N364+N365+N369+N370+N371)*$D$506</f>
        <v>0</v>
      </c>
      <c r="O515" s="49">
        <f t="shared" si="3"/>
        <v>0</v>
      </c>
      <c r="P515" s="49">
        <f t="shared" si="3"/>
        <v>0</v>
      </c>
      <c r="Q515" s="49">
        <f t="shared" si="3"/>
        <v>0</v>
      </c>
      <c r="R515" s="49">
        <f t="shared" si="3"/>
        <v>0</v>
      </c>
      <c r="S515" s="49">
        <f t="shared" si="3"/>
        <v>0</v>
      </c>
      <c r="T515" s="49">
        <f t="shared" si="3"/>
        <v>0</v>
      </c>
      <c r="U515" s="49">
        <f t="shared" si="3"/>
        <v>0</v>
      </c>
      <c r="V515" s="49">
        <f t="shared" si="3"/>
        <v>0</v>
      </c>
      <c r="W515" s="49">
        <f t="shared" si="3"/>
        <v>0</v>
      </c>
      <c r="X515" s="49">
        <f t="shared" si="3"/>
        <v>0</v>
      </c>
      <c r="Y515" s="49">
        <f t="shared" si="3"/>
        <v>0</v>
      </c>
      <c r="Z515" s="49">
        <f t="shared" si="3"/>
        <v>0</v>
      </c>
      <c r="AA515" s="49">
        <f t="shared" si="3"/>
        <v>0</v>
      </c>
      <c r="AB515" s="49">
        <f t="shared" si="3"/>
        <v>0</v>
      </c>
      <c r="AC515" s="49">
        <f t="shared" si="3"/>
        <v>0</v>
      </c>
      <c r="AD515" s="49">
        <f t="shared" si="3"/>
        <v>0</v>
      </c>
      <c r="AE515" s="49">
        <f t="shared" si="3"/>
        <v>0</v>
      </c>
      <c r="AF515" s="49">
        <f t="shared" si="3"/>
        <v>0</v>
      </c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15"/>
  <sheetViews>
    <sheetView view="pageBreakPreview" zoomScale="75" zoomScaleNormal="100" zoomScaleSheetLayoutView="75" workbookViewId="0">
      <pane xSplit="6" ySplit="3" topLeftCell="G427" activePane="bottomRight" state="frozen"/>
      <selection activeCell="I144" sqref="I144"/>
      <selection pane="topRight" activeCell="I144" sqref="I144"/>
      <selection pane="bottomLeft" activeCell="I144" sqref="I144"/>
      <selection pane="bottomRight" activeCell="I468" sqref="I468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274" customWidth="1"/>
    <col min="6" max="6" width="18.85546875" style="14" customWidth="1"/>
    <col min="7" max="7" width="2.57031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78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57031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 customWidth="1"/>
    <col min="32" max="32" width="18.140625" style="14" customWidth="1"/>
    <col min="33" max="16384" width="9.140625" style="14"/>
  </cols>
  <sheetData>
    <row r="1" spans="1:30" x14ac:dyDescent="0.2">
      <c r="A1" s="78"/>
      <c r="B1" s="78"/>
      <c r="C1" s="78"/>
      <c r="D1" s="78"/>
      <c r="E1" s="27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AC1" s="27" t="str">
        <f>IF(COUNTIF(AC4:AC486,"err"),"err","ok")</f>
        <v>ok</v>
      </c>
    </row>
    <row r="2" spans="1:30" ht="48" customHeight="1" thickBot="1" x14ac:dyDescent="0.25">
      <c r="A2" s="13"/>
      <c r="B2" s="13"/>
      <c r="C2" s="21"/>
      <c r="D2" s="15" t="s">
        <v>206</v>
      </c>
      <c r="E2" s="272"/>
      <c r="F2" s="21" t="s">
        <v>0</v>
      </c>
      <c r="G2" s="21"/>
      <c r="H2" s="79" t="s">
        <v>904</v>
      </c>
      <c r="I2" s="79"/>
      <c r="K2" s="80" t="s">
        <v>348</v>
      </c>
      <c r="L2" s="13"/>
      <c r="M2" s="80" t="s">
        <v>1</v>
      </c>
      <c r="N2" s="81"/>
      <c r="O2" s="79" t="s">
        <v>354</v>
      </c>
      <c r="P2" s="79"/>
      <c r="Q2" s="13"/>
      <c r="R2" s="79" t="s">
        <v>3</v>
      </c>
      <c r="S2" s="79"/>
      <c r="T2" s="13"/>
      <c r="U2" s="82" t="s">
        <v>4</v>
      </c>
      <c r="V2" s="21"/>
      <c r="W2" s="80" t="s">
        <v>753</v>
      </c>
      <c r="X2" s="81"/>
      <c r="Y2" s="80" t="s">
        <v>994</v>
      </c>
      <c r="Z2" s="81"/>
      <c r="AA2" s="80" t="s">
        <v>469</v>
      </c>
      <c r="AB2" s="13"/>
      <c r="AC2" s="13"/>
    </row>
    <row r="3" spans="1:30" ht="13.5" thickBot="1" x14ac:dyDescent="0.25">
      <c r="A3" s="83" t="s">
        <v>6</v>
      </c>
      <c r="B3" s="83"/>
      <c r="C3" s="84" t="s">
        <v>7</v>
      </c>
      <c r="D3" s="84" t="s">
        <v>8</v>
      </c>
      <c r="E3" s="273"/>
      <c r="F3" s="82" t="s">
        <v>9</v>
      </c>
      <c r="G3" s="85"/>
      <c r="H3" s="82" t="s">
        <v>10</v>
      </c>
      <c r="I3" s="82" t="s">
        <v>11</v>
      </c>
      <c r="J3" s="82"/>
      <c r="K3" s="82" t="s">
        <v>10</v>
      </c>
      <c r="L3" s="82"/>
      <c r="M3" s="82" t="s">
        <v>10</v>
      </c>
      <c r="N3" s="82"/>
      <c r="O3" s="82" t="s">
        <v>10</v>
      </c>
      <c r="P3" s="82" t="s">
        <v>12</v>
      </c>
      <c r="Q3" s="79"/>
      <c r="R3" s="82" t="s">
        <v>10</v>
      </c>
      <c r="S3" s="82" t="s">
        <v>12</v>
      </c>
      <c r="T3" s="82"/>
      <c r="U3" s="82" t="s">
        <v>12</v>
      </c>
      <c r="V3" s="82"/>
      <c r="W3" s="82" t="s">
        <v>12</v>
      </c>
      <c r="X3" s="82"/>
      <c r="Y3" s="82" t="s">
        <v>12</v>
      </c>
      <c r="Z3" s="82"/>
      <c r="AA3" s="82" t="s">
        <v>12</v>
      </c>
      <c r="AB3" s="82" t="s">
        <v>13</v>
      </c>
      <c r="AC3" s="86" t="s">
        <v>14</v>
      </c>
    </row>
    <row r="4" spans="1:30" x14ac:dyDescent="0.2">
      <c r="F4" s="26"/>
      <c r="G4" s="31"/>
      <c r="H4" s="31"/>
      <c r="I4" s="31"/>
      <c r="J4" s="31"/>
      <c r="K4" s="31"/>
      <c r="L4" s="31"/>
      <c r="M4" s="31"/>
      <c r="N4" s="31"/>
      <c r="O4" s="31"/>
      <c r="P4" s="31"/>
      <c r="Q4" s="87"/>
      <c r="R4" s="31"/>
      <c r="S4" s="31"/>
      <c r="T4" s="31"/>
      <c r="U4" s="31"/>
      <c r="V4" s="31"/>
      <c r="W4" s="31"/>
      <c r="X4" s="31"/>
      <c r="Y4" s="31"/>
      <c r="Z4" s="31"/>
      <c r="AA4" s="31"/>
      <c r="AC4" s="27"/>
    </row>
    <row r="5" spans="1:30" x14ac:dyDescent="0.2">
      <c r="A5" s="25" t="s">
        <v>15</v>
      </c>
      <c r="F5" s="68"/>
      <c r="G5" s="31"/>
      <c r="H5" s="31"/>
      <c r="I5" s="31"/>
      <c r="J5" s="31"/>
      <c r="K5" s="31"/>
      <c r="L5" s="31"/>
      <c r="M5" s="31"/>
      <c r="N5" s="31"/>
      <c r="O5" s="31"/>
      <c r="P5" s="31"/>
      <c r="Q5" s="87"/>
      <c r="R5" s="31"/>
      <c r="S5" s="31"/>
      <c r="T5" s="31"/>
      <c r="U5" s="31"/>
      <c r="V5" s="31"/>
      <c r="W5" s="31"/>
      <c r="X5" s="31"/>
      <c r="Y5" s="31"/>
      <c r="Z5" s="31"/>
      <c r="AA5" s="31"/>
      <c r="AC5" s="27"/>
    </row>
    <row r="6" spans="1:30" x14ac:dyDescent="0.2">
      <c r="AC6" s="27"/>
    </row>
    <row r="7" spans="1:30" x14ac:dyDescent="0.2">
      <c r="A7" s="25" t="s">
        <v>356</v>
      </c>
      <c r="AC7" s="27"/>
    </row>
    <row r="8" spans="1:30" x14ac:dyDescent="0.2">
      <c r="A8" s="88">
        <v>301</v>
      </c>
      <c r="B8" s="14" t="s">
        <v>358</v>
      </c>
      <c r="C8" s="14" t="s">
        <v>359</v>
      </c>
      <c r="D8" s="14" t="s">
        <v>391</v>
      </c>
      <c r="F8" s="66">
        <v>0</v>
      </c>
      <c r="H8" s="49">
        <f>IF(VLOOKUP($D8,$C$5:$AA$492,6,)=0,0,((VLOOKUP($D8,$C$5:$AA$492,6,)/VLOOKUP($D8,$C$5:$AA$492,4,))*$F8))</f>
        <v>0</v>
      </c>
      <c r="I8" s="49">
        <f>IF(VLOOKUP($D8,$C$5:$AA$492,7,)=0,0,((VLOOKUP($D8,$C$5:$AA$492,7,)/VLOOKUP($D8,$C$5:$AA$492,4,))*$F8))</f>
        <v>0</v>
      </c>
      <c r="J8" s="49"/>
      <c r="K8" s="49">
        <f>IF(VLOOKUP($D8,$C$5:$AA$492,9,)=0,0,((VLOOKUP($D8,$C$5:$AA$492,9,)/VLOOKUP($D8,$C$5:$AA$492,4,))*$F8))</f>
        <v>0</v>
      </c>
      <c r="L8" s="49"/>
      <c r="M8" s="49">
        <f>IF(VLOOKUP($D8,$C$5:$AA$492,11,)=0,0,((VLOOKUP($D8,$C$5:$AA$492,11,)/VLOOKUP($D8,$C$5:$AA$492,4,))*$F8))</f>
        <v>0</v>
      </c>
      <c r="N8" s="49"/>
      <c r="O8" s="49">
        <f>IF(VLOOKUP($D8,$C$5:$AA$492,13,)=0,0,((VLOOKUP($D8,$C$5:$AA$492,13,)/VLOOKUP($D8,$C$5:$AA$492,4,))*$F8))</f>
        <v>0</v>
      </c>
      <c r="P8" s="49">
        <f>IF(VLOOKUP($D8,$C$5:$AA$492,14,)=0,0,((VLOOKUP($D8,$C$5:$AA$492,14,)/VLOOKUP($D8,$C$5:$AA$492,4,))*$F8))</f>
        <v>0</v>
      </c>
      <c r="Q8" s="49"/>
      <c r="R8" s="49">
        <f>IF(VLOOKUP($D8,$C$5:$AA$492,16,)=0,0,((VLOOKUP($D8,$C$5:$AA$492,16,)/VLOOKUP($D8,$C$5:$AA$492,4,))*$F8))</f>
        <v>0</v>
      </c>
      <c r="S8" s="49">
        <f>IF(VLOOKUP($D8,$C$5:$AA$492,17,)=0,0,((VLOOKUP($D8,$C$5:$AA$492,17,)/VLOOKUP($D8,$C$5:$AA$492,4,))*$F8))</f>
        <v>0</v>
      </c>
      <c r="T8" s="49"/>
      <c r="U8" s="49">
        <f>IF(VLOOKUP($D8,$C$5:$AA$492,19,)=0,0,((VLOOKUP($D8,$C$5:$AA$492,19,)/VLOOKUP($D8,$C$5:$AA$492,4,))*$F8))</f>
        <v>0</v>
      </c>
      <c r="V8" s="49"/>
      <c r="W8" s="49">
        <f>IF(VLOOKUP($D8,$C$5:$AA$492,21,)=0,0,((VLOOKUP($D8,$C$5:$AA$492,21,)/VLOOKUP($D8,$C$5:$AA$492,4,))*$F8))</f>
        <v>0</v>
      </c>
      <c r="X8" s="49"/>
      <c r="Y8" s="49">
        <f>IF(VLOOKUP($D8,$C$5:$AA$492,23,)=0,0,((VLOOKUP($D8,$C$5:$AA$492,23,)/VLOOKUP($D8,$C$5:$AA$492,4,))*$F8))</f>
        <v>0</v>
      </c>
      <c r="Z8" s="49"/>
      <c r="AA8" s="49">
        <f>IF(VLOOKUP($D8,$C$5:$AA$492,25,)=0,0,((VLOOKUP($D8,$C$5:$AA$492,25,)/VLOOKUP($D8,$C$5:$AA$492,4,))*$F8))</f>
        <v>0</v>
      </c>
      <c r="AB8" s="49">
        <f>SUM(H8:AA8)</f>
        <v>0</v>
      </c>
      <c r="AC8" s="27" t="str">
        <f>IF(ABS(AB8-F8)&lt;1,"ok","err")</f>
        <v>ok</v>
      </c>
      <c r="AD8" s="34"/>
    </row>
    <row r="9" spans="1:30" x14ac:dyDescent="0.2">
      <c r="A9" s="88">
        <v>302</v>
      </c>
      <c r="B9" s="14" t="s">
        <v>827</v>
      </c>
      <c r="C9" s="14" t="s">
        <v>828</v>
      </c>
      <c r="D9" s="14" t="s">
        <v>391</v>
      </c>
      <c r="F9" s="49">
        <v>0</v>
      </c>
      <c r="H9" s="49">
        <f>IF(VLOOKUP($D9,$C$5:$AA$492,6,)=0,0,((VLOOKUP($D9,$C$5:$AA$492,6,)/VLOOKUP($D9,$C$5:$AA$492,4,))*$F9))</f>
        <v>0</v>
      </c>
      <c r="I9" s="49">
        <f>IF(VLOOKUP($D9,$C$5:$AA$492,7,)=0,0,((VLOOKUP($D9,$C$5:$AA$492,7,)/VLOOKUP($D9,$C$5:$AA$492,4,))*$F9))</f>
        <v>0</v>
      </c>
      <c r="J9" s="49"/>
      <c r="K9" s="49">
        <f>IF(VLOOKUP($D9,$C$5:$AA$492,9,)=0,0,((VLOOKUP($D9,$C$5:$AA$492,9,)/VLOOKUP($D9,$C$5:$AA$492,4,))*$F9))</f>
        <v>0</v>
      </c>
      <c r="L9" s="49"/>
      <c r="M9" s="49">
        <f>IF(VLOOKUP($D9,$C$5:$AA$492,11,)=0,0,((VLOOKUP($D9,$C$5:$AA$492,11,)/VLOOKUP($D9,$C$5:$AA$492,4,))*$F9))</f>
        <v>0</v>
      </c>
      <c r="N9" s="49"/>
      <c r="O9" s="49">
        <f>IF(VLOOKUP($D9,$C$5:$AA$492,13,)=0,0,((VLOOKUP($D9,$C$5:$AA$492,13,)/VLOOKUP($D9,$C$5:$AA$492,4,))*$F9))</f>
        <v>0</v>
      </c>
      <c r="P9" s="49">
        <f>IF(VLOOKUP($D9,$C$5:$AA$492,14,)=0,0,((VLOOKUP($D9,$C$5:$AA$492,14,)/VLOOKUP($D9,$C$5:$AA$492,4,))*$F9))</f>
        <v>0</v>
      </c>
      <c r="Q9" s="49"/>
      <c r="R9" s="49">
        <f>IF(VLOOKUP($D9,$C$5:$AA$492,16,)=0,0,((VLOOKUP($D9,$C$5:$AA$492,16,)/VLOOKUP($D9,$C$5:$AA$492,4,))*$F9))</f>
        <v>0</v>
      </c>
      <c r="S9" s="49">
        <f>IF(VLOOKUP($D9,$C$5:$AA$492,17,)=0,0,((VLOOKUP($D9,$C$5:$AA$492,17,)/VLOOKUP($D9,$C$5:$AA$492,4,))*$F9))</f>
        <v>0</v>
      </c>
      <c r="T9" s="49"/>
      <c r="U9" s="49">
        <f>IF(VLOOKUP($D9,$C$5:$AA$492,19,)=0,0,((VLOOKUP($D9,$C$5:$AA$492,19,)/VLOOKUP($D9,$C$5:$AA$492,4,))*$F9))</f>
        <v>0</v>
      </c>
      <c r="V9" s="49"/>
      <c r="W9" s="49">
        <f>IF(VLOOKUP($D9,$C$5:$AA$492,21,)=0,0,((VLOOKUP($D9,$C$5:$AA$492,21,)/VLOOKUP($D9,$C$5:$AA$492,4,))*$F9))</f>
        <v>0</v>
      </c>
      <c r="X9" s="49"/>
      <c r="Y9" s="49">
        <f>IF(VLOOKUP($D9,$C$5:$AA$492,23,)=0,0,((VLOOKUP($D9,$C$5:$AA$492,23,)/VLOOKUP($D9,$C$5:$AA$492,4,))*$F9))</f>
        <v>0</v>
      </c>
      <c r="Z9" s="49"/>
      <c r="AA9" s="49">
        <f>IF(VLOOKUP($D9,$C$5:$AA$492,25,)=0,0,((VLOOKUP($D9,$C$5:$AA$492,25,)/VLOOKUP($D9,$C$5:$AA$492,4,))*$F9))</f>
        <v>0</v>
      </c>
      <c r="AB9" s="49">
        <f>SUM(H9:AA9)</f>
        <v>0</v>
      </c>
      <c r="AC9" s="27" t="str">
        <f>IF(ABS(AB9-F9)&lt;1,"ok","err")</f>
        <v>ok</v>
      </c>
    </row>
    <row r="10" spans="1:30" x14ac:dyDescent="0.2">
      <c r="A10" s="88">
        <v>303</v>
      </c>
      <c r="B10" s="14" t="s">
        <v>703</v>
      </c>
      <c r="C10" s="14" t="s">
        <v>704</v>
      </c>
      <c r="D10" s="14" t="s">
        <v>391</v>
      </c>
      <c r="F10" s="49">
        <v>0</v>
      </c>
      <c r="H10" s="49">
        <f>IF(VLOOKUP($D10,$C$5:$AA$492,6,)=0,0,((VLOOKUP($D10,$C$5:$AA$492,6,)/VLOOKUP($D10,$C$5:$AA$492,4,))*$F10))</f>
        <v>0</v>
      </c>
      <c r="I10" s="49">
        <f>IF(VLOOKUP($D10,$C$5:$AA$492,7,)=0,0,((VLOOKUP($D10,$C$5:$AA$492,7,)/VLOOKUP($D10,$C$5:$AA$492,4,))*$F10))</f>
        <v>0</v>
      </c>
      <c r="J10" s="49"/>
      <c r="K10" s="49">
        <f>IF(VLOOKUP($D10,$C$5:$AA$492,9,)=0,0,((VLOOKUP($D10,$C$5:$AA$492,9,)/VLOOKUP($D10,$C$5:$AA$492,4,))*$F10))</f>
        <v>0</v>
      </c>
      <c r="L10" s="49"/>
      <c r="M10" s="49">
        <f>IF(VLOOKUP($D10,$C$5:$AA$492,11,)=0,0,((VLOOKUP($D10,$C$5:$AA$492,11,)/VLOOKUP($D10,$C$5:$AA$492,4,))*$F10))</f>
        <v>0</v>
      </c>
      <c r="N10" s="49"/>
      <c r="O10" s="49">
        <f>IF(VLOOKUP($D10,$C$5:$AA$492,13,)=0,0,((VLOOKUP($D10,$C$5:$AA$492,13,)/VLOOKUP($D10,$C$5:$AA$492,4,))*$F10))</f>
        <v>0</v>
      </c>
      <c r="P10" s="49">
        <f>IF(VLOOKUP($D10,$C$5:$AA$492,14,)=0,0,((VLOOKUP($D10,$C$5:$AA$492,14,)/VLOOKUP($D10,$C$5:$AA$492,4,))*$F10))</f>
        <v>0</v>
      </c>
      <c r="Q10" s="49"/>
      <c r="R10" s="49">
        <f>IF(VLOOKUP($D10,$C$5:$AA$492,16,)=0,0,((VLOOKUP($D10,$C$5:$AA$492,16,)/VLOOKUP($D10,$C$5:$AA$492,4,))*$F10))</f>
        <v>0</v>
      </c>
      <c r="S10" s="49">
        <f>IF(VLOOKUP($D10,$C$5:$AA$492,17,)=0,0,((VLOOKUP($D10,$C$5:$AA$492,17,)/VLOOKUP($D10,$C$5:$AA$492,4,))*$F10))</f>
        <v>0</v>
      </c>
      <c r="T10" s="49"/>
      <c r="U10" s="49">
        <f>IF(VLOOKUP($D10,$C$5:$AA$492,19,)=0,0,((VLOOKUP($D10,$C$5:$AA$492,19,)/VLOOKUP($D10,$C$5:$AA$492,4,))*$F10))</f>
        <v>0</v>
      </c>
      <c r="V10" s="49"/>
      <c r="W10" s="49">
        <f>IF(VLOOKUP($D10,$C$5:$AA$492,21,)=0,0,((VLOOKUP($D10,$C$5:$AA$492,21,)/VLOOKUP($D10,$C$5:$AA$492,4,))*$F10))</f>
        <v>0</v>
      </c>
      <c r="X10" s="49"/>
      <c r="Y10" s="49">
        <f>IF(VLOOKUP($D10,$C$5:$AA$492,23,)=0,0,((VLOOKUP($D10,$C$5:$AA$492,23,)/VLOOKUP($D10,$C$5:$AA$492,4,))*$F10))</f>
        <v>0</v>
      </c>
      <c r="Z10" s="49"/>
      <c r="AA10" s="49">
        <f>IF(VLOOKUP($D10,$C$5:$AA$492,25,)=0,0,((VLOOKUP($D10,$C$5:$AA$492,25,)/VLOOKUP($D10,$C$5:$AA$492,4,))*$F10))</f>
        <v>0</v>
      </c>
      <c r="AB10" s="49">
        <f>SUM(H10:AA10)</f>
        <v>0</v>
      </c>
      <c r="AC10" s="27" t="str">
        <f>IF(ABS(AB10-F10)&lt;1,"ok","err")</f>
        <v>ok</v>
      </c>
    </row>
    <row r="11" spans="1:30" x14ac:dyDescent="0.2">
      <c r="AC11" s="27"/>
    </row>
    <row r="12" spans="1:30" x14ac:dyDescent="0.2">
      <c r="B12" s="14" t="s">
        <v>19</v>
      </c>
      <c r="C12" s="14" t="s">
        <v>20</v>
      </c>
      <c r="F12" s="89">
        <f>SUM(F8:F10)</f>
        <v>0</v>
      </c>
      <c r="G12" s="89"/>
      <c r="H12" s="89">
        <f>SUM(H8:H10)</f>
        <v>0</v>
      </c>
      <c r="I12" s="89">
        <f>SUM(I8:I10)</f>
        <v>0</v>
      </c>
      <c r="J12" s="89"/>
      <c r="K12" s="89">
        <f>SUM(K8:K10)</f>
        <v>0</v>
      </c>
      <c r="L12" s="89"/>
      <c r="M12" s="89">
        <f>SUM(M8:M10)</f>
        <v>0</v>
      </c>
      <c r="N12" s="89"/>
      <c r="O12" s="89">
        <f>SUM(O8:O10)</f>
        <v>0</v>
      </c>
      <c r="P12" s="89">
        <f>SUM(P8:P10)</f>
        <v>0</v>
      </c>
      <c r="Q12" s="89"/>
      <c r="R12" s="89">
        <f>SUM(R8:R10)</f>
        <v>0</v>
      </c>
      <c r="S12" s="89">
        <f>SUM(S8:S10)</f>
        <v>0</v>
      </c>
      <c r="T12" s="89"/>
      <c r="U12" s="89">
        <f>SUM(U8:U10)</f>
        <v>0</v>
      </c>
      <c r="V12" s="89"/>
      <c r="W12" s="89">
        <f>SUM(W8:W10)</f>
        <v>0</v>
      </c>
      <c r="X12" s="89"/>
      <c r="Y12" s="89">
        <f>SUM(Y8:Y10)</f>
        <v>0</v>
      </c>
      <c r="Z12" s="89"/>
      <c r="AA12" s="89">
        <f>SUM(AA8:AA10)</f>
        <v>0</v>
      </c>
      <c r="AB12" s="49">
        <f>SUM(H12:AA12)</f>
        <v>0</v>
      </c>
      <c r="AC12" s="27" t="str">
        <f>IF(ABS(AB12-F12)&lt;1,"ok","err")</f>
        <v>ok</v>
      </c>
      <c r="AD12" s="34"/>
    </row>
    <row r="13" spans="1:30" x14ac:dyDescent="0.2">
      <c r="AC13" s="27"/>
    </row>
    <row r="14" spans="1:30" x14ac:dyDescent="0.2">
      <c r="A14" s="25" t="s">
        <v>766</v>
      </c>
      <c r="Q14" s="14"/>
      <c r="AC14" s="27"/>
    </row>
    <row r="15" spans="1:30" x14ac:dyDescent="0.2">
      <c r="A15" s="90">
        <v>310</v>
      </c>
      <c r="B15" s="14" t="s">
        <v>17</v>
      </c>
      <c r="C15" s="14" t="s">
        <v>773</v>
      </c>
      <c r="D15" s="14" t="s">
        <v>551</v>
      </c>
      <c r="F15" s="66">
        <v>0</v>
      </c>
      <c r="G15" s="66"/>
      <c r="H15" s="49">
        <f t="shared" ref="H15:H22" si="0">IF(VLOOKUP($D15,$C$5:$AA$492,6,)=0,0,((VLOOKUP($D15,$C$5:$AA$492,6,)/VLOOKUP($D15,$C$5:$AA$492,4,))*$F15))</f>
        <v>0</v>
      </c>
      <c r="I15" s="49">
        <f t="shared" ref="I15:I22" si="1">IF(VLOOKUP($D15,$C$5:$AA$492,7,)=0,0,((VLOOKUP($D15,$C$5:$AA$492,7,)/VLOOKUP($D15,$C$5:$AA$492,4,))*$F15))</f>
        <v>0</v>
      </c>
      <c r="J15" s="49"/>
      <c r="K15" s="49">
        <f t="shared" ref="K15:K22" si="2">IF(VLOOKUP($D15,$C$5:$AA$492,9,)=0,0,((VLOOKUP($D15,$C$5:$AA$492,9,)/VLOOKUP($D15,$C$5:$AA$492,4,))*$F15))</f>
        <v>0</v>
      </c>
      <c r="L15" s="49"/>
      <c r="M15" s="49">
        <f t="shared" ref="M15:M22" si="3">IF(VLOOKUP($D15,$C$5:$AA$492,11,)=0,0,((VLOOKUP($D15,$C$5:$AA$492,11,)/VLOOKUP($D15,$C$5:$AA$492,4,))*$F15))</f>
        <v>0</v>
      </c>
      <c r="N15" s="49"/>
      <c r="O15" s="49">
        <f t="shared" ref="O15:O22" si="4">IF(VLOOKUP($D15,$C$5:$AA$492,13,)=0,0,((VLOOKUP($D15,$C$5:$AA$492,13,)/VLOOKUP($D15,$C$5:$AA$492,4,))*$F15))</f>
        <v>0</v>
      </c>
      <c r="P15" s="49">
        <f t="shared" ref="P15:P22" si="5">IF(VLOOKUP($D15,$C$5:$AA$492,14,)=0,0,((VLOOKUP($D15,$C$5:$AA$492,14,)/VLOOKUP($D15,$C$5:$AA$492,4,))*$F15))</f>
        <v>0</v>
      </c>
      <c r="Q15" s="49"/>
      <c r="R15" s="49">
        <f t="shared" ref="R15:R22" si="6">IF(VLOOKUP($D15,$C$5:$AA$492,16,)=0,0,((VLOOKUP($D15,$C$5:$AA$492,16,)/VLOOKUP($D15,$C$5:$AA$492,4,))*$F15))</f>
        <v>0</v>
      </c>
      <c r="S15" s="49">
        <f t="shared" ref="S15:S22" si="7">IF(VLOOKUP($D15,$C$5:$AA$492,17,)=0,0,((VLOOKUP($D15,$C$5:$AA$492,17,)/VLOOKUP($D15,$C$5:$AA$492,4,))*$F15))</f>
        <v>0</v>
      </c>
      <c r="T15" s="49"/>
      <c r="U15" s="49">
        <f t="shared" ref="U15:U22" si="8">IF(VLOOKUP($D15,$C$5:$AA$492,19,)=0,0,((VLOOKUP($D15,$C$5:$AA$492,19,)/VLOOKUP($D15,$C$5:$AA$492,4,))*$F15))</f>
        <v>0</v>
      </c>
      <c r="V15" s="49"/>
      <c r="W15" s="49">
        <f t="shared" ref="W15:W22" si="9">IF(VLOOKUP($D15,$C$5:$AA$492,21,)=0,0,((VLOOKUP($D15,$C$5:$AA$492,21,)/VLOOKUP($D15,$C$5:$AA$492,4,))*$F15))</f>
        <v>0</v>
      </c>
      <c r="X15" s="49"/>
      <c r="Y15" s="49">
        <f t="shared" ref="Y15:Y22" si="10">IF(VLOOKUP($D15,$C$5:$AA$492,23,)=0,0,((VLOOKUP($D15,$C$5:$AA$492,23,)/VLOOKUP($D15,$C$5:$AA$492,4,))*$F15))</f>
        <v>0</v>
      </c>
      <c r="Z15" s="49"/>
      <c r="AA15" s="49">
        <f t="shared" ref="AA15:AA22" si="11">IF(VLOOKUP($D15,$C$5:$AA$492,25,)=0,0,((VLOOKUP($D15,$C$5:$AA$492,25,)/VLOOKUP($D15,$C$5:$AA$492,4,))*$F15))</f>
        <v>0</v>
      </c>
      <c r="AB15" s="49">
        <f t="shared" ref="AB15:AB22" si="12">SUM(H15:AA15)</f>
        <v>0</v>
      </c>
      <c r="AC15" s="27" t="str">
        <f t="shared" ref="AC15:AC22" si="13">IF(ABS(AB15-F15)&lt;1,"ok","err")</f>
        <v>ok</v>
      </c>
    </row>
    <row r="16" spans="1:30" x14ac:dyDescent="0.2">
      <c r="A16" s="90">
        <v>311</v>
      </c>
      <c r="B16" s="14" t="s">
        <v>53</v>
      </c>
      <c r="C16" s="14" t="s">
        <v>780</v>
      </c>
      <c r="D16" s="14" t="s">
        <v>551</v>
      </c>
      <c r="F16" s="49">
        <v>0</v>
      </c>
      <c r="G16" s="66"/>
      <c r="H16" s="49">
        <f t="shared" si="0"/>
        <v>0</v>
      </c>
      <c r="I16" s="49">
        <f t="shared" si="1"/>
        <v>0</v>
      </c>
      <c r="J16" s="49"/>
      <c r="K16" s="49">
        <f t="shared" si="2"/>
        <v>0</v>
      </c>
      <c r="L16" s="49"/>
      <c r="M16" s="49">
        <f t="shared" si="3"/>
        <v>0</v>
      </c>
      <c r="N16" s="49"/>
      <c r="O16" s="49">
        <f t="shared" si="4"/>
        <v>0</v>
      </c>
      <c r="P16" s="49">
        <f t="shared" si="5"/>
        <v>0</v>
      </c>
      <c r="Q16" s="49"/>
      <c r="R16" s="49">
        <f t="shared" si="6"/>
        <v>0</v>
      </c>
      <c r="S16" s="49">
        <f t="shared" si="7"/>
        <v>0</v>
      </c>
      <c r="T16" s="49"/>
      <c r="U16" s="49">
        <f t="shared" si="8"/>
        <v>0</v>
      </c>
      <c r="V16" s="49"/>
      <c r="W16" s="49">
        <f t="shared" si="9"/>
        <v>0</v>
      </c>
      <c r="X16" s="49"/>
      <c r="Y16" s="49">
        <f t="shared" si="10"/>
        <v>0</v>
      </c>
      <c r="Z16" s="49"/>
      <c r="AA16" s="49">
        <f t="shared" si="11"/>
        <v>0</v>
      </c>
      <c r="AB16" s="49">
        <f t="shared" si="12"/>
        <v>0</v>
      </c>
      <c r="AC16" s="27" t="str">
        <f t="shared" si="13"/>
        <v>ok</v>
      </c>
    </row>
    <row r="17" spans="1:29" x14ac:dyDescent="0.2">
      <c r="A17" s="90">
        <v>312</v>
      </c>
      <c r="B17" s="14" t="s">
        <v>767</v>
      </c>
      <c r="C17" s="14" t="s">
        <v>774</v>
      </c>
      <c r="D17" s="14" t="s">
        <v>551</v>
      </c>
      <c r="F17" s="49">
        <v>0</v>
      </c>
      <c r="H17" s="49">
        <f t="shared" si="0"/>
        <v>0</v>
      </c>
      <c r="I17" s="49">
        <f t="shared" si="1"/>
        <v>0</v>
      </c>
      <c r="J17" s="49"/>
      <c r="K17" s="49">
        <f t="shared" si="2"/>
        <v>0</v>
      </c>
      <c r="L17" s="49"/>
      <c r="M17" s="49">
        <f t="shared" si="3"/>
        <v>0</v>
      </c>
      <c r="N17" s="49"/>
      <c r="O17" s="49">
        <f t="shared" si="4"/>
        <v>0</v>
      </c>
      <c r="P17" s="49">
        <f t="shared" si="5"/>
        <v>0</v>
      </c>
      <c r="Q17" s="49"/>
      <c r="R17" s="49">
        <f t="shared" si="6"/>
        <v>0</v>
      </c>
      <c r="S17" s="49">
        <f t="shared" si="7"/>
        <v>0</v>
      </c>
      <c r="T17" s="49"/>
      <c r="U17" s="49">
        <f t="shared" si="8"/>
        <v>0</v>
      </c>
      <c r="V17" s="49"/>
      <c r="W17" s="49">
        <f t="shared" si="9"/>
        <v>0</v>
      </c>
      <c r="X17" s="49"/>
      <c r="Y17" s="49">
        <f t="shared" si="10"/>
        <v>0</v>
      </c>
      <c r="Z17" s="49"/>
      <c r="AA17" s="49">
        <f t="shared" si="11"/>
        <v>0</v>
      </c>
      <c r="AB17" s="49">
        <f t="shared" si="12"/>
        <v>0</v>
      </c>
      <c r="AC17" s="27" t="str">
        <f t="shared" si="13"/>
        <v>ok</v>
      </c>
    </row>
    <row r="18" spans="1:29" x14ac:dyDescent="0.2">
      <c r="A18" s="90">
        <v>313</v>
      </c>
      <c r="B18" s="14" t="s">
        <v>768</v>
      </c>
      <c r="C18" s="14" t="s">
        <v>775</v>
      </c>
      <c r="D18" s="14" t="s">
        <v>551</v>
      </c>
      <c r="F18" s="49">
        <v>0</v>
      </c>
      <c r="H18" s="49">
        <f t="shared" si="0"/>
        <v>0</v>
      </c>
      <c r="I18" s="49">
        <f t="shared" si="1"/>
        <v>0</v>
      </c>
      <c r="J18" s="49"/>
      <c r="K18" s="49">
        <f t="shared" si="2"/>
        <v>0</v>
      </c>
      <c r="L18" s="49"/>
      <c r="M18" s="49">
        <f t="shared" si="3"/>
        <v>0</v>
      </c>
      <c r="N18" s="49"/>
      <c r="O18" s="49">
        <f t="shared" si="4"/>
        <v>0</v>
      </c>
      <c r="P18" s="49">
        <f t="shared" si="5"/>
        <v>0</v>
      </c>
      <c r="Q18" s="49"/>
      <c r="R18" s="49">
        <f t="shared" si="6"/>
        <v>0</v>
      </c>
      <c r="S18" s="49">
        <f t="shared" si="7"/>
        <v>0</v>
      </c>
      <c r="T18" s="49"/>
      <c r="U18" s="49">
        <f t="shared" si="8"/>
        <v>0</v>
      </c>
      <c r="V18" s="49"/>
      <c r="W18" s="49">
        <f t="shared" si="9"/>
        <v>0</v>
      </c>
      <c r="X18" s="49"/>
      <c r="Y18" s="49">
        <f t="shared" si="10"/>
        <v>0</v>
      </c>
      <c r="Z18" s="49"/>
      <c r="AA18" s="49">
        <f t="shared" si="11"/>
        <v>0</v>
      </c>
      <c r="AB18" s="49">
        <f t="shared" si="12"/>
        <v>0</v>
      </c>
      <c r="AC18" s="27" t="str">
        <f t="shared" si="13"/>
        <v>ok</v>
      </c>
    </row>
    <row r="19" spans="1:29" x14ac:dyDescent="0.2">
      <c r="A19" s="90">
        <v>314</v>
      </c>
      <c r="B19" s="14" t="s">
        <v>769</v>
      </c>
      <c r="C19" s="14" t="s">
        <v>776</v>
      </c>
      <c r="D19" s="14" t="s">
        <v>551</v>
      </c>
      <c r="F19" s="49">
        <v>0</v>
      </c>
      <c r="H19" s="49">
        <f t="shared" si="0"/>
        <v>0</v>
      </c>
      <c r="I19" s="49">
        <f t="shared" si="1"/>
        <v>0</v>
      </c>
      <c r="J19" s="49"/>
      <c r="K19" s="49">
        <f t="shared" si="2"/>
        <v>0</v>
      </c>
      <c r="L19" s="49"/>
      <c r="M19" s="49">
        <f t="shared" si="3"/>
        <v>0</v>
      </c>
      <c r="N19" s="49"/>
      <c r="O19" s="49">
        <f t="shared" si="4"/>
        <v>0</v>
      </c>
      <c r="P19" s="49">
        <f t="shared" si="5"/>
        <v>0</v>
      </c>
      <c r="Q19" s="49"/>
      <c r="R19" s="49">
        <f t="shared" si="6"/>
        <v>0</v>
      </c>
      <c r="S19" s="49">
        <f t="shared" si="7"/>
        <v>0</v>
      </c>
      <c r="T19" s="49"/>
      <c r="U19" s="49">
        <f t="shared" si="8"/>
        <v>0</v>
      </c>
      <c r="V19" s="49"/>
      <c r="W19" s="49">
        <f t="shared" si="9"/>
        <v>0</v>
      </c>
      <c r="X19" s="49"/>
      <c r="Y19" s="49">
        <f t="shared" si="10"/>
        <v>0</v>
      </c>
      <c r="Z19" s="49"/>
      <c r="AA19" s="49">
        <f t="shared" si="11"/>
        <v>0</v>
      </c>
      <c r="AB19" s="49">
        <f t="shared" si="12"/>
        <v>0</v>
      </c>
      <c r="AC19" s="27" t="str">
        <f t="shared" si="13"/>
        <v>ok</v>
      </c>
    </row>
    <row r="20" spans="1:29" x14ac:dyDescent="0.2">
      <c r="A20" s="90">
        <v>315</v>
      </c>
      <c r="B20" s="14" t="s">
        <v>770</v>
      </c>
      <c r="C20" s="14" t="s">
        <v>777</v>
      </c>
      <c r="D20" s="14" t="s">
        <v>551</v>
      </c>
      <c r="F20" s="49">
        <v>0</v>
      </c>
      <c r="H20" s="49">
        <f t="shared" si="0"/>
        <v>0</v>
      </c>
      <c r="I20" s="49">
        <f t="shared" si="1"/>
        <v>0</v>
      </c>
      <c r="J20" s="49"/>
      <c r="K20" s="49">
        <f t="shared" si="2"/>
        <v>0</v>
      </c>
      <c r="L20" s="49"/>
      <c r="M20" s="49">
        <f t="shared" si="3"/>
        <v>0</v>
      </c>
      <c r="N20" s="49"/>
      <c r="O20" s="49">
        <f t="shared" si="4"/>
        <v>0</v>
      </c>
      <c r="P20" s="49">
        <f t="shared" si="5"/>
        <v>0</v>
      </c>
      <c r="Q20" s="49"/>
      <c r="R20" s="49">
        <f t="shared" si="6"/>
        <v>0</v>
      </c>
      <c r="S20" s="49">
        <f t="shared" si="7"/>
        <v>0</v>
      </c>
      <c r="T20" s="49"/>
      <c r="U20" s="49">
        <f t="shared" si="8"/>
        <v>0</v>
      </c>
      <c r="V20" s="49"/>
      <c r="W20" s="49">
        <f t="shared" si="9"/>
        <v>0</v>
      </c>
      <c r="X20" s="49"/>
      <c r="Y20" s="49">
        <f t="shared" si="10"/>
        <v>0</v>
      </c>
      <c r="Z20" s="49"/>
      <c r="AA20" s="49">
        <f t="shared" si="11"/>
        <v>0</v>
      </c>
      <c r="AB20" s="49">
        <f t="shared" si="12"/>
        <v>0</v>
      </c>
      <c r="AC20" s="27" t="str">
        <f t="shared" si="13"/>
        <v>ok</v>
      </c>
    </row>
    <row r="21" spans="1:29" x14ac:dyDescent="0.2">
      <c r="A21" s="90">
        <v>316</v>
      </c>
      <c r="B21" s="14" t="s">
        <v>772</v>
      </c>
      <c r="C21" s="14" t="s">
        <v>778</v>
      </c>
      <c r="D21" s="14" t="s">
        <v>551</v>
      </c>
      <c r="F21" s="49">
        <v>0</v>
      </c>
      <c r="H21" s="49">
        <f t="shared" si="0"/>
        <v>0</v>
      </c>
      <c r="I21" s="49">
        <f t="shared" si="1"/>
        <v>0</v>
      </c>
      <c r="J21" s="49"/>
      <c r="K21" s="49">
        <f t="shared" si="2"/>
        <v>0</v>
      </c>
      <c r="L21" s="49"/>
      <c r="M21" s="49">
        <f t="shared" si="3"/>
        <v>0</v>
      </c>
      <c r="N21" s="49"/>
      <c r="O21" s="49">
        <f t="shared" si="4"/>
        <v>0</v>
      </c>
      <c r="P21" s="49">
        <f t="shared" si="5"/>
        <v>0</v>
      </c>
      <c r="Q21" s="49"/>
      <c r="R21" s="49">
        <f t="shared" si="6"/>
        <v>0</v>
      </c>
      <c r="S21" s="49">
        <f t="shared" si="7"/>
        <v>0</v>
      </c>
      <c r="T21" s="49"/>
      <c r="U21" s="49">
        <f t="shared" si="8"/>
        <v>0</v>
      </c>
      <c r="V21" s="49"/>
      <c r="W21" s="49">
        <f t="shared" si="9"/>
        <v>0</v>
      </c>
      <c r="X21" s="49"/>
      <c r="Y21" s="49">
        <f t="shared" si="10"/>
        <v>0</v>
      </c>
      <c r="Z21" s="49"/>
      <c r="AA21" s="49">
        <f t="shared" si="11"/>
        <v>0</v>
      </c>
      <c r="AB21" s="49">
        <f>SUM(H21:AA21)</f>
        <v>0</v>
      </c>
      <c r="AC21" s="27" t="str">
        <f>IF(ABS(AB21-F21)&lt;1,"ok","err")</f>
        <v>ok</v>
      </c>
    </row>
    <row r="22" spans="1:29" x14ac:dyDescent="0.2">
      <c r="A22" s="90">
        <v>317</v>
      </c>
      <c r="B22" s="14" t="s">
        <v>771</v>
      </c>
      <c r="C22" s="14" t="s">
        <v>779</v>
      </c>
      <c r="D22" s="14" t="s">
        <v>551</v>
      </c>
      <c r="F22" s="49">
        <v>0</v>
      </c>
      <c r="H22" s="49">
        <f t="shared" si="0"/>
        <v>0</v>
      </c>
      <c r="I22" s="49">
        <f t="shared" si="1"/>
        <v>0</v>
      </c>
      <c r="J22" s="49"/>
      <c r="K22" s="49">
        <f t="shared" si="2"/>
        <v>0</v>
      </c>
      <c r="L22" s="49"/>
      <c r="M22" s="49">
        <f t="shared" si="3"/>
        <v>0</v>
      </c>
      <c r="N22" s="49"/>
      <c r="O22" s="49">
        <f t="shared" si="4"/>
        <v>0</v>
      </c>
      <c r="P22" s="49">
        <f t="shared" si="5"/>
        <v>0</v>
      </c>
      <c r="Q22" s="49"/>
      <c r="R22" s="49">
        <f t="shared" si="6"/>
        <v>0</v>
      </c>
      <c r="S22" s="49">
        <f t="shared" si="7"/>
        <v>0</v>
      </c>
      <c r="T22" s="49"/>
      <c r="U22" s="49">
        <f t="shared" si="8"/>
        <v>0</v>
      </c>
      <c r="V22" s="49"/>
      <c r="W22" s="49">
        <f t="shared" si="9"/>
        <v>0</v>
      </c>
      <c r="X22" s="49"/>
      <c r="Y22" s="49">
        <f t="shared" si="10"/>
        <v>0</v>
      </c>
      <c r="Z22" s="49"/>
      <c r="AA22" s="49">
        <f t="shared" si="11"/>
        <v>0</v>
      </c>
      <c r="AB22" s="49">
        <f t="shared" si="12"/>
        <v>0</v>
      </c>
      <c r="AC22" s="27" t="str">
        <f t="shared" si="13"/>
        <v>ok</v>
      </c>
    </row>
    <row r="23" spans="1:29" x14ac:dyDescent="0.2">
      <c r="Q23" s="14"/>
      <c r="AB23" s="49"/>
      <c r="AC23" s="27"/>
    </row>
    <row r="24" spans="1:29" x14ac:dyDescent="0.2">
      <c r="B24" s="14" t="s">
        <v>782</v>
      </c>
      <c r="C24" s="14" t="s">
        <v>781</v>
      </c>
      <c r="F24" s="89">
        <f>SUM(F15:F23)</f>
        <v>0</v>
      </c>
      <c r="G24" s="89"/>
      <c r="H24" s="89">
        <f>SUM(H15:H23)</f>
        <v>0</v>
      </c>
      <c r="I24" s="89">
        <f>SUM(I15:I23)</f>
        <v>0</v>
      </c>
      <c r="J24" s="89"/>
      <c r="K24" s="89">
        <f>SUM(K15:K23)</f>
        <v>0</v>
      </c>
      <c r="L24" s="89"/>
      <c r="M24" s="89">
        <f>SUM(M15:M23)</f>
        <v>0</v>
      </c>
      <c r="N24" s="89"/>
      <c r="O24" s="89">
        <f>SUM(O15:O23)</f>
        <v>0</v>
      </c>
      <c r="P24" s="89">
        <f>SUM(P15:P23)</f>
        <v>0</v>
      </c>
      <c r="Q24" s="89"/>
      <c r="R24" s="89">
        <f>SUM(R15:R23)</f>
        <v>0</v>
      </c>
      <c r="S24" s="89">
        <f>SUM(S15:S23)</f>
        <v>0</v>
      </c>
      <c r="T24" s="89"/>
      <c r="U24" s="89">
        <f>SUM(U15:U23)</f>
        <v>0</v>
      </c>
      <c r="V24" s="89"/>
      <c r="W24" s="89">
        <f>SUM(W15:W23)</f>
        <v>0</v>
      </c>
      <c r="X24" s="89"/>
      <c r="Y24" s="89">
        <f>SUM(Y15:Y23)</f>
        <v>0</v>
      </c>
      <c r="Z24" s="89"/>
      <c r="AA24" s="89">
        <f>SUM(AA15:AA23)</f>
        <v>0</v>
      </c>
      <c r="AB24" s="49">
        <f>SUM(H24:AA24)</f>
        <v>0</v>
      </c>
      <c r="AC24" s="27" t="str">
        <f>IF(ABS(AB24-F24)&lt;1,"ok","err")</f>
        <v>ok</v>
      </c>
    </row>
    <row r="25" spans="1:29" x14ac:dyDescent="0.2">
      <c r="Q25" s="14"/>
      <c r="AC25" s="27"/>
    </row>
    <row r="26" spans="1:29" x14ac:dyDescent="0.2">
      <c r="A26" s="25" t="s">
        <v>348</v>
      </c>
      <c r="Q26" s="14"/>
      <c r="AC26" s="27"/>
    </row>
    <row r="27" spans="1:29" x14ac:dyDescent="0.2">
      <c r="A27" s="90">
        <v>350</v>
      </c>
      <c r="B27" s="14" t="s">
        <v>17</v>
      </c>
      <c r="C27" s="14" t="s">
        <v>350</v>
      </c>
      <c r="D27" s="14" t="s">
        <v>390</v>
      </c>
      <c r="F27" s="66">
        <v>0</v>
      </c>
      <c r="G27" s="66"/>
      <c r="H27" s="49">
        <f t="shared" ref="H27:H33" si="14">IF(VLOOKUP($D27,$C$5:$AA$492,6,)=0,0,((VLOOKUP($D27,$C$5:$AA$492,6,)/VLOOKUP($D27,$C$5:$AA$492,4,))*$F27))</f>
        <v>0</v>
      </c>
      <c r="I27" s="49">
        <f t="shared" ref="I27:I33" si="15">IF(VLOOKUP($D27,$C$5:$AA$492,7,)=0,0,((VLOOKUP($D27,$C$5:$AA$492,7,)/VLOOKUP($D27,$C$5:$AA$492,4,))*$F27))</f>
        <v>0</v>
      </c>
      <c r="J27" s="49"/>
      <c r="K27" s="49">
        <f t="shared" ref="K27:K33" si="16">IF(VLOOKUP($D27,$C$5:$AA$492,9,)=0,0,((VLOOKUP($D27,$C$5:$AA$492,9,)/VLOOKUP($D27,$C$5:$AA$492,4,))*$F27))</f>
        <v>0</v>
      </c>
      <c r="L27" s="49"/>
      <c r="M27" s="49">
        <f t="shared" ref="M27:M33" si="17">IF(VLOOKUP($D27,$C$5:$AA$492,11,)=0,0,((VLOOKUP($D27,$C$5:$AA$492,11,)/VLOOKUP($D27,$C$5:$AA$492,4,))*$F27))</f>
        <v>0</v>
      </c>
      <c r="N27" s="49"/>
      <c r="O27" s="49">
        <f t="shared" ref="O27:O33" si="18">IF(VLOOKUP($D27,$C$5:$AA$492,13,)=0,0,((VLOOKUP($D27,$C$5:$AA$492,13,)/VLOOKUP($D27,$C$5:$AA$492,4,))*$F27))</f>
        <v>0</v>
      </c>
      <c r="P27" s="49">
        <f t="shared" ref="P27:P33" si="19">IF(VLOOKUP($D27,$C$5:$AA$492,14,)=0,0,((VLOOKUP($D27,$C$5:$AA$492,14,)/VLOOKUP($D27,$C$5:$AA$492,4,))*$F27))</f>
        <v>0</v>
      </c>
      <c r="Q27" s="49"/>
      <c r="R27" s="49">
        <f t="shared" ref="R27:R33" si="20">IF(VLOOKUP($D27,$C$5:$AA$492,16,)=0,0,((VLOOKUP($D27,$C$5:$AA$492,16,)/VLOOKUP($D27,$C$5:$AA$492,4,))*$F27))</f>
        <v>0</v>
      </c>
      <c r="S27" s="49">
        <f t="shared" ref="S27:S33" si="21">IF(VLOOKUP($D27,$C$5:$AA$492,17,)=0,0,((VLOOKUP($D27,$C$5:$AA$492,17,)/VLOOKUP($D27,$C$5:$AA$492,4,))*$F27))</f>
        <v>0</v>
      </c>
      <c r="T27" s="49"/>
      <c r="U27" s="49">
        <f t="shared" ref="U27:U33" si="22">IF(VLOOKUP($D27,$C$5:$AA$492,19,)=0,0,((VLOOKUP($D27,$C$5:$AA$492,19,)/VLOOKUP($D27,$C$5:$AA$492,4,))*$F27))</f>
        <v>0</v>
      </c>
      <c r="V27" s="49"/>
      <c r="W27" s="49">
        <f t="shared" ref="W27:W33" si="23">IF(VLOOKUP($D27,$C$5:$AA$492,21,)=0,0,((VLOOKUP($D27,$C$5:$AA$492,21,)/VLOOKUP($D27,$C$5:$AA$492,4,))*$F27))</f>
        <v>0</v>
      </c>
      <c r="X27" s="49"/>
      <c r="Y27" s="49">
        <f t="shared" ref="Y27:Y33" si="24">IF(VLOOKUP($D27,$C$5:$AA$492,23,)=0,0,((VLOOKUP($D27,$C$5:$AA$492,23,)/VLOOKUP($D27,$C$5:$AA$492,4,))*$F27))</f>
        <v>0</v>
      </c>
      <c r="Z27" s="49"/>
      <c r="AA27" s="49">
        <f t="shared" ref="AA27:AA33" si="25">IF(VLOOKUP($D27,$C$5:$AA$492,25,)=0,0,((VLOOKUP($D27,$C$5:$AA$492,25,)/VLOOKUP($D27,$C$5:$AA$492,4,))*$F27))</f>
        <v>0</v>
      </c>
      <c r="AB27" s="49">
        <f t="shared" ref="AB27:AB33" si="26">SUM(H27:AA27)</f>
        <v>0</v>
      </c>
      <c r="AC27" s="27" t="str">
        <f t="shared" ref="AC27:AC33" si="27">IF(ABS(AB27-F27)&lt;1,"ok","err")</f>
        <v>ok</v>
      </c>
    </row>
    <row r="28" spans="1:29" x14ac:dyDescent="0.2">
      <c r="A28" s="90">
        <v>352</v>
      </c>
      <c r="B28" s="14" t="s">
        <v>53</v>
      </c>
      <c r="C28" s="14" t="s">
        <v>417</v>
      </c>
      <c r="D28" s="14" t="s">
        <v>390</v>
      </c>
      <c r="F28" s="49">
        <v>0</v>
      </c>
      <c r="G28" s="66"/>
      <c r="H28" s="49">
        <f t="shared" si="14"/>
        <v>0</v>
      </c>
      <c r="I28" s="49">
        <f t="shared" si="15"/>
        <v>0</v>
      </c>
      <c r="J28" s="49"/>
      <c r="K28" s="49">
        <f t="shared" si="16"/>
        <v>0</v>
      </c>
      <c r="L28" s="49"/>
      <c r="M28" s="49">
        <f t="shared" si="17"/>
        <v>0</v>
      </c>
      <c r="N28" s="49"/>
      <c r="O28" s="49">
        <f t="shared" si="18"/>
        <v>0</v>
      </c>
      <c r="P28" s="49">
        <f t="shared" si="19"/>
        <v>0</v>
      </c>
      <c r="Q28" s="49"/>
      <c r="R28" s="49">
        <f t="shared" si="20"/>
        <v>0</v>
      </c>
      <c r="S28" s="49">
        <f t="shared" si="21"/>
        <v>0</v>
      </c>
      <c r="T28" s="49"/>
      <c r="U28" s="49">
        <f t="shared" si="22"/>
        <v>0</v>
      </c>
      <c r="V28" s="49"/>
      <c r="W28" s="49">
        <f t="shared" si="23"/>
        <v>0</v>
      </c>
      <c r="X28" s="49"/>
      <c r="Y28" s="49">
        <f t="shared" si="24"/>
        <v>0</v>
      </c>
      <c r="Z28" s="49"/>
      <c r="AA28" s="49">
        <f t="shared" si="25"/>
        <v>0</v>
      </c>
      <c r="AB28" s="49">
        <f t="shared" si="26"/>
        <v>0</v>
      </c>
      <c r="AC28" s="27" t="str">
        <f t="shared" si="27"/>
        <v>ok</v>
      </c>
    </row>
    <row r="29" spans="1:29" x14ac:dyDescent="0.2">
      <c r="A29" s="90">
        <v>353</v>
      </c>
      <c r="B29" s="14" t="s">
        <v>22</v>
      </c>
      <c r="C29" s="14" t="s">
        <v>351</v>
      </c>
      <c r="D29" s="14" t="s">
        <v>390</v>
      </c>
      <c r="F29" s="49">
        <v>0</v>
      </c>
      <c r="H29" s="49">
        <f t="shared" si="14"/>
        <v>0</v>
      </c>
      <c r="I29" s="49">
        <f t="shared" si="15"/>
        <v>0</v>
      </c>
      <c r="J29" s="49"/>
      <c r="K29" s="49">
        <f t="shared" si="16"/>
        <v>0</v>
      </c>
      <c r="L29" s="49"/>
      <c r="M29" s="49">
        <f t="shared" si="17"/>
        <v>0</v>
      </c>
      <c r="N29" s="49"/>
      <c r="O29" s="49">
        <f t="shared" si="18"/>
        <v>0</v>
      </c>
      <c r="P29" s="49">
        <f t="shared" si="19"/>
        <v>0</v>
      </c>
      <c r="Q29" s="49"/>
      <c r="R29" s="49">
        <f t="shared" si="20"/>
        <v>0</v>
      </c>
      <c r="S29" s="49">
        <f t="shared" si="21"/>
        <v>0</v>
      </c>
      <c r="T29" s="49"/>
      <c r="U29" s="49">
        <f t="shared" si="22"/>
        <v>0</v>
      </c>
      <c r="V29" s="49"/>
      <c r="W29" s="49">
        <f t="shared" si="23"/>
        <v>0</v>
      </c>
      <c r="X29" s="49"/>
      <c r="Y29" s="49">
        <f t="shared" si="24"/>
        <v>0</v>
      </c>
      <c r="Z29" s="49"/>
      <c r="AA29" s="49">
        <f t="shared" si="25"/>
        <v>0</v>
      </c>
      <c r="AB29" s="49">
        <f t="shared" si="26"/>
        <v>0</v>
      </c>
      <c r="AC29" s="27" t="str">
        <f t="shared" si="27"/>
        <v>ok</v>
      </c>
    </row>
    <row r="30" spans="1:29" x14ac:dyDescent="0.2">
      <c r="A30" s="90">
        <v>354</v>
      </c>
      <c r="B30" s="14" t="s">
        <v>418</v>
      </c>
      <c r="C30" s="14" t="s">
        <v>420</v>
      </c>
      <c r="D30" s="14" t="s">
        <v>390</v>
      </c>
      <c r="F30" s="49">
        <v>0</v>
      </c>
      <c r="H30" s="49">
        <f t="shared" si="14"/>
        <v>0</v>
      </c>
      <c r="I30" s="49">
        <f t="shared" si="15"/>
        <v>0</v>
      </c>
      <c r="J30" s="49"/>
      <c r="K30" s="49">
        <f t="shared" si="16"/>
        <v>0</v>
      </c>
      <c r="L30" s="49"/>
      <c r="M30" s="49">
        <f t="shared" si="17"/>
        <v>0</v>
      </c>
      <c r="N30" s="49"/>
      <c r="O30" s="49">
        <f t="shared" si="18"/>
        <v>0</v>
      </c>
      <c r="P30" s="49">
        <f t="shared" si="19"/>
        <v>0</v>
      </c>
      <c r="Q30" s="49"/>
      <c r="R30" s="49">
        <f t="shared" si="20"/>
        <v>0</v>
      </c>
      <c r="S30" s="49">
        <f t="shared" si="21"/>
        <v>0</v>
      </c>
      <c r="T30" s="49"/>
      <c r="U30" s="49">
        <f t="shared" si="22"/>
        <v>0</v>
      </c>
      <c r="V30" s="49"/>
      <c r="W30" s="49">
        <f t="shared" si="23"/>
        <v>0</v>
      </c>
      <c r="X30" s="49"/>
      <c r="Y30" s="49">
        <f t="shared" si="24"/>
        <v>0</v>
      </c>
      <c r="Z30" s="49"/>
      <c r="AA30" s="49">
        <f t="shared" si="25"/>
        <v>0</v>
      </c>
      <c r="AB30" s="49">
        <f t="shared" si="26"/>
        <v>0</v>
      </c>
      <c r="AC30" s="27" t="str">
        <f t="shared" si="27"/>
        <v>ok</v>
      </c>
    </row>
    <row r="31" spans="1:29" x14ac:dyDescent="0.2">
      <c r="A31" s="90">
        <v>355</v>
      </c>
      <c r="B31" s="14" t="s">
        <v>419</v>
      </c>
      <c r="C31" s="14" t="s">
        <v>352</v>
      </c>
      <c r="D31" s="14" t="s">
        <v>390</v>
      </c>
      <c r="F31" s="49">
        <v>0</v>
      </c>
      <c r="H31" s="49">
        <f t="shared" si="14"/>
        <v>0</v>
      </c>
      <c r="I31" s="49">
        <f t="shared" si="15"/>
        <v>0</v>
      </c>
      <c r="J31" s="49"/>
      <c r="K31" s="49">
        <f t="shared" si="16"/>
        <v>0</v>
      </c>
      <c r="L31" s="49"/>
      <c r="M31" s="49">
        <f t="shared" si="17"/>
        <v>0</v>
      </c>
      <c r="N31" s="49"/>
      <c r="O31" s="49">
        <f t="shared" si="18"/>
        <v>0</v>
      </c>
      <c r="P31" s="49">
        <f t="shared" si="19"/>
        <v>0</v>
      </c>
      <c r="Q31" s="49"/>
      <c r="R31" s="49">
        <f t="shared" si="20"/>
        <v>0</v>
      </c>
      <c r="S31" s="49">
        <f t="shared" si="21"/>
        <v>0</v>
      </c>
      <c r="T31" s="49"/>
      <c r="U31" s="49">
        <f t="shared" si="22"/>
        <v>0</v>
      </c>
      <c r="V31" s="49"/>
      <c r="W31" s="49">
        <f t="shared" si="23"/>
        <v>0</v>
      </c>
      <c r="X31" s="49"/>
      <c r="Y31" s="49">
        <f t="shared" si="24"/>
        <v>0</v>
      </c>
      <c r="Z31" s="49"/>
      <c r="AA31" s="49">
        <f t="shared" si="25"/>
        <v>0</v>
      </c>
      <c r="AB31" s="49">
        <f t="shared" si="26"/>
        <v>0</v>
      </c>
      <c r="AC31" s="27" t="str">
        <f t="shared" si="27"/>
        <v>ok</v>
      </c>
    </row>
    <row r="32" spans="1:29" x14ac:dyDescent="0.2">
      <c r="A32" s="90">
        <v>356</v>
      </c>
      <c r="B32" s="14" t="s">
        <v>349</v>
      </c>
      <c r="C32" s="14" t="s">
        <v>353</v>
      </c>
      <c r="D32" s="14" t="s">
        <v>390</v>
      </c>
      <c r="F32" s="49">
        <v>0</v>
      </c>
      <c r="H32" s="49">
        <f t="shared" si="14"/>
        <v>0</v>
      </c>
      <c r="I32" s="49">
        <f t="shared" si="15"/>
        <v>0</v>
      </c>
      <c r="J32" s="49"/>
      <c r="K32" s="49">
        <f t="shared" si="16"/>
        <v>0</v>
      </c>
      <c r="L32" s="49"/>
      <c r="M32" s="49">
        <f t="shared" si="17"/>
        <v>0</v>
      </c>
      <c r="N32" s="49"/>
      <c r="O32" s="49">
        <f t="shared" si="18"/>
        <v>0</v>
      </c>
      <c r="P32" s="49">
        <f t="shared" si="19"/>
        <v>0</v>
      </c>
      <c r="Q32" s="49"/>
      <c r="R32" s="49">
        <f t="shared" si="20"/>
        <v>0</v>
      </c>
      <c r="S32" s="49">
        <f t="shared" si="21"/>
        <v>0</v>
      </c>
      <c r="T32" s="49"/>
      <c r="U32" s="49">
        <f t="shared" si="22"/>
        <v>0</v>
      </c>
      <c r="V32" s="49"/>
      <c r="W32" s="49">
        <f t="shared" si="23"/>
        <v>0</v>
      </c>
      <c r="X32" s="49"/>
      <c r="Y32" s="49">
        <f t="shared" si="24"/>
        <v>0</v>
      </c>
      <c r="Z32" s="49"/>
      <c r="AA32" s="49">
        <f t="shared" si="25"/>
        <v>0</v>
      </c>
      <c r="AB32" s="49">
        <f t="shared" si="26"/>
        <v>0</v>
      </c>
      <c r="AC32" s="27" t="str">
        <f t="shared" si="27"/>
        <v>ok</v>
      </c>
    </row>
    <row r="33" spans="1:29" x14ac:dyDescent="0.2">
      <c r="A33" s="90">
        <v>359</v>
      </c>
      <c r="B33" s="14" t="s">
        <v>421</v>
      </c>
      <c r="C33" s="14" t="s">
        <v>422</v>
      </c>
      <c r="D33" s="14" t="s">
        <v>390</v>
      </c>
      <c r="F33" s="49">
        <v>0</v>
      </c>
      <c r="H33" s="49">
        <f t="shared" si="14"/>
        <v>0</v>
      </c>
      <c r="I33" s="49">
        <f t="shared" si="15"/>
        <v>0</v>
      </c>
      <c r="J33" s="49"/>
      <c r="K33" s="49">
        <f t="shared" si="16"/>
        <v>0</v>
      </c>
      <c r="L33" s="49"/>
      <c r="M33" s="49">
        <f t="shared" si="17"/>
        <v>0</v>
      </c>
      <c r="N33" s="49"/>
      <c r="O33" s="49">
        <f t="shared" si="18"/>
        <v>0</v>
      </c>
      <c r="P33" s="49">
        <f t="shared" si="19"/>
        <v>0</v>
      </c>
      <c r="Q33" s="49"/>
      <c r="R33" s="49">
        <f t="shared" si="20"/>
        <v>0</v>
      </c>
      <c r="S33" s="49">
        <f t="shared" si="21"/>
        <v>0</v>
      </c>
      <c r="T33" s="49"/>
      <c r="U33" s="49">
        <f t="shared" si="22"/>
        <v>0</v>
      </c>
      <c r="V33" s="49"/>
      <c r="W33" s="49">
        <f t="shared" si="23"/>
        <v>0</v>
      </c>
      <c r="X33" s="49"/>
      <c r="Y33" s="49">
        <f t="shared" si="24"/>
        <v>0</v>
      </c>
      <c r="Z33" s="49"/>
      <c r="AA33" s="49">
        <f t="shared" si="25"/>
        <v>0</v>
      </c>
      <c r="AB33" s="49">
        <f t="shared" si="26"/>
        <v>0</v>
      </c>
      <c r="AC33" s="27" t="str">
        <f t="shared" si="27"/>
        <v>ok</v>
      </c>
    </row>
    <row r="34" spans="1:29" x14ac:dyDescent="0.2">
      <c r="Q34" s="14"/>
      <c r="AB34" s="49"/>
      <c r="AC34" s="27"/>
    </row>
    <row r="35" spans="1:29" x14ac:dyDescent="0.2">
      <c r="B35" s="14" t="s">
        <v>357</v>
      </c>
      <c r="C35" s="14" t="s">
        <v>389</v>
      </c>
      <c r="F35" s="89">
        <f>SUM(F27:F34)</f>
        <v>0</v>
      </c>
      <c r="G35" s="89"/>
      <c r="H35" s="89">
        <f t="shared" ref="G35:AA35" si="28">SUM(H27:H34)</f>
        <v>0</v>
      </c>
      <c r="I35" s="89">
        <f t="shared" si="28"/>
        <v>0</v>
      </c>
      <c r="J35" s="89"/>
      <c r="K35" s="89">
        <f t="shared" si="28"/>
        <v>0</v>
      </c>
      <c r="L35" s="89"/>
      <c r="M35" s="89">
        <f t="shared" si="28"/>
        <v>0</v>
      </c>
      <c r="N35" s="89"/>
      <c r="O35" s="89">
        <f t="shared" si="28"/>
        <v>0</v>
      </c>
      <c r="P35" s="89">
        <f t="shared" si="28"/>
        <v>0</v>
      </c>
      <c r="Q35" s="89"/>
      <c r="R35" s="89">
        <f t="shared" si="28"/>
        <v>0</v>
      </c>
      <c r="S35" s="89">
        <f t="shared" si="28"/>
        <v>0</v>
      </c>
      <c r="T35" s="89"/>
      <c r="U35" s="89">
        <f t="shared" si="28"/>
        <v>0</v>
      </c>
      <c r="V35" s="89"/>
      <c r="W35" s="89">
        <f t="shared" si="28"/>
        <v>0</v>
      </c>
      <c r="X35" s="89"/>
      <c r="Y35" s="89">
        <f t="shared" si="28"/>
        <v>0</v>
      </c>
      <c r="Z35" s="89"/>
      <c r="AA35" s="89">
        <f t="shared" si="28"/>
        <v>0</v>
      </c>
      <c r="AB35" s="49">
        <f>SUM(H35:AA35)</f>
        <v>0</v>
      </c>
      <c r="AC35" s="27" t="str">
        <f>IF(ABS(AB35-F35)&lt;1,"ok","err")</f>
        <v>ok</v>
      </c>
    </row>
    <row r="36" spans="1:29" x14ac:dyDescent="0.2">
      <c r="Q36" s="14"/>
      <c r="AC36" s="27"/>
    </row>
    <row r="37" spans="1:29" x14ac:dyDescent="0.2">
      <c r="A37" s="25" t="s">
        <v>364</v>
      </c>
      <c r="Q37" s="14"/>
      <c r="AC37" s="27"/>
    </row>
    <row r="38" spans="1:29" x14ac:dyDescent="0.2">
      <c r="Q38" s="14"/>
      <c r="AC38" s="27"/>
    </row>
    <row r="39" spans="1:29" x14ac:dyDescent="0.2">
      <c r="A39" s="25" t="s">
        <v>21</v>
      </c>
      <c r="Q39" s="14"/>
      <c r="AC39" s="27"/>
    </row>
    <row r="40" spans="1:29" x14ac:dyDescent="0.2">
      <c r="A40" s="90">
        <v>360</v>
      </c>
      <c r="B40" s="14" t="s">
        <v>17</v>
      </c>
      <c r="C40" s="14" t="s">
        <v>18</v>
      </c>
      <c r="D40" s="14" t="s">
        <v>24</v>
      </c>
      <c r="F40" s="66">
        <v>0</v>
      </c>
      <c r="H40" s="49">
        <f>IF(VLOOKUP($D40,$C$5:$AA$492,6,)=0,0,((VLOOKUP($D40,$C$5:$AA$492,6,)/VLOOKUP($D40,$C$5:$AA$492,4,))*$F63))</f>
        <v>0</v>
      </c>
      <c r="I40" s="49">
        <f>IF(VLOOKUP($D40,$C$5:$AA$492,7,)=0,0,((VLOOKUP($D40,$C$5:$AA$492,7,)/VLOOKUP($D40,$C$5:$AA$492,4,))*$F63))</f>
        <v>0</v>
      </c>
      <c r="J40" s="49"/>
      <c r="K40" s="49">
        <f>IF(VLOOKUP($D40,$C$5:$AA$492,9,)=0,0,((VLOOKUP($D40,$C$5:$AA$492,9,)/VLOOKUP($D40,$C$5:$AA$492,4,))*$F63))</f>
        <v>0</v>
      </c>
      <c r="L40" s="49"/>
      <c r="M40" s="49">
        <f t="shared" ref="M40:M52" si="29">IF(VLOOKUP($D40,$C$5:$AA$492,11,)=0,0,((VLOOKUP($D40,$C$5:$AA$492,11,)/VLOOKUP($D40,$C$5:$AA$492,4,))*$F40))</f>
        <v>0</v>
      </c>
      <c r="N40" s="49"/>
      <c r="O40" s="49">
        <f>IF(VLOOKUP($D40,$C$5:$AA$492,13,)=0,0,((VLOOKUP($D40,$C$5:$AA$492,13,)/VLOOKUP($D40,$C$5:$AA$492,4,))*$F63))</f>
        <v>0</v>
      </c>
      <c r="P40" s="49">
        <f>IF(VLOOKUP($D40,$C$5:$AA$492,14,)=0,0,((VLOOKUP($D40,$C$5:$AA$492,14,)/VLOOKUP($D40,$C$5:$AA$492,4,))*$F63))</f>
        <v>0</v>
      </c>
      <c r="Q40" s="49"/>
      <c r="R40" s="49">
        <f>IF(VLOOKUP($D40,$C$5:$AA$492,16,)=0,0,((VLOOKUP($D40,$C$5:$AA$492,16,)/VLOOKUP($D40,$C$5:$AA$492,4,))*$F63))</f>
        <v>0</v>
      </c>
      <c r="S40" s="49">
        <f>IF(VLOOKUP($D40,$C$5:$AA$492,17,)=0,0,((VLOOKUP($D40,$C$5:$AA$492,17,)/VLOOKUP($D40,$C$5:$AA$492,4,))*$F63))</f>
        <v>0</v>
      </c>
      <c r="T40" s="49"/>
      <c r="U40" s="49">
        <f>IF(VLOOKUP($D40,$C$5:$AA$492,19,)=0,0,((VLOOKUP($D40,$C$5:$AA$492,19,)/VLOOKUP($D40,$C$5:$AA$492,4,))*$F63))</f>
        <v>0</v>
      </c>
      <c r="V40" s="49"/>
      <c r="W40" s="49">
        <f>IF(VLOOKUP($D40,$C$5:$AA$492,21,)=0,0,((VLOOKUP($D40,$C$5:$AA$492,21,)/VLOOKUP($D40,$C$5:$AA$492,4,))*$F63))</f>
        <v>0</v>
      </c>
      <c r="X40" s="49"/>
      <c r="Y40" s="49">
        <f>IF(VLOOKUP($D40,$C$5:$AA$492,23,)=0,0,((VLOOKUP($D40,$C$5:$AA$492,23,)/VLOOKUP($D40,$C$5:$AA$492,4,))*$F63))</f>
        <v>0</v>
      </c>
      <c r="Z40" s="49"/>
      <c r="AA40" s="49">
        <f>IF(VLOOKUP($D40,$C$5:$AA$492,25,)=0,0,((VLOOKUP($D40,$C$5:$AA$492,25,)/VLOOKUP($D40,$C$5:$AA$492,4,))*$F63))</f>
        <v>0</v>
      </c>
      <c r="AB40" s="49">
        <f t="shared" ref="AB40:AB52" si="30">SUM(H40:AA40)</f>
        <v>0</v>
      </c>
      <c r="AC40" s="27" t="str">
        <f>IF(ABS(AB40-F40)&lt;1,"ok","err")</f>
        <v>ok</v>
      </c>
    </row>
    <row r="41" spans="1:29" x14ac:dyDescent="0.2">
      <c r="A41" s="90">
        <v>361</v>
      </c>
      <c r="B41" s="14" t="s">
        <v>53</v>
      </c>
      <c r="C41" s="14" t="s">
        <v>423</v>
      </c>
      <c r="D41" s="14" t="s">
        <v>24</v>
      </c>
      <c r="F41" s="49">
        <v>0</v>
      </c>
      <c r="H41" s="49">
        <f t="shared" ref="H41:H52" si="31">IF(VLOOKUP($D41,$C$5:$AA$492,6,)=0,0,((VLOOKUP($D41,$C$5:$AA$492,6,)/VLOOKUP($D41,$C$5:$AA$492,4,))*$F41))</f>
        <v>0</v>
      </c>
      <c r="I41" s="49">
        <f t="shared" ref="I41:I52" si="32">IF(VLOOKUP($D41,$C$5:$AA$492,7,)=0,0,((VLOOKUP($D41,$C$5:$AA$492,7,)/VLOOKUP($D41,$C$5:$AA$492,4,))*$F41))</f>
        <v>0</v>
      </c>
      <c r="J41" s="49"/>
      <c r="K41" s="49">
        <f t="shared" ref="K41:K52" si="33">IF(VLOOKUP($D41,$C$5:$AA$492,9,)=0,0,((VLOOKUP($D41,$C$5:$AA$492,9,)/VLOOKUP($D41,$C$5:$AA$492,4,))*$F41))</f>
        <v>0</v>
      </c>
      <c r="L41" s="49"/>
      <c r="M41" s="49">
        <f t="shared" si="29"/>
        <v>0</v>
      </c>
      <c r="N41" s="49"/>
      <c r="O41" s="49">
        <f t="shared" ref="O41:O52" si="34">IF(VLOOKUP($D41,$C$5:$AA$492,13,)=0,0,((VLOOKUP($D41,$C$5:$AA$492,13,)/VLOOKUP($D41,$C$5:$AA$492,4,))*$F41))</f>
        <v>0</v>
      </c>
      <c r="P41" s="49">
        <f t="shared" ref="P41:P52" si="35">IF(VLOOKUP($D41,$C$5:$AA$492,14,)=0,0,((VLOOKUP($D41,$C$5:$AA$492,14,)/VLOOKUP($D41,$C$5:$AA$492,4,))*$F41))</f>
        <v>0</v>
      </c>
      <c r="Q41" s="49"/>
      <c r="R41" s="49">
        <f t="shared" ref="R41:R52" si="36">IF(VLOOKUP($D41,$C$5:$AA$492,16,)=0,0,((VLOOKUP($D41,$C$5:$AA$492,16,)/VLOOKUP($D41,$C$5:$AA$492,4,))*$F41))</f>
        <v>0</v>
      </c>
      <c r="S41" s="49">
        <f t="shared" ref="S41:S52" si="37">IF(VLOOKUP($D41,$C$5:$AA$492,17,)=0,0,((VLOOKUP($D41,$C$5:$AA$492,17,)/VLOOKUP($D41,$C$5:$AA$492,4,))*$F41))</f>
        <v>0</v>
      </c>
      <c r="T41" s="49"/>
      <c r="U41" s="49">
        <f t="shared" ref="U41:U52" si="38">IF(VLOOKUP($D41,$C$5:$AA$492,19,)=0,0,((VLOOKUP($D41,$C$5:$AA$492,19,)/VLOOKUP($D41,$C$5:$AA$492,4,))*$F41))</f>
        <v>0</v>
      </c>
      <c r="V41" s="49"/>
      <c r="W41" s="49">
        <f t="shared" ref="W41:W52" si="39">IF(VLOOKUP($D41,$C$5:$AA$492,21,)=0,0,((VLOOKUP($D41,$C$5:$AA$492,21,)/VLOOKUP($D41,$C$5:$AA$492,4,))*$F41))</f>
        <v>0</v>
      </c>
      <c r="X41" s="49"/>
      <c r="Y41" s="49">
        <f t="shared" ref="Y41:Y52" si="40">IF(VLOOKUP($D41,$C$5:$AA$492,23,)=0,0,((VLOOKUP($D41,$C$5:$AA$492,23,)/VLOOKUP($D41,$C$5:$AA$492,4,))*$F41))</f>
        <v>0</v>
      </c>
      <c r="Z41" s="49"/>
      <c r="AA41" s="49">
        <f t="shared" ref="AA41:AA52" si="41">IF(VLOOKUP($D41,$C$5:$AA$492,25,)=0,0,((VLOOKUP($D41,$C$5:$AA$492,25,)/VLOOKUP($D41,$C$5:$AA$492,4,))*$F41))</f>
        <v>0</v>
      </c>
      <c r="AB41" s="49">
        <f t="shared" si="30"/>
        <v>0</v>
      </c>
      <c r="AC41" s="27" t="str">
        <f t="shared" ref="AC41:AC52" si="42">IF(ABS(AB41-F41)&lt;1,"ok","err")</f>
        <v>ok</v>
      </c>
    </row>
    <row r="42" spans="1:29" x14ac:dyDescent="0.2">
      <c r="A42" s="90">
        <v>362</v>
      </c>
      <c r="B42" s="14" t="s">
        <v>22</v>
      </c>
      <c r="C42" s="14" t="s">
        <v>23</v>
      </c>
      <c r="D42" s="14" t="s">
        <v>24</v>
      </c>
      <c r="F42" s="49">
        <f>1400212.39+845540.94</f>
        <v>2245753.33</v>
      </c>
      <c r="G42" s="47"/>
      <c r="H42" s="49">
        <f t="shared" si="31"/>
        <v>0</v>
      </c>
      <c r="I42" s="49">
        <f t="shared" si="32"/>
        <v>0</v>
      </c>
      <c r="J42" s="49"/>
      <c r="K42" s="49">
        <f t="shared" si="33"/>
        <v>0</v>
      </c>
      <c r="L42" s="49"/>
      <c r="M42" s="49">
        <f t="shared" si="29"/>
        <v>2245753.33</v>
      </c>
      <c r="N42" s="49"/>
      <c r="O42" s="49">
        <f t="shared" si="34"/>
        <v>0</v>
      </c>
      <c r="P42" s="49">
        <f t="shared" si="35"/>
        <v>0</v>
      </c>
      <c r="Q42" s="49"/>
      <c r="R42" s="49">
        <f t="shared" si="36"/>
        <v>0</v>
      </c>
      <c r="S42" s="49">
        <f t="shared" si="37"/>
        <v>0</v>
      </c>
      <c r="T42" s="49"/>
      <c r="U42" s="49">
        <f t="shared" si="38"/>
        <v>0</v>
      </c>
      <c r="V42" s="49"/>
      <c r="W42" s="49">
        <f t="shared" si="39"/>
        <v>0</v>
      </c>
      <c r="X42" s="49"/>
      <c r="Y42" s="49">
        <f t="shared" si="40"/>
        <v>0</v>
      </c>
      <c r="Z42" s="49"/>
      <c r="AA42" s="49">
        <f t="shared" si="41"/>
        <v>0</v>
      </c>
      <c r="AB42" s="49">
        <f t="shared" si="30"/>
        <v>2245753.33</v>
      </c>
      <c r="AC42" s="27" t="str">
        <f t="shared" si="42"/>
        <v>ok</v>
      </c>
    </row>
    <row r="43" spans="1:29" x14ac:dyDescent="0.2">
      <c r="A43" s="90">
        <v>364</v>
      </c>
      <c r="B43" s="14" t="s">
        <v>25</v>
      </c>
      <c r="C43" s="14" t="s">
        <v>26</v>
      </c>
      <c r="D43" s="14" t="s">
        <v>27</v>
      </c>
      <c r="F43" s="49">
        <v>86554532.010000005</v>
      </c>
      <c r="G43" s="47"/>
      <c r="H43" s="49">
        <f t="shared" si="31"/>
        <v>0</v>
      </c>
      <c r="I43" s="49">
        <f t="shared" si="32"/>
        <v>0</v>
      </c>
      <c r="J43" s="49"/>
      <c r="K43" s="49">
        <f t="shared" si="33"/>
        <v>0</v>
      </c>
      <c r="L43" s="49"/>
      <c r="M43" s="49">
        <f t="shared" si="29"/>
        <v>0</v>
      </c>
      <c r="N43" s="49"/>
      <c r="O43" s="49">
        <f t="shared" si="34"/>
        <v>57767923.380794629</v>
      </c>
      <c r="P43" s="49">
        <f t="shared" si="35"/>
        <v>28786608.629205372</v>
      </c>
      <c r="Q43" s="49"/>
      <c r="R43" s="49">
        <f t="shared" si="36"/>
        <v>0</v>
      </c>
      <c r="S43" s="49">
        <f t="shared" si="37"/>
        <v>0</v>
      </c>
      <c r="T43" s="49"/>
      <c r="U43" s="49">
        <f t="shared" si="38"/>
        <v>0</v>
      </c>
      <c r="V43" s="49"/>
      <c r="W43" s="49">
        <f t="shared" si="39"/>
        <v>0</v>
      </c>
      <c r="X43" s="49"/>
      <c r="Y43" s="49">
        <f t="shared" si="40"/>
        <v>0</v>
      </c>
      <c r="Z43" s="49"/>
      <c r="AA43" s="49">
        <f t="shared" si="41"/>
        <v>0</v>
      </c>
      <c r="AB43" s="49">
        <f t="shared" si="30"/>
        <v>86554532.010000005</v>
      </c>
      <c r="AC43" s="27" t="str">
        <f t="shared" si="42"/>
        <v>ok</v>
      </c>
    </row>
    <row r="44" spans="1:29" x14ac:dyDescent="0.2">
      <c r="A44" s="90">
        <v>365</v>
      </c>
      <c r="B44" s="14" t="s">
        <v>28</v>
      </c>
      <c r="C44" s="14" t="s">
        <v>29</v>
      </c>
      <c r="D44" s="14" t="s">
        <v>30</v>
      </c>
      <c r="F44" s="49">
        <v>78563487.349999994</v>
      </c>
      <c r="G44" s="47"/>
      <c r="H44" s="49">
        <f t="shared" si="31"/>
        <v>0</v>
      </c>
      <c r="I44" s="49">
        <f t="shared" si="32"/>
        <v>0</v>
      </c>
      <c r="J44" s="49"/>
      <c r="K44" s="49">
        <f t="shared" si="33"/>
        <v>0</v>
      </c>
      <c r="L44" s="49"/>
      <c r="M44" s="49">
        <f t="shared" si="29"/>
        <v>0</v>
      </c>
      <c r="N44" s="49"/>
      <c r="O44" s="49">
        <f t="shared" si="34"/>
        <v>52434568.270076044</v>
      </c>
      <c r="P44" s="49">
        <f t="shared" si="35"/>
        <v>26128919.079923943</v>
      </c>
      <c r="Q44" s="49"/>
      <c r="R44" s="49">
        <f t="shared" si="36"/>
        <v>0</v>
      </c>
      <c r="S44" s="49">
        <f t="shared" si="37"/>
        <v>0</v>
      </c>
      <c r="T44" s="49"/>
      <c r="U44" s="49">
        <f t="shared" si="38"/>
        <v>0</v>
      </c>
      <c r="V44" s="49"/>
      <c r="W44" s="49">
        <f t="shared" si="39"/>
        <v>0</v>
      </c>
      <c r="X44" s="49"/>
      <c r="Y44" s="49">
        <f t="shared" si="40"/>
        <v>0</v>
      </c>
      <c r="Z44" s="49"/>
      <c r="AA44" s="49">
        <f t="shared" si="41"/>
        <v>0</v>
      </c>
      <c r="AB44" s="49">
        <f t="shared" si="30"/>
        <v>78563487.349999994</v>
      </c>
      <c r="AC44" s="27" t="str">
        <f t="shared" si="42"/>
        <v>ok</v>
      </c>
    </row>
    <row r="45" spans="1:29" x14ac:dyDescent="0.2">
      <c r="A45" s="90">
        <v>366</v>
      </c>
      <c r="B45" s="14" t="s">
        <v>31</v>
      </c>
      <c r="C45" s="14" t="s">
        <v>32</v>
      </c>
      <c r="D45" s="14" t="s">
        <v>33</v>
      </c>
      <c r="F45" s="49">
        <v>0</v>
      </c>
      <c r="G45" s="47"/>
      <c r="H45" s="49">
        <f t="shared" si="31"/>
        <v>0</v>
      </c>
      <c r="I45" s="49">
        <f t="shared" si="32"/>
        <v>0</v>
      </c>
      <c r="J45" s="49"/>
      <c r="K45" s="49">
        <f t="shared" si="33"/>
        <v>0</v>
      </c>
      <c r="L45" s="49"/>
      <c r="M45" s="49">
        <f t="shared" si="29"/>
        <v>0</v>
      </c>
      <c r="N45" s="49"/>
      <c r="O45" s="49">
        <f t="shared" si="34"/>
        <v>0</v>
      </c>
      <c r="P45" s="49">
        <f t="shared" si="35"/>
        <v>0</v>
      </c>
      <c r="Q45" s="49"/>
      <c r="R45" s="49">
        <f t="shared" si="36"/>
        <v>0</v>
      </c>
      <c r="S45" s="49">
        <f t="shared" si="37"/>
        <v>0</v>
      </c>
      <c r="T45" s="49"/>
      <c r="U45" s="49">
        <f t="shared" si="38"/>
        <v>0</v>
      </c>
      <c r="V45" s="49"/>
      <c r="W45" s="49">
        <f t="shared" si="39"/>
        <v>0</v>
      </c>
      <c r="X45" s="49"/>
      <c r="Y45" s="49">
        <f t="shared" si="40"/>
        <v>0</v>
      </c>
      <c r="Z45" s="49"/>
      <c r="AA45" s="49">
        <f t="shared" si="41"/>
        <v>0</v>
      </c>
      <c r="AB45" s="49">
        <f t="shared" si="30"/>
        <v>0</v>
      </c>
      <c r="AC45" s="27" t="str">
        <f t="shared" si="42"/>
        <v>ok</v>
      </c>
    </row>
    <row r="46" spans="1:29" x14ac:dyDescent="0.2">
      <c r="A46" s="90">
        <v>367</v>
      </c>
      <c r="B46" s="14" t="s">
        <v>34</v>
      </c>
      <c r="C46" s="14" t="s">
        <v>35</v>
      </c>
      <c r="D46" s="14" t="s">
        <v>33</v>
      </c>
      <c r="F46" s="49">
        <v>28167140.829999998</v>
      </c>
      <c r="G46" s="47"/>
      <c r="H46" s="49">
        <f t="shared" si="31"/>
        <v>0</v>
      </c>
      <c r="I46" s="49">
        <f t="shared" si="32"/>
        <v>0</v>
      </c>
      <c r="J46" s="49"/>
      <c r="K46" s="49">
        <f t="shared" si="33"/>
        <v>0</v>
      </c>
      <c r="L46" s="49"/>
      <c r="M46" s="49">
        <f t="shared" si="29"/>
        <v>0</v>
      </c>
      <c r="N46" s="49"/>
      <c r="O46" s="49">
        <f t="shared" si="34"/>
        <v>13744469.611667905</v>
      </c>
      <c r="P46" s="49">
        <f t="shared" si="35"/>
        <v>14422671.218332093</v>
      </c>
      <c r="Q46" s="49"/>
      <c r="R46" s="49">
        <f t="shared" si="36"/>
        <v>0</v>
      </c>
      <c r="S46" s="49">
        <f t="shared" si="37"/>
        <v>0</v>
      </c>
      <c r="T46" s="49"/>
      <c r="U46" s="49">
        <f t="shared" si="38"/>
        <v>0</v>
      </c>
      <c r="V46" s="49"/>
      <c r="W46" s="49">
        <f t="shared" si="39"/>
        <v>0</v>
      </c>
      <c r="X46" s="49"/>
      <c r="Y46" s="49">
        <f t="shared" si="40"/>
        <v>0</v>
      </c>
      <c r="Z46" s="49"/>
      <c r="AA46" s="49">
        <f t="shared" si="41"/>
        <v>0</v>
      </c>
      <c r="AB46" s="49">
        <f t="shared" si="30"/>
        <v>28167140.829999998</v>
      </c>
      <c r="AC46" s="27" t="str">
        <f t="shared" si="42"/>
        <v>ok</v>
      </c>
    </row>
    <row r="47" spans="1:29" x14ac:dyDescent="0.2">
      <c r="A47" s="90">
        <v>368</v>
      </c>
      <c r="B47" s="14" t="s">
        <v>36</v>
      </c>
      <c r="C47" s="14" t="s">
        <v>37</v>
      </c>
      <c r="D47" s="14" t="s">
        <v>38</v>
      </c>
      <c r="F47" s="49">
        <f>31174402.19+20280846.59</f>
        <v>51455248.780000001</v>
      </c>
      <c r="G47" s="47"/>
      <c r="H47" s="49">
        <f t="shared" si="31"/>
        <v>0</v>
      </c>
      <c r="I47" s="49">
        <f t="shared" si="32"/>
        <v>0</v>
      </c>
      <c r="J47" s="49"/>
      <c r="K47" s="49">
        <f t="shared" si="33"/>
        <v>0</v>
      </c>
      <c r="L47" s="49"/>
      <c r="M47" s="49">
        <f t="shared" si="29"/>
        <v>0</v>
      </c>
      <c r="N47" s="49"/>
      <c r="O47" s="49">
        <f t="shared" si="34"/>
        <v>22436369.045788687</v>
      </c>
      <c r="P47" s="49">
        <f t="shared" si="35"/>
        <v>29018879.734211314</v>
      </c>
      <c r="Q47" s="49"/>
      <c r="R47" s="49">
        <f t="shared" si="36"/>
        <v>0</v>
      </c>
      <c r="S47" s="49">
        <f t="shared" si="37"/>
        <v>0</v>
      </c>
      <c r="T47" s="49"/>
      <c r="U47" s="49">
        <f t="shared" si="38"/>
        <v>0</v>
      </c>
      <c r="V47" s="49"/>
      <c r="W47" s="49">
        <f t="shared" si="39"/>
        <v>0</v>
      </c>
      <c r="X47" s="49"/>
      <c r="Y47" s="49">
        <f t="shared" si="40"/>
        <v>0</v>
      </c>
      <c r="Z47" s="49"/>
      <c r="AA47" s="49">
        <f t="shared" si="41"/>
        <v>0</v>
      </c>
      <c r="AB47" s="49">
        <f t="shared" si="30"/>
        <v>51455248.780000001</v>
      </c>
      <c r="AC47" s="27" t="str">
        <f t="shared" si="42"/>
        <v>ok</v>
      </c>
    </row>
    <row r="48" spans="1:29" x14ac:dyDescent="0.2">
      <c r="A48" s="90">
        <v>369</v>
      </c>
      <c r="B48" s="14" t="s">
        <v>39</v>
      </c>
      <c r="C48" s="14" t="s">
        <v>40</v>
      </c>
      <c r="D48" s="14" t="s">
        <v>41</v>
      </c>
      <c r="F48" s="49">
        <f>11530048.24+29497411.63</f>
        <v>41027459.869999997</v>
      </c>
      <c r="G48" s="47"/>
      <c r="H48" s="49">
        <f t="shared" si="31"/>
        <v>0</v>
      </c>
      <c r="I48" s="49">
        <f t="shared" si="32"/>
        <v>0</v>
      </c>
      <c r="J48" s="49"/>
      <c r="K48" s="49">
        <f t="shared" si="33"/>
        <v>0</v>
      </c>
      <c r="L48" s="49"/>
      <c r="M48" s="49">
        <f t="shared" si="29"/>
        <v>0</v>
      </c>
      <c r="N48" s="49"/>
      <c r="O48" s="49">
        <f t="shared" si="34"/>
        <v>0</v>
      </c>
      <c r="P48" s="49">
        <f t="shared" si="35"/>
        <v>0</v>
      </c>
      <c r="Q48" s="49"/>
      <c r="R48" s="49">
        <f t="shared" si="36"/>
        <v>0</v>
      </c>
      <c r="S48" s="49">
        <f t="shared" si="37"/>
        <v>41027459.869999997</v>
      </c>
      <c r="T48" s="49"/>
      <c r="U48" s="49">
        <f t="shared" si="38"/>
        <v>0</v>
      </c>
      <c r="V48" s="49"/>
      <c r="W48" s="49">
        <f t="shared" si="39"/>
        <v>0</v>
      </c>
      <c r="X48" s="49"/>
      <c r="Y48" s="49">
        <f t="shared" si="40"/>
        <v>0</v>
      </c>
      <c r="Z48" s="49"/>
      <c r="AA48" s="49">
        <f t="shared" si="41"/>
        <v>0</v>
      </c>
      <c r="AB48" s="49">
        <f t="shared" si="30"/>
        <v>41027459.869999997</v>
      </c>
      <c r="AC48" s="27" t="str">
        <f t="shared" si="42"/>
        <v>ok</v>
      </c>
    </row>
    <row r="49" spans="1:30" x14ac:dyDescent="0.2">
      <c r="A49" s="90">
        <v>370</v>
      </c>
      <c r="B49" s="14" t="s">
        <v>42</v>
      </c>
      <c r="C49" s="14" t="s">
        <v>43</v>
      </c>
      <c r="D49" s="14" t="s">
        <v>44</v>
      </c>
      <c r="F49" s="49">
        <f>742327.98+15204093.34</f>
        <v>15946421.32</v>
      </c>
      <c r="G49" s="47"/>
      <c r="H49" s="49">
        <f t="shared" si="31"/>
        <v>0</v>
      </c>
      <c r="I49" s="49">
        <f t="shared" si="32"/>
        <v>0</v>
      </c>
      <c r="J49" s="49"/>
      <c r="K49" s="49">
        <f t="shared" si="33"/>
        <v>0</v>
      </c>
      <c r="L49" s="49"/>
      <c r="M49" s="49">
        <f t="shared" si="29"/>
        <v>0</v>
      </c>
      <c r="N49" s="49"/>
      <c r="O49" s="49">
        <f t="shared" si="34"/>
        <v>0</v>
      </c>
      <c r="P49" s="49">
        <f t="shared" si="35"/>
        <v>0</v>
      </c>
      <c r="Q49" s="49"/>
      <c r="R49" s="49">
        <f t="shared" si="36"/>
        <v>0</v>
      </c>
      <c r="S49" s="49">
        <f t="shared" si="37"/>
        <v>0</v>
      </c>
      <c r="T49" s="49"/>
      <c r="U49" s="49">
        <f t="shared" si="38"/>
        <v>15946421.32</v>
      </c>
      <c r="V49" s="49"/>
      <c r="W49" s="49">
        <f t="shared" si="39"/>
        <v>0</v>
      </c>
      <c r="X49" s="49"/>
      <c r="Y49" s="49">
        <f t="shared" si="40"/>
        <v>0</v>
      </c>
      <c r="Z49" s="49"/>
      <c r="AA49" s="49">
        <f t="shared" si="41"/>
        <v>0</v>
      </c>
      <c r="AB49" s="49">
        <f t="shared" si="30"/>
        <v>15946421.32</v>
      </c>
      <c r="AC49" s="27" t="str">
        <f t="shared" si="42"/>
        <v>ok</v>
      </c>
    </row>
    <row r="50" spans="1:30" x14ac:dyDescent="0.2">
      <c r="A50" s="90">
        <v>371</v>
      </c>
      <c r="B50" s="14" t="s">
        <v>45</v>
      </c>
      <c r="C50" s="14" t="s">
        <v>46</v>
      </c>
      <c r="D50" s="14" t="s">
        <v>545</v>
      </c>
      <c r="F50" s="49">
        <f>10768993.81</f>
        <v>10768993.810000001</v>
      </c>
      <c r="G50" s="47"/>
      <c r="H50" s="49">
        <f t="shared" si="31"/>
        <v>0</v>
      </c>
      <c r="I50" s="49">
        <f t="shared" si="32"/>
        <v>0</v>
      </c>
      <c r="J50" s="49"/>
      <c r="K50" s="49">
        <f t="shared" si="33"/>
        <v>0</v>
      </c>
      <c r="L50" s="49"/>
      <c r="M50" s="49">
        <f t="shared" si="29"/>
        <v>0</v>
      </c>
      <c r="N50" s="49"/>
      <c r="O50" s="49">
        <f t="shared" si="34"/>
        <v>0</v>
      </c>
      <c r="P50" s="49">
        <f t="shared" si="35"/>
        <v>0</v>
      </c>
      <c r="Q50" s="49"/>
      <c r="R50" s="49">
        <f t="shared" si="36"/>
        <v>0</v>
      </c>
      <c r="S50" s="49">
        <f t="shared" si="37"/>
        <v>0</v>
      </c>
      <c r="T50" s="49"/>
      <c r="U50" s="49">
        <f t="shared" si="38"/>
        <v>0</v>
      </c>
      <c r="V50" s="49"/>
      <c r="W50" s="49">
        <f t="shared" si="39"/>
        <v>10768993.810000001</v>
      </c>
      <c r="X50" s="49"/>
      <c r="Y50" s="49">
        <f t="shared" si="40"/>
        <v>0</v>
      </c>
      <c r="Z50" s="49"/>
      <c r="AA50" s="49">
        <f t="shared" si="41"/>
        <v>0</v>
      </c>
      <c r="AB50" s="49">
        <f t="shared" si="30"/>
        <v>10768993.810000001</v>
      </c>
      <c r="AC50" s="27" t="str">
        <f t="shared" si="42"/>
        <v>ok</v>
      </c>
    </row>
    <row r="51" spans="1:30" x14ac:dyDescent="0.2">
      <c r="A51" s="90">
        <v>372</v>
      </c>
      <c r="B51" s="14" t="s">
        <v>573</v>
      </c>
      <c r="C51" s="14" t="s">
        <v>574</v>
      </c>
      <c r="D51" s="14" t="s">
        <v>545</v>
      </c>
      <c r="F51" s="49"/>
      <c r="G51" s="47"/>
      <c r="H51" s="49">
        <f t="shared" si="31"/>
        <v>0</v>
      </c>
      <c r="I51" s="49">
        <f t="shared" si="32"/>
        <v>0</v>
      </c>
      <c r="J51" s="49"/>
      <c r="K51" s="49">
        <f t="shared" si="33"/>
        <v>0</v>
      </c>
      <c r="L51" s="49"/>
      <c r="M51" s="49">
        <f t="shared" si="29"/>
        <v>0</v>
      </c>
      <c r="N51" s="49"/>
      <c r="O51" s="49">
        <f t="shared" si="34"/>
        <v>0</v>
      </c>
      <c r="P51" s="49">
        <f t="shared" si="35"/>
        <v>0</v>
      </c>
      <c r="Q51" s="49"/>
      <c r="R51" s="49">
        <f t="shared" si="36"/>
        <v>0</v>
      </c>
      <c r="S51" s="49">
        <f t="shared" si="37"/>
        <v>0</v>
      </c>
      <c r="T51" s="49"/>
      <c r="U51" s="49">
        <f t="shared" si="38"/>
        <v>0</v>
      </c>
      <c r="V51" s="49"/>
      <c r="W51" s="49">
        <f t="shared" si="39"/>
        <v>0</v>
      </c>
      <c r="X51" s="49"/>
      <c r="Y51" s="49">
        <f t="shared" si="40"/>
        <v>0</v>
      </c>
      <c r="Z51" s="49"/>
      <c r="AA51" s="49">
        <f t="shared" si="41"/>
        <v>0</v>
      </c>
      <c r="AB51" s="49">
        <f t="shared" si="30"/>
        <v>0</v>
      </c>
      <c r="AC51" s="27" t="str">
        <f t="shared" si="42"/>
        <v>ok</v>
      </c>
    </row>
    <row r="52" spans="1:30" x14ac:dyDescent="0.2">
      <c r="A52" s="90">
        <v>373</v>
      </c>
      <c r="B52" s="14" t="s">
        <v>47</v>
      </c>
      <c r="C52" s="14" t="s">
        <v>48</v>
      </c>
      <c r="D52" s="14" t="s">
        <v>49</v>
      </c>
      <c r="F52" s="49">
        <v>5357188.67</v>
      </c>
      <c r="H52" s="49">
        <f t="shared" si="31"/>
        <v>0</v>
      </c>
      <c r="I52" s="49">
        <f t="shared" si="32"/>
        <v>0</v>
      </c>
      <c r="J52" s="49"/>
      <c r="K52" s="49">
        <f t="shared" si="33"/>
        <v>0</v>
      </c>
      <c r="L52" s="49"/>
      <c r="M52" s="49">
        <f t="shared" si="29"/>
        <v>0</v>
      </c>
      <c r="N52" s="49"/>
      <c r="O52" s="49">
        <f t="shared" si="34"/>
        <v>0</v>
      </c>
      <c r="P52" s="49">
        <f t="shared" si="35"/>
        <v>0</v>
      </c>
      <c r="Q52" s="49"/>
      <c r="R52" s="49">
        <f t="shared" si="36"/>
        <v>0</v>
      </c>
      <c r="S52" s="49">
        <f t="shared" si="37"/>
        <v>0</v>
      </c>
      <c r="T52" s="49"/>
      <c r="U52" s="49">
        <f t="shared" si="38"/>
        <v>0</v>
      </c>
      <c r="V52" s="49"/>
      <c r="W52" s="49">
        <f t="shared" si="39"/>
        <v>5357188.67</v>
      </c>
      <c r="X52" s="49"/>
      <c r="Y52" s="49">
        <f t="shared" si="40"/>
        <v>0</v>
      </c>
      <c r="Z52" s="49"/>
      <c r="AA52" s="49">
        <f t="shared" si="41"/>
        <v>0</v>
      </c>
      <c r="AB52" s="49">
        <f t="shared" si="30"/>
        <v>5357188.67</v>
      </c>
      <c r="AC52" s="27" t="str">
        <f t="shared" si="42"/>
        <v>ok</v>
      </c>
    </row>
    <row r="53" spans="1:30" x14ac:dyDescent="0.2">
      <c r="A53" s="90"/>
      <c r="F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27"/>
    </row>
    <row r="54" spans="1:30" x14ac:dyDescent="0.2">
      <c r="B54" s="14" t="s">
        <v>50</v>
      </c>
      <c r="C54" s="14" t="s">
        <v>16</v>
      </c>
      <c r="F54" s="66">
        <f>SUM(F40:F53)</f>
        <v>320086225.96999997</v>
      </c>
      <c r="G54" s="34"/>
      <c r="H54" s="66">
        <f>SUM(H40:H53)</f>
        <v>0</v>
      </c>
      <c r="I54" s="66">
        <f>SUM(I40:I53)</f>
        <v>0</v>
      </c>
      <c r="J54" s="66"/>
      <c r="K54" s="66"/>
      <c r="L54" s="66">
        <f>SUM(L40:L53)</f>
        <v>0</v>
      </c>
      <c r="M54" s="66">
        <f>SUM(M40:M53)</f>
        <v>2245753.33</v>
      </c>
      <c r="N54" s="66"/>
      <c r="O54" s="66">
        <f>SUM(O40:O53)</f>
        <v>146383330.30832726</v>
      </c>
      <c r="P54" s="66">
        <f>SUM(P40:P53)</f>
        <v>98357078.661672726</v>
      </c>
      <c r="Q54" s="66"/>
      <c r="R54" s="66">
        <f>SUM(R40:R52)</f>
        <v>0</v>
      </c>
      <c r="S54" s="66">
        <f>SUM(S40:S52)</f>
        <v>41027459.869999997</v>
      </c>
      <c r="T54" s="66"/>
      <c r="U54" s="66">
        <f>SUM(U40:U52)</f>
        <v>15946421.32</v>
      </c>
      <c r="V54" s="66"/>
      <c r="W54" s="66">
        <f>SUM(W40:W52)</f>
        <v>16126182.48</v>
      </c>
      <c r="X54" s="66"/>
      <c r="Y54" s="66">
        <f>SUM(Y40:Y52)</f>
        <v>0</v>
      </c>
      <c r="Z54" s="66"/>
      <c r="AA54" s="66">
        <f>SUM(AA40:AA52)</f>
        <v>0</v>
      </c>
      <c r="AB54" s="49">
        <f>SUM(H54:AA54)</f>
        <v>320086225.97000003</v>
      </c>
      <c r="AC54" s="27" t="str">
        <f>IF(ABS(AB54-F54)&lt;1,"ok","err")</f>
        <v>ok</v>
      </c>
      <c r="AD54" s="34"/>
    </row>
    <row r="55" spans="1:30" x14ac:dyDescent="0.2">
      <c r="Q55" s="14"/>
      <c r="AC55" s="27"/>
      <c r="AD55" s="34"/>
    </row>
    <row r="56" spans="1:30" x14ac:dyDescent="0.2">
      <c r="B56" s="14" t="s">
        <v>750</v>
      </c>
      <c r="C56" s="14" t="s">
        <v>391</v>
      </c>
      <c r="F56" s="89">
        <f t="shared" ref="F56:M56" si="43">F35+F54</f>
        <v>320086225.96999997</v>
      </c>
      <c r="G56" s="89"/>
      <c r="H56" s="89">
        <f t="shared" si="43"/>
        <v>0</v>
      </c>
      <c r="I56" s="89">
        <f t="shared" si="43"/>
        <v>0</v>
      </c>
      <c r="J56" s="89">
        <f t="shared" si="43"/>
        <v>0</v>
      </c>
      <c r="K56" s="89">
        <f t="shared" si="43"/>
        <v>0</v>
      </c>
      <c r="L56" s="89">
        <f t="shared" si="43"/>
        <v>0</v>
      </c>
      <c r="M56" s="89">
        <f t="shared" si="43"/>
        <v>2245753.33</v>
      </c>
      <c r="N56" s="89"/>
      <c r="O56" s="89">
        <f t="shared" ref="O56:AA56" si="44">O35+O54</f>
        <v>146383330.30832726</v>
      </c>
      <c r="P56" s="89">
        <f t="shared" si="44"/>
        <v>98357078.661672726</v>
      </c>
      <c r="Q56" s="89">
        <f t="shared" si="44"/>
        <v>0</v>
      </c>
      <c r="R56" s="89">
        <f t="shared" si="44"/>
        <v>0</v>
      </c>
      <c r="S56" s="89">
        <f t="shared" si="44"/>
        <v>41027459.869999997</v>
      </c>
      <c r="T56" s="89">
        <f t="shared" si="44"/>
        <v>0</v>
      </c>
      <c r="U56" s="89">
        <f t="shared" si="44"/>
        <v>15946421.32</v>
      </c>
      <c r="V56" s="89">
        <f t="shared" si="44"/>
        <v>0</v>
      </c>
      <c r="W56" s="89">
        <f t="shared" si="44"/>
        <v>16126182.48</v>
      </c>
      <c r="X56" s="89">
        <f t="shared" si="44"/>
        <v>0</v>
      </c>
      <c r="Y56" s="89">
        <f t="shared" si="44"/>
        <v>0</v>
      </c>
      <c r="Z56" s="89">
        <f t="shared" si="44"/>
        <v>0</v>
      </c>
      <c r="AA56" s="89">
        <f t="shared" si="44"/>
        <v>0</v>
      </c>
      <c r="AB56" s="49">
        <f>SUM(H56:AA56)</f>
        <v>320086225.97000003</v>
      </c>
      <c r="AC56" s="27" t="str">
        <f>IF(ABS(AB56-F56)&lt;1,"ok","err")</f>
        <v>ok</v>
      </c>
      <c r="AD56" s="34"/>
    </row>
    <row r="57" spans="1:30" x14ac:dyDescent="0.2">
      <c r="Q57" s="14"/>
      <c r="AC57" s="27"/>
    </row>
    <row r="58" spans="1:30" x14ac:dyDescent="0.2">
      <c r="B58" s="14" t="s">
        <v>783</v>
      </c>
      <c r="C58" s="14" t="s">
        <v>784</v>
      </c>
      <c r="F58" s="89">
        <f>F56+F24</f>
        <v>320086225.96999997</v>
      </c>
      <c r="H58" s="89">
        <f t="shared" ref="H58:Y58" si="45">H56+H24</f>
        <v>0</v>
      </c>
      <c r="I58" s="89">
        <f t="shared" si="45"/>
        <v>0</v>
      </c>
      <c r="J58" s="89">
        <f t="shared" si="45"/>
        <v>0</v>
      </c>
      <c r="K58" s="89">
        <f t="shared" si="45"/>
        <v>0</v>
      </c>
      <c r="L58" s="89">
        <f t="shared" si="45"/>
        <v>0</v>
      </c>
      <c r="M58" s="89">
        <f t="shared" si="45"/>
        <v>2245753.33</v>
      </c>
      <c r="N58" s="89"/>
      <c r="O58" s="89">
        <f t="shared" si="45"/>
        <v>146383330.30832726</v>
      </c>
      <c r="P58" s="89">
        <f t="shared" si="45"/>
        <v>98357078.661672726</v>
      </c>
      <c r="Q58" s="89">
        <f t="shared" si="45"/>
        <v>0</v>
      </c>
      <c r="R58" s="89">
        <f t="shared" si="45"/>
        <v>0</v>
      </c>
      <c r="S58" s="89">
        <f t="shared" si="45"/>
        <v>41027459.869999997</v>
      </c>
      <c r="T58" s="89">
        <f t="shared" si="45"/>
        <v>0</v>
      </c>
      <c r="U58" s="89">
        <f t="shared" si="45"/>
        <v>15946421.32</v>
      </c>
      <c r="V58" s="89">
        <f t="shared" si="45"/>
        <v>0</v>
      </c>
      <c r="W58" s="89">
        <f t="shared" si="45"/>
        <v>16126182.48</v>
      </c>
      <c r="X58" s="89">
        <f t="shared" si="45"/>
        <v>0</v>
      </c>
      <c r="Y58" s="89">
        <f t="shared" si="45"/>
        <v>0</v>
      </c>
      <c r="AA58" s="89">
        <f>AA56+AA24</f>
        <v>0</v>
      </c>
      <c r="AB58" s="49">
        <f>SUM(H58:AA58)</f>
        <v>320086225.97000003</v>
      </c>
      <c r="AC58" s="27" t="str">
        <f>IF(ABS(AB58-F58)&lt;1,"ok","err")</f>
        <v>ok</v>
      </c>
    </row>
    <row r="59" spans="1:30" x14ac:dyDescent="0.2">
      <c r="Q59" s="14"/>
      <c r="AC59" s="27"/>
    </row>
    <row r="60" spans="1:30" x14ac:dyDescent="0.2">
      <c r="A60" s="25" t="s">
        <v>364</v>
      </c>
      <c r="Q60" s="14"/>
      <c r="AC60" s="27"/>
    </row>
    <row r="61" spans="1:30" x14ac:dyDescent="0.2">
      <c r="Q61" s="14"/>
      <c r="AC61" s="27"/>
    </row>
    <row r="62" spans="1:30" x14ac:dyDescent="0.2">
      <c r="A62" s="25" t="s">
        <v>51</v>
      </c>
      <c r="Q62" s="14"/>
      <c r="AC62" s="27"/>
    </row>
    <row r="63" spans="1:30" x14ac:dyDescent="0.2">
      <c r="A63" s="90">
        <v>389</v>
      </c>
      <c r="B63" s="14" t="s">
        <v>17</v>
      </c>
      <c r="C63" s="14" t="s">
        <v>52</v>
      </c>
      <c r="D63" s="14" t="s">
        <v>391</v>
      </c>
      <c r="F63" s="66">
        <v>644267.13</v>
      </c>
      <c r="H63" s="49">
        <f t="shared" ref="H63:H73" si="46">IF(VLOOKUP($D63,$C$5:$AA$492,6,)=0,0,((VLOOKUP($D63,$C$5:$AA$492,6,)/VLOOKUP($D63,$C$5:$AA$492,4,))*$F63))</f>
        <v>0</v>
      </c>
      <c r="I63" s="49">
        <f t="shared" ref="I63:I73" si="47">IF(VLOOKUP($D63,$C$5:$AA$492,7,)=0,0,((VLOOKUP($D63,$C$5:$AA$492,7,)/VLOOKUP($D63,$C$5:$AA$492,4,))*$F63))</f>
        <v>0</v>
      </c>
      <c r="J63" s="49"/>
      <c r="K63" s="49">
        <f t="shared" ref="K63:K73" si="48">IF(VLOOKUP($D63,$C$5:$AA$492,9,)=0,0,((VLOOKUP($D63,$C$5:$AA$492,9,)/VLOOKUP($D63,$C$5:$AA$492,4,))*$F63))</f>
        <v>0</v>
      </c>
      <c r="L63" s="49"/>
      <c r="M63" s="49">
        <f t="shared" ref="M63:M73" si="49">IF(VLOOKUP($D63,$C$5:$AA$492,11,)=0,0,((VLOOKUP($D63,$C$5:$AA$492,11,)/VLOOKUP($D63,$C$5:$AA$492,4,))*$F63))</f>
        <v>4520.2352841719912</v>
      </c>
      <c r="N63" s="49"/>
      <c r="O63" s="49">
        <f t="shared" ref="O63:O73" si="50">IF(VLOOKUP($D63,$C$5:$AA$492,13,)=0,0,((VLOOKUP($D63,$C$5:$AA$492,13,)/VLOOKUP($D63,$C$5:$AA$492,4,))*$F63))</f>
        <v>294639.25794303691</v>
      </c>
      <c r="P63" s="49">
        <f t="shared" ref="P63:P73" si="51">IF(VLOOKUP($D63,$C$5:$AA$492,14,)=0,0,((VLOOKUP($D63,$C$5:$AA$492,14,)/VLOOKUP($D63,$C$5:$AA$492,4,))*$F63))</f>
        <v>197972.38257443576</v>
      </c>
      <c r="Q63" s="49"/>
      <c r="R63" s="49">
        <f t="shared" ref="R63:R73" si="52">IF(VLOOKUP($D63,$C$5:$AA$492,16,)=0,0,((VLOOKUP($D63,$C$5:$AA$492,16,)/VLOOKUP($D63,$C$5:$AA$492,4,))*$F63))</f>
        <v>0</v>
      </c>
      <c r="S63" s="49">
        <f t="shared" ref="S63:S73" si="53">IF(VLOOKUP($D63,$C$5:$AA$492,17,)=0,0,((VLOOKUP($D63,$C$5:$AA$492,17,)/VLOOKUP($D63,$C$5:$AA$492,4,))*$F63))</f>
        <v>82579.760317810316</v>
      </c>
      <c r="T63" s="49"/>
      <c r="U63" s="49">
        <f t="shared" ref="U63:U73" si="54">IF(VLOOKUP($D63,$C$5:$AA$492,19,)=0,0,((VLOOKUP($D63,$C$5:$AA$492,19,)/VLOOKUP($D63,$C$5:$AA$492,4,))*$F63))</f>
        <v>32096.835989968899</v>
      </c>
      <c r="V63" s="49"/>
      <c r="W63" s="49">
        <f t="shared" ref="W63:W73" si="55">IF(VLOOKUP($D63,$C$5:$AA$492,21,)=0,0,((VLOOKUP($D63,$C$5:$AA$492,21,)/VLOOKUP($D63,$C$5:$AA$492,4,))*$F63))</f>
        <v>32458.657890576156</v>
      </c>
      <c r="X63" s="49"/>
      <c r="Y63" s="49">
        <f t="shared" ref="Y63:Y73" si="56">IF(VLOOKUP($D63,$C$5:$AA$492,23,)=0,0,((VLOOKUP($D63,$C$5:$AA$492,23,)/VLOOKUP($D63,$C$5:$AA$492,4,))*$F63))</f>
        <v>0</v>
      </c>
      <c r="Z63" s="49"/>
      <c r="AA63" s="49">
        <f t="shared" ref="AA63:AA73" si="57">IF(VLOOKUP($D63,$C$5:$AA$492,25,)=0,0,((VLOOKUP($D63,$C$5:$AA$492,25,)/VLOOKUP($D63,$C$5:$AA$492,4,))*$F63))</f>
        <v>0</v>
      </c>
      <c r="AB63" s="49">
        <f>SUM(H63:AA63)</f>
        <v>644267.13</v>
      </c>
      <c r="AC63" s="27" t="str">
        <f>IF(ABS(AB63-F63)&lt;1,"ok","err")</f>
        <v>ok</v>
      </c>
    </row>
    <row r="64" spans="1:30" x14ac:dyDescent="0.2">
      <c r="A64" s="90">
        <v>390</v>
      </c>
      <c r="B64" s="14" t="s">
        <v>53</v>
      </c>
      <c r="C64" s="14" t="s">
        <v>54</v>
      </c>
      <c r="D64" s="14" t="s">
        <v>391</v>
      </c>
      <c r="F64" s="49">
        <v>8715117.3100000005</v>
      </c>
      <c r="H64" s="49">
        <f t="shared" si="46"/>
        <v>0</v>
      </c>
      <c r="I64" s="49">
        <f t="shared" si="47"/>
        <v>0</v>
      </c>
      <c r="J64" s="49"/>
      <c r="K64" s="49">
        <f t="shared" si="48"/>
        <v>0</v>
      </c>
      <c r="L64" s="49"/>
      <c r="M64" s="49">
        <f t="shared" si="49"/>
        <v>61146.03545017125</v>
      </c>
      <c r="N64" s="49"/>
      <c r="O64" s="49">
        <f t="shared" si="50"/>
        <v>3985638.2198249288</v>
      </c>
      <c r="P64" s="49">
        <f t="shared" si="51"/>
        <v>2678008.0155205303</v>
      </c>
      <c r="Q64" s="49"/>
      <c r="R64" s="49">
        <f t="shared" si="52"/>
        <v>0</v>
      </c>
      <c r="S64" s="49">
        <f t="shared" si="53"/>
        <v>1117071.2660777834</v>
      </c>
      <c r="T64" s="49"/>
      <c r="U64" s="49">
        <f t="shared" si="54"/>
        <v>434179.67160983197</v>
      </c>
      <c r="V64" s="49"/>
      <c r="W64" s="49">
        <f t="shared" si="55"/>
        <v>439074.10151675495</v>
      </c>
      <c r="X64" s="49"/>
      <c r="Y64" s="49">
        <f t="shared" si="56"/>
        <v>0</v>
      </c>
      <c r="Z64" s="49"/>
      <c r="AA64" s="49">
        <f t="shared" si="57"/>
        <v>0</v>
      </c>
      <c r="AB64" s="49">
        <f t="shared" ref="AB64:AB73" si="58">SUM(H64:AA64)</f>
        <v>8715117.3100000005</v>
      </c>
      <c r="AC64" s="27" t="str">
        <f t="shared" ref="AC64:AC73" si="59">IF(ABS(AB64-F64)&lt;1,"ok","err")</f>
        <v>ok</v>
      </c>
    </row>
    <row r="65" spans="1:29" x14ac:dyDescent="0.2">
      <c r="A65" s="90">
        <v>391</v>
      </c>
      <c r="B65" s="14" t="s">
        <v>55</v>
      </c>
      <c r="C65" s="14" t="s">
        <v>56</v>
      </c>
      <c r="D65" s="14" t="s">
        <v>391</v>
      </c>
      <c r="F65" s="49">
        <f>705009.247+3676345.25</f>
        <v>4381354.4969999995</v>
      </c>
      <c r="H65" s="49">
        <f t="shared" si="46"/>
        <v>0</v>
      </c>
      <c r="I65" s="49">
        <f t="shared" si="47"/>
        <v>0</v>
      </c>
      <c r="J65" s="49"/>
      <c r="K65" s="49">
        <f t="shared" si="48"/>
        <v>0</v>
      </c>
      <c r="L65" s="49"/>
      <c r="M65" s="49">
        <f t="shared" si="49"/>
        <v>30739.971461534944</v>
      </c>
      <c r="N65" s="49"/>
      <c r="O65" s="49">
        <f t="shared" si="50"/>
        <v>2003701.5356991244</v>
      </c>
      <c r="P65" s="49">
        <f t="shared" si="51"/>
        <v>1346316.0671790107</v>
      </c>
      <c r="Q65" s="49"/>
      <c r="R65" s="49">
        <f t="shared" si="52"/>
        <v>0</v>
      </c>
      <c r="S65" s="49">
        <f t="shared" si="53"/>
        <v>561585.69540808385</v>
      </c>
      <c r="T65" s="49"/>
      <c r="U65" s="49">
        <f t="shared" si="54"/>
        <v>218275.32424961936</v>
      </c>
      <c r="V65" s="49"/>
      <c r="W65" s="49">
        <f t="shared" si="55"/>
        <v>220735.9030026262</v>
      </c>
      <c r="X65" s="49"/>
      <c r="Y65" s="49">
        <f t="shared" si="56"/>
        <v>0</v>
      </c>
      <c r="Z65" s="49"/>
      <c r="AA65" s="49">
        <f t="shared" si="57"/>
        <v>0</v>
      </c>
      <c r="AB65" s="49">
        <f t="shared" si="58"/>
        <v>4381354.4969999995</v>
      </c>
      <c r="AC65" s="27" t="str">
        <f t="shared" si="59"/>
        <v>ok</v>
      </c>
    </row>
    <row r="66" spans="1:29" x14ac:dyDescent="0.2">
      <c r="A66" s="90">
        <v>392</v>
      </c>
      <c r="B66" s="14" t="s">
        <v>57</v>
      </c>
      <c r="C66" s="14" t="s">
        <v>58</v>
      </c>
      <c r="D66" s="14" t="s">
        <v>391</v>
      </c>
      <c r="F66" s="49">
        <f>2137378.87+6380851.61+123029.23</f>
        <v>8641259.7100000009</v>
      </c>
      <c r="H66" s="49">
        <f t="shared" si="46"/>
        <v>0</v>
      </c>
      <c r="I66" s="49">
        <f t="shared" si="47"/>
        <v>0</v>
      </c>
      <c r="J66" s="49"/>
      <c r="K66" s="49">
        <f t="shared" si="48"/>
        <v>0</v>
      </c>
      <c r="L66" s="49"/>
      <c r="M66" s="49">
        <f t="shared" si="49"/>
        <v>60627.843982721621</v>
      </c>
      <c r="N66" s="49"/>
      <c r="O66" s="49">
        <f t="shared" si="50"/>
        <v>3951861.3166676103</v>
      </c>
      <c r="P66" s="49">
        <f t="shared" si="51"/>
        <v>2655312.8253387348</v>
      </c>
      <c r="Q66" s="49"/>
      <c r="R66" s="49">
        <f t="shared" si="52"/>
        <v>0</v>
      </c>
      <c r="S66" s="49">
        <f t="shared" si="53"/>
        <v>1107604.4740878697</v>
      </c>
      <c r="T66" s="49"/>
      <c r="U66" s="49">
        <f t="shared" si="54"/>
        <v>430500.14930700598</v>
      </c>
      <c r="V66" s="49"/>
      <c r="W66" s="49">
        <f t="shared" si="55"/>
        <v>435353.10061605868</v>
      </c>
      <c r="X66" s="49"/>
      <c r="Y66" s="49">
        <f t="shared" si="56"/>
        <v>0</v>
      </c>
      <c r="Z66" s="49"/>
      <c r="AA66" s="49">
        <f t="shared" si="57"/>
        <v>0</v>
      </c>
      <c r="AB66" s="49">
        <f t="shared" si="58"/>
        <v>8641259.7100000009</v>
      </c>
      <c r="AC66" s="27" t="str">
        <f t="shared" si="59"/>
        <v>ok</v>
      </c>
    </row>
    <row r="67" spans="1:29" x14ac:dyDescent="0.2">
      <c r="A67" s="90">
        <v>393</v>
      </c>
      <c r="B67" s="14" t="s">
        <v>59</v>
      </c>
      <c r="C67" s="14" t="s">
        <v>60</v>
      </c>
      <c r="D67" s="14" t="s">
        <v>391</v>
      </c>
      <c r="F67" s="49">
        <f>5871.48</f>
        <v>5871.48</v>
      </c>
      <c r="H67" s="49">
        <f t="shared" si="46"/>
        <v>0</v>
      </c>
      <c r="I67" s="49">
        <f t="shared" si="47"/>
        <v>0</v>
      </c>
      <c r="J67" s="49"/>
      <c r="K67" s="49">
        <f t="shared" si="48"/>
        <v>0</v>
      </c>
      <c r="L67" s="49"/>
      <c r="M67" s="49">
        <f t="shared" si="49"/>
        <v>41.194824057390854</v>
      </c>
      <c r="N67" s="49"/>
      <c r="O67" s="49">
        <f t="shared" si="50"/>
        <v>2685.1727019309246</v>
      </c>
      <c r="P67" s="49">
        <f t="shared" si="51"/>
        <v>1804.2064086649091</v>
      </c>
      <c r="Q67" s="49"/>
      <c r="R67" s="49">
        <f t="shared" si="52"/>
        <v>0</v>
      </c>
      <c r="S67" s="49">
        <f t="shared" si="53"/>
        <v>752.58443048431923</v>
      </c>
      <c r="T67" s="49"/>
      <c r="U67" s="49">
        <f t="shared" si="54"/>
        <v>292.51209910147452</v>
      </c>
      <c r="V67" s="49"/>
      <c r="W67" s="49">
        <f t="shared" si="55"/>
        <v>295.80953576098176</v>
      </c>
      <c r="X67" s="49"/>
      <c r="Y67" s="49">
        <f t="shared" si="56"/>
        <v>0</v>
      </c>
      <c r="Z67" s="49"/>
      <c r="AA67" s="49">
        <f t="shared" si="57"/>
        <v>0</v>
      </c>
      <c r="AB67" s="49">
        <f t="shared" si="58"/>
        <v>5871.4800000000005</v>
      </c>
      <c r="AC67" s="27" t="str">
        <f t="shared" si="59"/>
        <v>ok</v>
      </c>
    </row>
    <row r="68" spans="1:29" x14ac:dyDescent="0.2">
      <c r="A68" s="90">
        <v>394</v>
      </c>
      <c r="B68" s="14" t="s">
        <v>61</v>
      </c>
      <c r="C68" s="14" t="s">
        <v>62</v>
      </c>
      <c r="D68" s="14" t="s">
        <v>391</v>
      </c>
      <c r="F68" s="49">
        <v>425639.24</v>
      </c>
      <c r="H68" s="49">
        <f t="shared" si="46"/>
        <v>0</v>
      </c>
      <c r="I68" s="49">
        <f t="shared" si="47"/>
        <v>0</v>
      </c>
      <c r="J68" s="49"/>
      <c r="K68" s="49">
        <f t="shared" si="48"/>
        <v>0</v>
      </c>
      <c r="L68" s="49"/>
      <c r="M68" s="49">
        <f t="shared" si="49"/>
        <v>2986.3226313845162</v>
      </c>
      <c r="N68" s="49"/>
      <c r="O68" s="49">
        <f t="shared" si="50"/>
        <v>194655.32848934599</v>
      </c>
      <c r="P68" s="49">
        <f t="shared" si="51"/>
        <v>130791.73301914701</v>
      </c>
      <c r="Q68" s="49"/>
      <c r="R68" s="49">
        <f t="shared" si="52"/>
        <v>0</v>
      </c>
      <c r="S68" s="49">
        <f t="shared" si="53"/>
        <v>54556.851939745771</v>
      </c>
      <c r="T68" s="49"/>
      <c r="U68" s="49">
        <f t="shared" si="54"/>
        <v>21204.981972578687</v>
      </c>
      <c r="V68" s="49"/>
      <c r="W68" s="49">
        <f t="shared" si="55"/>
        <v>21444.021947798017</v>
      </c>
      <c r="X68" s="49"/>
      <c r="Y68" s="49">
        <f t="shared" si="56"/>
        <v>0</v>
      </c>
      <c r="Z68" s="49"/>
      <c r="AA68" s="49">
        <f t="shared" si="57"/>
        <v>0</v>
      </c>
      <c r="AB68" s="49">
        <f t="shared" si="58"/>
        <v>425639.24</v>
      </c>
      <c r="AC68" s="27" t="str">
        <f t="shared" si="59"/>
        <v>ok</v>
      </c>
    </row>
    <row r="69" spans="1:29" x14ac:dyDescent="0.2">
      <c r="A69" s="90">
        <v>395</v>
      </c>
      <c r="B69" s="14" t="s">
        <v>63</v>
      </c>
      <c r="C69" s="14" t="s">
        <v>64</v>
      </c>
      <c r="D69" s="14" t="s">
        <v>391</v>
      </c>
      <c r="F69" s="49">
        <v>175565.32</v>
      </c>
      <c r="H69" s="49">
        <f t="shared" si="46"/>
        <v>0</v>
      </c>
      <c r="I69" s="49">
        <f t="shared" si="47"/>
        <v>0</v>
      </c>
      <c r="J69" s="49"/>
      <c r="K69" s="49">
        <f t="shared" si="48"/>
        <v>0</v>
      </c>
      <c r="L69" s="49"/>
      <c r="M69" s="49">
        <f t="shared" si="49"/>
        <v>1231.7818451190371</v>
      </c>
      <c r="N69" s="49"/>
      <c r="O69" s="49">
        <f t="shared" si="50"/>
        <v>80290.353483238883</v>
      </c>
      <c r="P69" s="49">
        <f t="shared" si="51"/>
        <v>53948.250778901667</v>
      </c>
      <c r="Q69" s="49"/>
      <c r="R69" s="49">
        <f t="shared" si="52"/>
        <v>0</v>
      </c>
      <c r="S69" s="49">
        <f t="shared" si="53"/>
        <v>22503.308597661453</v>
      </c>
      <c r="T69" s="49"/>
      <c r="U69" s="49">
        <f t="shared" si="54"/>
        <v>8746.5137039761848</v>
      </c>
      <c r="V69" s="49"/>
      <c r="W69" s="49">
        <f t="shared" si="55"/>
        <v>8845.11159110279</v>
      </c>
      <c r="X69" s="49"/>
      <c r="Y69" s="49">
        <f t="shared" si="56"/>
        <v>0</v>
      </c>
      <c r="Z69" s="49"/>
      <c r="AA69" s="49">
        <f t="shared" si="57"/>
        <v>0</v>
      </c>
      <c r="AB69" s="49">
        <f t="shared" si="58"/>
        <v>175565.32</v>
      </c>
      <c r="AC69" s="27" t="str">
        <f t="shared" si="59"/>
        <v>ok</v>
      </c>
    </row>
    <row r="70" spans="1:29" x14ac:dyDescent="0.2">
      <c r="A70" s="90">
        <v>396</v>
      </c>
      <c r="B70" s="14" t="s">
        <v>65</v>
      </c>
      <c r="C70" s="14" t="s">
        <v>66</v>
      </c>
      <c r="D70" s="14" t="s">
        <v>391</v>
      </c>
      <c r="F70" s="49">
        <v>825054.93</v>
      </c>
      <c r="H70" s="49">
        <f t="shared" si="46"/>
        <v>0</v>
      </c>
      <c r="I70" s="49">
        <f t="shared" si="47"/>
        <v>0</v>
      </c>
      <c r="J70" s="49"/>
      <c r="K70" s="49">
        <f t="shared" si="48"/>
        <v>0</v>
      </c>
      <c r="L70" s="49"/>
      <c r="M70" s="49">
        <f t="shared" si="49"/>
        <v>5788.6585118288622</v>
      </c>
      <c r="N70" s="49"/>
      <c r="O70" s="49">
        <f t="shared" si="50"/>
        <v>377317.98041201365</v>
      </c>
      <c r="P70" s="49">
        <f t="shared" si="51"/>
        <v>253525.41304859731</v>
      </c>
      <c r="Q70" s="49"/>
      <c r="R70" s="49">
        <f t="shared" si="52"/>
        <v>0</v>
      </c>
      <c r="S70" s="49">
        <f t="shared" si="53"/>
        <v>105752.46694399537</v>
      </c>
      <c r="T70" s="49"/>
      <c r="U70" s="49">
        <f t="shared" si="54"/>
        <v>41103.529169531386</v>
      </c>
      <c r="V70" s="49"/>
      <c r="W70" s="49">
        <f t="shared" si="55"/>
        <v>41566.881914033489</v>
      </c>
      <c r="X70" s="49"/>
      <c r="Y70" s="49">
        <f t="shared" si="56"/>
        <v>0</v>
      </c>
      <c r="Z70" s="49"/>
      <c r="AA70" s="49">
        <f t="shared" si="57"/>
        <v>0</v>
      </c>
      <c r="AB70" s="49">
        <f t="shared" si="58"/>
        <v>825054.93</v>
      </c>
      <c r="AC70" s="27" t="str">
        <f t="shared" si="59"/>
        <v>ok</v>
      </c>
    </row>
    <row r="71" spans="1:29" x14ac:dyDescent="0.2">
      <c r="A71" s="90">
        <v>397</v>
      </c>
      <c r="B71" s="14" t="s">
        <v>67</v>
      </c>
      <c r="C71" s="14" t="s">
        <v>68</v>
      </c>
      <c r="D71" s="14" t="s">
        <v>391</v>
      </c>
      <c r="F71" s="49">
        <v>743681.12</v>
      </c>
      <c r="H71" s="49">
        <f t="shared" si="46"/>
        <v>0</v>
      </c>
      <c r="I71" s="49">
        <f t="shared" si="47"/>
        <v>0</v>
      </c>
      <c r="J71" s="49"/>
      <c r="K71" s="49">
        <f t="shared" si="48"/>
        <v>0</v>
      </c>
      <c r="L71" s="49"/>
      <c r="M71" s="49">
        <f t="shared" si="49"/>
        <v>5217.7326488727504</v>
      </c>
      <c r="N71" s="49"/>
      <c r="O71" s="49">
        <f t="shared" si="50"/>
        <v>340103.7289346836</v>
      </c>
      <c r="P71" s="49">
        <f t="shared" si="51"/>
        <v>228520.6187719446</v>
      </c>
      <c r="Q71" s="49"/>
      <c r="R71" s="49">
        <f t="shared" si="52"/>
        <v>0</v>
      </c>
      <c r="S71" s="49">
        <f t="shared" si="53"/>
        <v>95322.275160119883</v>
      </c>
      <c r="T71" s="49"/>
      <c r="U71" s="49">
        <f t="shared" si="54"/>
        <v>37049.555729277046</v>
      </c>
      <c r="V71" s="49"/>
      <c r="W71" s="49">
        <f t="shared" si="55"/>
        <v>37467.208755102118</v>
      </c>
      <c r="X71" s="49"/>
      <c r="Y71" s="49">
        <f t="shared" si="56"/>
        <v>0</v>
      </c>
      <c r="Z71" s="49"/>
      <c r="AA71" s="49">
        <f t="shared" si="57"/>
        <v>0</v>
      </c>
      <c r="AB71" s="49">
        <f t="shared" si="58"/>
        <v>743681.12000000011</v>
      </c>
      <c r="AC71" s="27" t="str">
        <f t="shared" si="59"/>
        <v>ok</v>
      </c>
    </row>
    <row r="72" spans="1:29" x14ac:dyDescent="0.2">
      <c r="A72" s="90">
        <v>398</v>
      </c>
      <c r="B72" s="14" t="s">
        <v>360</v>
      </c>
      <c r="C72" s="14" t="s">
        <v>361</v>
      </c>
      <c r="D72" s="14" t="s">
        <v>391</v>
      </c>
      <c r="F72" s="49">
        <v>194857.83</v>
      </c>
      <c r="H72" s="49">
        <f t="shared" si="46"/>
        <v>0</v>
      </c>
      <c r="I72" s="49">
        <f t="shared" si="47"/>
        <v>0</v>
      </c>
      <c r="J72" s="49"/>
      <c r="K72" s="49">
        <f t="shared" si="48"/>
        <v>0</v>
      </c>
      <c r="L72" s="49"/>
      <c r="M72" s="49">
        <f t="shared" si="49"/>
        <v>1367.139805135158</v>
      </c>
      <c r="N72" s="49"/>
      <c r="O72" s="49">
        <f t="shared" si="50"/>
        <v>89113.294411885377</v>
      </c>
      <c r="P72" s="49">
        <f t="shared" si="51"/>
        <v>59876.512508692416</v>
      </c>
      <c r="Q72" s="49"/>
      <c r="R72" s="49">
        <f t="shared" si="52"/>
        <v>0</v>
      </c>
      <c r="S72" s="49">
        <f t="shared" si="53"/>
        <v>24976.150649573923</v>
      </c>
      <c r="T72" s="49"/>
      <c r="U72" s="49">
        <f t="shared" si="54"/>
        <v>9707.6500098200577</v>
      </c>
      <c r="V72" s="49"/>
      <c r="W72" s="49">
        <f t="shared" si="55"/>
        <v>9817.082614893061</v>
      </c>
      <c r="X72" s="49"/>
      <c r="Y72" s="49">
        <f t="shared" si="56"/>
        <v>0</v>
      </c>
      <c r="Z72" s="49"/>
      <c r="AA72" s="49">
        <f t="shared" si="57"/>
        <v>0</v>
      </c>
      <c r="AB72" s="49">
        <f t="shared" si="58"/>
        <v>194857.83</v>
      </c>
      <c r="AC72" s="27" t="str">
        <f t="shared" si="59"/>
        <v>ok</v>
      </c>
    </row>
    <row r="73" spans="1:29" x14ac:dyDescent="0.2">
      <c r="A73" s="90">
        <v>399</v>
      </c>
      <c r="B73" s="14" t="s">
        <v>583</v>
      </c>
      <c r="C73" s="14" t="s">
        <v>584</v>
      </c>
      <c r="D73" s="14" t="s">
        <v>391</v>
      </c>
      <c r="F73" s="49">
        <v>0</v>
      </c>
      <c r="H73" s="49">
        <f t="shared" si="46"/>
        <v>0</v>
      </c>
      <c r="I73" s="49">
        <f t="shared" si="47"/>
        <v>0</v>
      </c>
      <c r="J73" s="49"/>
      <c r="K73" s="49">
        <f t="shared" si="48"/>
        <v>0</v>
      </c>
      <c r="L73" s="49"/>
      <c r="M73" s="49">
        <f t="shared" si="49"/>
        <v>0</v>
      </c>
      <c r="N73" s="49"/>
      <c r="O73" s="49">
        <f t="shared" si="50"/>
        <v>0</v>
      </c>
      <c r="P73" s="49">
        <f t="shared" si="51"/>
        <v>0</v>
      </c>
      <c r="Q73" s="49"/>
      <c r="R73" s="49">
        <f t="shared" si="52"/>
        <v>0</v>
      </c>
      <c r="S73" s="49">
        <f t="shared" si="53"/>
        <v>0</v>
      </c>
      <c r="T73" s="49"/>
      <c r="U73" s="49">
        <f t="shared" si="54"/>
        <v>0</v>
      </c>
      <c r="V73" s="49"/>
      <c r="W73" s="49">
        <f t="shared" si="55"/>
        <v>0</v>
      </c>
      <c r="X73" s="49"/>
      <c r="Y73" s="49">
        <f t="shared" si="56"/>
        <v>0</v>
      </c>
      <c r="Z73" s="49"/>
      <c r="AA73" s="49">
        <f t="shared" si="57"/>
        <v>0</v>
      </c>
      <c r="AB73" s="49">
        <f t="shared" si="58"/>
        <v>0</v>
      </c>
      <c r="AC73" s="27" t="str">
        <f t="shared" si="59"/>
        <v>ok</v>
      </c>
    </row>
    <row r="74" spans="1:29" x14ac:dyDescent="0.2">
      <c r="Q74" s="14"/>
      <c r="AB74" s="49"/>
      <c r="AC74" s="27"/>
    </row>
    <row r="75" spans="1:29" x14ac:dyDescent="0.2">
      <c r="B75" s="14" t="s">
        <v>69</v>
      </c>
      <c r="C75" s="14" t="s">
        <v>70</v>
      </c>
      <c r="F75" s="66">
        <f>SUM(F63:F74)</f>
        <v>24752668.566999998</v>
      </c>
      <c r="G75" s="66"/>
      <c r="H75" s="66">
        <f t="shared" ref="G75:W75" si="60">SUM(H63:H74)</f>
        <v>0</v>
      </c>
      <c r="I75" s="66">
        <f t="shared" si="60"/>
        <v>0</v>
      </c>
      <c r="J75" s="66"/>
      <c r="K75" s="66">
        <f>SUM(K63:K74)</f>
        <v>0</v>
      </c>
      <c r="L75" s="66"/>
      <c r="M75" s="66">
        <f t="shared" si="60"/>
        <v>173666.91644499751</v>
      </c>
      <c r="N75" s="66"/>
      <c r="O75" s="66">
        <f t="shared" si="60"/>
        <v>11320006.188567799</v>
      </c>
      <c r="P75" s="66">
        <f t="shared" si="60"/>
        <v>7606076.0251486572</v>
      </c>
      <c r="Q75" s="66"/>
      <c r="R75" s="66">
        <f t="shared" si="60"/>
        <v>0</v>
      </c>
      <c r="S75" s="66">
        <f t="shared" si="60"/>
        <v>3172704.8336131284</v>
      </c>
      <c r="T75" s="66"/>
      <c r="U75" s="66">
        <f t="shared" si="60"/>
        <v>1233156.7238407109</v>
      </c>
      <c r="V75" s="66"/>
      <c r="W75" s="66">
        <f t="shared" si="60"/>
        <v>1247057.8793847063</v>
      </c>
      <c r="X75" s="66"/>
      <c r="Y75" s="66">
        <f>SUM(Y63:Y74)</f>
        <v>0</v>
      </c>
      <c r="Z75" s="66"/>
      <c r="AA75" s="66">
        <f>SUM(AA63:AA74)</f>
        <v>0</v>
      </c>
      <c r="AB75" s="49">
        <f>SUM(H75:AA75)</f>
        <v>24752668.566999998</v>
      </c>
      <c r="AC75" s="27" t="str">
        <f>IF(ABS(AB75-F75)&lt;1,"ok","err")</f>
        <v>ok</v>
      </c>
    </row>
    <row r="76" spans="1:29" x14ac:dyDescent="0.2">
      <c r="D76" s="89"/>
      <c r="Q76" s="14"/>
      <c r="AB76" s="49"/>
      <c r="AC76" s="27"/>
    </row>
    <row r="77" spans="1:29" hidden="1" x14ac:dyDescent="0.2">
      <c r="A77" s="88">
        <v>106</v>
      </c>
      <c r="B77" s="14" t="s">
        <v>362</v>
      </c>
      <c r="C77" s="14" t="s">
        <v>363</v>
      </c>
      <c r="D77" s="14" t="s">
        <v>391</v>
      </c>
      <c r="F77" s="66">
        <v>0</v>
      </c>
      <c r="H77" s="49">
        <f>IF(VLOOKUP($D77,$C$5:$AA$492,6,)=0,0,((VLOOKUP($D77,$C$5:$AA$492,6,)/VLOOKUP($D77,$C$5:$AA$492,4,))*$F77))</f>
        <v>0</v>
      </c>
      <c r="I77" s="49">
        <f>IF(VLOOKUP($D77,$C$5:$AA$492,7,)=0,0,((VLOOKUP($D77,$C$5:$AA$492,7,)/VLOOKUP($D77,$C$5:$AA$492,4,))*$F77))</f>
        <v>0</v>
      </c>
      <c r="J77" s="49"/>
      <c r="K77" s="49">
        <f>IF(VLOOKUP($D77,$C$5:$AA$492,9,)=0,0,((VLOOKUP($D77,$C$5:$AA$492,9,)/VLOOKUP($D77,$C$5:$AA$492,4,))*$F77))</f>
        <v>0</v>
      </c>
      <c r="L77" s="49"/>
      <c r="M77" s="49">
        <f>IF(VLOOKUP($D77,$C$5:$AA$492,11,)=0,0,((VLOOKUP($D77,$C$5:$AA$492,11,)/VLOOKUP($D77,$C$5:$AA$492,4,))*$F77))</f>
        <v>0</v>
      </c>
      <c r="N77" s="49"/>
      <c r="O77" s="49">
        <f>IF(VLOOKUP($D77,$C$5:$AA$492,13,)=0,0,((VLOOKUP($D77,$C$5:$AA$492,13,)/VLOOKUP($D77,$C$5:$AA$492,4,))*$F77))</f>
        <v>0</v>
      </c>
      <c r="P77" s="49">
        <f>IF(VLOOKUP($D77,$C$5:$AA$492,14,)=0,0,((VLOOKUP($D77,$C$5:$AA$492,14,)/VLOOKUP($D77,$C$5:$AA$492,4,))*$F77))</f>
        <v>0</v>
      </c>
      <c r="Q77" s="49"/>
      <c r="R77" s="49">
        <f>IF(VLOOKUP($D77,$C$5:$AA$492,16,)=0,0,((VLOOKUP($D77,$C$5:$AA$492,16,)/VLOOKUP($D77,$C$5:$AA$492,4,))*$F77))</f>
        <v>0</v>
      </c>
      <c r="S77" s="49">
        <f>IF(VLOOKUP($D77,$C$5:$AA$492,17,)=0,0,((VLOOKUP($D77,$C$5:$AA$492,17,)/VLOOKUP($D77,$C$5:$AA$492,4,))*$F77))</f>
        <v>0</v>
      </c>
      <c r="T77" s="49"/>
      <c r="U77" s="49">
        <f>IF(VLOOKUP($D77,$C$5:$AA$492,19,)=0,0,((VLOOKUP($D77,$C$5:$AA$492,19,)/VLOOKUP($D77,$C$5:$AA$492,4,))*$F77))</f>
        <v>0</v>
      </c>
      <c r="V77" s="49"/>
      <c r="W77" s="49">
        <f>IF(VLOOKUP($D77,$C$5:$AA$492,21,)=0,0,((VLOOKUP($D77,$C$5:$AA$492,21,)/VLOOKUP($D77,$C$5:$AA$492,4,))*$F77))</f>
        <v>0</v>
      </c>
      <c r="X77" s="49"/>
      <c r="Y77" s="49">
        <f>IF(VLOOKUP($D77,$C$5:$AA$492,23,)=0,0,((VLOOKUP($D77,$C$5:$AA$492,23,)/VLOOKUP($D77,$C$5:$AA$492,4,))*$F77))</f>
        <v>0</v>
      </c>
      <c r="Z77" s="49"/>
      <c r="AA77" s="49">
        <f>IF(VLOOKUP($D77,$C$5:$AA$492,25,)=0,0,((VLOOKUP($D77,$C$5:$AA$492,25,)/VLOOKUP($D77,$C$5:$AA$492,4,))*$F77))</f>
        <v>0</v>
      </c>
      <c r="AB77" s="49">
        <f>SUM(H77:AA77)</f>
        <v>0</v>
      </c>
      <c r="AC77" s="27" t="str">
        <f>IF(ABS(AB77-F77)&lt;1,"ok","err")</f>
        <v>ok</v>
      </c>
    </row>
    <row r="78" spans="1:29" hidden="1" x14ac:dyDescent="0.2">
      <c r="A78" s="88">
        <v>102</v>
      </c>
      <c r="B78" s="14" t="s">
        <v>705</v>
      </c>
      <c r="C78" s="14" t="s">
        <v>706</v>
      </c>
      <c r="D78" s="14" t="s">
        <v>16</v>
      </c>
      <c r="F78" s="66">
        <v>0</v>
      </c>
      <c r="H78" s="49">
        <f>IF(VLOOKUP($D78,$C$5:$AA$492,6,)=0,0,((VLOOKUP($D78,$C$5:$AA$492,6,)/VLOOKUP($D78,$C$5:$AA$492,4,))*$F78))</f>
        <v>0</v>
      </c>
      <c r="I78" s="49">
        <f>IF(VLOOKUP($D78,$C$5:$AA$492,7,)=0,0,((VLOOKUP($D78,$C$5:$AA$492,7,)/VLOOKUP($D78,$C$5:$AA$492,4,))*$F78))</f>
        <v>0</v>
      </c>
      <c r="J78" s="49"/>
      <c r="K78" s="49">
        <f>IF(VLOOKUP($D78,$C$5:$AA$492,9,)=0,0,((VLOOKUP($D78,$C$5:$AA$492,9,)/VLOOKUP($D78,$C$5:$AA$492,4,))*$F78))</f>
        <v>0</v>
      </c>
      <c r="L78" s="49"/>
      <c r="M78" s="49">
        <f>IF(VLOOKUP($D78,$C$5:$AA$492,11,)=0,0,((VLOOKUP($D78,$C$5:$AA$492,11,)/VLOOKUP($D78,$C$5:$AA$492,4,))*$F78))</f>
        <v>0</v>
      </c>
      <c r="N78" s="49"/>
      <c r="O78" s="49">
        <f>IF(VLOOKUP($D78,$C$5:$AA$492,13,)=0,0,((VLOOKUP($D78,$C$5:$AA$492,13,)/VLOOKUP($D78,$C$5:$AA$492,4,))*$F78))</f>
        <v>0</v>
      </c>
      <c r="P78" s="49">
        <f>IF(VLOOKUP($D78,$C$5:$AA$492,14,)=0,0,((VLOOKUP($D78,$C$5:$AA$492,14,)/VLOOKUP($D78,$C$5:$AA$492,4,))*$F78))</f>
        <v>0</v>
      </c>
      <c r="Q78" s="49"/>
      <c r="R78" s="49">
        <f>IF(VLOOKUP($D78,$C$5:$AA$492,16,)=0,0,((VLOOKUP($D78,$C$5:$AA$492,16,)/VLOOKUP($D78,$C$5:$AA$492,4,))*$F78))</f>
        <v>0</v>
      </c>
      <c r="S78" s="49">
        <f>IF(VLOOKUP($D78,$C$5:$AA$492,17,)=0,0,((VLOOKUP($D78,$C$5:$AA$492,17,)/VLOOKUP($D78,$C$5:$AA$492,4,))*$F78))</f>
        <v>0</v>
      </c>
      <c r="T78" s="49"/>
      <c r="U78" s="49">
        <f>IF(VLOOKUP($D78,$C$5:$AA$492,19,)=0,0,((VLOOKUP($D78,$C$5:$AA$492,19,)/VLOOKUP($D78,$C$5:$AA$492,4,))*$F78))</f>
        <v>0</v>
      </c>
      <c r="V78" s="49"/>
      <c r="W78" s="49">
        <f>IF(VLOOKUP($D78,$C$5:$AA$492,21,)=0,0,((VLOOKUP($D78,$C$5:$AA$492,21,)/VLOOKUP($D78,$C$5:$AA$492,4,))*$F78))</f>
        <v>0</v>
      </c>
      <c r="X78" s="49"/>
      <c r="Y78" s="49">
        <f>IF(VLOOKUP($D78,$C$5:$AA$492,23,)=0,0,((VLOOKUP($D78,$C$5:$AA$492,23,)/VLOOKUP($D78,$C$5:$AA$492,4,))*$F78))</f>
        <v>0</v>
      </c>
      <c r="Z78" s="49"/>
      <c r="AA78" s="49">
        <f>IF(VLOOKUP($D78,$C$5:$AA$492,25,)=0,0,((VLOOKUP($D78,$C$5:$AA$492,25,)/VLOOKUP($D78,$C$5:$AA$492,4,))*$F78))</f>
        <v>0</v>
      </c>
      <c r="AB78" s="49">
        <f>SUM(H78:AA78)</f>
        <v>0</v>
      </c>
      <c r="AC78" s="27" t="str">
        <f>IF(ABS(AB78-F78)&lt;1,"ok","err")</f>
        <v>ok</v>
      </c>
    </row>
    <row r="79" spans="1:29" hidden="1" x14ac:dyDescent="0.2">
      <c r="Q79" s="14"/>
      <c r="AB79" s="49"/>
      <c r="AC79" s="27"/>
    </row>
    <row r="80" spans="1:29" hidden="1" x14ac:dyDescent="0.2">
      <c r="A80" s="88">
        <v>114</v>
      </c>
      <c r="B80" s="14" t="s">
        <v>829</v>
      </c>
      <c r="D80" s="14" t="s">
        <v>781</v>
      </c>
      <c r="F80" s="66">
        <v>0</v>
      </c>
      <c r="H80" s="49">
        <f>IF(VLOOKUP($D80,$C$5:$AA$492,6,)=0,0,((VLOOKUP($D80,$C$5:$AA$492,6,)/VLOOKUP($D80,$C$5:$AA$492,4,))*$F80))</f>
        <v>0</v>
      </c>
      <c r="I80" s="49">
        <f>IF(VLOOKUP($D80,$C$5:$AA$492,7,)=0,0,((VLOOKUP($D80,$C$5:$AA$492,7,)/VLOOKUP($D80,$C$5:$AA$492,4,))*$F80))</f>
        <v>0</v>
      </c>
      <c r="J80" s="49"/>
      <c r="K80" s="49">
        <f>IF(VLOOKUP($D80,$C$5:$AA$492,9,)=0,0,((VLOOKUP($D80,$C$5:$AA$492,9,)/VLOOKUP($D80,$C$5:$AA$492,4,))*$F80))</f>
        <v>0</v>
      </c>
      <c r="L80" s="49"/>
      <c r="M80" s="49">
        <f>IF(VLOOKUP($D80,$C$5:$AA$492,11,)=0,0,((VLOOKUP($D80,$C$5:$AA$492,11,)/VLOOKUP($D80,$C$5:$AA$492,4,))*$F80))</f>
        <v>0</v>
      </c>
      <c r="N80" s="49"/>
      <c r="O80" s="49">
        <f>IF(VLOOKUP($D80,$C$5:$AA$492,13,)=0,0,((VLOOKUP($D80,$C$5:$AA$492,13,)/VLOOKUP($D80,$C$5:$AA$492,4,))*$F80))</f>
        <v>0</v>
      </c>
      <c r="P80" s="49">
        <f>IF(VLOOKUP($D80,$C$5:$AA$492,14,)=0,0,((VLOOKUP($D80,$C$5:$AA$492,14,)/VLOOKUP($D80,$C$5:$AA$492,4,))*$F80))</f>
        <v>0</v>
      </c>
      <c r="Q80" s="49"/>
      <c r="R80" s="49">
        <f>IF(VLOOKUP($D80,$C$5:$AA$492,16,)=0,0,((VLOOKUP($D80,$C$5:$AA$492,16,)/VLOOKUP($D80,$C$5:$AA$492,4,))*$F80))</f>
        <v>0</v>
      </c>
      <c r="S80" s="49">
        <f>IF(VLOOKUP($D80,$C$5:$AA$492,17,)=0,0,((VLOOKUP($D80,$C$5:$AA$492,17,)/VLOOKUP($D80,$C$5:$AA$492,4,))*$F80))</f>
        <v>0</v>
      </c>
      <c r="T80" s="49"/>
      <c r="U80" s="49">
        <f>IF(VLOOKUP($D80,$C$5:$AA$492,19,)=0,0,((VLOOKUP($D80,$C$5:$AA$492,19,)/VLOOKUP($D80,$C$5:$AA$492,4,))*$F80))</f>
        <v>0</v>
      </c>
      <c r="V80" s="49"/>
      <c r="W80" s="49">
        <f>IF(VLOOKUP($D80,$C$5:$AA$492,21,)=0,0,((VLOOKUP($D80,$C$5:$AA$492,21,)/VLOOKUP($D80,$C$5:$AA$492,4,))*$F80))</f>
        <v>0</v>
      </c>
      <c r="X80" s="49"/>
      <c r="Y80" s="49">
        <f>IF(VLOOKUP($D80,$C$5:$AA$492,23,)=0,0,((VLOOKUP($D80,$C$5:$AA$492,23,)/VLOOKUP($D80,$C$5:$AA$492,4,))*$F80))</f>
        <v>0</v>
      </c>
      <c r="Z80" s="49"/>
      <c r="AA80" s="49">
        <f>IF(VLOOKUP($D80,$C$5:$AA$492,25,)=0,0,((VLOOKUP($D80,$C$5:$AA$492,25,)/VLOOKUP($D80,$C$5:$AA$492,4,))*$F80))</f>
        <v>0</v>
      </c>
      <c r="AB80" s="49">
        <f>SUM(H80:AA80)</f>
        <v>0</v>
      </c>
      <c r="AC80" s="27" t="str">
        <f>IF(ABS(AB80-F80)&lt;1,"ok","err")</f>
        <v>ok</v>
      </c>
    </row>
    <row r="81" spans="1:29" hidden="1" x14ac:dyDescent="0.2">
      <c r="Q81" s="14"/>
      <c r="AB81" s="49"/>
      <c r="AC81" s="27"/>
    </row>
    <row r="82" spans="1:29" x14ac:dyDescent="0.2">
      <c r="B82" s="14" t="s">
        <v>71</v>
      </c>
      <c r="C82" s="14" t="s">
        <v>72</v>
      </c>
      <c r="F82" s="89">
        <f>F12+F24+F35+F54+F75+F77+F78+F80</f>
        <v>344838894.53699994</v>
      </c>
      <c r="G82" s="89"/>
      <c r="H82" s="89">
        <f>H12+H24+H35+H54+H75+H77+H78+H80</f>
        <v>0</v>
      </c>
      <c r="I82" s="89">
        <f>I12+I24+I35+I54+I75+I77+I78+I80</f>
        <v>0</v>
      </c>
      <c r="J82" s="89"/>
      <c r="K82" s="89">
        <f>K12+K24+K35+K54+K75+K77+K78+K80</f>
        <v>0</v>
      </c>
      <c r="L82" s="89"/>
      <c r="M82" s="89">
        <f>M12+M24+M35+M54+M75+M77+M78+M80</f>
        <v>2419420.2464449974</v>
      </c>
      <c r="N82" s="89"/>
      <c r="O82" s="89">
        <f>O12+O24+O35+O54+O75+O77+O78+O80</f>
        <v>157703336.49689505</v>
      </c>
      <c r="P82" s="89">
        <f>P12+P24+P35+P54+P75+P77+P78+P80</f>
        <v>105963154.68682139</v>
      </c>
      <c r="Q82" s="89"/>
      <c r="R82" s="89">
        <f>R12+R24+R35+R54+R75+R77+R78+R80</f>
        <v>0</v>
      </c>
      <c r="S82" s="89">
        <f>S12+S24+S35+S54+S75+S77+S78+S80</f>
        <v>44200164.703613125</v>
      </c>
      <c r="T82" s="89"/>
      <c r="U82" s="89">
        <f>U12+U24+U35+U54+U75+U77+U78+U80</f>
        <v>17179578.04384071</v>
      </c>
      <c r="V82" s="89"/>
      <c r="W82" s="89">
        <f>W12+W24+W35+W54+W75+W77+W78+W80</f>
        <v>17373240.359384708</v>
      </c>
      <c r="X82" s="89"/>
      <c r="Y82" s="89">
        <f>Y12+Y24+Y35+Y54+Y75+Y77+Y78+Y80</f>
        <v>0</v>
      </c>
      <c r="Z82" s="89"/>
      <c r="AA82" s="89">
        <f>AA12+AA24+AA35+AA54+AA75+AA77+AA78+AA80</f>
        <v>0</v>
      </c>
      <c r="AB82" s="49">
        <f>SUM(H82:AA82)</f>
        <v>344838894.53699994</v>
      </c>
      <c r="AC82" s="27" t="str">
        <f>IF(ABS(AB82-F82)&lt;1,"ok","err")</f>
        <v>ok</v>
      </c>
    </row>
    <row r="83" spans="1:29" x14ac:dyDescent="0.2">
      <c r="AC83" s="27"/>
    </row>
    <row r="84" spans="1:29" x14ac:dyDescent="0.2">
      <c r="A84" s="25" t="s">
        <v>73</v>
      </c>
      <c r="AC84" s="27"/>
    </row>
    <row r="85" spans="1:29" x14ac:dyDescent="0.2">
      <c r="B85" s="14" t="s">
        <v>786</v>
      </c>
      <c r="C85" s="14" t="s">
        <v>552</v>
      </c>
      <c r="D85" s="14" t="s">
        <v>781</v>
      </c>
      <c r="F85" s="66">
        <v>0</v>
      </c>
      <c r="H85" s="49">
        <f>IF(VLOOKUP($D85,$C$5:$AA$492,6,)=0,0,((VLOOKUP($D85,$C$5:$AA$492,6,)/VLOOKUP($D85,$C$5:$AA$492,4,))*$F85))</f>
        <v>0</v>
      </c>
      <c r="I85" s="49">
        <f>IF(VLOOKUP($D85,$C$5:$AA$492,7,)=0,0,((VLOOKUP($D85,$C$5:$AA$492,7,)/VLOOKUP($D85,$C$5:$AA$492,4,))*$F85))</f>
        <v>0</v>
      </c>
      <c r="J85" s="49"/>
      <c r="K85" s="49">
        <f>IF(VLOOKUP($D85,$C$5:$AA$492,9,)=0,0,((VLOOKUP($D85,$C$5:$AA$492,9,)/VLOOKUP($D85,$C$5:$AA$492,4,))*$F85))</f>
        <v>0</v>
      </c>
      <c r="L85" s="49"/>
      <c r="M85" s="49">
        <f>IF(VLOOKUP($D85,$C$5:$AA$492,11,)=0,0,((VLOOKUP($D85,$C$5:$AA$492,11,)/VLOOKUP($D85,$C$5:$AA$492,4,))*$F85))</f>
        <v>0</v>
      </c>
      <c r="N85" s="49"/>
      <c r="O85" s="49">
        <f>IF(VLOOKUP($D85,$C$5:$AA$492,13,)=0,0,((VLOOKUP($D85,$C$5:$AA$492,13,)/VLOOKUP($D85,$C$5:$AA$492,4,))*$F85))</f>
        <v>0</v>
      </c>
      <c r="P85" s="49">
        <f>IF(VLOOKUP($D85,$C$5:$AA$492,14,)=0,0,((VLOOKUP($D85,$C$5:$AA$492,14,)/VLOOKUP($D85,$C$5:$AA$492,4,))*$F85))</f>
        <v>0</v>
      </c>
      <c r="Q85" s="49"/>
      <c r="R85" s="49">
        <f>IF(VLOOKUP($D85,$C$5:$AA$492,16,)=0,0,((VLOOKUP($D85,$C$5:$AA$492,16,)/VLOOKUP($D85,$C$5:$AA$492,4,))*$F85))</f>
        <v>0</v>
      </c>
      <c r="S85" s="49">
        <f>IF(VLOOKUP($D85,$C$5:$AA$492,17,)=0,0,((VLOOKUP($D85,$C$5:$AA$492,17,)/VLOOKUP($D85,$C$5:$AA$492,4,))*$F85))</f>
        <v>0</v>
      </c>
      <c r="T85" s="49"/>
      <c r="U85" s="49">
        <f>IF(VLOOKUP($D85,$C$5:$AA$492,19,)=0,0,((VLOOKUP($D85,$C$5:$AA$492,19,)/VLOOKUP($D85,$C$5:$AA$492,4,))*$F85))</f>
        <v>0</v>
      </c>
      <c r="V85" s="49"/>
      <c r="W85" s="49">
        <f>IF(VLOOKUP($D85,$C$5:$AA$492,21,)=0,0,((VLOOKUP($D85,$C$5:$AA$492,21,)/VLOOKUP($D85,$C$5:$AA$492,4,))*$F85))</f>
        <v>0</v>
      </c>
      <c r="X85" s="49"/>
      <c r="Y85" s="49">
        <f>IF(VLOOKUP($D85,$C$5:$AA$492,23,)=0,0,((VLOOKUP($D85,$C$5:$AA$492,23,)/VLOOKUP($D85,$C$5:$AA$492,4,))*$F85))</f>
        <v>0</v>
      </c>
      <c r="Z85" s="49"/>
      <c r="AA85" s="49">
        <f>IF(VLOOKUP($D85,$C$5:$AA$492,25,)=0,0,((VLOOKUP($D85,$C$5:$AA$492,25,)/VLOOKUP($D85,$C$5:$AA$492,4,))*$F85))</f>
        <v>0</v>
      </c>
      <c r="AB85" s="49">
        <f>SUM(H85:AA85)</f>
        <v>0</v>
      </c>
      <c r="AC85" s="27" t="str">
        <f>IF(ABS(AB85-F85)&lt;1,"ok","err")</f>
        <v>ok</v>
      </c>
    </row>
    <row r="86" spans="1:29" x14ac:dyDescent="0.2">
      <c r="B86" s="14" t="s">
        <v>424</v>
      </c>
      <c r="C86" s="14" t="s">
        <v>553</v>
      </c>
      <c r="D86" s="14" t="s">
        <v>389</v>
      </c>
      <c r="F86" s="49">
        <v>0</v>
      </c>
      <c r="H86" s="49">
        <f>IF(VLOOKUP($D86,$C$5:$AA$492,6,)=0,0,((VLOOKUP($D86,$C$5:$AA$492,6,)/VLOOKUP($D86,$C$5:$AA$492,4,))*$F86))</f>
        <v>0</v>
      </c>
      <c r="I86" s="49">
        <f>IF(VLOOKUP($D86,$C$5:$AA$492,7,)=0,0,((VLOOKUP($D86,$C$5:$AA$492,7,)/VLOOKUP($D86,$C$5:$AA$492,4,))*$F86))</f>
        <v>0</v>
      </c>
      <c r="J86" s="49"/>
      <c r="K86" s="49">
        <f>IF(VLOOKUP($D86,$C$5:$AA$492,9,)=0,0,((VLOOKUP($D86,$C$5:$AA$492,9,)/VLOOKUP($D86,$C$5:$AA$492,4,))*$F86))</f>
        <v>0</v>
      </c>
      <c r="L86" s="49"/>
      <c r="M86" s="49">
        <f>IF(VLOOKUP($D86,$C$5:$AA$492,11,)=0,0,((VLOOKUP($D86,$C$5:$AA$492,11,)/VLOOKUP($D86,$C$5:$AA$492,4,))*$F86))</f>
        <v>0</v>
      </c>
      <c r="N86" s="49"/>
      <c r="O86" s="49">
        <f>IF(VLOOKUP($D86,$C$5:$AA$492,13,)=0,0,((VLOOKUP($D86,$C$5:$AA$492,13,)/VLOOKUP($D86,$C$5:$AA$492,4,))*$F86))</f>
        <v>0</v>
      </c>
      <c r="P86" s="49">
        <f>IF(VLOOKUP($D86,$C$5:$AA$492,14,)=0,0,((VLOOKUP($D86,$C$5:$AA$492,14,)/VLOOKUP($D86,$C$5:$AA$492,4,))*$F86))</f>
        <v>0</v>
      </c>
      <c r="Q86" s="49"/>
      <c r="R86" s="49">
        <f>IF(VLOOKUP($D86,$C$5:$AA$492,16,)=0,0,((VLOOKUP($D86,$C$5:$AA$492,16,)/VLOOKUP($D86,$C$5:$AA$492,4,))*$F86))</f>
        <v>0</v>
      </c>
      <c r="S86" s="49">
        <f>IF(VLOOKUP($D86,$C$5:$AA$492,17,)=0,0,((VLOOKUP($D86,$C$5:$AA$492,17,)/VLOOKUP($D86,$C$5:$AA$492,4,))*$F86))</f>
        <v>0</v>
      </c>
      <c r="T86" s="49"/>
      <c r="U86" s="49">
        <f>IF(VLOOKUP($D86,$C$5:$AA$492,19,)=0,0,((VLOOKUP($D86,$C$5:$AA$492,19,)/VLOOKUP($D86,$C$5:$AA$492,4,))*$F86))</f>
        <v>0</v>
      </c>
      <c r="V86" s="49"/>
      <c r="W86" s="49">
        <f>IF(VLOOKUP($D86,$C$5:$AA$492,21,)=0,0,((VLOOKUP($D86,$C$5:$AA$492,21,)/VLOOKUP($D86,$C$5:$AA$492,4,))*$F86))</f>
        <v>0</v>
      </c>
      <c r="X86" s="49"/>
      <c r="Y86" s="49">
        <f>IF(VLOOKUP($D86,$C$5:$AA$492,23,)=0,0,((VLOOKUP($D86,$C$5:$AA$492,23,)/VLOOKUP($D86,$C$5:$AA$492,4,))*$F86))</f>
        <v>0</v>
      </c>
      <c r="Z86" s="49"/>
      <c r="AA86" s="49">
        <f>IF(VLOOKUP($D86,$C$5:$AA$492,25,)=0,0,((VLOOKUP($D86,$C$5:$AA$492,25,)/VLOOKUP($D86,$C$5:$AA$492,4,))*$F86))</f>
        <v>0</v>
      </c>
      <c r="AB86" s="49">
        <f>SUM(H86:AA86)</f>
        <v>0</v>
      </c>
      <c r="AC86" s="27" t="str">
        <f>IF(ABS(AB86-F86)&lt;1,"ok","err")</f>
        <v>ok</v>
      </c>
    </row>
    <row r="87" spans="1:29" x14ac:dyDescent="0.2">
      <c r="B87" s="14" t="s">
        <v>838</v>
      </c>
      <c r="C87" s="14" t="s">
        <v>554</v>
      </c>
      <c r="D87" s="14" t="s">
        <v>16</v>
      </c>
      <c r="F87" s="49">
        <v>4446981.82</v>
      </c>
      <c r="G87" s="211"/>
      <c r="H87" s="49">
        <f>IF(VLOOKUP($D87,$C$5:$AA$492,6,)=0,0,((VLOOKUP($D87,$C$5:$AA$492,6,)/VLOOKUP($D87,$C$5:$AA$492,4,))*$F87))</f>
        <v>0</v>
      </c>
      <c r="I87" s="49">
        <f>IF(VLOOKUP($D87,$C$5:$AA$492,7,)=0,0,((VLOOKUP($D87,$C$5:$AA$492,7,)/VLOOKUP($D87,$C$5:$AA$492,4,))*$F87))</f>
        <v>0</v>
      </c>
      <c r="J87" s="49"/>
      <c r="K87" s="49">
        <f>IF(VLOOKUP($D87,$C$5:$AA$492,9,)=0,0,((VLOOKUP($D87,$C$5:$AA$492,9,)/VLOOKUP($D87,$C$5:$AA$492,4,))*$F87))</f>
        <v>0</v>
      </c>
      <c r="L87" s="49"/>
      <c r="M87" s="49">
        <f>IF(VLOOKUP($D87,$C$5:$AA$492,11,)=0,0,((VLOOKUP($D87,$C$5:$AA$492,11,)/VLOOKUP($D87,$C$5:$AA$492,4,))*$F87))</f>
        <v>31200.41857611978</v>
      </c>
      <c r="N87" s="49"/>
      <c r="O87" s="49">
        <f>IF(VLOOKUP($D87,$C$5:$AA$492,13,)=0,0,((VLOOKUP($D87,$C$5:$AA$492,13,)/VLOOKUP($D87,$C$5:$AA$492,4,))*$F87))</f>
        <v>2033714.5300753985</v>
      </c>
      <c r="P87" s="49">
        <f>IF(VLOOKUP($D87,$C$5:$AA$492,14,)=0,0,((VLOOKUP($D87,$C$5:$AA$492,14,)/VLOOKUP($D87,$C$5:$AA$492,4,))*$F87))</f>
        <v>1366482.232564931</v>
      </c>
      <c r="Q87" s="49"/>
      <c r="R87" s="49">
        <f>IF(VLOOKUP($D87,$C$5:$AA$492,16,)=0,0,((VLOOKUP($D87,$C$5:$AA$492,16,)/VLOOKUP($D87,$C$5:$AA$492,4,))*$F87))</f>
        <v>0</v>
      </c>
      <c r="S87" s="49">
        <f>IF(VLOOKUP($D87,$C$5:$AA$492,17,)=0,0,((VLOOKUP($D87,$C$5:$AA$492,17,)/VLOOKUP($D87,$C$5:$AA$492,4,))*$F87))</f>
        <v>569997.56115644134</v>
      </c>
      <c r="T87" s="49"/>
      <c r="U87" s="49">
        <f>IF(VLOOKUP($D87,$C$5:$AA$492,19,)=0,0,((VLOOKUP($D87,$C$5:$AA$492,19,)/VLOOKUP($D87,$C$5:$AA$492,4,))*$F87))</f>
        <v>221544.82120935363</v>
      </c>
      <c r="V87" s="49"/>
      <c r="W87" s="49">
        <f>IF(VLOOKUP($D87,$C$5:$AA$492,21,)=0,0,((VLOOKUP($D87,$C$5:$AA$492,21,)/VLOOKUP($D87,$C$5:$AA$492,4,))*$F87))</f>
        <v>224042.256417756</v>
      </c>
      <c r="X87" s="49"/>
      <c r="Y87" s="49">
        <f>IF(VLOOKUP($D87,$C$5:$AA$492,23,)=0,0,((VLOOKUP($D87,$C$5:$AA$492,23,)/VLOOKUP($D87,$C$5:$AA$492,4,))*$F87))</f>
        <v>0</v>
      </c>
      <c r="Z87" s="49"/>
      <c r="AA87" s="49">
        <f>IF(VLOOKUP($D87,$C$5:$AA$492,25,)=0,0,((VLOOKUP($D87,$C$5:$AA$492,25,)/VLOOKUP($D87,$C$5:$AA$492,4,))*$F87))</f>
        <v>0</v>
      </c>
      <c r="AB87" s="49">
        <f>SUM(H87:AA87)</f>
        <v>4446981.82</v>
      </c>
      <c r="AC87" s="27" t="str">
        <f>IF(ABS(AB87-F87)&lt;1,"ok","err")</f>
        <v>ok</v>
      </c>
    </row>
    <row r="88" spans="1:29" x14ac:dyDescent="0.2">
      <c r="B88" s="14" t="s">
        <v>448</v>
      </c>
      <c r="C88" s="14" t="s">
        <v>555</v>
      </c>
      <c r="D88" s="14" t="s">
        <v>70</v>
      </c>
      <c r="F88" s="49">
        <v>0</v>
      </c>
      <c r="H88" s="49">
        <f>IF(VLOOKUP($D88,$C$5:$AA$492,6,)=0,0,((VLOOKUP($D88,$C$5:$AA$492,6,)/VLOOKUP($D88,$C$5:$AA$492,4,))*$F88))</f>
        <v>0</v>
      </c>
      <c r="I88" s="49">
        <f>IF(VLOOKUP($D88,$C$5:$AA$492,7,)=0,0,((VLOOKUP($D88,$C$5:$AA$492,7,)/VLOOKUP($D88,$C$5:$AA$492,4,))*$F88))</f>
        <v>0</v>
      </c>
      <c r="J88" s="49"/>
      <c r="K88" s="49">
        <f>IF(VLOOKUP($D88,$C$5:$AA$492,9,)=0,0,((VLOOKUP($D88,$C$5:$AA$492,9,)/VLOOKUP($D88,$C$5:$AA$492,4,))*$F88))</f>
        <v>0</v>
      </c>
      <c r="L88" s="49"/>
      <c r="M88" s="49">
        <f>IF(VLOOKUP($D88,$C$5:$AA$492,11,)=0,0,((VLOOKUP($D88,$C$5:$AA$492,11,)/VLOOKUP($D88,$C$5:$AA$492,4,))*$F88))</f>
        <v>0</v>
      </c>
      <c r="N88" s="49"/>
      <c r="O88" s="49">
        <f>IF(VLOOKUP($D88,$C$5:$AA$492,13,)=0,0,((VLOOKUP($D88,$C$5:$AA$492,13,)/VLOOKUP($D88,$C$5:$AA$492,4,))*$F88))</f>
        <v>0</v>
      </c>
      <c r="P88" s="49">
        <f>IF(VLOOKUP($D88,$C$5:$AA$492,14,)=0,0,((VLOOKUP($D88,$C$5:$AA$492,14,)/VLOOKUP($D88,$C$5:$AA$492,4,))*$F88))</f>
        <v>0</v>
      </c>
      <c r="Q88" s="49"/>
      <c r="R88" s="49">
        <f>IF(VLOOKUP($D88,$C$5:$AA$492,16,)=0,0,((VLOOKUP($D88,$C$5:$AA$492,16,)/VLOOKUP($D88,$C$5:$AA$492,4,))*$F88))</f>
        <v>0</v>
      </c>
      <c r="S88" s="49">
        <f>IF(VLOOKUP($D88,$C$5:$AA$492,17,)=0,0,((VLOOKUP($D88,$C$5:$AA$492,17,)/VLOOKUP($D88,$C$5:$AA$492,4,))*$F88))</f>
        <v>0</v>
      </c>
      <c r="T88" s="49"/>
      <c r="U88" s="49">
        <f>IF(VLOOKUP($D88,$C$5:$AA$492,19,)=0,0,((VLOOKUP($D88,$C$5:$AA$492,19,)/VLOOKUP($D88,$C$5:$AA$492,4,))*$F88))</f>
        <v>0</v>
      </c>
      <c r="V88" s="49"/>
      <c r="W88" s="49">
        <f>IF(VLOOKUP($D88,$C$5:$AA$492,21,)=0,0,((VLOOKUP($D88,$C$5:$AA$492,21,)/VLOOKUP($D88,$C$5:$AA$492,4,))*$F88))</f>
        <v>0</v>
      </c>
      <c r="X88" s="49"/>
      <c r="Y88" s="49">
        <f>IF(VLOOKUP($D88,$C$5:$AA$492,23,)=0,0,((VLOOKUP($D88,$C$5:$AA$492,23,)/VLOOKUP($D88,$C$5:$AA$492,4,))*$F88))</f>
        <v>0</v>
      </c>
      <c r="Z88" s="49"/>
      <c r="AA88" s="49">
        <f>IF(VLOOKUP($D88,$C$5:$AA$492,25,)=0,0,((VLOOKUP($D88,$C$5:$AA$492,25,)/VLOOKUP($D88,$C$5:$AA$492,4,))*$F88))</f>
        <v>0</v>
      </c>
      <c r="AB88" s="49">
        <f>SUM(H88:AA88)</f>
        <v>0</v>
      </c>
      <c r="AC88" s="27" t="str">
        <f>IF(ABS(AB88-F88)&lt;1,"ok","err")</f>
        <v>ok</v>
      </c>
    </row>
    <row r="89" spans="1:29" x14ac:dyDescent="0.2">
      <c r="B89" s="14" t="s">
        <v>927</v>
      </c>
      <c r="C89" s="14" t="s">
        <v>556</v>
      </c>
      <c r="D89" s="14" t="s">
        <v>16</v>
      </c>
      <c r="F89" s="49">
        <v>0</v>
      </c>
      <c r="H89" s="49">
        <f>IF(VLOOKUP($D89,$C$5:$AA$492,6,)=0,0,((VLOOKUP($D89,$C$5:$AA$492,6,)/VLOOKUP($D89,$C$5:$AA$492,4,))*$F89))</f>
        <v>0</v>
      </c>
      <c r="I89" s="49">
        <f>IF(VLOOKUP($D89,$C$5:$AA$492,7,)=0,0,((VLOOKUP($D89,$C$5:$AA$492,7,)/VLOOKUP($D89,$C$5:$AA$492,4,))*$F89))</f>
        <v>0</v>
      </c>
      <c r="J89" s="49"/>
      <c r="K89" s="49">
        <f>IF(VLOOKUP($D89,$C$5:$AA$492,9,)=0,0,((VLOOKUP($D89,$C$5:$AA$492,9,)/VLOOKUP($D89,$C$5:$AA$492,4,))*$F89))</f>
        <v>0</v>
      </c>
      <c r="L89" s="49"/>
      <c r="M89" s="49">
        <f>IF(VLOOKUP($D89,$C$5:$AA$492,11,)=0,0,((VLOOKUP($D89,$C$5:$AA$492,11,)/VLOOKUP($D89,$C$5:$AA$492,4,))*$F89))</f>
        <v>0</v>
      </c>
      <c r="N89" s="49"/>
      <c r="O89" s="49">
        <f>IF(VLOOKUP($D89,$C$5:$AA$492,13,)=0,0,((VLOOKUP($D89,$C$5:$AA$492,13,)/VLOOKUP($D89,$C$5:$AA$492,4,))*$F89))</f>
        <v>0</v>
      </c>
      <c r="P89" s="49">
        <f>IF(VLOOKUP($D89,$C$5:$AA$492,14,)=0,0,((VLOOKUP($D89,$C$5:$AA$492,14,)/VLOOKUP($D89,$C$5:$AA$492,4,))*$F89))</f>
        <v>0</v>
      </c>
      <c r="Q89" s="49"/>
      <c r="R89" s="49">
        <f>IF(VLOOKUP($D89,$C$5:$AA$492,16,)=0,0,((VLOOKUP($D89,$C$5:$AA$492,16,)/VLOOKUP($D89,$C$5:$AA$492,4,))*$F89))</f>
        <v>0</v>
      </c>
      <c r="S89" s="49">
        <f>IF(VLOOKUP($D89,$C$5:$AA$492,17,)=0,0,((VLOOKUP($D89,$C$5:$AA$492,17,)/VLOOKUP($D89,$C$5:$AA$492,4,))*$F89))</f>
        <v>0</v>
      </c>
      <c r="T89" s="49"/>
      <c r="U89" s="49">
        <f>IF(VLOOKUP($D89,$C$5:$AA$492,19,)=0,0,((VLOOKUP($D89,$C$5:$AA$492,19,)/VLOOKUP($D89,$C$5:$AA$492,4,))*$F89))</f>
        <v>0</v>
      </c>
      <c r="V89" s="49"/>
      <c r="W89" s="49">
        <f>IF(VLOOKUP($D89,$C$5:$AA$492,21,)=0,0,((VLOOKUP($D89,$C$5:$AA$492,21,)/VLOOKUP($D89,$C$5:$AA$492,4,))*$F89))</f>
        <v>0</v>
      </c>
      <c r="X89" s="49"/>
      <c r="Y89" s="49">
        <f>IF(VLOOKUP($D89,$C$5:$AA$492,23,)=0,0,((VLOOKUP($D89,$C$5:$AA$492,23,)/VLOOKUP($D89,$C$5:$AA$492,4,))*$F89))</f>
        <v>0</v>
      </c>
      <c r="Z89" s="49"/>
      <c r="AA89" s="49">
        <f>IF(VLOOKUP($D89,$C$5:$AA$492,25,)=0,0,((VLOOKUP($D89,$C$5:$AA$492,25,)/VLOOKUP($D89,$C$5:$AA$492,4,))*$F89))</f>
        <v>0</v>
      </c>
      <c r="AB89" s="49">
        <f>SUM(H89:AA89)</f>
        <v>0</v>
      </c>
      <c r="AC89" s="27" t="str">
        <f>IF(ABS(AB89-F89)&lt;1,"ok","err")</f>
        <v>ok</v>
      </c>
    </row>
    <row r="90" spans="1:29" x14ac:dyDescent="0.2">
      <c r="D90" s="49"/>
      <c r="F90" s="49"/>
      <c r="AB90" s="49"/>
      <c r="AC90" s="27"/>
    </row>
    <row r="91" spans="1:29" x14ac:dyDescent="0.2">
      <c r="A91" s="91" t="s">
        <v>74</v>
      </c>
      <c r="C91" s="14" t="s">
        <v>75</v>
      </c>
      <c r="F91" s="66">
        <f>SUM(F85:F89)</f>
        <v>4446981.82</v>
      </c>
      <c r="G91" s="66"/>
      <c r="H91" s="66">
        <f>SUM(H85:H89)</f>
        <v>0</v>
      </c>
      <c r="I91" s="66">
        <f>SUM(I85:I89)</f>
        <v>0</v>
      </c>
      <c r="J91" s="66"/>
      <c r="K91" s="66">
        <f>SUM(K85:K89)</f>
        <v>0</v>
      </c>
      <c r="L91" s="66"/>
      <c r="M91" s="66">
        <f>SUM(M85:M89)</f>
        <v>31200.41857611978</v>
      </c>
      <c r="N91" s="66"/>
      <c r="O91" s="66">
        <f>SUM(O85:O89)</f>
        <v>2033714.5300753985</v>
      </c>
      <c r="P91" s="66">
        <f>SUM(P85:P89)</f>
        <v>1366482.232564931</v>
      </c>
      <c r="Q91" s="66"/>
      <c r="R91" s="66">
        <f>SUM(R85:R89)</f>
        <v>0</v>
      </c>
      <c r="S91" s="66">
        <f>SUM(S85:S89)</f>
        <v>569997.56115644134</v>
      </c>
      <c r="T91" s="66"/>
      <c r="U91" s="66">
        <f>SUM(U85:U89)</f>
        <v>221544.82120935363</v>
      </c>
      <c r="V91" s="66"/>
      <c r="W91" s="66">
        <f>SUM(W85:W89)</f>
        <v>224042.256417756</v>
      </c>
      <c r="X91" s="66"/>
      <c r="Y91" s="66">
        <f>SUM(Y85:Y89)</f>
        <v>0</v>
      </c>
      <c r="Z91" s="66"/>
      <c r="AA91" s="66">
        <f>SUM(AA85:AA89)</f>
        <v>0</v>
      </c>
      <c r="AB91" s="49">
        <f>SUM(H91:AA91)</f>
        <v>4446981.82</v>
      </c>
      <c r="AC91" s="27" t="str">
        <f>IF(ABS(AB91-F91)&lt;1,"ok","err")</f>
        <v>ok</v>
      </c>
    </row>
    <row r="92" spans="1:29" x14ac:dyDescent="0.2">
      <c r="A92" s="91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49"/>
      <c r="AC92" s="27"/>
    </row>
    <row r="93" spans="1:29" x14ac:dyDescent="0.2">
      <c r="A93" s="13" t="s">
        <v>365</v>
      </c>
      <c r="D93" s="49"/>
      <c r="F93" s="66">
        <f>F82+F91</f>
        <v>349285876.35699993</v>
      </c>
      <c r="G93" s="66"/>
      <c r="H93" s="66">
        <f>H82+H91</f>
        <v>0</v>
      </c>
      <c r="I93" s="66">
        <f>I82+I91</f>
        <v>0</v>
      </c>
      <c r="J93" s="66"/>
      <c r="K93" s="66">
        <f>K82+K91</f>
        <v>0</v>
      </c>
      <c r="L93" s="66"/>
      <c r="M93" s="66">
        <f>M82+M91</f>
        <v>2450620.6650211173</v>
      </c>
      <c r="N93" s="66"/>
      <c r="O93" s="66">
        <f>O82+O91</f>
        <v>159737051.02697045</v>
      </c>
      <c r="P93" s="66">
        <f>P82+P91</f>
        <v>107329636.91938631</v>
      </c>
      <c r="Q93" s="66"/>
      <c r="R93" s="66">
        <f>R82+R91</f>
        <v>0</v>
      </c>
      <c r="S93" s="66">
        <f>S82+S91</f>
        <v>44770162.264769569</v>
      </c>
      <c r="T93" s="66"/>
      <c r="U93" s="66">
        <f>U82+U91</f>
        <v>17401122.865050063</v>
      </c>
      <c r="V93" s="66"/>
      <c r="W93" s="66">
        <f>W82+W91</f>
        <v>17597282.615802463</v>
      </c>
      <c r="X93" s="66"/>
      <c r="Y93" s="66">
        <f>Y82+Y91</f>
        <v>0</v>
      </c>
      <c r="Z93" s="66"/>
      <c r="AA93" s="66">
        <f>AA82+AA91</f>
        <v>0</v>
      </c>
      <c r="AB93" s="49">
        <f>SUM(H93:AA93)</f>
        <v>349285876.35699999</v>
      </c>
      <c r="AC93" s="27" t="str">
        <f>IF(ABS(AB93-F93)&lt;1,"ok","err")</f>
        <v>ok</v>
      </c>
    </row>
    <row r="94" spans="1:29" x14ac:dyDescent="0.2">
      <c r="AC94" s="27"/>
    </row>
    <row r="95" spans="1:29" x14ac:dyDescent="0.2">
      <c r="A95" s="25" t="s">
        <v>76</v>
      </c>
      <c r="AC95" s="27"/>
    </row>
    <row r="96" spans="1:29" x14ac:dyDescent="0.2">
      <c r="AC96" s="27"/>
    </row>
    <row r="97" spans="1:29" x14ac:dyDescent="0.2">
      <c r="A97" s="25" t="s">
        <v>77</v>
      </c>
      <c r="AC97" s="27"/>
    </row>
    <row r="98" spans="1:29" x14ac:dyDescent="0.2">
      <c r="A98" s="14" t="s">
        <v>15</v>
      </c>
      <c r="D98" s="89"/>
      <c r="F98" s="89">
        <f>F82</f>
        <v>344838894.53699994</v>
      </c>
      <c r="G98" s="89"/>
      <c r="H98" s="89">
        <f>H82</f>
        <v>0</v>
      </c>
      <c r="I98" s="89">
        <f>I82</f>
        <v>0</v>
      </c>
      <c r="J98" s="89"/>
      <c r="K98" s="89">
        <f>K82</f>
        <v>0</v>
      </c>
      <c r="L98" s="89"/>
      <c r="M98" s="89">
        <f>M82</f>
        <v>2419420.2464449974</v>
      </c>
      <c r="N98" s="89"/>
      <c r="O98" s="89">
        <f>O82</f>
        <v>157703336.49689505</v>
      </c>
      <c r="P98" s="89">
        <f>P82</f>
        <v>105963154.68682139</v>
      </c>
      <c r="Q98" s="89"/>
      <c r="R98" s="89">
        <f>R82</f>
        <v>0</v>
      </c>
      <c r="S98" s="89">
        <f>S82</f>
        <v>44200164.703613125</v>
      </c>
      <c r="T98" s="89"/>
      <c r="U98" s="89">
        <f>U82</f>
        <v>17179578.04384071</v>
      </c>
      <c r="V98" s="89"/>
      <c r="W98" s="89">
        <f>W82</f>
        <v>17373240.359384708</v>
      </c>
      <c r="X98" s="89"/>
      <c r="Y98" s="89">
        <f>Y82</f>
        <v>0</v>
      </c>
      <c r="Z98" s="89"/>
      <c r="AA98" s="89">
        <f>AA82</f>
        <v>0</v>
      </c>
      <c r="AB98" s="49">
        <f>SUM(H98:AA98)</f>
        <v>344838894.53699994</v>
      </c>
      <c r="AC98" s="27" t="str">
        <f>IF(ABS(AB98-F98)&lt;1,"ok","err")</f>
        <v>ok</v>
      </c>
    </row>
    <row r="99" spans="1:29" x14ac:dyDescent="0.2">
      <c r="A99" s="14" t="s">
        <v>73</v>
      </c>
      <c r="F99" s="49">
        <f>F91</f>
        <v>4446981.82</v>
      </c>
      <c r="G99" s="47"/>
      <c r="H99" s="47">
        <f>H91</f>
        <v>0</v>
      </c>
      <c r="I99" s="47">
        <f>I91</f>
        <v>0</v>
      </c>
      <c r="J99" s="47"/>
      <c r="K99" s="47">
        <f>K91</f>
        <v>0</v>
      </c>
      <c r="L99" s="47"/>
      <c r="M99" s="47">
        <f>M91</f>
        <v>31200.41857611978</v>
      </c>
      <c r="N99" s="47"/>
      <c r="O99" s="47">
        <f>O91</f>
        <v>2033714.5300753985</v>
      </c>
      <c r="P99" s="47">
        <f>P91</f>
        <v>1366482.232564931</v>
      </c>
      <c r="Q99" s="47"/>
      <c r="R99" s="47">
        <f>R91</f>
        <v>0</v>
      </c>
      <c r="S99" s="47">
        <f>S91</f>
        <v>569997.56115644134</v>
      </c>
      <c r="T99" s="47"/>
      <c r="U99" s="47">
        <f>U91</f>
        <v>221544.82120935363</v>
      </c>
      <c r="V99" s="47"/>
      <c r="W99" s="47">
        <f>W91</f>
        <v>224042.256417756</v>
      </c>
      <c r="X99" s="47"/>
      <c r="Y99" s="47">
        <f>Y91</f>
        <v>0</v>
      </c>
      <c r="Z99" s="47"/>
      <c r="AA99" s="49">
        <f>AA91</f>
        <v>0</v>
      </c>
      <c r="AB99" s="49">
        <f>SUM(H99:AA99)</f>
        <v>4446981.82</v>
      </c>
      <c r="AC99" s="27" t="str">
        <f>IF(ABS(AB99-F99)&lt;1,"ok","err")</f>
        <v>ok</v>
      </c>
    </row>
    <row r="100" spans="1:29" x14ac:dyDescent="0.2">
      <c r="Q100" s="14"/>
      <c r="AB100" s="49"/>
      <c r="AC100" s="27"/>
    </row>
    <row r="101" spans="1:29" x14ac:dyDescent="0.2">
      <c r="A101" s="91" t="s">
        <v>78</v>
      </c>
      <c r="C101" s="14" t="s">
        <v>79</v>
      </c>
      <c r="F101" s="89">
        <f>F98+F99</f>
        <v>349285876.35699993</v>
      </c>
      <c r="G101" s="89"/>
      <c r="H101" s="89">
        <f t="shared" ref="G101:AA101" si="61">H98+H99</f>
        <v>0</v>
      </c>
      <c r="I101" s="89">
        <f t="shared" si="61"/>
        <v>0</v>
      </c>
      <c r="J101" s="89"/>
      <c r="K101" s="89">
        <f t="shared" si="61"/>
        <v>0</v>
      </c>
      <c r="L101" s="89"/>
      <c r="M101" s="89">
        <f t="shared" si="61"/>
        <v>2450620.6650211173</v>
      </c>
      <c r="N101" s="89"/>
      <c r="O101" s="89">
        <f t="shared" si="61"/>
        <v>159737051.02697045</v>
      </c>
      <c r="P101" s="89">
        <f t="shared" si="61"/>
        <v>107329636.91938631</v>
      </c>
      <c r="Q101" s="89"/>
      <c r="R101" s="89">
        <f t="shared" si="61"/>
        <v>0</v>
      </c>
      <c r="S101" s="89">
        <f t="shared" si="61"/>
        <v>44770162.264769569</v>
      </c>
      <c r="T101" s="89"/>
      <c r="U101" s="89">
        <f t="shared" si="61"/>
        <v>17401122.865050063</v>
      </c>
      <c r="V101" s="89"/>
      <c r="W101" s="89">
        <f t="shared" si="61"/>
        <v>17597282.615802463</v>
      </c>
      <c r="X101" s="89"/>
      <c r="Y101" s="89">
        <f t="shared" si="61"/>
        <v>0</v>
      </c>
      <c r="Z101" s="89"/>
      <c r="AA101" s="89">
        <f t="shared" si="61"/>
        <v>0</v>
      </c>
      <c r="AB101" s="49">
        <f>SUM(H101:AA101)</f>
        <v>349285876.35699999</v>
      </c>
      <c r="AC101" s="27" t="str">
        <f>IF(ABS(AB101-F101)&lt;1,"ok","err")</f>
        <v>ok</v>
      </c>
    </row>
    <row r="102" spans="1:29" x14ac:dyDescent="0.2">
      <c r="Q102" s="14"/>
      <c r="AC102" s="27"/>
    </row>
    <row r="103" spans="1:29" x14ac:dyDescent="0.2">
      <c r="A103" s="25" t="s">
        <v>80</v>
      </c>
      <c r="Q103" s="14"/>
      <c r="AC103" s="27"/>
    </row>
    <row r="104" spans="1:29" x14ac:dyDescent="0.2">
      <c r="A104" s="14" t="s">
        <v>367</v>
      </c>
      <c r="C104" s="14" t="s">
        <v>392</v>
      </c>
      <c r="D104" s="14" t="s">
        <v>79</v>
      </c>
      <c r="F104" s="66"/>
      <c r="H104" s="49">
        <f t="shared" ref="H104:H122" si="62">IF(VLOOKUP($D104,$C$5:$AA$492,6,)=0,0,((VLOOKUP($D104,$C$5:$AA$492,6,)/VLOOKUP($D104,$C$5:$AA$492,4,))*$F104))</f>
        <v>0</v>
      </c>
      <c r="I104" s="49">
        <f t="shared" ref="I104:I122" si="63">IF(VLOOKUP($D104,$C$5:$AA$492,7,)=0,0,((VLOOKUP($D104,$C$5:$AA$492,7,)/VLOOKUP($D104,$C$5:$AA$492,4,))*$F104))</f>
        <v>0</v>
      </c>
      <c r="J104" s="49"/>
      <c r="K104" s="49">
        <f t="shared" ref="K104:K122" si="64">IF(VLOOKUP($D104,$C$5:$AA$492,9,)=0,0,((VLOOKUP($D104,$C$5:$AA$492,9,)/VLOOKUP($D104,$C$5:$AA$492,4,))*$F104))</f>
        <v>0</v>
      </c>
      <c r="L104" s="49"/>
      <c r="M104" s="49">
        <f t="shared" ref="M104:M122" si="65">IF(VLOOKUP($D104,$C$5:$AA$492,11,)=0,0,((VLOOKUP($D104,$C$5:$AA$492,11,)/VLOOKUP($D104,$C$5:$AA$492,4,))*$F104))</f>
        <v>0</v>
      </c>
      <c r="N104" s="49"/>
      <c r="O104" s="49">
        <f t="shared" ref="O104:O122" si="66">IF(VLOOKUP($D104,$C$5:$AA$492,13,)=0,0,((VLOOKUP($D104,$C$5:$AA$492,13,)/VLOOKUP($D104,$C$5:$AA$492,4,))*$F104))</f>
        <v>0</v>
      </c>
      <c r="P104" s="49">
        <f t="shared" ref="P104:P122" si="67">IF(VLOOKUP($D104,$C$5:$AA$492,14,)=0,0,((VLOOKUP($D104,$C$5:$AA$492,14,)/VLOOKUP($D104,$C$5:$AA$492,4,))*$F104))</f>
        <v>0</v>
      </c>
      <c r="Q104" s="49"/>
      <c r="R104" s="49">
        <f t="shared" ref="R104:R122" si="68">IF(VLOOKUP($D104,$C$5:$AA$492,16,)=0,0,((VLOOKUP($D104,$C$5:$AA$492,16,)/VLOOKUP($D104,$C$5:$AA$492,4,))*$F104))</f>
        <v>0</v>
      </c>
      <c r="S104" s="49">
        <f t="shared" ref="S104:S122" si="69">IF(VLOOKUP($D104,$C$5:$AA$492,17,)=0,0,((VLOOKUP($D104,$C$5:$AA$492,17,)/VLOOKUP($D104,$C$5:$AA$492,4,))*$F104))</f>
        <v>0</v>
      </c>
      <c r="T104" s="49"/>
      <c r="U104" s="49">
        <f t="shared" ref="U104:U122" si="70">IF(VLOOKUP($D104,$C$5:$AA$492,19,)=0,0,((VLOOKUP($D104,$C$5:$AA$492,19,)/VLOOKUP($D104,$C$5:$AA$492,4,))*$F104))</f>
        <v>0</v>
      </c>
      <c r="V104" s="49"/>
      <c r="W104" s="49">
        <f t="shared" ref="W104:W122" si="71">IF(VLOOKUP($D104,$C$5:$AA$492,21,)=0,0,((VLOOKUP($D104,$C$5:$AA$492,21,)/VLOOKUP($D104,$C$5:$AA$492,4,))*$F104))</f>
        <v>0</v>
      </c>
      <c r="X104" s="49"/>
      <c r="Y104" s="49">
        <f t="shared" ref="Y104:Y122" si="72">IF(VLOOKUP($D104,$C$5:$AA$492,23,)=0,0,((VLOOKUP($D104,$C$5:$AA$492,23,)/VLOOKUP($D104,$C$5:$AA$492,4,))*$F104))</f>
        <v>0</v>
      </c>
      <c r="Z104" s="49"/>
      <c r="AA104" s="49">
        <f t="shared" ref="AA104:AA122" si="73">IF(VLOOKUP($D104,$C$5:$AA$492,25,)=0,0,((VLOOKUP($D104,$C$5:$AA$492,25,)/VLOOKUP($D104,$C$5:$AA$492,4,))*$F104))</f>
        <v>0</v>
      </c>
      <c r="AB104" s="49">
        <f t="shared" ref="AB104:AB122" si="74">SUM(H104:AA104)</f>
        <v>0</v>
      </c>
      <c r="AC104" s="27" t="str">
        <f t="shared" ref="AC104:AC110" si="75">IF(ABS(AB104-F104)&lt;1,"ok","err")</f>
        <v>ok</v>
      </c>
    </row>
    <row r="105" spans="1:29" x14ac:dyDescent="0.2">
      <c r="A105" s="14" t="s">
        <v>368</v>
      </c>
      <c r="C105" s="14" t="s">
        <v>393</v>
      </c>
      <c r="D105" s="14" t="s">
        <v>16</v>
      </c>
      <c r="F105" s="49">
        <v>-1435339.4</v>
      </c>
      <c r="H105" s="49">
        <f t="shared" si="62"/>
        <v>0</v>
      </c>
      <c r="I105" s="49">
        <f t="shared" si="63"/>
        <v>0</v>
      </c>
      <c r="J105" s="49"/>
      <c r="K105" s="49">
        <f t="shared" si="64"/>
        <v>0</v>
      </c>
      <c r="L105" s="49"/>
      <c r="M105" s="49">
        <f t="shared" si="65"/>
        <v>-10070.468441626464</v>
      </c>
      <c r="N105" s="49"/>
      <c r="O105" s="49">
        <f t="shared" si="66"/>
        <v>-656416.12930401054</v>
      </c>
      <c r="P105" s="49">
        <f t="shared" si="67"/>
        <v>-441055.49948041129</v>
      </c>
      <c r="Q105" s="49"/>
      <c r="R105" s="49">
        <f t="shared" si="68"/>
        <v>0</v>
      </c>
      <c r="S105" s="49">
        <f t="shared" si="69"/>
        <v>-183976.45651534272</v>
      </c>
      <c r="T105" s="49"/>
      <c r="U105" s="49">
        <f t="shared" si="70"/>
        <v>-71507.378176720522</v>
      </c>
      <c r="V105" s="49"/>
      <c r="W105" s="49">
        <f t="shared" si="71"/>
        <v>-72313.468081888393</v>
      </c>
      <c r="X105" s="49"/>
      <c r="Y105" s="49">
        <f t="shared" si="72"/>
        <v>0</v>
      </c>
      <c r="Z105" s="49"/>
      <c r="AA105" s="49">
        <f t="shared" si="73"/>
        <v>0</v>
      </c>
      <c r="AB105" s="49">
        <f t="shared" si="74"/>
        <v>-1435339.4</v>
      </c>
      <c r="AC105" s="27" t="str">
        <f t="shared" si="75"/>
        <v>ok</v>
      </c>
    </row>
    <row r="106" spans="1:29" x14ac:dyDescent="0.2">
      <c r="A106" s="14" t="s">
        <v>832</v>
      </c>
      <c r="C106" s="14" t="s">
        <v>837</v>
      </c>
      <c r="D106" s="14" t="s">
        <v>781</v>
      </c>
      <c r="F106" s="49">
        <v>0</v>
      </c>
      <c r="H106" s="49">
        <f t="shared" si="62"/>
        <v>0</v>
      </c>
      <c r="I106" s="49">
        <f t="shared" si="63"/>
        <v>0</v>
      </c>
      <c r="J106" s="49"/>
      <c r="K106" s="49">
        <f t="shared" si="64"/>
        <v>0</v>
      </c>
      <c r="L106" s="49"/>
      <c r="M106" s="49">
        <f t="shared" si="65"/>
        <v>0</v>
      </c>
      <c r="N106" s="49"/>
      <c r="O106" s="49">
        <f t="shared" si="66"/>
        <v>0</v>
      </c>
      <c r="P106" s="49">
        <f t="shared" si="67"/>
        <v>0</v>
      </c>
      <c r="Q106" s="49"/>
      <c r="R106" s="49">
        <f t="shared" si="68"/>
        <v>0</v>
      </c>
      <c r="S106" s="49">
        <f t="shared" si="69"/>
        <v>0</v>
      </c>
      <c r="T106" s="49"/>
      <c r="U106" s="49">
        <f t="shared" si="70"/>
        <v>0</v>
      </c>
      <c r="V106" s="49"/>
      <c r="W106" s="49">
        <f t="shared" si="71"/>
        <v>0</v>
      </c>
      <c r="X106" s="49"/>
      <c r="Y106" s="49">
        <f t="shared" si="72"/>
        <v>0</v>
      </c>
      <c r="Z106" s="49"/>
      <c r="AA106" s="49">
        <f t="shared" si="73"/>
        <v>0</v>
      </c>
      <c r="AB106" s="49">
        <f t="shared" si="74"/>
        <v>0</v>
      </c>
      <c r="AC106" s="27" t="str">
        <f t="shared" si="75"/>
        <v>ok</v>
      </c>
    </row>
    <row r="107" spans="1:29" x14ac:dyDescent="0.2">
      <c r="A107" s="14" t="s">
        <v>366</v>
      </c>
      <c r="C107" s="14" t="s">
        <v>394</v>
      </c>
      <c r="D107" s="14" t="s">
        <v>389</v>
      </c>
      <c r="F107" s="49">
        <v>0</v>
      </c>
      <c r="H107" s="49">
        <f t="shared" si="62"/>
        <v>0</v>
      </c>
      <c r="I107" s="49">
        <f t="shared" si="63"/>
        <v>0</v>
      </c>
      <c r="J107" s="49"/>
      <c r="K107" s="49">
        <f t="shared" si="64"/>
        <v>0</v>
      </c>
      <c r="L107" s="49"/>
      <c r="M107" s="49">
        <f t="shared" si="65"/>
        <v>0</v>
      </c>
      <c r="N107" s="49"/>
      <c r="O107" s="49">
        <f t="shared" si="66"/>
        <v>0</v>
      </c>
      <c r="P107" s="49">
        <f t="shared" si="67"/>
        <v>0</v>
      </c>
      <c r="Q107" s="49"/>
      <c r="R107" s="49">
        <f t="shared" si="68"/>
        <v>0</v>
      </c>
      <c r="S107" s="49">
        <f t="shared" si="69"/>
        <v>0</v>
      </c>
      <c r="T107" s="49"/>
      <c r="U107" s="49">
        <f t="shared" si="70"/>
        <v>0</v>
      </c>
      <c r="V107" s="49"/>
      <c r="W107" s="49">
        <f t="shared" si="71"/>
        <v>0</v>
      </c>
      <c r="X107" s="49"/>
      <c r="Y107" s="49">
        <f t="shared" si="72"/>
        <v>0</v>
      </c>
      <c r="Z107" s="49"/>
      <c r="AA107" s="49">
        <f t="shared" si="73"/>
        <v>0</v>
      </c>
      <c r="AB107" s="49">
        <f t="shared" si="74"/>
        <v>0</v>
      </c>
      <c r="AC107" s="27" t="str">
        <f t="shared" si="75"/>
        <v>ok</v>
      </c>
    </row>
    <row r="108" spans="1:29" x14ac:dyDescent="0.2">
      <c r="A108" s="14" t="s">
        <v>578</v>
      </c>
      <c r="C108" s="14" t="s">
        <v>447</v>
      </c>
      <c r="D108" s="14" t="s">
        <v>16</v>
      </c>
      <c r="F108" s="49">
        <f>143851226.58-F105</f>
        <v>145286565.98000002</v>
      </c>
      <c r="H108" s="49">
        <f t="shared" si="62"/>
        <v>0</v>
      </c>
      <c r="I108" s="49">
        <f t="shared" si="63"/>
        <v>0</v>
      </c>
      <c r="J108" s="49"/>
      <c r="K108" s="49">
        <f t="shared" si="64"/>
        <v>0</v>
      </c>
      <c r="L108" s="49"/>
      <c r="M108" s="49">
        <f t="shared" si="65"/>
        <v>1019343.4233700206</v>
      </c>
      <c r="N108" s="49"/>
      <c r="O108" s="49">
        <f t="shared" si="66"/>
        <v>66443132.042820923</v>
      </c>
      <c r="P108" s="49">
        <f t="shared" si="67"/>
        <v>44644102.242370442</v>
      </c>
      <c r="Q108" s="49"/>
      <c r="R108" s="49">
        <f t="shared" si="68"/>
        <v>0</v>
      </c>
      <c r="S108" s="49">
        <f t="shared" si="69"/>
        <v>18622290.719730083</v>
      </c>
      <c r="T108" s="49"/>
      <c r="U108" s="49">
        <f t="shared" si="70"/>
        <v>7238052.1412071036</v>
      </c>
      <c r="V108" s="49"/>
      <c r="W108" s="49">
        <f t="shared" si="71"/>
        <v>7319645.4105014503</v>
      </c>
      <c r="X108" s="49"/>
      <c r="Y108" s="49">
        <f t="shared" si="72"/>
        <v>0</v>
      </c>
      <c r="Z108" s="49"/>
      <c r="AA108" s="49">
        <f t="shared" si="73"/>
        <v>0</v>
      </c>
      <c r="AB108" s="49">
        <f t="shared" si="74"/>
        <v>145286565.98000002</v>
      </c>
      <c r="AC108" s="27" t="str">
        <f t="shared" si="75"/>
        <v>ok</v>
      </c>
    </row>
    <row r="109" spans="1:29" x14ac:dyDescent="0.2">
      <c r="A109" s="14" t="s">
        <v>425</v>
      </c>
      <c r="C109" s="14" t="s">
        <v>435</v>
      </c>
      <c r="D109" s="14" t="s">
        <v>423</v>
      </c>
      <c r="F109" s="49">
        <v>0</v>
      </c>
      <c r="H109" s="49">
        <f t="shared" si="62"/>
        <v>0</v>
      </c>
      <c r="I109" s="49">
        <f t="shared" si="63"/>
        <v>0</v>
      </c>
      <c r="J109" s="49"/>
      <c r="K109" s="49">
        <f t="shared" si="64"/>
        <v>0</v>
      </c>
      <c r="L109" s="49"/>
      <c r="M109" s="49">
        <f t="shared" si="65"/>
        <v>0</v>
      </c>
      <c r="N109" s="49"/>
      <c r="O109" s="49">
        <f t="shared" si="66"/>
        <v>0</v>
      </c>
      <c r="P109" s="49">
        <f t="shared" si="67"/>
        <v>0</v>
      </c>
      <c r="Q109" s="49"/>
      <c r="R109" s="49">
        <f t="shared" si="68"/>
        <v>0</v>
      </c>
      <c r="S109" s="49">
        <f t="shared" si="69"/>
        <v>0</v>
      </c>
      <c r="T109" s="49"/>
      <c r="U109" s="49">
        <f t="shared" si="70"/>
        <v>0</v>
      </c>
      <c r="V109" s="49"/>
      <c r="W109" s="49">
        <f t="shared" si="71"/>
        <v>0</v>
      </c>
      <c r="X109" s="49"/>
      <c r="Y109" s="49">
        <f t="shared" si="72"/>
        <v>0</v>
      </c>
      <c r="Z109" s="49"/>
      <c r="AA109" s="49">
        <f t="shared" si="73"/>
        <v>0</v>
      </c>
      <c r="AB109" s="49">
        <f t="shared" si="74"/>
        <v>0</v>
      </c>
      <c r="AC109" s="27" t="str">
        <f t="shared" si="75"/>
        <v>ok</v>
      </c>
    </row>
    <row r="110" spans="1:29" x14ac:dyDescent="0.2">
      <c r="A110" s="14" t="s">
        <v>426</v>
      </c>
      <c r="C110" s="14" t="s">
        <v>436</v>
      </c>
      <c r="D110" s="14" t="s">
        <v>23</v>
      </c>
      <c r="F110" s="49">
        <v>0</v>
      </c>
      <c r="H110" s="49">
        <f t="shared" si="62"/>
        <v>0</v>
      </c>
      <c r="I110" s="49">
        <f t="shared" si="63"/>
        <v>0</v>
      </c>
      <c r="J110" s="49"/>
      <c r="K110" s="49">
        <f t="shared" si="64"/>
        <v>0</v>
      </c>
      <c r="L110" s="49"/>
      <c r="M110" s="49">
        <f t="shared" si="65"/>
        <v>0</v>
      </c>
      <c r="N110" s="49"/>
      <c r="O110" s="49">
        <f t="shared" si="66"/>
        <v>0</v>
      </c>
      <c r="P110" s="49">
        <f t="shared" si="67"/>
        <v>0</v>
      </c>
      <c r="Q110" s="49"/>
      <c r="R110" s="49">
        <f t="shared" si="68"/>
        <v>0</v>
      </c>
      <c r="S110" s="49">
        <f t="shared" si="69"/>
        <v>0</v>
      </c>
      <c r="T110" s="49"/>
      <c r="U110" s="49">
        <f t="shared" si="70"/>
        <v>0</v>
      </c>
      <c r="V110" s="49"/>
      <c r="W110" s="49">
        <f t="shared" si="71"/>
        <v>0</v>
      </c>
      <c r="X110" s="49"/>
      <c r="Y110" s="49">
        <f t="shared" si="72"/>
        <v>0</v>
      </c>
      <c r="Z110" s="49"/>
      <c r="AA110" s="49">
        <f t="shared" si="73"/>
        <v>0</v>
      </c>
      <c r="AB110" s="49">
        <f t="shared" si="74"/>
        <v>0</v>
      </c>
      <c r="AC110" s="27" t="str">
        <f t="shared" si="75"/>
        <v>ok</v>
      </c>
    </row>
    <row r="111" spans="1:29" x14ac:dyDescent="0.2">
      <c r="A111" s="14" t="s">
        <v>427</v>
      </c>
      <c r="C111" s="14" t="s">
        <v>437</v>
      </c>
      <c r="D111" s="14" t="s">
        <v>26</v>
      </c>
      <c r="F111" s="49">
        <v>0</v>
      </c>
      <c r="H111" s="49">
        <f t="shared" si="62"/>
        <v>0</v>
      </c>
      <c r="I111" s="49">
        <f t="shared" si="63"/>
        <v>0</v>
      </c>
      <c r="J111" s="49"/>
      <c r="K111" s="49">
        <f t="shared" si="64"/>
        <v>0</v>
      </c>
      <c r="L111" s="49"/>
      <c r="M111" s="49">
        <f t="shared" si="65"/>
        <v>0</v>
      </c>
      <c r="N111" s="49"/>
      <c r="O111" s="49">
        <f t="shared" si="66"/>
        <v>0</v>
      </c>
      <c r="P111" s="49">
        <f t="shared" si="67"/>
        <v>0</v>
      </c>
      <c r="Q111" s="49"/>
      <c r="R111" s="49">
        <f t="shared" si="68"/>
        <v>0</v>
      </c>
      <c r="S111" s="49">
        <f t="shared" si="69"/>
        <v>0</v>
      </c>
      <c r="T111" s="49"/>
      <c r="U111" s="49">
        <f t="shared" si="70"/>
        <v>0</v>
      </c>
      <c r="V111" s="49"/>
      <c r="W111" s="49">
        <f t="shared" si="71"/>
        <v>0</v>
      </c>
      <c r="X111" s="49"/>
      <c r="Y111" s="49">
        <f t="shared" si="72"/>
        <v>0</v>
      </c>
      <c r="Z111" s="49"/>
      <c r="AA111" s="49">
        <f t="shared" si="73"/>
        <v>0</v>
      </c>
      <c r="AB111" s="49">
        <f t="shared" si="74"/>
        <v>0</v>
      </c>
      <c r="AC111" s="27" t="str">
        <f t="shared" ref="AC111:AC119" si="76">IF(ABS(AB111-F111)&lt;1,"ok","err")</f>
        <v>ok</v>
      </c>
    </row>
    <row r="112" spans="1:29" x14ac:dyDescent="0.2">
      <c r="A112" s="14" t="s">
        <v>428</v>
      </c>
      <c r="C112" s="14" t="s">
        <v>438</v>
      </c>
      <c r="D112" s="14" t="s">
        <v>29</v>
      </c>
      <c r="F112" s="49">
        <v>0</v>
      </c>
      <c r="H112" s="49">
        <f t="shared" si="62"/>
        <v>0</v>
      </c>
      <c r="I112" s="49">
        <f t="shared" si="63"/>
        <v>0</v>
      </c>
      <c r="J112" s="49"/>
      <c r="K112" s="49">
        <f t="shared" si="64"/>
        <v>0</v>
      </c>
      <c r="L112" s="49"/>
      <c r="M112" s="49">
        <f t="shared" si="65"/>
        <v>0</v>
      </c>
      <c r="N112" s="49"/>
      <c r="O112" s="49">
        <f t="shared" si="66"/>
        <v>0</v>
      </c>
      <c r="P112" s="49">
        <f t="shared" si="67"/>
        <v>0</v>
      </c>
      <c r="Q112" s="49"/>
      <c r="R112" s="49">
        <f t="shared" si="68"/>
        <v>0</v>
      </c>
      <c r="S112" s="49">
        <f t="shared" si="69"/>
        <v>0</v>
      </c>
      <c r="T112" s="49"/>
      <c r="U112" s="49">
        <f t="shared" si="70"/>
        <v>0</v>
      </c>
      <c r="V112" s="49"/>
      <c r="W112" s="49">
        <f t="shared" si="71"/>
        <v>0</v>
      </c>
      <c r="X112" s="49"/>
      <c r="Y112" s="49">
        <f t="shared" si="72"/>
        <v>0</v>
      </c>
      <c r="Z112" s="49"/>
      <c r="AA112" s="49">
        <f t="shared" si="73"/>
        <v>0</v>
      </c>
      <c r="AB112" s="49">
        <f t="shared" si="74"/>
        <v>0</v>
      </c>
      <c r="AC112" s="27" t="str">
        <f t="shared" si="76"/>
        <v>ok</v>
      </c>
    </row>
    <row r="113" spans="1:29" x14ac:dyDescent="0.2">
      <c r="A113" s="14" t="s">
        <v>446</v>
      </c>
      <c r="C113" s="14" t="s">
        <v>439</v>
      </c>
      <c r="D113" s="14" t="s">
        <v>32</v>
      </c>
      <c r="F113" s="49">
        <v>0</v>
      </c>
      <c r="H113" s="49">
        <f t="shared" si="62"/>
        <v>0</v>
      </c>
      <c r="I113" s="49">
        <f t="shared" si="63"/>
        <v>0</v>
      </c>
      <c r="J113" s="49"/>
      <c r="K113" s="49">
        <f t="shared" si="64"/>
        <v>0</v>
      </c>
      <c r="L113" s="49"/>
      <c r="M113" s="49">
        <f t="shared" si="65"/>
        <v>0</v>
      </c>
      <c r="N113" s="49"/>
      <c r="O113" s="49">
        <f t="shared" si="66"/>
        <v>0</v>
      </c>
      <c r="P113" s="49">
        <f t="shared" si="67"/>
        <v>0</v>
      </c>
      <c r="Q113" s="49"/>
      <c r="R113" s="49">
        <f t="shared" si="68"/>
        <v>0</v>
      </c>
      <c r="S113" s="49">
        <f t="shared" si="69"/>
        <v>0</v>
      </c>
      <c r="T113" s="49"/>
      <c r="U113" s="49">
        <f t="shared" si="70"/>
        <v>0</v>
      </c>
      <c r="V113" s="49"/>
      <c r="W113" s="49">
        <f t="shared" si="71"/>
        <v>0</v>
      </c>
      <c r="X113" s="49"/>
      <c r="Y113" s="49">
        <f t="shared" si="72"/>
        <v>0</v>
      </c>
      <c r="Z113" s="49"/>
      <c r="AA113" s="49">
        <f t="shared" si="73"/>
        <v>0</v>
      </c>
      <c r="AB113" s="49">
        <f t="shared" si="74"/>
        <v>0</v>
      </c>
      <c r="AC113" s="27" t="str">
        <f t="shared" si="76"/>
        <v>ok</v>
      </c>
    </row>
    <row r="114" spans="1:29" x14ac:dyDescent="0.2">
      <c r="A114" s="14" t="s">
        <v>429</v>
      </c>
      <c r="C114" s="14" t="s">
        <v>440</v>
      </c>
      <c r="D114" s="14" t="s">
        <v>35</v>
      </c>
      <c r="F114" s="49">
        <v>0</v>
      </c>
      <c r="H114" s="49">
        <f t="shared" si="62"/>
        <v>0</v>
      </c>
      <c r="I114" s="49">
        <f t="shared" si="63"/>
        <v>0</v>
      </c>
      <c r="J114" s="49"/>
      <c r="K114" s="49">
        <f t="shared" si="64"/>
        <v>0</v>
      </c>
      <c r="L114" s="49"/>
      <c r="M114" s="49">
        <f t="shared" si="65"/>
        <v>0</v>
      </c>
      <c r="N114" s="49"/>
      <c r="O114" s="49">
        <f t="shared" si="66"/>
        <v>0</v>
      </c>
      <c r="P114" s="49">
        <f t="shared" si="67"/>
        <v>0</v>
      </c>
      <c r="Q114" s="49"/>
      <c r="R114" s="49">
        <f t="shared" si="68"/>
        <v>0</v>
      </c>
      <c r="S114" s="49">
        <f t="shared" si="69"/>
        <v>0</v>
      </c>
      <c r="T114" s="49"/>
      <c r="U114" s="49">
        <f t="shared" si="70"/>
        <v>0</v>
      </c>
      <c r="V114" s="49"/>
      <c r="W114" s="49">
        <f t="shared" si="71"/>
        <v>0</v>
      </c>
      <c r="X114" s="49"/>
      <c r="Y114" s="49">
        <f t="shared" si="72"/>
        <v>0</v>
      </c>
      <c r="Z114" s="49"/>
      <c r="AA114" s="49">
        <f t="shared" si="73"/>
        <v>0</v>
      </c>
      <c r="AB114" s="49">
        <f t="shared" si="74"/>
        <v>0</v>
      </c>
      <c r="AC114" s="27" t="str">
        <f t="shared" si="76"/>
        <v>ok</v>
      </c>
    </row>
    <row r="115" spans="1:29" x14ac:dyDescent="0.2">
      <c r="A115" s="14" t="s">
        <v>430</v>
      </c>
      <c r="C115" s="14" t="s">
        <v>441</v>
      </c>
      <c r="D115" s="14" t="s">
        <v>37</v>
      </c>
      <c r="F115" s="49">
        <v>0</v>
      </c>
      <c r="H115" s="49">
        <f t="shared" si="62"/>
        <v>0</v>
      </c>
      <c r="I115" s="49">
        <f t="shared" si="63"/>
        <v>0</v>
      </c>
      <c r="J115" s="49"/>
      <c r="K115" s="49">
        <f t="shared" si="64"/>
        <v>0</v>
      </c>
      <c r="L115" s="49"/>
      <c r="M115" s="49">
        <f t="shared" si="65"/>
        <v>0</v>
      </c>
      <c r="N115" s="49"/>
      <c r="O115" s="49">
        <f t="shared" si="66"/>
        <v>0</v>
      </c>
      <c r="P115" s="49">
        <f t="shared" si="67"/>
        <v>0</v>
      </c>
      <c r="Q115" s="49"/>
      <c r="R115" s="49">
        <f t="shared" si="68"/>
        <v>0</v>
      </c>
      <c r="S115" s="49">
        <f t="shared" si="69"/>
        <v>0</v>
      </c>
      <c r="T115" s="49"/>
      <c r="U115" s="49">
        <f t="shared" si="70"/>
        <v>0</v>
      </c>
      <c r="V115" s="49"/>
      <c r="W115" s="49">
        <f t="shared" si="71"/>
        <v>0</v>
      </c>
      <c r="X115" s="49"/>
      <c r="Y115" s="49">
        <f t="shared" si="72"/>
        <v>0</v>
      </c>
      <c r="Z115" s="49"/>
      <c r="AA115" s="49">
        <f t="shared" si="73"/>
        <v>0</v>
      </c>
      <c r="AB115" s="49">
        <f t="shared" si="74"/>
        <v>0</v>
      </c>
      <c r="AC115" s="27" t="str">
        <f>IF(ABS(AB115-F115)&lt;1,"ok","err")</f>
        <v>ok</v>
      </c>
    </row>
    <row r="116" spans="1:29" x14ac:dyDescent="0.2">
      <c r="A116" s="14" t="s">
        <v>431</v>
      </c>
      <c r="C116" s="14" t="s">
        <v>442</v>
      </c>
      <c r="D116" s="14" t="s">
        <v>40</v>
      </c>
      <c r="F116" s="49">
        <v>0</v>
      </c>
      <c r="H116" s="49">
        <f t="shared" si="62"/>
        <v>0</v>
      </c>
      <c r="I116" s="49">
        <f t="shared" si="63"/>
        <v>0</v>
      </c>
      <c r="J116" s="49"/>
      <c r="K116" s="49">
        <f t="shared" si="64"/>
        <v>0</v>
      </c>
      <c r="L116" s="49"/>
      <c r="M116" s="49">
        <f t="shared" si="65"/>
        <v>0</v>
      </c>
      <c r="N116" s="49"/>
      <c r="O116" s="49">
        <f t="shared" si="66"/>
        <v>0</v>
      </c>
      <c r="P116" s="49">
        <f t="shared" si="67"/>
        <v>0</v>
      </c>
      <c r="Q116" s="49"/>
      <c r="R116" s="49">
        <f t="shared" si="68"/>
        <v>0</v>
      </c>
      <c r="S116" s="49">
        <f t="shared" si="69"/>
        <v>0</v>
      </c>
      <c r="T116" s="49"/>
      <c r="U116" s="49">
        <f t="shared" si="70"/>
        <v>0</v>
      </c>
      <c r="V116" s="49"/>
      <c r="W116" s="49">
        <f t="shared" si="71"/>
        <v>0</v>
      </c>
      <c r="X116" s="49"/>
      <c r="Y116" s="49">
        <f t="shared" si="72"/>
        <v>0</v>
      </c>
      <c r="Z116" s="49"/>
      <c r="AA116" s="49">
        <f t="shared" si="73"/>
        <v>0</v>
      </c>
      <c r="AB116" s="49">
        <f t="shared" si="74"/>
        <v>0</v>
      </c>
      <c r="AC116" s="27" t="str">
        <f t="shared" si="76"/>
        <v>ok</v>
      </c>
    </row>
    <row r="117" spans="1:29" x14ac:dyDescent="0.2">
      <c r="A117" s="14" t="s">
        <v>432</v>
      </c>
      <c r="C117" s="14" t="s">
        <v>443</v>
      </c>
      <c r="D117" s="14" t="s">
        <v>43</v>
      </c>
      <c r="F117" s="49">
        <v>0</v>
      </c>
      <c r="H117" s="49">
        <f t="shared" si="62"/>
        <v>0</v>
      </c>
      <c r="I117" s="49">
        <f t="shared" si="63"/>
        <v>0</v>
      </c>
      <c r="J117" s="49"/>
      <c r="K117" s="49">
        <f t="shared" si="64"/>
        <v>0</v>
      </c>
      <c r="L117" s="49"/>
      <c r="M117" s="49">
        <f t="shared" si="65"/>
        <v>0</v>
      </c>
      <c r="N117" s="49"/>
      <c r="O117" s="49">
        <f t="shared" si="66"/>
        <v>0</v>
      </c>
      <c r="P117" s="49">
        <f t="shared" si="67"/>
        <v>0</v>
      </c>
      <c r="Q117" s="49"/>
      <c r="R117" s="49">
        <f t="shared" si="68"/>
        <v>0</v>
      </c>
      <c r="S117" s="49">
        <f t="shared" si="69"/>
        <v>0</v>
      </c>
      <c r="T117" s="49"/>
      <c r="U117" s="49">
        <f t="shared" si="70"/>
        <v>0</v>
      </c>
      <c r="V117" s="49"/>
      <c r="W117" s="49">
        <f t="shared" si="71"/>
        <v>0</v>
      </c>
      <c r="X117" s="49"/>
      <c r="Y117" s="49">
        <f t="shared" si="72"/>
        <v>0</v>
      </c>
      <c r="Z117" s="49"/>
      <c r="AA117" s="49">
        <f t="shared" si="73"/>
        <v>0</v>
      </c>
      <c r="AB117" s="49">
        <f t="shared" si="74"/>
        <v>0</v>
      </c>
      <c r="AC117" s="27" t="str">
        <f t="shared" si="76"/>
        <v>ok</v>
      </c>
    </row>
    <row r="118" spans="1:29" x14ac:dyDescent="0.2">
      <c r="A118" s="14" t="s">
        <v>433</v>
      </c>
      <c r="C118" s="14" t="s">
        <v>444</v>
      </c>
      <c r="D118" s="14" t="s">
        <v>46</v>
      </c>
      <c r="F118" s="49">
        <v>0</v>
      </c>
      <c r="H118" s="49">
        <f t="shared" si="62"/>
        <v>0</v>
      </c>
      <c r="I118" s="49">
        <f t="shared" si="63"/>
        <v>0</v>
      </c>
      <c r="J118" s="49"/>
      <c r="K118" s="49">
        <f t="shared" si="64"/>
        <v>0</v>
      </c>
      <c r="L118" s="49"/>
      <c r="M118" s="49">
        <f t="shared" si="65"/>
        <v>0</v>
      </c>
      <c r="N118" s="49"/>
      <c r="O118" s="49">
        <f t="shared" si="66"/>
        <v>0</v>
      </c>
      <c r="P118" s="49">
        <f t="shared" si="67"/>
        <v>0</v>
      </c>
      <c r="Q118" s="49"/>
      <c r="R118" s="49">
        <f t="shared" si="68"/>
        <v>0</v>
      </c>
      <c r="S118" s="49">
        <f t="shared" si="69"/>
        <v>0</v>
      </c>
      <c r="T118" s="49"/>
      <c r="U118" s="49">
        <f t="shared" si="70"/>
        <v>0</v>
      </c>
      <c r="V118" s="49"/>
      <c r="W118" s="49">
        <f t="shared" si="71"/>
        <v>0</v>
      </c>
      <c r="X118" s="49"/>
      <c r="Y118" s="49">
        <f t="shared" si="72"/>
        <v>0</v>
      </c>
      <c r="Z118" s="49"/>
      <c r="AA118" s="49">
        <f t="shared" si="73"/>
        <v>0</v>
      </c>
      <c r="AB118" s="49">
        <f t="shared" si="74"/>
        <v>0</v>
      </c>
      <c r="AC118" s="27" t="str">
        <f t="shared" si="76"/>
        <v>ok</v>
      </c>
    </row>
    <row r="119" spans="1:29" x14ac:dyDescent="0.2">
      <c r="A119" s="14" t="s">
        <v>434</v>
      </c>
      <c r="C119" s="14" t="s">
        <v>445</v>
      </c>
      <c r="D119" s="14" t="s">
        <v>48</v>
      </c>
      <c r="F119" s="49">
        <v>0</v>
      </c>
      <c r="H119" s="49">
        <f t="shared" si="62"/>
        <v>0</v>
      </c>
      <c r="I119" s="49">
        <f t="shared" si="63"/>
        <v>0</v>
      </c>
      <c r="J119" s="49"/>
      <c r="K119" s="49">
        <f t="shared" si="64"/>
        <v>0</v>
      </c>
      <c r="L119" s="49"/>
      <c r="M119" s="49">
        <f t="shared" si="65"/>
        <v>0</v>
      </c>
      <c r="N119" s="49"/>
      <c r="O119" s="49">
        <f t="shared" si="66"/>
        <v>0</v>
      </c>
      <c r="P119" s="49">
        <f t="shared" si="67"/>
        <v>0</v>
      </c>
      <c r="Q119" s="49"/>
      <c r="R119" s="49">
        <f t="shared" si="68"/>
        <v>0</v>
      </c>
      <c r="S119" s="49">
        <f t="shared" si="69"/>
        <v>0</v>
      </c>
      <c r="T119" s="49"/>
      <c r="U119" s="49">
        <f t="shared" si="70"/>
        <v>0</v>
      </c>
      <c r="V119" s="49"/>
      <c r="W119" s="49">
        <f t="shared" si="71"/>
        <v>0</v>
      </c>
      <c r="X119" s="49"/>
      <c r="Y119" s="49">
        <f t="shared" si="72"/>
        <v>0</v>
      </c>
      <c r="Z119" s="49"/>
      <c r="AA119" s="49">
        <f t="shared" si="73"/>
        <v>0</v>
      </c>
      <c r="AB119" s="49">
        <f t="shared" si="74"/>
        <v>0</v>
      </c>
      <c r="AC119" s="27" t="str">
        <f t="shared" si="76"/>
        <v>ok</v>
      </c>
    </row>
    <row r="120" spans="1:29" x14ac:dyDescent="0.2">
      <c r="A120" s="14" t="s">
        <v>834</v>
      </c>
      <c r="D120" s="14" t="s">
        <v>70</v>
      </c>
      <c r="F120" s="49">
        <v>0</v>
      </c>
      <c r="H120" s="49">
        <f t="shared" si="62"/>
        <v>0</v>
      </c>
      <c r="I120" s="49">
        <f t="shared" si="63"/>
        <v>0</v>
      </c>
      <c r="J120" s="49"/>
      <c r="K120" s="49">
        <f t="shared" si="64"/>
        <v>0</v>
      </c>
      <c r="L120" s="49"/>
      <c r="M120" s="49">
        <f t="shared" si="65"/>
        <v>0</v>
      </c>
      <c r="N120" s="49"/>
      <c r="O120" s="49">
        <f t="shared" si="66"/>
        <v>0</v>
      </c>
      <c r="P120" s="49">
        <f t="shared" si="67"/>
        <v>0</v>
      </c>
      <c r="Q120" s="49"/>
      <c r="R120" s="49">
        <f t="shared" si="68"/>
        <v>0</v>
      </c>
      <c r="S120" s="49">
        <f t="shared" si="69"/>
        <v>0</v>
      </c>
      <c r="T120" s="49"/>
      <c r="U120" s="49">
        <f t="shared" si="70"/>
        <v>0</v>
      </c>
      <c r="V120" s="49"/>
      <c r="W120" s="49">
        <f t="shared" si="71"/>
        <v>0</v>
      </c>
      <c r="X120" s="49"/>
      <c r="Y120" s="49">
        <f t="shared" si="72"/>
        <v>0</v>
      </c>
      <c r="Z120" s="49"/>
      <c r="AA120" s="49">
        <f t="shared" si="73"/>
        <v>0</v>
      </c>
      <c r="AB120" s="49">
        <f t="shared" si="74"/>
        <v>0</v>
      </c>
      <c r="AC120" s="27" t="str">
        <f>IF(ABS(AB120-F120)&lt;1,"ok","err")</f>
        <v>ok</v>
      </c>
    </row>
    <row r="121" spans="1:29" x14ac:dyDescent="0.2">
      <c r="A121" s="147" t="s">
        <v>835</v>
      </c>
      <c r="D121" s="14" t="s">
        <v>70</v>
      </c>
      <c r="F121" s="49">
        <v>0</v>
      </c>
      <c r="H121" s="49">
        <f t="shared" si="62"/>
        <v>0</v>
      </c>
      <c r="I121" s="49">
        <f t="shared" si="63"/>
        <v>0</v>
      </c>
      <c r="J121" s="49"/>
      <c r="K121" s="49">
        <f t="shared" si="64"/>
        <v>0</v>
      </c>
      <c r="L121" s="49"/>
      <c r="M121" s="49">
        <f t="shared" si="65"/>
        <v>0</v>
      </c>
      <c r="N121" s="49"/>
      <c r="O121" s="49">
        <f t="shared" si="66"/>
        <v>0</v>
      </c>
      <c r="P121" s="49">
        <f t="shared" si="67"/>
        <v>0</v>
      </c>
      <c r="Q121" s="49"/>
      <c r="R121" s="49">
        <f t="shared" si="68"/>
        <v>0</v>
      </c>
      <c r="S121" s="49">
        <f t="shared" si="69"/>
        <v>0</v>
      </c>
      <c r="T121" s="49"/>
      <c r="U121" s="49">
        <f t="shared" si="70"/>
        <v>0</v>
      </c>
      <c r="V121" s="49"/>
      <c r="W121" s="49">
        <f t="shared" si="71"/>
        <v>0</v>
      </c>
      <c r="X121" s="49"/>
      <c r="Y121" s="49">
        <f t="shared" si="72"/>
        <v>0</v>
      </c>
      <c r="Z121" s="49"/>
      <c r="AA121" s="49">
        <f t="shared" si="73"/>
        <v>0</v>
      </c>
      <c r="AB121" s="49">
        <f t="shared" si="74"/>
        <v>0</v>
      </c>
      <c r="AC121" s="27" t="str">
        <f>IF(ABS(AB121-F121)&lt;1,"ok","err")</f>
        <v>ok</v>
      </c>
    </row>
    <row r="122" spans="1:29" x14ac:dyDescent="0.2">
      <c r="A122" s="14" t="s">
        <v>836</v>
      </c>
      <c r="D122" s="14" t="s">
        <v>70</v>
      </c>
      <c r="F122" s="49">
        <v>0</v>
      </c>
      <c r="H122" s="49">
        <f t="shared" si="62"/>
        <v>0</v>
      </c>
      <c r="I122" s="49">
        <f t="shared" si="63"/>
        <v>0</v>
      </c>
      <c r="J122" s="49"/>
      <c r="K122" s="49">
        <f t="shared" si="64"/>
        <v>0</v>
      </c>
      <c r="L122" s="49"/>
      <c r="M122" s="49">
        <f t="shared" si="65"/>
        <v>0</v>
      </c>
      <c r="N122" s="49"/>
      <c r="O122" s="49">
        <f t="shared" si="66"/>
        <v>0</v>
      </c>
      <c r="P122" s="49">
        <f t="shared" si="67"/>
        <v>0</v>
      </c>
      <c r="Q122" s="49"/>
      <c r="R122" s="49">
        <f t="shared" si="68"/>
        <v>0</v>
      </c>
      <c r="S122" s="49">
        <f t="shared" si="69"/>
        <v>0</v>
      </c>
      <c r="T122" s="49"/>
      <c r="U122" s="49">
        <f t="shared" si="70"/>
        <v>0</v>
      </c>
      <c r="V122" s="49"/>
      <c r="W122" s="49">
        <f t="shared" si="71"/>
        <v>0</v>
      </c>
      <c r="X122" s="49"/>
      <c r="Y122" s="49">
        <f t="shared" si="72"/>
        <v>0</v>
      </c>
      <c r="Z122" s="49"/>
      <c r="AA122" s="49">
        <f t="shared" si="73"/>
        <v>0</v>
      </c>
      <c r="AB122" s="49">
        <f t="shared" si="74"/>
        <v>0</v>
      </c>
      <c r="AC122" s="27" t="str">
        <f>IF(ABS(AB122-F122)&lt;1,"ok","err")</f>
        <v>ok</v>
      </c>
    </row>
    <row r="123" spans="1:29" x14ac:dyDescent="0.2">
      <c r="Q123" s="14"/>
      <c r="AB123" s="49"/>
      <c r="AC123" s="27"/>
    </row>
    <row r="124" spans="1:29" x14ac:dyDescent="0.2">
      <c r="A124" s="14" t="s">
        <v>833</v>
      </c>
      <c r="C124" s="14" t="s">
        <v>82</v>
      </c>
      <c r="F124" s="89">
        <f>SUM(F104:F122)</f>
        <v>143851226.58000001</v>
      </c>
      <c r="G124" s="89"/>
      <c r="H124" s="89">
        <f>SUM(H104:H122)</f>
        <v>0</v>
      </c>
      <c r="I124" s="89">
        <f>SUM(I104:I122)</f>
        <v>0</v>
      </c>
      <c r="J124" s="89"/>
      <c r="K124" s="89">
        <f>SUM(K104:K122)</f>
        <v>0</v>
      </c>
      <c r="L124" s="89"/>
      <c r="M124" s="89">
        <f>SUM(M104:M122)</f>
        <v>1009272.9549283942</v>
      </c>
      <c r="N124" s="89"/>
      <c r="O124" s="89">
        <f>SUM(O104:O122)</f>
        <v>65786715.913516909</v>
      </c>
      <c r="P124" s="89">
        <f>SUM(P104:P122)</f>
        <v>44203046.74289003</v>
      </c>
      <c r="Q124" s="89"/>
      <c r="R124" s="89">
        <f>SUM(R104:R122)</f>
        <v>0</v>
      </c>
      <c r="S124" s="89">
        <f>SUM(S104:S122)</f>
        <v>18438314.263214741</v>
      </c>
      <c r="T124" s="89"/>
      <c r="U124" s="89">
        <f>SUM(U104:U122)</f>
        <v>7166544.7630303828</v>
      </c>
      <c r="V124" s="89"/>
      <c r="W124" s="89">
        <f>SUM(W104:W122)</f>
        <v>7247331.9424195616</v>
      </c>
      <c r="X124" s="89"/>
      <c r="Y124" s="89">
        <f>SUM(Y104:Y122)</f>
        <v>0</v>
      </c>
      <c r="Z124" s="89"/>
      <c r="AA124" s="89">
        <f>SUM(AA104:AA122)</f>
        <v>0</v>
      </c>
      <c r="AB124" s="49">
        <f>SUM(H124:AA124)</f>
        <v>143851226.58000001</v>
      </c>
      <c r="AC124" s="27" t="str">
        <f>IF(ABS(AB124-F124)&lt;1,"ok","err")</f>
        <v>ok</v>
      </c>
    </row>
    <row r="125" spans="1:29" x14ac:dyDescent="0.2">
      <c r="D125" s="89"/>
      <c r="F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49"/>
      <c r="AC125" s="27"/>
    </row>
    <row r="126" spans="1:29" x14ac:dyDescent="0.2">
      <c r="A126" s="25" t="s">
        <v>83</v>
      </c>
      <c r="C126" s="14" t="s">
        <v>84</v>
      </c>
      <c r="F126" s="89">
        <f>F101-F124</f>
        <v>205434649.77699992</v>
      </c>
      <c r="G126" s="89"/>
      <c r="H126" s="89">
        <f>H101-H124</f>
        <v>0</v>
      </c>
      <c r="I126" s="89">
        <f>I101-I124</f>
        <v>0</v>
      </c>
      <c r="J126" s="89"/>
      <c r="K126" s="89">
        <f>K101-K124</f>
        <v>0</v>
      </c>
      <c r="L126" s="89"/>
      <c r="M126" s="89">
        <f>M101-M124</f>
        <v>1441347.7100927231</v>
      </c>
      <c r="N126" s="89"/>
      <c r="O126" s="89">
        <f>O101-O124</f>
        <v>93950335.113453537</v>
      </c>
      <c r="P126" s="89">
        <f>P101-P124</f>
        <v>63126590.176496282</v>
      </c>
      <c r="Q126" s="89"/>
      <c r="R126" s="89">
        <f>R101-R124</f>
        <v>0</v>
      </c>
      <c r="S126" s="89">
        <f>S101-S124</f>
        <v>26331848.001554828</v>
      </c>
      <c r="T126" s="89"/>
      <c r="U126" s="89">
        <f>U101-U124</f>
        <v>10234578.102019679</v>
      </c>
      <c r="V126" s="89"/>
      <c r="W126" s="89">
        <f>W101-W124</f>
        <v>10349950.673382901</v>
      </c>
      <c r="X126" s="89"/>
      <c r="Y126" s="89">
        <f>Y101-Y124</f>
        <v>0</v>
      </c>
      <c r="Z126" s="89"/>
      <c r="AA126" s="89">
        <f>AA101-AA124</f>
        <v>0</v>
      </c>
      <c r="AB126" s="49">
        <f>SUM(H126:AA126)</f>
        <v>205434649.77699995</v>
      </c>
      <c r="AC126" s="27" t="str">
        <f>IF(ABS(AB126-F126)&lt;1,"ok","err")</f>
        <v>ok</v>
      </c>
    </row>
    <row r="127" spans="1:29" x14ac:dyDescent="0.2">
      <c r="Q127" s="14"/>
      <c r="AC127" s="27"/>
    </row>
    <row r="128" spans="1:29" x14ac:dyDescent="0.2">
      <c r="A128" s="25" t="s">
        <v>85</v>
      </c>
      <c r="Q128" s="14"/>
      <c r="AC128" s="27"/>
    </row>
    <row r="129" spans="1:29" x14ac:dyDescent="0.2">
      <c r="A129" s="14" t="s">
        <v>412</v>
      </c>
      <c r="C129" s="14" t="s">
        <v>87</v>
      </c>
      <c r="D129" s="14" t="s">
        <v>88</v>
      </c>
      <c r="F129" s="66">
        <f>0.125*(F285-F180)</f>
        <v>2643533.5362500027</v>
      </c>
      <c r="G129" s="66"/>
      <c r="H129" s="66">
        <f>0.125*(H285-H180)</f>
        <v>0</v>
      </c>
      <c r="I129" s="66">
        <f>0.125*(I285-I180)</f>
        <v>0</v>
      </c>
      <c r="J129" s="66"/>
      <c r="K129" s="66">
        <f>0.125*(K285-K180)</f>
        <v>0</v>
      </c>
      <c r="L129" s="66"/>
      <c r="M129" s="66">
        <f>0.125*(M285-M180)</f>
        <v>6282.7092515577096</v>
      </c>
      <c r="N129" s="66"/>
      <c r="O129" s="66">
        <f>0.125*(O285-O180)</f>
        <v>1205234.2247193069</v>
      </c>
      <c r="P129" s="66">
        <f>0.125*(P285-P180)</f>
        <v>648047.85672389006</v>
      </c>
      <c r="Q129" s="66"/>
      <c r="R129" s="66">
        <f>0.125*(R285-R180)</f>
        <v>0</v>
      </c>
      <c r="S129" s="66">
        <f>0.125*(S285-S180)</f>
        <v>88607.608197251742</v>
      </c>
      <c r="T129" s="66"/>
      <c r="U129" s="66">
        <f>0.125*(U285-U180)</f>
        <v>122250.9305208672</v>
      </c>
      <c r="V129" s="66"/>
      <c r="W129" s="66">
        <f>0.125*(W285-W180)</f>
        <v>24110.637764593906</v>
      </c>
      <c r="X129" s="66"/>
      <c r="Y129" s="66">
        <f>0.125*(Y285-Y180)</f>
        <v>536711.82881667931</v>
      </c>
      <c r="Z129" s="66"/>
      <c r="AA129" s="66">
        <f>0.125*(AA285-AA180)</f>
        <v>12287.740255853056</v>
      </c>
      <c r="AB129" s="49">
        <f>SUM(H129:AA129)</f>
        <v>2643533.5362499999</v>
      </c>
      <c r="AC129" s="27" t="str">
        <f>IF(ABS(AB129-F129)&lt;1,"ok","err")</f>
        <v>ok</v>
      </c>
    </row>
    <row r="130" spans="1:29" x14ac:dyDescent="0.2">
      <c r="A130" s="14" t="s">
        <v>946</v>
      </c>
      <c r="C130" s="14" t="s">
        <v>395</v>
      </c>
      <c r="D130" s="14" t="s">
        <v>72</v>
      </c>
      <c r="F130" s="49">
        <v>3271325.3899999997</v>
      </c>
      <c r="G130" s="49"/>
      <c r="H130" s="49">
        <f>IF(VLOOKUP($D130,$C$5:$AA$492,6,)=0,0,((VLOOKUP($D130,$C$5:$AA$492,6,)/VLOOKUP($D130,$C$5:$AA$492,4,))*$F130))</f>
        <v>0</v>
      </c>
      <c r="I130" s="49">
        <f>IF(VLOOKUP($D130,$C$5:$AA$492,7,)=0,0,((VLOOKUP($D130,$C$5:$AA$492,7,)/VLOOKUP($D130,$C$5:$AA$492,4,))*$F130))</f>
        <v>0</v>
      </c>
      <c r="J130" s="49"/>
      <c r="K130" s="49">
        <f>IF(VLOOKUP($D130,$C$5:$AA$492,9,)=0,0,((VLOOKUP($D130,$C$5:$AA$492,9,)/VLOOKUP($D130,$C$5:$AA$492,4,))*$F130))</f>
        <v>0</v>
      </c>
      <c r="L130" s="49"/>
      <c r="M130" s="49">
        <f>IF(VLOOKUP($D130,$C$5:$AA$492,11,)=0,0,((VLOOKUP($D130,$C$5:$AA$492,11,)/VLOOKUP($D130,$C$5:$AA$492,4,))*$F130))</f>
        <v>22951.90886718945</v>
      </c>
      <c r="N130" s="49"/>
      <c r="O130" s="49">
        <f>IF(VLOOKUP($D130,$C$5:$AA$492,13,)=0,0,((VLOOKUP($D130,$C$5:$AA$492,13,)/VLOOKUP($D130,$C$5:$AA$492,4,))*$F130))</f>
        <v>1496057.8314771634</v>
      </c>
      <c r="P130" s="49">
        <f>IF(VLOOKUP($D130,$C$5:$AA$492,14,)=0,0,((VLOOKUP($D130,$C$5:$AA$492,14,)/VLOOKUP($D130,$C$5:$AA$492,4,))*$F130))</f>
        <v>1005222.9137229851</v>
      </c>
      <c r="Q130" s="49"/>
      <c r="R130" s="49">
        <f>IF(VLOOKUP($D130,$C$5:$AA$492,16,)=0,0,((VLOOKUP($D130,$C$5:$AA$492,16,)/VLOOKUP($D130,$C$5:$AA$492,4,))*$F130))</f>
        <v>0</v>
      </c>
      <c r="S130" s="49">
        <f>IF(VLOOKUP($D130,$C$5:$AA$492,17,)=0,0,((VLOOKUP($D130,$C$5:$AA$492,17,)/VLOOKUP($D130,$C$5:$AA$492,4,))*$F130))</f>
        <v>419306.30021085724</v>
      </c>
      <c r="T130" s="49"/>
      <c r="U130" s="49">
        <f>IF(VLOOKUP($D130,$C$5:$AA$492,19,)=0,0,((VLOOKUP($D130,$C$5:$AA$492,19,)/VLOOKUP($D130,$C$5:$AA$492,4,))*$F130))</f>
        <v>162974.62593295894</v>
      </c>
      <c r="V130" s="49"/>
      <c r="W130" s="49">
        <f>IF(VLOOKUP($D130,$C$5:$AA$492,21,)=0,0,((VLOOKUP($D130,$C$5:$AA$492,21,)/VLOOKUP($D130,$C$5:$AA$492,4,))*$F130))</f>
        <v>164811.80978884586</v>
      </c>
      <c r="X130" s="49"/>
      <c r="Y130" s="49">
        <f>IF(VLOOKUP($D130,$C$5:$AA$492,23,)=0,0,((VLOOKUP($D130,$C$5:$AA$492,23,)/VLOOKUP($D130,$C$5:$AA$492,4,))*$F130))</f>
        <v>0</v>
      </c>
      <c r="Z130" s="49"/>
      <c r="AA130" s="49">
        <f>IF(VLOOKUP($D130,$C$5:$AA$492,25,)=0,0,((VLOOKUP($D130,$C$5:$AA$492,25,)/VLOOKUP($D130,$C$5:$AA$492,4,))*$F130))</f>
        <v>0</v>
      </c>
      <c r="AB130" s="49">
        <f>SUM(H130:AA130)</f>
        <v>3271325.39</v>
      </c>
      <c r="AC130" s="27" t="str">
        <f>IF(ABS(AB130-F130)&lt;1,"ok","err")</f>
        <v>ok</v>
      </c>
    </row>
    <row r="131" spans="1:29" x14ac:dyDescent="0.2">
      <c r="A131" s="14" t="s">
        <v>947</v>
      </c>
      <c r="C131" s="14" t="s">
        <v>89</v>
      </c>
      <c r="D131" s="14" t="s">
        <v>72</v>
      </c>
      <c r="F131" s="49">
        <v>425113.80000000016</v>
      </c>
      <c r="H131" s="49">
        <f>IF(VLOOKUP($D131,$C$5:$AA$492,6,)=0,0,((VLOOKUP($D131,$C$5:$AA$492,6,)/VLOOKUP($D131,$C$5:$AA$492,4,))*$F131))</f>
        <v>0</v>
      </c>
      <c r="I131" s="49">
        <f>IF(VLOOKUP($D131,$C$5:$AA$492,7,)=0,0,((VLOOKUP($D131,$C$5:$AA$492,7,)/VLOOKUP($D131,$C$5:$AA$492,4,))*$F131))</f>
        <v>0</v>
      </c>
      <c r="J131" s="49"/>
      <c r="K131" s="49">
        <f>IF(VLOOKUP($D131,$C$5:$AA$492,9,)=0,0,((VLOOKUP($D131,$C$5:$AA$492,9,)/VLOOKUP($D131,$C$5:$AA$492,4,))*$F131))</f>
        <v>0</v>
      </c>
      <c r="L131" s="49"/>
      <c r="M131" s="49">
        <f>IF(VLOOKUP($D131,$C$5:$AA$492,11,)=0,0,((VLOOKUP($D131,$C$5:$AA$492,11,)/VLOOKUP($D131,$C$5:$AA$492,4,))*$F131))</f>
        <v>2982.6360977758336</v>
      </c>
      <c r="N131" s="49"/>
      <c r="O131" s="49">
        <f>IF(VLOOKUP($D131,$C$5:$AA$492,13,)=0,0,((VLOOKUP($D131,$C$5:$AA$492,13,)/VLOOKUP($D131,$C$5:$AA$492,4,))*$F131))</f>
        <v>194415.03181039926</v>
      </c>
      <c r="P131" s="49">
        <f>IF(VLOOKUP($D131,$C$5:$AA$492,14,)=0,0,((VLOOKUP($D131,$C$5:$AA$492,14,)/VLOOKUP($D131,$C$5:$AA$492,4,))*$F131))</f>
        <v>130630.27420205684</v>
      </c>
      <c r="Q131" s="49"/>
      <c r="R131" s="49">
        <f>IF(VLOOKUP($D131,$C$5:$AA$492,16,)=0,0,((VLOOKUP($D131,$C$5:$AA$492,16,)/VLOOKUP($D131,$C$5:$AA$492,4,))*$F131))</f>
        <v>0</v>
      </c>
      <c r="S131" s="49">
        <f>IF(VLOOKUP($D131,$C$5:$AA$492,17,)=0,0,((VLOOKUP($D131,$C$5:$AA$492,17,)/VLOOKUP($D131,$C$5:$AA$492,4,))*$F131))</f>
        <v>54489.502998226169</v>
      </c>
      <c r="T131" s="49"/>
      <c r="U131" s="49">
        <f>IF(VLOOKUP($D131,$C$5:$AA$492,19,)=0,0,((VLOOKUP($D131,$C$5:$AA$492,19,)/VLOOKUP($D131,$C$5:$AA$492,4,))*$F131))</f>
        <v>21178.805002317044</v>
      </c>
      <c r="V131" s="49"/>
      <c r="W131" s="49">
        <f>IF(VLOOKUP($D131,$C$5:$AA$492,21,)=0,0,((VLOOKUP($D131,$C$5:$AA$492,21,)/VLOOKUP($D131,$C$5:$AA$492,4,))*$F131))</f>
        <v>21417.549889225022</v>
      </c>
      <c r="X131" s="49"/>
      <c r="Y131" s="49">
        <f>IF(VLOOKUP($D131,$C$5:$AA$492,23,)=0,0,((VLOOKUP($D131,$C$5:$AA$492,23,)/VLOOKUP($D131,$C$5:$AA$492,4,))*$F131))</f>
        <v>0</v>
      </c>
      <c r="Z131" s="49"/>
      <c r="AA131" s="49">
        <f>IF(VLOOKUP($D131,$C$5:$AA$492,25,)=0,0,((VLOOKUP($D131,$C$5:$AA$492,25,)/VLOOKUP($D131,$C$5:$AA$492,4,))*$F131))</f>
        <v>0</v>
      </c>
      <c r="AB131" s="49">
        <f>SUM(H131:AA131)</f>
        <v>425113.80000000022</v>
      </c>
      <c r="AC131" s="27" t="str">
        <f>IF(ABS(AB131-F131)&lt;1,"ok","err")</f>
        <v>ok</v>
      </c>
    </row>
    <row r="132" spans="1:29" x14ac:dyDescent="0.2">
      <c r="Q132" s="14"/>
      <c r="AB132" s="49"/>
      <c r="AC132" s="27"/>
    </row>
    <row r="133" spans="1:29" x14ac:dyDescent="0.2">
      <c r="A133" s="92" t="s">
        <v>90</v>
      </c>
      <c r="C133" s="14" t="s">
        <v>91</v>
      </c>
      <c r="F133" s="89">
        <f>SUM(F129:F132)</f>
        <v>6339972.7262500022</v>
      </c>
      <c r="G133" s="89"/>
      <c r="H133" s="89">
        <f t="shared" ref="G133:W133" si="77">SUM(H129:H132)</f>
        <v>0</v>
      </c>
      <c r="I133" s="89">
        <f t="shared" si="77"/>
        <v>0</v>
      </c>
      <c r="J133" s="89"/>
      <c r="K133" s="89">
        <f t="shared" si="77"/>
        <v>0</v>
      </c>
      <c r="L133" s="89"/>
      <c r="M133" s="89">
        <f t="shared" si="77"/>
        <v>32217.254216522993</v>
      </c>
      <c r="N133" s="89"/>
      <c r="O133" s="89">
        <f t="shared" si="77"/>
        <v>2895707.0880068694</v>
      </c>
      <c r="P133" s="89">
        <f t="shared" si="77"/>
        <v>1783901.0446489321</v>
      </c>
      <c r="Q133" s="89"/>
      <c r="R133" s="89">
        <f t="shared" si="77"/>
        <v>0</v>
      </c>
      <c r="S133" s="89">
        <f t="shared" si="77"/>
        <v>562403.41140633519</v>
      </c>
      <c r="T133" s="89"/>
      <c r="U133" s="89">
        <f t="shared" si="77"/>
        <v>306404.3614561432</v>
      </c>
      <c r="V133" s="89"/>
      <c r="W133" s="89">
        <f t="shared" si="77"/>
        <v>210339.99744266478</v>
      </c>
      <c r="X133" s="89"/>
      <c r="Y133" s="89">
        <f>SUM(Y129:Y132)</f>
        <v>536711.82881667931</v>
      </c>
      <c r="Z133" s="89"/>
      <c r="AA133" s="89">
        <f>SUM(AA129:AA132)</f>
        <v>12287.740255853056</v>
      </c>
      <c r="AB133" s="49">
        <f>SUM(H133:AA133)</f>
        <v>6339972.7262499994</v>
      </c>
      <c r="AC133" s="27" t="str">
        <f>IF(ABS(AB133-F133)&lt;1,"ok","err")</f>
        <v>ok</v>
      </c>
    </row>
    <row r="134" spans="1:29" x14ac:dyDescent="0.2">
      <c r="Q134" s="14"/>
      <c r="AC134" s="27"/>
    </row>
    <row r="135" spans="1:29" hidden="1" x14ac:dyDescent="0.2">
      <c r="A135" s="25" t="s">
        <v>928</v>
      </c>
      <c r="Q135" s="14"/>
      <c r="AC135" s="27"/>
    </row>
    <row r="136" spans="1:29" hidden="1" x14ac:dyDescent="0.2">
      <c r="A136" s="30">
        <v>1</v>
      </c>
      <c r="C136" s="14" t="s">
        <v>929</v>
      </c>
      <c r="D136" s="14" t="s">
        <v>16</v>
      </c>
      <c r="F136" s="66">
        <v>0</v>
      </c>
      <c r="H136" s="49">
        <f>IF(VLOOKUP($D136,$C$5:$AA$492,6,)=0,0,((VLOOKUP($D136,$C$5:$AA$492,6,)/VLOOKUP($D136,$C$5:$AA$492,4,))*$F136))</f>
        <v>0</v>
      </c>
      <c r="I136" s="49">
        <f>IF(VLOOKUP($D136,$C$5:$AA$492,7,)=0,0,((VLOOKUP($D136,$C$5:$AA$492,7,)/VLOOKUP($D136,$C$5:$AA$492,4,))*$F136))</f>
        <v>0</v>
      </c>
      <c r="J136" s="49"/>
      <c r="K136" s="49">
        <f>IF(VLOOKUP($D136,$C$5:$AA$492,9,)=0,0,((VLOOKUP($D136,$C$5:$AA$492,9,)/VLOOKUP($D136,$C$5:$AA$492,4,))*$F136))</f>
        <v>0</v>
      </c>
      <c r="L136" s="49"/>
      <c r="M136" s="49">
        <f>IF(VLOOKUP($D136,$C$5:$AA$492,11,)=0,0,((VLOOKUP($D136,$C$5:$AA$492,11,)/VLOOKUP($D136,$C$5:$AA$492,4,))*$F136))</f>
        <v>0</v>
      </c>
      <c r="N136" s="49"/>
      <c r="O136" s="49">
        <f>IF(VLOOKUP($D136,$C$5:$AA$492,13,)=0,0,((VLOOKUP($D136,$C$5:$AA$492,13,)/VLOOKUP($D136,$C$5:$AA$492,4,))*$F136))</f>
        <v>0</v>
      </c>
      <c r="P136" s="49">
        <f>IF(VLOOKUP($D136,$C$5:$AA$492,14,)=0,0,((VLOOKUP($D136,$C$5:$AA$492,14,)/VLOOKUP($D136,$C$5:$AA$492,4,))*$F136))</f>
        <v>0</v>
      </c>
      <c r="Q136" s="49"/>
      <c r="R136" s="49">
        <f>IF(VLOOKUP($D136,$C$5:$AA$492,16,)=0,0,((VLOOKUP($D136,$C$5:$AA$492,16,)/VLOOKUP($D136,$C$5:$AA$492,4,))*$F136))</f>
        <v>0</v>
      </c>
      <c r="S136" s="49">
        <f>IF(VLOOKUP($D136,$C$5:$AA$492,17,)=0,0,((VLOOKUP($D136,$C$5:$AA$492,17,)/VLOOKUP($D136,$C$5:$AA$492,4,))*$F136))</f>
        <v>0</v>
      </c>
      <c r="T136" s="49"/>
      <c r="U136" s="49">
        <f>IF(VLOOKUP($D136,$C$5:$AA$492,19,)=0,0,((VLOOKUP($D136,$C$5:$AA$492,19,)/VLOOKUP($D136,$C$5:$AA$492,4,))*$F136))</f>
        <v>0</v>
      </c>
      <c r="V136" s="49"/>
      <c r="W136" s="49">
        <f>IF(VLOOKUP($D136,$C$5:$AA$492,21,)=0,0,((VLOOKUP($D136,$C$5:$AA$492,21,)/VLOOKUP($D136,$C$5:$AA$492,4,))*$F136))</f>
        <v>0</v>
      </c>
      <c r="X136" s="49"/>
      <c r="Y136" s="49">
        <f>IF(VLOOKUP($D136,$C$5:$AA$492,23,)=0,0,((VLOOKUP($D136,$C$5:$AA$492,23,)/VLOOKUP($D136,$C$5:$AA$492,4,))*$F136))</f>
        <v>0</v>
      </c>
      <c r="Z136" s="49"/>
      <c r="AA136" s="49">
        <f>IF(VLOOKUP($D136,$C$5:$AA$492,25,)=0,0,((VLOOKUP($D136,$C$5:$AA$492,25,)/VLOOKUP($D136,$C$5:$AA$492,4,))*$F136))</f>
        <v>0</v>
      </c>
      <c r="AB136" s="49">
        <f>SUM(H136:AA136)</f>
        <v>0</v>
      </c>
      <c r="AC136" s="27" t="str">
        <f>IF(ABS(AB136-F136)&lt;1,"ok","err")</f>
        <v>ok</v>
      </c>
    </row>
    <row r="137" spans="1:29" hidden="1" x14ac:dyDescent="0.2">
      <c r="A137" s="30">
        <v>2</v>
      </c>
      <c r="C137" s="14" t="s">
        <v>930</v>
      </c>
      <c r="D137" s="14" t="s">
        <v>16</v>
      </c>
      <c r="F137" s="66">
        <v>0</v>
      </c>
      <c r="H137" s="49">
        <f>IF(VLOOKUP($D137,$C$5:$AA$492,6,)=0,0,((VLOOKUP($D137,$C$5:$AA$492,6,)/VLOOKUP($D137,$C$5:$AA$492,4,))*$F137))</f>
        <v>0</v>
      </c>
      <c r="I137" s="49">
        <f>IF(VLOOKUP($D137,$C$5:$AA$492,7,)=0,0,((VLOOKUP($D137,$C$5:$AA$492,7,)/VLOOKUP($D137,$C$5:$AA$492,4,))*$F137))</f>
        <v>0</v>
      </c>
      <c r="J137" s="49"/>
      <c r="K137" s="49">
        <f>IF(VLOOKUP($D137,$C$5:$AA$492,9,)=0,0,((VLOOKUP($D137,$C$5:$AA$492,9,)/VLOOKUP($D137,$C$5:$AA$492,4,))*$F137))</f>
        <v>0</v>
      </c>
      <c r="L137" s="49"/>
      <c r="M137" s="49">
        <f>IF(VLOOKUP($D137,$C$5:$AA$492,11,)=0,0,((VLOOKUP($D137,$C$5:$AA$492,11,)/VLOOKUP($D137,$C$5:$AA$492,4,))*$F137))</f>
        <v>0</v>
      </c>
      <c r="N137" s="49"/>
      <c r="O137" s="49">
        <f>IF(VLOOKUP($D137,$C$5:$AA$492,13,)=0,0,((VLOOKUP($D137,$C$5:$AA$492,13,)/VLOOKUP($D137,$C$5:$AA$492,4,))*$F137))</f>
        <v>0</v>
      </c>
      <c r="P137" s="49">
        <f>IF(VLOOKUP($D137,$C$5:$AA$492,14,)=0,0,((VLOOKUP($D137,$C$5:$AA$492,14,)/VLOOKUP($D137,$C$5:$AA$492,4,))*$F137))</f>
        <v>0</v>
      </c>
      <c r="Q137" s="49"/>
      <c r="R137" s="49">
        <f>IF(VLOOKUP($D137,$C$5:$AA$492,16,)=0,0,((VLOOKUP($D137,$C$5:$AA$492,16,)/VLOOKUP($D137,$C$5:$AA$492,4,))*$F137))</f>
        <v>0</v>
      </c>
      <c r="S137" s="49">
        <f>IF(VLOOKUP($D137,$C$5:$AA$492,17,)=0,0,((VLOOKUP($D137,$C$5:$AA$492,17,)/VLOOKUP($D137,$C$5:$AA$492,4,))*$F137))</f>
        <v>0</v>
      </c>
      <c r="T137" s="49"/>
      <c r="U137" s="49">
        <f>IF(VLOOKUP($D137,$C$5:$AA$492,19,)=0,0,((VLOOKUP($D137,$C$5:$AA$492,19,)/VLOOKUP($D137,$C$5:$AA$492,4,))*$F137))</f>
        <v>0</v>
      </c>
      <c r="V137" s="49"/>
      <c r="W137" s="49">
        <f>IF(VLOOKUP($D137,$C$5:$AA$492,21,)=0,0,((VLOOKUP($D137,$C$5:$AA$492,21,)/VLOOKUP($D137,$C$5:$AA$492,4,))*$F137))</f>
        <v>0</v>
      </c>
      <c r="X137" s="49"/>
      <c r="Y137" s="49">
        <f>IF(VLOOKUP($D137,$C$5:$AA$492,23,)=0,0,((VLOOKUP($D137,$C$5:$AA$492,23,)/VLOOKUP($D137,$C$5:$AA$492,4,))*$F137))</f>
        <v>0</v>
      </c>
      <c r="Z137" s="49"/>
      <c r="AA137" s="49">
        <f>IF(VLOOKUP($D137,$C$5:$AA$492,25,)=0,0,((VLOOKUP($D137,$C$5:$AA$492,25,)/VLOOKUP($D137,$C$5:$AA$492,4,))*$F137))</f>
        <v>0</v>
      </c>
      <c r="AB137" s="49">
        <f>SUM(H137:AA137)</f>
        <v>0</v>
      </c>
      <c r="AC137" s="27" t="str">
        <f>IF(ABS(AB137-F137)&lt;1,"ok","err")</f>
        <v>ok</v>
      </c>
    </row>
    <row r="138" spans="1:29" hidden="1" x14ac:dyDescent="0.2">
      <c r="A138" s="30">
        <v>3</v>
      </c>
      <c r="C138" s="14" t="s">
        <v>931</v>
      </c>
      <c r="D138" s="14" t="s">
        <v>16</v>
      </c>
      <c r="F138" s="66">
        <v>0</v>
      </c>
      <c r="H138" s="49">
        <f>IF(VLOOKUP($D138,$C$5:$AA$492,6,)=0,0,((VLOOKUP($D138,$C$5:$AA$492,6,)/VLOOKUP($D138,$C$5:$AA$492,4,))*$F138))</f>
        <v>0</v>
      </c>
      <c r="I138" s="49">
        <f>IF(VLOOKUP($D138,$C$5:$AA$492,7,)=0,0,((VLOOKUP($D138,$C$5:$AA$492,7,)/VLOOKUP($D138,$C$5:$AA$492,4,))*$F138))</f>
        <v>0</v>
      </c>
      <c r="J138" s="49"/>
      <c r="K138" s="49">
        <f>IF(VLOOKUP($D138,$C$5:$AA$492,9,)=0,0,((VLOOKUP($D138,$C$5:$AA$492,9,)/VLOOKUP($D138,$C$5:$AA$492,4,))*$F138))</f>
        <v>0</v>
      </c>
      <c r="L138" s="49"/>
      <c r="M138" s="49">
        <f>IF(VLOOKUP($D138,$C$5:$AA$492,11,)=0,0,((VLOOKUP($D138,$C$5:$AA$492,11,)/VLOOKUP($D138,$C$5:$AA$492,4,))*$F138))</f>
        <v>0</v>
      </c>
      <c r="N138" s="49"/>
      <c r="O138" s="49">
        <f>IF(VLOOKUP($D138,$C$5:$AA$492,13,)=0,0,((VLOOKUP($D138,$C$5:$AA$492,13,)/VLOOKUP($D138,$C$5:$AA$492,4,))*$F138))</f>
        <v>0</v>
      </c>
      <c r="P138" s="49">
        <f>IF(VLOOKUP($D138,$C$5:$AA$492,14,)=0,0,((VLOOKUP($D138,$C$5:$AA$492,14,)/VLOOKUP($D138,$C$5:$AA$492,4,))*$F138))</f>
        <v>0</v>
      </c>
      <c r="Q138" s="49"/>
      <c r="R138" s="49">
        <f>IF(VLOOKUP($D138,$C$5:$AA$492,16,)=0,0,((VLOOKUP($D138,$C$5:$AA$492,16,)/VLOOKUP($D138,$C$5:$AA$492,4,))*$F138))</f>
        <v>0</v>
      </c>
      <c r="S138" s="49">
        <f>IF(VLOOKUP($D138,$C$5:$AA$492,17,)=0,0,((VLOOKUP($D138,$C$5:$AA$492,17,)/VLOOKUP($D138,$C$5:$AA$492,4,))*$F138))</f>
        <v>0</v>
      </c>
      <c r="T138" s="49"/>
      <c r="U138" s="49">
        <f>IF(VLOOKUP($D138,$C$5:$AA$492,19,)=0,0,((VLOOKUP($D138,$C$5:$AA$492,19,)/VLOOKUP($D138,$C$5:$AA$492,4,))*$F138))</f>
        <v>0</v>
      </c>
      <c r="V138" s="49"/>
      <c r="W138" s="49">
        <f>IF(VLOOKUP($D138,$C$5:$AA$492,21,)=0,0,((VLOOKUP($D138,$C$5:$AA$492,21,)/VLOOKUP($D138,$C$5:$AA$492,4,))*$F138))</f>
        <v>0</v>
      </c>
      <c r="X138" s="49"/>
      <c r="Y138" s="49">
        <f>IF(VLOOKUP($D138,$C$5:$AA$492,23,)=0,0,((VLOOKUP($D138,$C$5:$AA$492,23,)/VLOOKUP($D138,$C$5:$AA$492,4,))*$F138))</f>
        <v>0</v>
      </c>
      <c r="Z138" s="49"/>
      <c r="AA138" s="49">
        <f>IF(VLOOKUP($D138,$C$5:$AA$492,25,)=0,0,((VLOOKUP($D138,$C$5:$AA$492,25,)/VLOOKUP($D138,$C$5:$AA$492,4,))*$F138))</f>
        <v>0</v>
      </c>
      <c r="AB138" s="49">
        <f>SUM(H138:AA138)</f>
        <v>0</v>
      </c>
      <c r="AC138" s="27" t="str">
        <f>IF(ABS(AB138-F138)&lt;1,"ok","err")</f>
        <v>ok</v>
      </c>
    </row>
    <row r="139" spans="1:29" hidden="1" x14ac:dyDescent="0.2">
      <c r="A139" s="30">
        <v>4</v>
      </c>
      <c r="C139" s="14" t="s">
        <v>932</v>
      </c>
      <c r="D139" s="14" t="s">
        <v>16</v>
      </c>
      <c r="F139" s="66">
        <v>0</v>
      </c>
      <c r="H139" s="49">
        <f>IF(VLOOKUP($D139,$C$5:$AA$492,6,)=0,0,((VLOOKUP($D139,$C$5:$AA$492,6,)/VLOOKUP($D139,$C$5:$AA$492,4,))*$F139))</f>
        <v>0</v>
      </c>
      <c r="I139" s="49">
        <f>IF(VLOOKUP($D139,$C$5:$AA$492,7,)=0,0,((VLOOKUP($D139,$C$5:$AA$492,7,)/VLOOKUP($D139,$C$5:$AA$492,4,))*$F139))</f>
        <v>0</v>
      </c>
      <c r="J139" s="49"/>
      <c r="K139" s="49">
        <f>IF(VLOOKUP($D139,$C$5:$AA$492,9,)=0,0,((VLOOKUP($D139,$C$5:$AA$492,9,)/VLOOKUP($D139,$C$5:$AA$492,4,))*$F139))</f>
        <v>0</v>
      </c>
      <c r="L139" s="49"/>
      <c r="M139" s="49">
        <f>IF(VLOOKUP($D139,$C$5:$AA$492,11,)=0,0,((VLOOKUP($D139,$C$5:$AA$492,11,)/VLOOKUP($D139,$C$5:$AA$492,4,))*$F139))</f>
        <v>0</v>
      </c>
      <c r="N139" s="49"/>
      <c r="O139" s="49">
        <f>IF(VLOOKUP($D139,$C$5:$AA$492,13,)=0,0,((VLOOKUP($D139,$C$5:$AA$492,13,)/VLOOKUP($D139,$C$5:$AA$492,4,))*$F139))</f>
        <v>0</v>
      </c>
      <c r="P139" s="49">
        <f>IF(VLOOKUP($D139,$C$5:$AA$492,14,)=0,0,((VLOOKUP($D139,$C$5:$AA$492,14,)/VLOOKUP($D139,$C$5:$AA$492,4,))*$F139))</f>
        <v>0</v>
      </c>
      <c r="Q139" s="49"/>
      <c r="R139" s="49">
        <f>IF(VLOOKUP($D139,$C$5:$AA$492,16,)=0,0,((VLOOKUP($D139,$C$5:$AA$492,16,)/VLOOKUP($D139,$C$5:$AA$492,4,))*$F139))</f>
        <v>0</v>
      </c>
      <c r="S139" s="49">
        <f>IF(VLOOKUP($D139,$C$5:$AA$492,17,)=0,0,((VLOOKUP($D139,$C$5:$AA$492,17,)/VLOOKUP($D139,$C$5:$AA$492,4,))*$F139))</f>
        <v>0</v>
      </c>
      <c r="T139" s="49"/>
      <c r="U139" s="49">
        <f>IF(VLOOKUP($D139,$C$5:$AA$492,19,)=0,0,((VLOOKUP($D139,$C$5:$AA$492,19,)/VLOOKUP($D139,$C$5:$AA$492,4,))*$F139))</f>
        <v>0</v>
      </c>
      <c r="V139" s="49"/>
      <c r="W139" s="49">
        <f>IF(VLOOKUP($D139,$C$5:$AA$492,21,)=0,0,((VLOOKUP($D139,$C$5:$AA$492,21,)/VLOOKUP($D139,$C$5:$AA$492,4,))*$F139))</f>
        <v>0</v>
      </c>
      <c r="X139" s="49"/>
      <c r="Y139" s="49">
        <f>IF(VLOOKUP($D139,$C$5:$AA$492,23,)=0,0,((VLOOKUP($D139,$C$5:$AA$492,23,)/VLOOKUP($D139,$C$5:$AA$492,4,))*$F139))</f>
        <v>0</v>
      </c>
      <c r="Z139" s="49"/>
      <c r="AA139" s="49">
        <f>IF(VLOOKUP($D139,$C$5:$AA$492,25,)=0,0,((VLOOKUP($D139,$C$5:$AA$492,25,)/VLOOKUP($D139,$C$5:$AA$492,4,))*$F139))</f>
        <v>0</v>
      </c>
      <c r="AB139" s="49">
        <f>SUM(H139:AA139)</f>
        <v>0</v>
      </c>
      <c r="AC139" s="27" t="str">
        <f>IF(ABS(AB139-F139)&lt;1,"ok","err")</f>
        <v>ok</v>
      </c>
    </row>
    <row r="140" spans="1:29" hidden="1" x14ac:dyDescent="0.2">
      <c r="F140" s="66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27"/>
    </row>
    <row r="141" spans="1:29" hidden="1" x14ac:dyDescent="0.2">
      <c r="A141" s="14" t="s">
        <v>933</v>
      </c>
      <c r="F141" s="89">
        <v>0</v>
      </c>
      <c r="G141" s="89"/>
      <c r="H141" s="89">
        <f>SUM(H136:H139)</f>
        <v>0</v>
      </c>
      <c r="I141" s="89">
        <f>SUM(I136:I139)</f>
        <v>0</v>
      </c>
      <c r="J141" s="89"/>
      <c r="K141" s="89">
        <f>SUM(K136:K139)</f>
        <v>0</v>
      </c>
      <c r="L141" s="89"/>
      <c r="M141" s="89">
        <f>SUM(M136:M139)</f>
        <v>0</v>
      </c>
      <c r="N141" s="89"/>
      <c r="O141" s="89">
        <f>SUM(O136:O139)</f>
        <v>0</v>
      </c>
      <c r="P141" s="89">
        <f>SUM(P136:P139)</f>
        <v>0</v>
      </c>
      <c r="Q141" s="89"/>
      <c r="R141" s="89">
        <f>SUM(R136:R139)</f>
        <v>0</v>
      </c>
      <c r="S141" s="89">
        <f>SUM(S136:S139)</f>
        <v>0</v>
      </c>
      <c r="T141" s="89"/>
      <c r="U141" s="89">
        <f>SUM(U136:U139)</f>
        <v>0</v>
      </c>
      <c r="V141" s="89"/>
      <c r="W141" s="89">
        <f>SUM(W136:W139)</f>
        <v>0</v>
      </c>
      <c r="X141" s="89"/>
      <c r="Y141" s="89">
        <f>SUM(Y136:Y139)</f>
        <v>0</v>
      </c>
      <c r="Z141" s="89"/>
      <c r="AA141" s="89">
        <f>SUM(AA136:AA139)</f>
        <v>0</v>
      </c>
      <c r="AB141" s="49">
        <f>SUM(H141:AA141)</f>
        <v>0</v>
      </c>
      <c r="AC141" s="27" t="str">
        <f>IF(ABS(AB141-F141)&lt;1,"ok","err")</f>
        <v>ok</v>
      </c>
    </row>
    <row r="142" spans="1:29" x14ac:dyDescent="0.2">
      <c r="A142" s="14" t="s">
        <v>1017</v>
      </c>
      <c r="C142" s="14" t="s">
        <v>92</v>
      </c>
      <c r="D142" s="14" t="s">
        <v>72</v>
      </c>
      <c r="F142" s="66">
        <v>3509523.93</v>
      </c>
      <c r="H142" s="49">
        <f>IF(VLOOKUP($D142,$C$5:$AA$492,6,)=0,0,((VLOOKUP($D142,$C$5:$AA$492,6,)/VLOOKUP($D142,$C$5:$AA$492,4,))*$F142))</f>
        <v>0</v>
      </c>
      <c r="I142" s="49">
        <f>IF(VLOOKUP($D142,$C$5:$AA$492,7,)=0,0,((VLOOKUP($D142,$C$5:$AA$492,7,)/VLOOKUP($D142,$C$5:$AA$492,4,))*$F142))</f>
        <v>0</v>
      </c>
      <c r="J142" s="49"/>
      <c r="K142" s="49">
        <f>IF(VLOOKUP($D142,$C$5:$AA$492,9,)=0,0,((VLOOKUP($D142,$C$5:$AA$492,9,)/VLOOKUP($D142,$C$5:$AA$492,4,))*$F142))</f>
        <v>0</v>
      </c>
      <c r="L142" s="49"/>
      <c r="M142" s="49">
        <f>IF(VLOOKUP($D142,$C$5:$AA$492,11,)=0,0,((VLOOKUP($D142,$C$5:$AA$492,11,)/VLOOKUP($D142,$C$5:$AA$492,4,))*$F142))</f>
        <v>24623.130934884033</v>
      </c>
      <c r="N142" s="49"/>
      <c r="O142" s="49">
        <f>IF(VLOOKUP($D142,$C$5:$AA$492,13,)=0,0,((VLOOKUP($D142,$C$5:$AA$492,13,)/VLOOKUP($D142,$C$5:$AA$492,4,))*$F142))</f>
        <v>1604991.9021455131</v>
      </c>
      <c r="P142" s="49">
        <f>IF(VLOOKUP($D142,$C$5:$AA$492,14,)=0,0,((VLOOKUP($D142,$C$5:$AA$492,14,)/VLOOKUP($D142,$C$5:$AA$492,4,))*$F142))</f>
        <v>1078417.2927215723</v>
      </c>
      <c r="Q142" s="49"/>
      <c r="R142" s="49">
        <f>IF(VLOOKUP($D142,$C$5:$AA$492,16,)=0,0,((VLOOKUP($D142,$C$5:$AA$492,16,)/VLOOKUP($D142,$C$5:$AA$492,4,))*$F142))</f>
        <v>0</v>
      </c>
      <c r="S142" s="49">
        <f>IF(VLOOKUP($D142,$C$5:$AA$492,17,)=0,0,((VLOOKUP($D142,$C$5:$AA$492,17,)/VLOOKUP($D142,$C$5:$AA$492,4,))*$F142))</f>
        <v>449837.70158974238</v>
      </c>
      <c r="T142" s="49"/>
      <c r="U142" s="49">
        <f>IF(VLOOKUP($D142,$C$5:$AA$492,19,)=0,0,((VLOOKUP($D142,$C$5:$AA$492,19,)/VLOOKUP($D142,$C$5:$AA$492,4,))*$F142))</f>
        <v>174841.47295250199</v>
      </c>
      <c r="V142" s="49"/>
      <c r="W142" s="49">
        <f>IF(VLOOKUP($D142,$C$5:$AA$492,21,)=0,0,((VLOOKUP($D142,$C$5:$AA$492,21,)/VLOOKUP($D142,$C$5:$AA$492,4,))*$F142))</f>
        <v>176812.42965578637</v>
      </c>
      <c r="X142" s="49"/>
      <c r="Y142" s="49">
        <f>IF(VLOOKUP($D142,$C$5:$AA$492,23,)=0,0,((VLOOKUP($D142,$C$5:$AA$492,23,)/VLOOKUP($D142,$C$5:$AA$492,4,))*$F142))</f>
        <v>0</v>
      </c>
      <c r="Z142" s="49"/>
      <c r="AA142" s="49">
        <f>IF(VLOOKUP($D142,$C$5:$AA$492,25,)=0,0,((VLOOKUP($D142,$C$5:$AA$492,25,)/VLOOKUP($D142,$C$5:$AA$492,4,))*$F142))</f>
        <v>0</v>
      </c>
      <c r="AB142" s="49">
        <f>SUM(H142:AA142)</f>
        <v>3509523.9299999997</v>
      </c>
      <c r="AC142" s="27" t="str">
        <f>IF(ABS(AB142-F142)&lt;1,"ok","err")</f>
        <v>ok</v>
      </c>
    </row>
    <row r="143" spans="1:29" x14ac:dyDescent="0.2">
      <c r="F143" s="66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27"/>
    </row>
    <row r="144" spans="1:29" x14ac:dyDescent="0.2">
      <c r="A144" s="13" t="s">
        <v>93</v>
      </c>
      <c r="C144" s="14" t="s">
        <v>94</v>
      </c>
      <c r="F144" s="89">
        <f>F126+F133-F142</f>
        <v>208265098.57324991</v>
      </c>
      <c r="G144" s="89"/>
      <c r="H144" s="89">
        <f>H126+H133-H142</f>
        <v>0</v>
      </c>
      <c r="I144" s="89">
        <f>I126+I133-I142</f>
        <v>0</v>
      </c>
      <c r="J144" s="89"/>
      <c r="K144" s="89">
        <f>K126+K133-K142</f>
        <v>0</v>
      </c>
      <c r="L144" s="89"/>
      <c r="M144" s="89">
        <f>M126+M133-M142</f>
        <v>1448941.833374362</v>
      </c>
      <c r="N144" s="89"/>
      <c r="O144" s="89">
        <f>O126+O133-O142</f>
        <v>95241050.299314886</v>
      </c>
      <c r="P144" s="89">
        <f>P126+P133-P142</f>
        <v>63832073.928423643</v>
      </c>
      <c r="Q144" s="89"/>
      <c r="R144" s="89">
        <f>R126+R133-R142</f>
        <v>0</v>
      </c>
      <c r="S144" s="89">
        <f>S126+S133-S142</f>
        <v>26444413.711371422</v>
      </c>
      <c r="T144" s="89"/>
      <c r="U144" s="89">
        <f>U126+U133-U142</f>
        <v>10366140.99052332</v>
      </c>
      <c r="V144" s="89"/>
      <c r="W144" s="89">
        <f>W126+W133-W142</f>
        <v>10383478.241169779</v>
      </c>
      <c r="X144" s="89"/>
      <c r="Y144" s="89">
        <f>Y126+Y133-Y142</f>
        <v>536711.82881667931</v>
      </c>
      <c r="Z144" s="89"/>
      <c r="AA144" s="89">
        <f>AA126+AA133-AA142</f>
        <v>12287.740255853056</v>
      </c>
      <c r="AB144" s="49">
        <f>SUM(H144:AA144)</f>
        <v>208265098.57324994</v>
      </c>
      <c r="AC144" s="27" t="str">
        <f>IF(ABS(AB144-F144)&lt;1,"ok","err")</f>
        <v>ok</v>
      </c>
    </row>
    <row r="145" spans="1:29" x14ac:dyDescent="0.2">
      <c r="Q145" s="14"/>
      <c r="AC145" s="27"/>
    </row>
    <row r="146" spans="1:29" x14ac:dyDescent="0.2">
      <c r="A146" s="25" t="s">
        <v>86</v>
      </c>
      <c r="Q146" s="14"/>
      <c r="AC146" s="27"/>
    </row>
    <row r="147" spans="1:29" x14ac:dyDescent="0.2">
      <c r="A147" s="25"/>
      <c r="Q147" s="14"/>
      <c r="AC147" s="27"/>
    </row>
    <row r="148" spans="1:29" x14ac:dyDescent="0.2">
      <c r="A148" s="13" t="s">
        <v>787</v>
      </c>
      <c r="Q148" s="14"/>
      <c r="AC148" s="27"/>
    </row>
    <row r="149" spans="1:29" x14ac:dyDescent="0.2">
      <c r="A149" s="14">
        <v>500</v>
      </c>
      <c r="B149" s="14" t="s">
        <v>792</v>
      </c>
      <c r="C149" s="14" t="s">
        <v>805</v>
      </c>
      <c r="D149" s="14" t="s">
        <v>781</v>
      </c>
      <c r="F149" s="66">
        <v>0</v>
      </c>
      <c r="H149" s="49">
        <f t="shared" ref="H149:H157" si="78">IF(VLOOKUP($D149,$C$5:$AA$492,6,)=0,0,((VLOOKUP($D149,$C$5:$AA$492,6,)/VLOOKUP($D149,$C$5:$AA$492,4,))*$F149))</f>
        <v>0</v>
      </c>
      <c r="I149" s="49">
        <f t="shared" ref="I149:I157" si="79">IF(VLOOKUP($D149,$C$5:$AA$492,7,)=0,0,((VLOOKUP($D149,$C$5:$AA$492,7,)/VLOOKUP($D149,$C$5:$AA$492,4,))*$F149))</f>
        <v>0</v>
      </c>
      <c r="J149" s="49"/>
      <c r="K149" s="49">
        <f t="shared" ref="K149:K157" si="80">IF(VLOOKUP($D149,$C$5:$AA$492,9,)=0,0,((VLOOKUP($D149,$C$5:$AA$492,9,)/VLOOKUP($D149,$C$5:$AA$492,4,))*$F149))</f>
        <v>0</v>
      </c>
      <c r="L149" s="49"/>
      <c r="M149" s="49">
        <f t="shared" ref="M149:M157" si="81">IF(VLOOKUP($D149,$C$5:$AA$492,11,)=0,0,((VLOOKUP($D149,$C$5:$AA$492,11,)/VLOOKUP($D149,$C$5:$AA$492,4,))*$F149))</f>
        <v>0</v>
      </c>
      <c r="N149" s="49"/>
      <c r="O149" s="49">
        <f t="shared" ref="O149:O157" si="82">IF(VLOOKUP($D149,$C$5:$AA$492,13,)=0,0,((VLOOKUP($D149,$C$5:$AA$492,13,)/VLOOKUP($D149,$C$5:$AA$492,4,))*$F149))</f>
        <v>0</v>
      </c>
      <c r="P149" s="49">
        <f t="shared" ref="P149:P157" si="83">IF(VLOOKUP($D149,$C$5:$AA$492,14,)=0,0,((VLOOKUP($D149,$C$5:$AA$492,14,)/VLOOKUP($D149,$C$5:$AA$492,4,))*$F149))</f>
        <v>0</v>
      </c>
      <c r="Q149" s="49"/>
      <c r="R149" s="49">
        <f t="shared" ref="R149:R157" si="84">IF(VLOOKUP($D149,$C$5:$AA$492,16,)=0,0,((VLOOKUP($D149,$C$5:$AA$492,16,)/VLOOKUP($D149,$C$5:$AA$492,4,))*$F149))</f>
        <v>0</v>
      </c>
      <c r="S149" s="49">
        <f t="shared" ref="S149:S157" si="85">IF(VLOOKUP($D149,$C$5:$AA$492,17,)=0,0,((VLOOKUP($D149,$C$5:$AA$492,17,)/VLOOKUP($D149,$C$5:$AA$492,4,))*$F149))</f>
        <v>0</v>
      </c>
      <c r="T149" s="49"/>
      <c r="U149" s="49">
        <f t="shared" ref="U149:U157" si="86">IF(VLOOKUP($D149,$C$5:$AA$492,19,)=0,0,((VLOOKUP($D149,$C$5:$AA$492,19,)/VLOOKUP($D149,$C$5:$AA$492,4,))*$F149))</f>
        <v>0</v>
      </c>
      <c r="V149" s="49"/>
      <c r="W149" s="49">
        <f t="shared" ref="W149:W157" si="87">IF(VLOOKUP($D149,$C$5:$AA$492,21,)=0,0,((VLOOKUP($D149,$C$5:$AA$492,21,)/VLOOKUP($D149,$C$5:$AA$492,4,))*$F149))</f>
        <v>0</v>
      </c>
      <c r="X149" s="49"/>
      <c r="Y149" s="49">
        <f t="shared" ref="Y149:Y157" si="88">IF(VLOOKUP($D149,$C$5:$AA$492,23,)=0,0,((VLOOKUP($D149,$C$5:$AA$492,23,)/VLOOKUP($D149,$C$5:$AA$492,4,))*$F149))</f>
        <v>0</v>
      </c>
      <c r="Z149" s="49"/>
      <c r="AA149" s="49">
        <f t="shared" ref="AA149:AA157" si="89">IF(VLOOKUP($D149,$C$5:$AA$492,25,)=0,0,((VLOOKUP($D149,$C$5:$AA$492,25,)/VLOOKUP($D149,$C$5:$AA$492,4,))*$F149))</f>
        <v>0</v>
      </c>
      <c r="AB149" s="49">
        <f t="shared" ref="AB149:AB157" si="90">SUM(H149:AA149)</f>
        <v>0</v>
      </c>
      <c r="AC149" s="27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793</v>
      </c>
      <c r="C150" s="14" t="s">
        <v>806</v>
      </c>
      <c r="D150" s="14" t="s">
        <v>785</v>
      </c>
      <c r="F150" s="49">
        <v>0</v>
      </c>
      <c r="H150" s="49">
        <f t="shared" si="78"/>
        <v>0</v>
      </c>
      <c r="I150" s="49">
        <f t="shared" si="79"/>
        <v>0</v>
      </c>
      <c r="J150" s="49"/>
      <c r="K150" s="49">
        <f t="shared" si="80"/>
        <v>0</v>
      </c>
      <c r="L150" s="49"/>
      <c r="M150" s="49">
        <f t="shared" si="81"/>
        <v>0</v>
      </c>
      <c r="N150" s="49"/>
      <c r="O150" s="49">
        <f t="shared" si="82"/>
        <v>0</v>
      </c>
      <c r="P150" s="49">
        <f t="shared" si="83"/>
        <v>0</v>
      </c>
      <c r="Q150" s="49"/>
      <c r="R150" s="49">
        <f t="shared" si="84"/>
        <v>0</v>
      </c>
      <c r="S150" s="49">
        <f t="shared" si="85"/>
        <v>0</v>
      </c>
      <c r="T150" s="49"/>
      <c r="U150" s="49">
        <f t="shared" si="86"/>
        <v>0</v>
      </c>
      <c r="V150" s="49"/>
      <c r="W150" s="49">
        <f t="shared" si="87"/>
        <v>0</v>
      </c>
      <c r="X150" s="49"/>
      <c r="Y150" s="49">
        <f t="shared" si="88"/>
        <v>0</v>
      </c>
      <c r="Z150" s="49"/>
      <c r="AA150" s="49">
        <f t="shared" si="89"/>
        <v>0</v>
      </c>
      <c r="AB150" s="49">
        <f t="shared" si="90"/>
        <v>0</v>
      </c>
      <c r="AC150" s="27" t="str">
        <f t="shared" si="91"/>
        <v>ok</v>
      </c>
    </row>
    <row r="151" spans="1:29" x14ac:dyDescent="0.2">
      <c r="A151" s="14">
        <v>502</v>
      </c>
      <c r="B151" s="14" t="s">
        <v>794</v>
      </c>
      <c r="C151" s="14" t="s">
        <v>807</v>
      </c>
      <c r="D151" s="14" t="s">
        <v>551</v>
      </c>
      <c r="F151" s="49">
        <v>0</v>
      </c>
      <c r="H151" s="49">
        <f t="shared" si="78"/>
        <v>0</v>
      </c>
      <c r="I151" s="49">
        <f t="shared" si="79"/>
        <v>0</v>
      </c>
      <c r="J151" s="49"/>
      <c r="K151" s="49">
        <f t="shared" si="80"/>
        <v>0</v>
      </c>
      <c r="L151" s="49"/>
      <c r="M151" s="49">
        <f t="shared" si="81"/>
        <v>0</v>
      </c>
      <c r="N151" s="49"/>
      <c r="O151" s="49">
        <f t="shared" si="82"/>
        <v>0</v>
      </c>
      <c r="P151" s="49">
        <f t="shared" si="83"/>
        <v>0</v>
      </c>
      <c r="Q151" s="49"/>
      <c r="R151" s="49">
        <f t="shared" si="84"/>
        <v>0</v>
      </c>
      <c r="S151" s="49">
        <f t="shared" si="85"/>
        <v>0</v>
      </c>
      <c r="T151" s="49"/>
      <c r="U151" s="49">
        <f t="shared" si="86"/>
        <v>0</v>
      </c>
      <c r="V151" s="49"/>
      <c r="W151" s="49">
        <f t="shared" si="87"/>
        <v>0</v>
      </c>
      <c r="X151" s="49"/>
      <c r="Y151" s="49">
        <f t="shared" si="88"/>
        <v>0</v>
      </c>
      <c r="Z151" s="49"/>
      <c r="AA151" s="49">
        <f t="shared" si="89"/>
        <v>0</v>
      </c>
      <c r="AB151" s="49">
        <f t="shared" si="90"/>
        <v>0</v>
      </c>
      <c r="AC151" s="27" t="str">
        <f t="shared" si="91"/>
        <v>ok</v>
      </c>
    </row>
    <row r="152" spans="1:29" x14ac:dyDescent="0.2">
      <c r="A152" s="14">
        <v>503</v>
      </c>
      <c r="B152" s="14" t="s">
        <v>795</v>
      </c>
      <c r="C152" s="14" t="s">
        <v>808</v>
      </c>
      <c r="D152" s="14" t="s">
        <v>551</v>
      </c>
      <c r="F152" s="49">
        <v>0</v>
      </c>
      <c r="H152" s="49">
        <f t="shared" si="78"/>
        <v>0</v>
      </c>
      <c r="I152" s="49">
        <f t="shared" si="79"/>
        <v>0</v>
      </c>
      <c r="J152" s="49"/>
      <c r="K152" s="49">
        <f t="shared" si="80"/>
        <v>0</v>
      </c>
      <c r="L152" s="49"/>
      <c r="M152" s="49">
        <f t="shared" si="81"/>
        <v>0</v>
      </c>
      <c r="N152" s="49"/>
      <c r="O152" s="49">
        <f t="shared" si="82"/>
        <v>0</v>
      </c>
      <c r="P152" s="49">
        <f t="shared" si="83"/>
        <v>0</v>
      </c>
      <c r="Q152" s="49"/>
      <c r="R152" s="49">
        <f t="shared" si="84"/>
        <v>0</v>
      </c>
      <c r="S152" s="49">
        <f t="shared" si="85"/>
        <v>0</v>
      </c>
      <c r="T152" s="49"/>
      <c r="U152" s="49">
        <f t="shared" si="86"/>
        <v>0</v>
      </c>
      <c r="V152" s="49"/>
      <c r="W152" s="49">
        <f t="shared" si="87"/>
        <v>0</v>
      </c>
      <c r="X152" s="49"/>
      <c r="Y152" s="49">
        <f t="shared" si="88"/>
        <v>0</v>
      </c>
      <c r="Z152" s="49"/>
      <c r="AA152" s="49">
        <f t="shared" si="89"/>
        <v>0</v>
      </c>
      <c r="AB152" s="49">
        <f t="shared" si="90"/>
        <v>0</v>
      </c>
      <c r="AC152" s="27" t="str">
        <f t="shared" si="91"/>
        <v>ok</v>
      </c>
    </row>
    <row r="153" spans="1:29" x14ac:dyDescent="0.2">
      <c r="A153" s="14">
        <v>504</v>
      </c>
      <c r="B153" s="14" t="s">
        <v>796</v>
      </c>
      <c r="C153" s="14" t="s">
        <v>809</v>
      </c>
      <c r="D153" s="14" t="s">
        <v>551</v>
      </c>
      <c r="F153" s="49">
        <v>0</v>
      </c>
      <c r="H153" s="49">
        <f t="shared" si="78"/>
        <v>0</v>
      </c>
      <c r="I153" s="49">
        <f t="shared" si="79"/>
        <v>0</v>
      </c>
      <c r="J153" s="49"/>
      <c r="K153" s="49">
        <f t="shared" si="80"/>
        <v>0</v>
      </c>
      <c r="L153" s="49"/>
      <c r="M153" s="49">
        <f t="shared" si="81"/>
        <v>0</v>
      </c>
      <c r="N153" s="49"/>
      <c r="O153" s="49">
        <f t="shared" si="82"/>
        <v>0</v>
      </c>
      <c r="P153" s="49">
        <f t="shared" si="83"/>
        <v>0</v>
      </c>
      <c r="Q153" s="49"/>
      <c r="R153" s="49">
        <f t="shared" si="84"/>
        <v>0</v>
      </c>
      <c r="S153" s="49">
        <f t="shared" si="85"/>
        <v>0</v>
      </c>
      <c r="T153" s="49"/>
      <c r="U153" s="49">
        <f t="shared" si="86"/>
        <v>0</v>
      </c>
      <c r="V153" s="49"/>
      <c r="W153" s="49">
        <f t="shared" si="87"/>
        <v>0</v>
      </c>
      <c r="X153" s="49"/>
      <c r="Y153" s="49">
        <f t="shared" si="88"/>
        <v>0</v>
      </c>
      <c r="Z153" s="49"/>
      <c r="AA153" s="49">
        <f t="shared" si="89"/>
        <v>0</v>
      </c>
      <c r="AB153" s="49">
        <f t="shared" si="90"/>
        <v>0</v>
      </c>
      <c r="AC153" s="27" t="str">
        <f t="shared" si="91"/>
        <v>ok</v>
      </c>
    </row>
    <row r="154" spans="1:29" x14ac:dyDescent="0.2">
      <c r="A154" s="14">
        <v>505</v>
      </c>
      <c r="B154" s="14" t="s">
        <v>797</v>
      </c>
      <c r="C154" s="14" t="s">
        <v>810</v>
      </c>
      <c r="D154" s="14" t="s">
        <v>551</v>
      </c>
      <c r="F154" s="49">
        <v>0</v>
      </c>
      <c r="H154" s="49">
        <f t="shared" si="78"/>
        <v>0</v>
      </c>
      <c r="I154" s="49">
        <f t="shared" si="79"/>
        <v>0</v>
      </c>
      <c r="J154" s="49"/>
      <c r="K154" s="49">
        <f t="shared" si="80"/>
        <v>0</v>
      </c>
      <c r="L154" s="49"/>
      <c r="M154" s="49">
        <f t="shared" si="81"/>
        <v>0</v>
      </c>
      <c r="N154" s="49"/>
      <c r="O154" s="49">
        <f t="shared" si="82"/>
        <v>0</v>
      </c>
      <c r="P154" s="49">
        <f t="shared" si="83"/>
        <v>0</v>
      </c>
      <c r="Q154" s="49"/>
      <c r="R154" s="49">
        <f t="shared" si="84"/>
        <v>0</v>
      </c>
      <c r="S154" s="49">
        <f t="shared" si="85"/>
        <v>0</v>
      </c>
      <c r="T154" s="49"/>
      <c r="U154" s="49">
        <f t="shared" si="86"/>
        <v>0</v>
      </c>
      <c r="V154" s="49"/>
      <c r="W154" s="49">
        <f t="shared" si="87"/>
        <v>0</v>
      </c>
      <c r="X154" s="49"/>
      <c r="Y154" s="49">
        <f t="shared" si="88"/>
        <v>0</v>
      </c>
      <c r="Z154" s="49"/>
      <c r="AA154" s="49">
        <f t="shared" si="89"/>
        <v>0</v>
      </c>
      <c r="AB154" s="49">
        <f t="shared" si="90"/>
        <v>0</v>
      </c>
      <c r="AC154" s="27" t="str">
        <f t="shared" si="91"/>
        <v>ok</v>
      </c>
    </row>
    <row r="155" spans="1:29" x14ac:dyDescent="0.2">
      <c r="A155" s="14">
        <v>506</v>
      </c>
      <c r="B155" s="14" t="s">
        <v>798</v>
      </c>
      <c r="C155" s="14" t="s">
        <v>811</v>
      </c>
      <c r="D155" s="14" t="s">
        <v>551</v>
      </c>
      <c r="F155" s="49">
        <v>0</v>
      </c>
      <c r="H155" s="49">
        <f t="shared" si="78"/>
        <v>0</v>
      </c>
      <c r="I155" s="49">
        <f t="shared" si="79"/>
        <v>0</v>
      </c>
      <c r="J155" s="49"/>
      <c r="K155" s="49">
        <f t="shared" si="80"/>
        <v>0</v>
      </c>
      <c r="L155" s="49"/>
      <c r="M155" s="49">
        <f t="shared" si="81"/>
        <v>0</v>
      </c>
      <c r="N155" s="49"/>
      <c r="O155" s="49">
        <f t="shared" si="82"/>
        <v>0</v>
      </c>
      <c r="P155" s="49">
        <f t="shared" si="83"/>
        <v>0</v>
      </c>
      <c r="Q155" s="49"/>
      <c r="R155" s="49">
        <f t="shared" si="84"/>
        <v>0</v>
      </c>
      <c r="S155" s="49">
        <f t="shared" si="85"/>
        <v>0</v>
      </c>
      <c r="T155" s="49"/>
      <c r="U155" s="49">
        <f t="shared" si="86"/>
        <v>0</v>
      </c>
      <c r="V155" s="49"/>
      <c r="W155" s="49">
        <f t="shared" si="87"/>
        <v>0</v>
      </c>
      <c r="X155" s="49"/>
      <c r="Y155" s="49">
        <f t="shared" si="88"/>
        <v>0</v>
      </c>
      <c r="Z155" s="49"/>
      <c r="AA155" s="49">
        <f t="shared" si="89"/>
        <v>0</v>
      </c>
      <c r="AB155" s="49">
        <f t="shared" si="90"/>
        <v>0</v>
      </c>
      <c r="AC155" s="27" t="str">
        <f t="shared" si="91"/>
        <v>ok</v>
      </c>
    </row>
    <row r="156" spans="1:29" x14ac:dyDescent="0.2">
      <c r="A156" s="14">
        <v>507</v>
      </c>
      <c r="B156" s="14" t="s">
        <v>114</v>
      </c>
      <c r="C156" s="14" t="s">
        <v>812</v>
      </c>
      <c r="D156" s="14" t="s">
        <v>551</v>
      </c>
      <c r="F156" s="49">
        <v>0</v>
      </c>
      <c r="H156" s="49">
        <f t="shared" si="78"/>
        <v>0</v>
      </c>
      <c r="I156" s="49">
        <f t="shared" si="79"/>
        <v>0</v>
      </c>
      <c r="J156" s="49"/>
      <c r="K156" s="49">
        <f t="shared" si="80"/>
        <v>0</v>
      </c>
      <c r="L156" s="49"/>
      <c r="M156" s="49">
        <f t="shared" si="81"/>
        <v>0</v>
      </c>
      <c r="N156" s="49"/>
      <c r="O156" s="49">
        <f t="shared" si="82"/>
        <v>0</v>
      </c>
      <c r="P156" s="49">
        <f t="shared" si="83"/>
        <v>0</v>
      </c>
      <c r="Q156" s="49"/>
      <c r="R156" s="49">
        <f t="shared" si="84"/>
        <v>0</v>
      </c>
      <c r="S156" s="49">
        <f t="shared" si="85"/>
        <v>0</v>
      </c>
      <c r="T156" s="49"/>
      <c r="U156" s="49">
        <f t="shared" si="86"/>
        <v>0</v>
      </c>
      <c r="V156" s="49"/>
      <c r="W156" s="49">
        <f t="shared" si="87"/>
        <v>0</v>
      </c>
      <c r="X156" s="49"/>
      <c r="Y156" s="49">
        <f t="shared" si="88"/>
        <v>0</v>
      </c>
      <c r="Z156" s="49"/>
      <c r="AA156" s="49">
        <f t="shared" si="89"/>
        <v>0</v>
      </c>
      <c r="AB156" s="49">
        <f t="shared" si="90"/>
        <v>0</v>
      </c>
      <c r="AC156" s="27" t="str">
        <f t="shared" si="91"/>
        <v>ok</v>
      </c>
    </row>
    <row r="157" spans="1:29" x14ac:dyDescent="0.2">
      <c r="A157" s="14">
        <v>509</v>
      </c>
      <c r="B157" s="14" t="s">
        <v>799</v>
      </c>
      <c r="C157" s="14" t="s">
        <v>813</v>
      </c>
      <c r="D157" s="14" t="s">
        <v>785</v>
      </c>
      <c r="F157" s="49">
        <v>0</v>
      </c>
      <c r="H157" s="49">
        <f t="shared" si="78"/>
        <v>0</v>
      </c>
      <c r="I157" s="49">
        <f t="shared" si="79"/>
        <v>0</v>
      </c>
      <c r="J157" s="49"/>
      <c r="K157" s="49">
        <f t="shared" si="80"/>
        <v>0</v>
      </c>
      <c r="L157" s="49"/>
      <c r="M157" s="49">
        <f t="shared" si="81"/>
        <v>0</v>
      </c>
      <c r="N157" s="49"/>
      <c r="O157" s="49">
        <f t="shared" si="82"/>
        <v>0</v>
      </c>
      <c r="P157" s="49">
        <f t="shared" si="83"/>
        <v>0</v>
      </c>
      <c r="Q157" s="49"/>
      <c r="R157" s="49">
        <f t="shared" si="84"/>
        <v>0</v>
      </c>
      <c r="S157" s="49">
        <f t="shared" si="85"/>
        <v>0</v>
      </c>
      <c r="T157" s="49"/>
      <c r="U157" s="49">
        <f t="shared" si="86"/>
        <v>0</v>
      </c>
      <c r="V157" s="49"/>
      <c r="W157" s="49">
        <f t="shared" si="87"/>
        <v>0</v>
      </c>
      <c r="X157" s="49"/>
      <c r="Y157" s="49">
        <f t="shared" si="88"/>
        <v>0</v>
      </c>
      <c r="Z157" s="49"/>
      <c r="AA157" s="49">
        <f t="shared" si="89"/>
        <v>0</v>
      </c>
      <c r="AB157" s="49">
        <f t="shared" si="90"/>
        <v>0</v>
      </c>
      <c r="AC157" s="27" t="str">
        <f t="shared" si="91"/>
        <v>ok</v>
      </c>
    </row>
    <row r="158" spans="1:29" x14ac:dyDescent="0.2">
      <c r="F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C158" s="27"/>
    </row>
    <row r="159" spans="1:29" x14ac:dyDescent="0.2">
      <c r="A159" s="14" t="s">
        <v>791</v>
      </c>
      <c r="C159" s="14" t="s">
        <v>814</v>
      </c>
      <c r="F159" s="66">
        <f>SUM(F149:F158)</f>
        <v>0</v>
      </c>
      <c r="H159" s="66">
        <f>SUM(H149:H158)</f>
        <v>0</v>
      </c>
      <c r="I159" s="66">
        <f>SUM(I149:I158)</f>
        <v>0</v>
      </c>
      <c r="J159" s="66"/>
      <c r="K159" s="66">
        <f>SUM(K149:K158)</f>
        <v>0</v>
      </c>
      <c r="L159" s="66"/>
      <c r="M159" s="66">
        <f>SUM(M149:M158)</f>
        <v>0</v>
      </c>
      <c r="N159" s="66"/>
      <c r="O159" s="66">
        <f>SUM(O149:O158)</f>
        <v>0</v>
      </c>
      <c r="P159" s="66">
        <f>SUM(P149:P158)</f>
        <v>0</v>
      </c>
      <c r="Q159" s="66"/>
      <c r="R159" s="66">
        <f>SUM(R149:R158)</f>
        <v>0</v>
      </c>
      <c r="S159" s="66">
        <f>SUM(S149:S158)</f>
        <v>0</v>
      </c>
      <c r="T159" s="66"/>
      <c r="U159" s="66">
        <f>SUM(U149:U158)</f>
        <v>0</v>
      </c>
      <c r="V159" s="66"/>
      <c r="W159" s="66">
        <f>SUM(W149:W158)</f>
        <v>0</v>
      </c>
      <c r="X159" s="66"/>
      <c r="Y159" s="66">
        <f>SUM(Y149:Y158)</f>
        <v>0</v>
      </c>
      <c r="Z159" s="66"/>
      <c r="AA159" s="66">
        <f>SUM(AA149:AA158)</f>
        <v>0</v>
      </c>
      <c r="AB159" s="49">
        <f>SUM(H159:AA159)</f>
        <v>0</v>
      </c>
      <c r="AC159" s="27" t="str">
        <f>IF(ABS(AB159-F159)&lt;1,"ok","err")</f>
        <v>ok</v>
      </c>
    </row>
    <row r="160" spans="1:29" x14ac:dyDescent="0.2">
      <c r="A160" s="13"/>
      <c r="F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C160" s="27"/>
    </row>
    <row r="161" spans="1:29" x14ac:dyDescent="0.2">
      <c r="A161" s="13" t="s">
        <v>788</v>
      </c>
      <c r="F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C161" s="27"/>
    </row>
    <row r="162" spans="1:29" x14ac:dyDescent="0.2">
      <c r="A162" s="14">
        <v>510</v>
      </c>
      <c r="B162" s="14" t="s">
        <v>800</v>
      </c>
      <c r="C162" s="14" t="s">
        <v>816</v>
      </c>
      <c r="D162" s="14" t="s">
        <v>785</v>
      </c>
      <c r="F162" s="66">
        <v>0</v>
      </c>
      <c r="H162" s="49">
        <f>IF(VLOOKUP($D162,$C$5:$AA$492,6,)=0,0,((VLOOKUP($D162,$C$5:$AA$492,6,)/VLOOKUP($D162,$C$5:$AA$492,4,))*$F162))</f>
        <v>0</v>
      </c>
      <c r="I162" s="49">
        <f>IF(VLOOKUP($D162,$C$5:$AA$492,7,)=0,0,((VLOOKUP($D162,$C$5:$AA$492,7,)/VLOOKUP($D162,$C$5:$AA$492,4,))*$F162))</f>
        <v>0</v>
      </c>
      <c r="J162" s="49"/>
      <c r="K162" s="49">
        <f>IF(VLOOKUP($D162,$C$5:$AA$492,9,)=0,0,((VLOOKUP($D162,$C$5:$AA$492,9,)/VLOOKUP($D162,$C$5:$AA$492,4,))*$F162))</f>
        <v>0</v>
      </c>
      <c r="L162" s="49"/>
      <c r="M162" s="49">
        <f>IF(VLOOKUP($D162,$C$5:$AA$492,11,)=0,0,((VLOOKUP($D162,$C$5:$AA$492,11,)/VLOOKUP($D162,$C$5:$AA$492,4,))*$F162))</f>
        <v>0</v>
      </c>
      <c r="N162" s="49"/>
      <c r="O162" s="49">
        <f>IF(VLOOKUP($D162,$C$5:$AA$492,13,)=0,0,((VLOOKUP($D162,$C$5:$AA$492,13,)/VLOOKUP($D162,$C$5:$AA$492,4,))*$F162))</f>
        <v>0</v>
      </c>
      <c r="P162" s="49">
        <f>IF(VLOOKUP($D162,$C$5:$AA$492,14,)=0,0,((VLOOKUP($D162,$C$5:$AA$492,14,)/VLOOKUP($D162,$C$5:$AA$492,4,))*$F162))</f>
        <v>0</v>
      </c>
      <c r="Q162" s="49"/>
      <c r="R162" s="49">
        <f>IF(VLOOKUP($D162,$C$5:$AA$492,16,)=0,0,((VLOOKUP($D162,$C$5:$AA$492,16,)/VLOOKUP($D162,$C$5:$AA$492,4,))*$F162))</f>
        <v>0</v>
      </c>
      <c r="S162" s="49">
        <f>IF(VLOOKUP($D162,$C$5:$AA$492,17,)=0,0,((VLOOKUP($D162,$C$5:$AA$492,17,)/VLOOKUP($D162,$C$5:$AA$492,4,))*$F162))</f>
        <v>0</v>
      </c>
      <c r="T162" s="49"/>
      <c r="U162" s="49">
        <f>IF(VLOOKUP($D162,$C$5:$AA$492,19,)=0,0,((VLOOKUP($D162,$C$5:$AA$492,19,)/VLOOKUP($D162,$C$5:$AA$492,4,))*$F162))</f>
        <v>0</v>
      </c>
      <c r="V162" s="49"/>
      <c r="W162" s="49">
        <f>IF(VLOOKUP($D162,$C$5:$AA$492,21,)=0,0,((VLOOKUP($D162,$C$5:$AA$492,21,)/VLOOKUP($D162,$C$5:$AA$492,4,))*$F162))</f>
        <v>0</v>
      </c>
      <c r="X162" s="49"/>
      <c r="Y162" s="49">
        <f>IF(VLOOKUP($D162,$C$5:$AA$492,23,)=0,0,((VLOOKUP($D162,$C$5:$AA$492,23,)/VLOOKUP($D162,$C$5:$AA$492,4,))*$F162))</f>
        <v>0</v>
      </c>
      <c r="Z162" s="49"/>
      <c r="AA162" s="49">
        <f>IF(VLOOKUP($D162,$C$5:$AA$492,25,)=0,0,((VLOOKUP($D162,$C$5:$AA$492,25,)/VLOOKUP($D162,$C$5:$AA$492,4,))*$F162))</f>
        <v>0</v>
      </c>
      <c r="AB162" s="49">
        <f>SUM(H162:AA162)</f>
        <v>0</v>
      </c>
      <c r="AC162" s="27" t="str">
        <f>IF(ABS(AB162-F162)&lt;1,"ok","err")</f>
        <v>ok</v>
      </c>
    </row>
    <row r="163" spans="1:29" x14ac:dyDescent="0.2">
      <c r="A163" s="14">
        <v>511</v>
      </c>
      <c r="B163" s="14" t="s">
        <v>801</v>
      </c>
      <c r="C163" s="14" t="s">
        <v>817</v>
      </c>
      <c r="D163" s="14" t="s">
        <v>551</v>
      </c>
      <c r="F163" s="49">
        <v>0</v>
      </c>
      <c r="H163" s="49">
        <f>IF(VLOOKUP($D163,$C$5:$AA$492,6,)=0,0,((VLOOKUP($D163,$C$5:$AA$492,6,)/VLOOKUP($D163,$C$5:$AA$492,4,))*$F163))</f>
        <v>0</v>
      </c>
      <c r="I163" s="49">
        <f>IF(VLOOKUP($D163,$C$5:$AA$492,7,)=0,0,((VLOOKUP($D163,$C$5:$AA$492,7,)/VLOOKUP($D163,$C$5:$AA$492,4,))*$F163))</f>
        <v>0</v>
      </c>
      <c r="J163" s="49"/>
      <c r="K163" s="49">
        <f>IF(VLOOKUP($D163,$C$5:$AA$492,9,)=0,0,((VLOOKUP($D163,$C$5:$AA$492,9,)/VLOOKUP($D163,$C$5:$AA$492,4,))*$F163))</f>
        <v>0</v>
      </c>
      <c r="L163" s="49"/>
      <c r="M163" s="49">
        <f>IF(VLOOKUP($D163,$C$5:$AA$492,11,)=0,0,((VLOOKUP($D163,$C$5:$AA$492,11,)/VLOOKUP($D163,$C$5:$AA$492,4,))*$F163))</f>
        <v>0</v>
      </c>
      <c r="N163" s="49"/>
      <c r="O163" s="49">
        <f>IF(VLOOKUP($D163,$C$5:$AA$492,13,)=0,0,((VLOOKUP($D163,$C$5:$AA$492,13,)/VLOOKUP($D163,$C$5:$AA$492,4,))*$F163))</f>
        <v>0</v>
      </c>
      <c r="P163" s="49">
        <f>IF(VLOOKUP($D163,$C$5:$AA$492,14,)=0,0,((VLOOKUP($D163,$C$5:$AA$492,14,)/VLOOKUP($D163,$C$5:$AA$492,4,))*$F163))</f>
        <v>0</v>
      </c>
      <c r="Q163" s="49"/>
      <c r="R163" s="49">
        <f>IF(VLOOKUP($D163,$C$5:$AA$492,16,)=0,0,((VLOOKUP($D163,$C$5:$AA$492,16,)/VLOOKUP($D163,$C$5:$AA$492,4,))*$F163))</f>
        <v>0</v>
      </c>
      <c r="S163" s="49">
        <f>IF(VLOOKUP($D163,$C$5:$AA$492,17,)=0,0,((VLOOKUP($D163,$C$5:$AA$492,17,)/VLOOKUP($D163,$C$5:$AA$492,4,))*$F163))</f>
        <v>0</v>
      </c>
      <c r="T163" s="49"/>
      <c r="U163" s="49">
        <f>IF(VLOOKUP($D163,$C$5:$AA$492,19,)=0,0,((VLOOKUP($D163,$C$5:$AA$492,19,)/VLOOKUP($D163,$C$5:$AA$492,4,))*$F163))</f>
        <v>0</v>
      </c>
      <c r="V163" s="49"/>
      <c r="W163" s="49">
        <f>IF(VLOOKUP($D163,$C$5:$AA$492,21,)=0,0,((VLOOKUP($D163,$C$5:$AA$492,21,)/VLOOKUP($D163,$C$5:$AA$492,4,))*$F163))</f>
        <v>0</v>
      </c>
      <c r="X163" s="49"/>
      <c r="Y163" s="49">
        <f>IF(VLOOKUP($D163,$C$5:$AA$492,23,)=0,0,((VLOOKUP($D163,$C$5:$AA$492,23,)/VLOOKUP($D163,$C$5:$AA$492,4,))*$F163))</f>
        <v>0</v>
      </c>
      <c r="Z163" s="49"/>
      <c r="AA163" s="49">
        <f>IF(VLOOKUP($D163,$C$5:$AA$492,25,)=0,0,((VLOOKUP($D163,$C$5:$AA$492,25,)/VLOOKUP($D163,$C$5:$AA$492,4,))*$F163))</f>
        <v>0</v>
      </c>
      <c r="AB163" s="49">
        <f>SUM(H163:AA163)</f>
        <v>0</v>
      </c>
      <c r="AC163" s="27" t="str">
        <f>IF(ABS(AB163-F163)&lt;1,"ok","err")</f>
        <v>ok</v>
      </c>
    </row>
    <row r="164" spans="1:29" x14ac:dyDescent="0.2">
      <c r="A164" s="14">
        <v>512</v>
      </c>
      <c r="B164" s="14" t="s">
        <v>802</v>
      </c>
      <c r="C164" s="14" t="s">
        <v>818</v>
      </c>
      <c r="D164" s="14" t="s">
        <v>785</v>
      </c>
      <c r="F164" s="49">
        <v>0</v>
      </c>
      <c r="H164" s="49">
        <f>IF(VLOOKUP($D164,$C$5:$AA$492,6,)=0,0,((VLOOKUP($D164,$C$5:$AA$492,6,)/VLOOKUP($D164,$C$5:$AA$492,4,))*$F164))</f>
        <v>0</v>
      </c>
      <c r="I164" s="49">
        <f>IF(VLOOKUP($D164,$C$5:$AA$492,7,)=0,0,((VLOOKUP($D164,$C$5:$AA$492,7,)/VLOOKUP($D164,$C$5:$AA$492,4,))*$F164))</f>
        <v>0</v>
      </c>
      <c r="J164" s="49"/>
      <c r="K164" s="49">
        <f>IF(VLOOKUP($D164,$C$5:$AA$492,9,)=0,0,((VLOOKUP($D164,$C$5:$AA$492,9,)/VLOOKUP($D164,$C$5:$AA$492,4,))*$F164))</f>
        <v>0</v>
      </c>
      <c r="L164" s="49"/>
      <c r="M164" s="49">
        <f>IF(VLOOKUP($D164,$C$5:$AA$492,11,)=0,0,((VLOOKUP($D164,$C$5:$AA$492,11,)/VLOOKUP($D164,$C$5:$AA$492,4,))*$F164))</f>
        <v>0</v>
      </c>
      <c r="N164" s="49"/>
      <c r="O164" s="49">
        <f>IF(VLOOKUP($D164,$C$5:$AA$492,13,)=0,0,((VLOOKUP($D164,$C$5:$AA$492,13,)/VLOOKUP($D164,$C$5:$AA$492,4,))*$F164))</f>
        <v>0</v>
      </c>
      <c r="P164" s="49">
        <f>IF(VLOOKUP($D164,$C$5:$AA$492,14,)=0,0,((VLOOKUP($D164,$C$5:$AA$492,14,)/VLOOKUP($D164,$C$5:$AA$492,4,))*$F164))</f>
        <v>0</v>
      </c>
      <c r="Q164" s="49"/>
      <c r="R164" s="49">
        <f>IF(VLOOKUP($D164,$C$5:$AA$492,16,)=0,0,((VLOOKUP($D164,$C$5:$AA$492,16,)/VLOOKUP($D164,$C$5:$AA$492,4,))*$F164))</f>
        <v>0</v>
      </c>
      <c r="S164" s="49">
        <f>IF(VLOOKUP($D164,$C$5:$AA$492,17,)=0,0,((VLOOKUP($D164,$C$5:$AA$492,17,)/VLOOKUP($D164,$C$5:$AA$492,4,))*$F164))</f>
        <v>0</v>
      </c>
      <c r="T164" s="49"/>
      <c r="U164" s="49">
        <f>IF(VLOOKUP($D164,$C$5:$AA$492,19,)=0,0,((VLOOKUP($D164,$C$5:$AA$492,19,)/VLOOKUP($D164,$C$5:$AA$492,4,))*$F164))</f>
        <v>0</v>
      </c>
      <c r="V164" s="49"/>
      <c r="W164" s="49">
        <f>IF(VLOOKUP($D164,$C$5:$AA$492,21,)=0,0,((VLOOKUP($D164,$C$5:$AA$492,21,)/VLOOKUP($D164,$C$5:$AA$492,4,))*$F164))</f>
        <v>0</v>
      </c>
      <c r="X164" s="49"/>
      <c r="Y164" s="49">
        <f>IF(VLOOKUP($D164,$C$5:$AA$492,23,)=0,0,((VLOOKUP($D164,$C$5:$AA$492,23,)/VLOOKUP($D164,$C$5:$AA$492,4,))*$F164))</f>
        <v>0</v>
      </c>
      <c r="Z164" s="49"/>
      <c r="AA164" s="49">
        <f>IF(VLOOKUP($D164,$C$5:$AA$492,25,)=0,0,((VLOOKUP($D164,$C$5:$AA$492,25,)/VLOOKUP($D164,$C$5:$AA$492,4,))*$F164))</f>
        <v>0</v>
      </c>
      <c r="AB164" s="49">
        <f>SUM(H164:AA164)</f>
        <v>0</v>
      </c>
      <c r="AC164" s="27" t="str">
        <f>IF(ABS(AB164-F164)&lt;1,"ok","err")</f>
        <v>ok</v>
      </c>
    </row>
    <row r="165" spans="1:29" x14ac:dyDescent="0.2">
      <c r="A165" s="14">
        <v>513</v>
      </c>
      <c r="B165" s="14" t="s">
        <v>803</v>
      </c>
      <c r="C165" s="14" t="s">
        <v>819</v>
      </c>
      <c r="D165" s="14" t="s">
        <v>785</v>
      </c>
      <c r="F165" s="49">
        <v>0</v>
      </c>
      <c r="H165" s="49">
        <f>IF(VLOOKUP($D165,$C$5:$AA$492,6,)=0,0,((VLOOKUP($D165,$C$5:$AA$492,6,)/VLOOKUP($D165,$C$5:$AA$492,4,))*$F165))</f>
        <v>0</v>
      </c>
      <c r="I165" s="49">
        <f>IF(VLOOKUP($D165,$C$5:$AA$492,7,)=0,0,((VLOOKUP($D165,$C$5:$AA$492,7,)/VLOOKUP($D165,$C$5:$AA$492,4,))*$F165))</f>
        <v>0</v>
      </c>
      <c r="J165" s="49"/>
      <c r="K165" s="49">
        <f>IF(VLOOKUP($D165,$C$5:$AA$492,9,)=0,0,((VLOOKUP($D165,$C$5:$AA$492,9,)/VLOOKUP($D165,$C$5:$AA$492,4,))*$F165))</f>
        <v>0</v>
      </c>
      <c r="L165" s="49"/>
      <c r="M165" s="49">
        <f>IF(VLOOKUP($D165,$C$5:$AA$492,11,)=0,0,((VLOOKUP($D165,$C$5:$AA$492,11,)/VLOOKUP($D165,$C$5:$AA$492,4,))*$F165))</f>
        <v>0</v>
      </c>
      <c r="N165" s="49"/>
      <c r="O165" s="49">
        <f>IF(VLOOKUP($D165,$C$5:$AA$492,13,)=0,0,((VLOOKUP($D165,$C$5:$AA$492,13,)/VLOOKUP($D165,$C$5:$AA$492,4,))*$F165))</f>
        <v>0</v>
      </c>
      <c r="P165" s="49">
        <f>IF(VLOOKUP($D165,$C$5:$AA$492,14,)=0,0,((VLOOKUP($D165,$C$5:$AA$492,14,)/VLOOKUP($D165,$C$5:$AA$492,4,))*$F165))</f>
        <v>0</v>
      </c>
      <c r="Q165" s="49"/>
      <c r="R165" s="49">
        <f>IF(VLOOKUP($D165,$C$5:$AA$492,16,)=0,0,((VLOOKUP($D165,$C$5:$AA$492,16,)/VLOOKUP($D165,$C$5:$AA$492,4,))*$F165))</f>
        <v>0</v>
      </c>
      <c r="S165" s="49">
        <f>IF(VLOOKUP($D165,$C$5:$AA$492,17,)=0,0,((VLOOKUP($D165,$C$5:$AA$492,17,)/VLOOKUP($D165,$C$5:$AA$492,4,))*$F165))</f>
        <v>0</v>
      </c>
      <c r="T165" s="49"/>
      <c r="U165" s="49">
        <f>IF(VLOOKUP($D165,$C$5:$AA$492,19,)=0,0,((VLOOKUP($D165,$C$5:$AA$492,19,)/VLOOKUP($D165,$C$5:$AA$492,4,))*$F165))</f>
        <v>0</v>
      </c>
      <c r="V165" s="49"/>
      <c r="W165" s="49">
        <f>IF(VLOOKUP($D165,$C$5:$AA$492,21,)=0,0,((VLOOKUP($D165,$C$5:$AA$492,21,)/VLOOKUP($D165,$C$5:$AA$492,4,))*$F165))</f>
        <v>0</v>
      </c>
      <c r="X165" s="49"/>
      <c r="Y165" s="49">
        <f>IF(VLOOKUP($D165,$C$5:$AA$492,23,)=0,0,((VLOOKUP($D165,$C$5:$AA$492,23,)/VLOOKUP($D165,$C$5:$AA$492,4,))*$F165))</f>
        <v>0</v>
      </c>
      <c r="Z165" s="49"/>
      <c r="AA165" s="49">
        <f>IF(VLOOKUP($D165,$C$5:$AA$492,25,)=0,0,((VLOOKUP($D165,$C$5:$AA$492,25,)/VLOOKUP($D165,$C$5:$AA$492,4,))*$F165))</f>
        <v>0</v>
      </c>
      <c r="AB165" s="49">
        <f>SUM(H165:AA165)</f>
        <v>0</v>
      </c>
      <c r="AC165" s="27" t="str">
        <f>IF(ABS(AB165-F165)&lt;1,"ok","err")</f>
        <v>ok</v>
      </c>
    </row>
    <row r="166" spans="1:29" x14ac:dyDescent="0.2">
      <c r="A166" s="14">
        <v>514</v>
      </c>
      <c r="B166" s="14" t="s">
        <v>804</v>
      </c>
      <c r="C166" s="14" t="s">
        <v>820</v>
      </c>
      <c r="D166" s="14" t="s">
        <v>551</v>
      </c>
      <c r="F166" s="49">
        <v>0</v>
      </c>
      <c r="H166" s="49">
        <f>IF(VLOOKUP($D166,$C$5:$AA$492,6,)=0,0,((VLOOKUP($D166,$C$5:$AA$492,6,)/VLOOKUP($D166,$C$5:$AA$492,4,))*$F166))</f>
        <v>0</v>
      </c>
      <c r="I166" s="49">
        <f>IF(VLOOKUP($D166,$C$5:$AA$492,7,)=0,0,((VLOOKUP($D166,$C$5:$AA$492,7,)/VLOOKUP($D166,$C$5:$AA$492,4,))*$F166))</f>
        <v>0</v>
      </c>
      <c r="J166" s="49"/>
      <c r="K166" s="49">
        <f>IF(VLOOKUP($D166,$C$5:$AA$492,9,)=0,0,((VLOOKUP($D166,$C$5:$AA$492,9,)/VLOOKUP($D166,$C$5:$AA$492,4,))*$F166))</f>
        <v>0</v>
      </c>
      <c r="L166" s="49"/>
      <c r="M166" s="49">
        <f>IF(VLOOKUP($D166,$C$5:$AA$492,11,)=0,0,((VLOOKUP($D166,$C$5:$AA$492,11,)/VLOOKUP($D166,$C$5:$AA$492,4,))*$F166))</f>
        <v>0</v>
      </c>
      <c r="N166" s="49"/>
      <c r="O166" s="49">
        <f>IF(VLOOKUP($D166,$C$5:$AA$492,13,)=0,0,((VLOOKUP($D166,$C$5:$AA$492,13,)/VLOOKUP($D166,$C$5:$AA$492,4,))*$F166))</f>
        <v>0</v>
      </c>
      <c r="P166" s="49">
        <f>IF(VLOOKUP($D166,$C$5:$AA$492,14,)=0,0,((VLOOKUP($D166,$C$5:$AA$492,14,)/VLOOKUP($D166,$C$5:$AA$492,4,))*$F166))</f>
        <v>0</v>
      </c>
      <c r="Q166" s="49"/>
      <c r="R166" s="49">
        <f>IF(VLOOKUP($D166,$C$5:$AA$492,16,)=0,0,((VLOOKUP($D166,$C$5:$AA$492,16,)/VLOOKUP($D166,$C$5:$AA$492,4,))*$F166))</f>
        <v>0</v>
      </c>
      <c r="S166" s="49">
        <f>IF(VLOOKUP($D166,$C$5:$AA$492,17,)=0,0,((VLOOKUP($D166,$C$5:$AA$492,17,)/VLOOKUP($D166,$C$5:$AA$492,4,))*$F166))</f>
        <v>0</v>
      </c>
      <c r="T166" s="49"/>
      <c r="U166" s="49">
        <f>IF(VLOOKUP($D166,$C$5:$AA$492,19,)=0,0,((VLOOKUP($D166,$C$5:$AA$492,19,)/VLOOKUP($D166,$C$5:$AA$492,4,))*$F166))</f>
        <v>0</v>
      </c>
      <c r="V166" s="49"/>
      <c r="W166" s="49">
        <f>IF(VLOOKUP($D166,$C$5:$AA$492,21,)=0,0,((VLOOKUP($D166,$C$5:$AA$492,21,)/VLOOKUP($D166,$C$5:$AA$492,4,))*$F166))</f>
        <v>0</v>
      </c>
      <c r="X166" s="49"/>
      <c r="Y166" s="49">
        <f>IF(VLOOKUP($D166,$C$5:$AA$492,23,)=0,0,((VLOOKUP($D166,$C$5:$AA$492,23,)/VLOOKUP($D166,$C$5:$AA$492,4,))*$F166))</f>
        <v>0</v>
      </c>
      <c r="Z166" s="49"/>
      <c r="AA166" s="49">
        <f>IF(VLOOKUP($D166,$C$5:$AA$492,25,)=0,0,((VLOOKUP($D166,$C$5:$AA$492,25,)/VLOOKUP($D166,$C$5:$AA$492,4,))*$F166))</f>
        <v>0</v>
      </c>
      <c r="AB166" s="49">
        <f>SUM(H166:AA166)</f>
        <v>0</v>
      </c>
      <c r="AC166" s="27" t="str">
        <f>IF(ABS(AB166-F166)&lt;1,"ok","err")</f>
        <v>ok</v>
      </c>
    </row>
    <row r="167" spans="1:29" x14ac:dyDescent="0.2">
      <c r="F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27"/>
    </row>
    <row r="168" spans="1:29" x14ac:dyDescent="0.2">
      <c r="A168" s="14" t="s">
        <v>789</v>
      </c>
      <c r="C168" s="14" t="s">
        <v>815</v>
      </c>
      <c r="F168" s="66">
        <f>SUM(F162:F167)</f>
        <v>0</v>
      </c>
      <c r="H168" s="66">
        <f>SUM(H162:H167)</f>
        <v>0</v>
      </c>
      <c r="I168" s="66">
        <f>SUM(I162:I167)</f>
        <v>0</v>
      </c>
      <c r="J168" s="66"/>
      <c r="K168" s="66">
        <f>SUM(K162:K167)</f>
        <v>0</v>
      </c>
      <c r="L168" s="66"/>
      <c r="M168" s="66">
        <f>SUM(M162:M167)</f>
        <v>0</v>
      </c>
      <c r="N168" s="66"/>
      <c r="O168" s="66">
        <f>SUM(O162:O167)</f>
        <v>0</v>
      </c>
      <c r="P168" s="66">
        <f>SUM(P162:P167)</f>
        <v>0</v>
      </c>
      <c r="Q168" s="66"/>
      <c r="R168" s="66">
        <f>SUM(R162:R167)</f>
        <v>0</v>
      </c>
      <c r="S168" s="66">
        <f>SUM(S162:S167)</f>
        <v>0</v>
      </c>
      <c r="T168" s="66"/>
      <c r="U168" s="66">
        <f>SUM(U162:U167)</f>
        <v>0</v>
      </c>
      <c r="V168" s="66"/>
      <c r="W168" s="66">
        <f>SUM(W162:W167)</f>
        <v>0</v>
      </c>
      <c r="X168" s="66"/>
      <c r="Y168" s="66">
        <f>SUM(Y162:Y167)</f>
        <v>0</v>
      </c>
      <c r="Z168" s="66"/>
      <c r="AA168" s="66">
        <f>SUM(AA162:AA167)</f>
        <v>0</v>
      </c>
      <c r="AB168" s="49">
        <f>SUM(H168:AA168)</f>
        <v>0</v>
      </c>
      <c r="AC168" s="27" t="str">
        <f>IF(ABS(AB168-F168)&lt;1,"ok","err")</f>
        <v>ok</v>
      </c>
    </row>
    <row r="169" spans="1:29" x14ac:dyDescent="0.2">
      <c r="F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C169" s="27"/>
    </row>
    <row r="170" spans="1:29" x14ac:dyDescent="0.2">
      <c r="A170" s="14" t="s">
        <v>790</v>
      </c>
      <c r="C170" s="14" t="s">
        <v>823</v>
      </c>
      <c r="F170" s="49">
        <f>F159+F168</f>
        <v>0</v>
      </c>
      <c r="H170" s="49">
        <f>H159+H168</f>
        <v>0</v>
      </c>
      <c r="I170" s="49">
        <f>I159+I168</f>
        <v>0</v>
      </c>
      <c r="J170" s="49"/>
      <c r="K170" s="49">
        <f>K159+K168</f>
        <v>0</v>
      </c>
      <c r="L170" s="49"/>
      <c r="M170" s="49">
        <f>M159+M168</f>
        <v>0</v>
      </c>
      <c r="N170" s="49"/>
      <c r="O170" s="49">
        <f>O159+O168</f>
        <v>0</v>
      </c>
      <c r="P170" s="49">
        <f>P159+P168</f>
        <v>0</v>
      </c>
      <c r="Q170" s="49"/>
      <c r="R170" s="49">
        <f>R159+R168</f>
        <v>0</v>
      </c>
      <c r="S170" s="49">
        <f>S159+S168</f>
        <v>0</v>
      </c>
      <c r="T170" s="49"/>
      <c r="U170" s="49">
        <f>U159+U168</f>
        <v>0</v>
      </c>
      <c r="V170" s="49"/>
      <c r="W170" s="49">
        <f>W159+W168</f>
        <v>0</v>
      </c>
      <c r="X170" s="49"/>
      <c r="Y170" s="49">
        <f>Y159+Y168</f>
        <v>0</v>
      </c>
      <c r="Z170" s="49"/>
      <c r="AA170" s="49">
        <f>AA159+AA168</f>
        <v>0</v>
      </c>
      <c r="AB170" s="49">
        <f>SUM(H170:AA170)</f>
        <v>0</v>
      </c>
      <c r="AC170" s="27" t="str">
        <f>IF(ABS(AB170-F170)&lt;1,"ok","err")</f>
        <v>ok</v>
      </c>
    </row>
    <row r="171" spans="1:29" x14ac:dyDescent="0.2">
      <c r="F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C171" s="27"/>
    </row>
    <row r="172" spans="1:29" x14ac:dyDescent="0.2">
      <c r="A172" s="25" t="s">
        <v>135</v>
      </c>
      <c r="F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C172" s="27"/>
    </row>
    <row r="173" spans="1:29" x14ac:dyDescent="0.2">
      <c r="F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C173" s="27"/>
    </row>
    <row r="174" spans="1:29" x14ac:dyDescent="0.2">
      <c r="A174" s="13" t="s">
        <v>95</v>
      </c>
      <c r="H174" s="66"/>
      <c r="I174" s="66"/>
      <c r="Q174" s="14"/>
      <c r="AC174" s="27"/>
    </row>
    <row r="175" spans="1:29" x14ac:dyDescent="0.2">
      <c r="A175" s="14">
        <v>555</v>
      </c>
      <c r="B175" s="14" t="s">
        <v>377</v>
      </c>
      <c r="C175" s="14" t="s">
        <v>396</v>
      </c>
      <c r="D175" s="14" t="s">
        <v>96</v>
      </c>
      <c r="F175" s="66">
        <v>119810459</v>
      </c>
      <c r="G175" s="66"/>
      <c r="H175" s="66">
        <f>IF(VLOOKUP($D175,$C$5:$AA$492,6,)=0,0,((VLOOKUP($D175,$C$5:$AA$492,6,)/VLOOKUP($D175,$C$5:$AA$492,4,))*$F175))</f>
        <v>34332679.475331917</v>
      </c>
      <c r="I175" s="66">
        <f>IF(VLOOKUP($D175,$C$5:$AA$492,7,)=0,0,((VLOOKUP($D175,$C$5:$AA$492,7,)/VLOOKUP($D175,$C$5:$AA$492,4,))*$F175))</f>
        <v>85477779.524668083</v>
      </c>
      <c r="J175" s="49"/>
      <c r="K175" s="49">
        <f>IF(VLOOKUP($D175,$C$5:$AA$492,9,)=0,0,((VLOOKUP($D175,$C$5:$AA$492,9,)/VLOOKUP($D175,$C$5:$AA$492,4,))*$F175))</f>
        <v>0</v>
      </c>
      <c r="L175" s="49"/>
      <c r="M175" s="49">
        <f>IF(VLOOKUP($D175,$C$5:$AA$492,11,)=0,0,((VLOOKUP($D175,$C$5:$AA$492,11,)/VLOOKUP($D175,$C$5:$AA$492,4,))*$F175))</f>
        <v>0</v>
      </c>
      <c r="N175" s="49"/>
      <c r="O175" s="49">
        <f>IF(VLOOKUP($D175,$C$5:$AA$492,13,)=0,0,((VLOOKUP($D175,$C$5:$AA$492,13,)/VLOOKUP($D175,$C$5:$AA$492,4,))*$F175))</f>
        <v>0</v>
      </c>
      <c r="P175" s="49">
        <f>IF(VLOOKUP($D175,$C$5:$AA$492,14,)=0,0,((VLOOKUP($D175,$C$5:$AA$492,14,)/VLOOKUP($D175,$C$5:$AA$492,4,))*$F175))</f>
        <v>0</v>
      </c>
      <c r="Q175" s="49"/>
      <c r="R175" s="49">
        <f>IF(VLOOKUP($D175,$C$5:$AA$492,16,)=0,0,((VLOOKUP($D175,$C$5:$AA$492,16,)/VLOOKUP($D175,$C$5:$AA$492,4,))*$F175))</f>
        <v>0</v>
      </c>
      <c r="S175" s="49">
        <f>IF(VLOOKUP($D175,$C$5:$AA$492,17,)=0,0,((VLOOKUP($D175,$C$5:$AA$492,17,)/VLOOKUP($D175,$C$5:$AA$492,4,))*$F175))</f>
        <v>0</v>
      </c>
      <c r="T175" s="49"/>
      <c r="U175" s="49">
        <f>IF(VLOOKUP($D175,$C$5:$AA$492,19,)=0,0,((VLOOKUP($D175,$C$5:$AA$492,19,)/VLOOKUP($D175,$C$5:$AA$492,4,))*$F175))</f>
        <v>0</v>
      </c>
      <c r="V175" s="49"/>
      <c r="W175" s="49">
        <f>IF(VLOOKUP($D175,$C$5:$AA$492,21,)=0,0,((VLOOKUP($D175,$C$5:$AA$492,21,)/VLOOKUP($D175,$C$5:$AA$492,4,))*$F175))</f>
        <v>0</v>
      </c>
      <c r="X175" s="49"/>
      <c r="Y175" s="49">
        <f>IF(VLOOKUP($D175,$C$5:$AA$492,23,)=0,0,((VLOOKUP($D175,$C$5:$AA$492,23,)/VLOOKUP($D175,$C$5:$AA$492,4,))*$F175))</f>
        <v>0</v>
      </c>
      <c r="Z175" s="49"/>
      <c r="AA175" s="49">
        <f>IF(VLOOKUP($D175,$C$5:$AA$492,25,)=0,0,((VLOOKUP($D175,$C$5:$AA$492,25,)/VLOOKUP($D175,$C$5:$AA$492,4,))*$F175))</f>
        <v>0</v>
      </c>
      <c r="AB175" s="49">
        <f>SUM(H175:AA175)</f>
        <v>119810459</v>
      </c>
      <c r="AC175" s="27" t="str">
        <f>IF(ABS(AB175-F175)&lt;1,"ok","err")</f>
        <v>ok</v>
      </c>
    </row>
    <row r="176" spans="1:29" x14ac:dyDescent="0.2">
      <c r="A176" s="14">
        <v>556</v>
      </c>
      <c r="B176" s="14" t="s">
        <v>905</v>
      </c>
      <c r="C176" s="14" t="s">
        <v>906</v>
      </c>
      <c r="D176" s="14" t="s">
        <v>96</v>
      </c>
      <c r="F176" s="49">
        <v>0</v>
      </c>
      <c r="G176" s="66"/>
      <c r="H176" s="49">
        <f>IF(VLOOKUP($D176,$C$5:$AA$492,6,)=0,0,((VLOOKUP($D176,$C$5:$AA$492,6,)/VLOOKUP($D176,$C$5:$AA$492,4,))*$F176))</f>
        <v>0</v>
      </c>
      <c r="I176" s="49">
        <f>IF(VLOOKUP($D176,$C$5:$AA$492,7,)=0,0,((VLOOKUP($D176,$C$5:$AA$492,7,)/VLOOKUP($D176,$C$5:$AA$492,4,))*$F176))</f>
        <v>0</v>
      </c>
      <c r="J176" s="49"/>
      <c r="K176" s="49">
        <f>IF(VLOOKUP($D176,$C$5:$AA$492,9,)=0,0,((VLOOKUP($D176,$C$5:$AA$492,9,)/VLOOKUP($D176,$C$5:$AA$492,4,))*$F176))</f>
        <v>0</v>
      </c>
      <c r="L176" s="49"/>
      <c r="M176" s="49">
        <f>IF(VLOOKUP($D176,$C$5:$AA$492,11,)=0,0,((VLOOKUP($D176,$C$5:$AA$492,11,)/VLOOKUP($D176,$C$5:$AA$492,4,))*$F176))</f>
        <v>0</v>
      </c>
      <c r="N176" s="49"/>
      <c r="O176" s="49">
        <f>IF(VLOOKUP($D176,$C$5:$AA$492,13,)=0,0,((VLOOKUP($D176,$C$5:$AA$492,13,)/VLOOKUP($D176,$C$5:$AA$492,4,))*$F176))</f>
        <v>0</v>
      </c>
      <c r="P176" s="49">
        <f>IF(VLOOKUP($D176,$C$5:$AA$492,14,)=0,0,((VLOOKUP($D176,$C$5:$AA$492,14,)/VLOOKUP($D176,$C$5:$AA$492,4,))*$F176))</f>
        <v>0</v>
      </c>
      <c r="Q176" s="49"/>
      <c r="R176" s="49">
        <f>IF(VLOOKUP($D176,$C$5:$AA$492,16,)=0,0,((VLOOKUP($D176,$C$5:$AA$492,16,)/VLOOKUP($D176,$C$5:$AA$492,4,))*$F176))</f>
        <v>0</v>
      </c>
      <c r="S176" s="49">
        <f>IF(VLOOKUP($D176,$C$5:$AA$492,17,)=0,0,((VLOOKUP($D176,$C$5:$AA$492,17,)/VLOOKUP($D176,$C$5:$AA$492,4,))*$F176))</f>
        <v>0</v>
      </c>
      <c r="T176" s="49"/>
      <c r="U176" s="49">
        <f>IF(VLOOKUP($D176,$C$5:$AA$492,19,)=0,0,((VLOOKUP($D176,$C$5:$AA$492,19,)/VLOOKUP($D176,$C$5:$AA$492,4,))*$F176))</f>
        <v>0</v>
      </c>
      <c r="V176" s="49"/>
      <c r="W176" s="49">
        <f>IF(VLOOKUP($D176,$C$5:$AA$492,21,)=0,0,((VLOOKUP($D176,$C$5:$AA$492,21,)/VLOOKUP($D176,$C$5:$AA$492,4,))*$F176))</f>
        <v>0</v>
      </c>
      <c r="X176" s="49"/>
      <c r="Y176" s="49">
        <f>IF(VLOOKUP($D176,$C$5:$AA$492,23,)=0,0,((VLOOKUP($D176,$C$5:$AA$492,23,)/VLOOKUP($D176,$C$5:$AA$492,4,))*$F176))</f>
        <v>0</v>
      </c>
      <c r="Z176" s="49"/>
      <c r="AA176" s="49">
        <f>IF(VLOOKUP($D176,$C$5:$AA$492,25,)=0,0,((VLOOKUP($D176,$C$5:$AA$492,25,)/VLOOKUP($D176,$C$5:$AA$492,4,))*$F176))</f>
        <v>0</v>
      </c>
      <c r="AB176" s="49">
        <f>SUM(H176:AA176)</f>
        <v>0</v>
      </c>
      <c r="AC176" s="27" t="str">
        <f>IF(ABS(AB176-F176)&lt;1,"ok","err")</f>
        <v>ok</v>
      </c>
    </row>
    <row r="177" spans="1:29" x14ac:dyDescent="0.2">
      <c r="A177" s="14">
        <v>557</v>
      </c>
      <c r="B177" s="14" t="s">
        <v>397</v>
      </c>
      <c r="C177" s="14" t="s">
        <v>399</v>
      </c>
      <c r="D177" s="14" t="s">
        <v>96</v>
      </c>
      <c r="F177" s="49">
        <v>0</v>
      </c>
      <c r="G177" s="66"/>
      <c r="H177" s="49">
        <f>IF(VLOOKUP($D177,$C$5:$AA$492,6,)=0,0,((VLOOKUP($D177,$C$5:$AA$492,6,)/VLOOKUP($D177,$C$5:$AA$492,4,))*$F177))</f>
        <v>0</v>
      </c>
      <c r="I177" s="49">
        <f>IF(VLOOKUP($D177,$C$5:$AA$492,7,)=0,0,((VLOOKUP($D177,$C$5:$AA$492,7,)/VLOOKUP($D177,$C$5:$AA$492,4,))*$F177))</f>
        <v>0</v>
      </c>
      <c r="J177" s="49"/>
      <c r="K177" s="49">
        <f>IF(VLOOKUP($D177,$C$5:$AA$492,9,)=0,0,((VLOOKUP($D177,$C$5:$AA$492,9,)/VLOOKUP($D177,$C$5:$AA$492,4,))*$F177))</f>
        <v>0</v>
      </c>
      <c r="L177" s="49"/>
      <c r="M177" s="49">
        <f>IF(VLOOKUP($D177,$C$5:$AA$492,11,)=0,0,((VLOOKUP($D177,$C$5:$AA$492,11,)/VLOOKUP($D177,$C$5:$AA$492,4,))*$F177))</f>
        <v>0</v>
      </c>
      <c r="N177" s="49"/>
      <c r="O177" s="49">
        <f>IF(VLOOKUP($D177,$C$5:$AA$492,13,)=0,0,((VLOOKUP($D177,$C$5:$AA$492,13,)/VLOOKUP($D177,$C$5:$AA$492,4,))*$F177))</f>
        <v>0</v>
      </c>
      <c r="P177" s="49">
        <f>IF(VLOOKUP($D177,$C$5:$AA$492,14,)=0,0,((VLOOKUP($D177,$C$5:$AA$492,14,)/VLOOKUP($D177,$C$5:$AA$492,4,))*$F177))</f>
        <v>0</v>
      </c>
      <c r="Q177" s="49"/>
      <c r="R177" s="49">
        <f>IF(VLOOKUP($D177,$C$5:$AA$492,16,)=0,0,((VLOOKUP($D177,$C$5:$AA$492,16,)/VLOOKUP($D177,$C$5:$AA$492,4,))*$F177))</f>
        <v>0</v>
      </c>
      <c r="S177" s="49">
        <f>IF(VLOOKUP($D177,$C$5:$AA$492,17,)=0,0,((VLOOKUP($D177,$C$5:$AA$492,17,)/VLOOKUP($D177,$C$5:$AA$492,4,))*$F177))</f>
        <v>0</v>
      </c>
      <c r="T177" s="49"/>
      <c r="U177" s="49">
        <f>IF(VLOOKUP($D177,$C$5:$AA$492,19,)=0,0,((VLOOKUP($D177,$C$5:$AA$492,19,)/VLOOKUP($D177,$C$5:$AA$492,4,))*$F177))</f>
        <v>0</v>
      </c>
      <c r="V177" s="49"/>
      <c r="W177" s="49">
        <f>IF(VLOOKUP($D177,$C$5:$AA$492,21,)=0,0,((VLOOKUP($D177,$C$5:$AA$492,21,)/VLOOKUP($D177,$C$5:$AA$492,4,))*$F177))</f>
        <v>0</v>
      </c>
      <c r="X177" s="49"/>
      <c r="Y177" s="49">
        <f>IF(VLOOKUP($D177,$C$5:$AA$492,23,)=0,0,((VLOOKUP($D177,$C$5:$AA$492,23,)/VLOOKUP($D177,$C$5:$AA$492,4,))*$F177))</f>
        <v>0</v>
      </c>
      <c r="Z177" s="49"/>
      <c r="AA177" s="49">
        <f>IF(VLOOKUP($D177,$C$5:$AA$492,25,)=0,0,((VLOOKUP($D177,$C$5:$AA$492,25,)/VLOOKUP($D177,$C$5:$AA$492,4,))*$F177))</f>
        <v>0</v>
      </c>
      <c r="AB177" s="49">
        <f>SUM(H177:AA177)</f>
        <v>0</v>
      </c>
      <c r="AC177" s="27" t="str">
        <f>IF(ABS(AB177-F177)&lt;1,"ok","err")</f>
        <v>ok</v>
      </c>
    </row>
    <row r="178" spans="1:29" x14ac:dyDescent="0.2">
      <c r="A178" s="14">
        <v>559</v>
      </c>
      <c r="B178" s="14" t="s">
        <v>830</v>
      </c>
      <c r="C178" s="14" t="s">
        <v>831</v>
      </c>
      <c r="D178" s="14" t="s">
        <v>96</v>
      </c>
      <c r="F178" s="49">
        <v>0</v>
      </c>
      <c r="G178" s="66"/>
      <c r="H178" s="49">
        <f>IF(VLOOKUP($D178,$C$5:$AA$492,6,)=0,0,((VLOOKUP($D178,$C$5:$AA$492,6,)/VLOOKUP($D178,$C$5:$AA$492,4,))*$F178))</f>
        <v>0</v>
      </c>
      <c r="I178" s="49">
        <f>IF(VLOOKUP($D178,$C$5:$AA$492,7,)=0,0,((VLOOKUP($D178,$C$5:$AA$492,7,)/VLOOKUP($D178,$C$5:$AA$492,4,))*$F178))</f>
        <v>0</v>
      </c>
      <c r="J178" s="49"/>
      <c r="K178" s="49">
        <f>IF(VLOOKUP($D178,$C$5:$AA$492,9,)=0,0,((VLOOKUP($D178,$C$5:$AA$492,9,)/VLOOKUP($D178,$C$5:$AA$492,4,))*$F178))</f>
        <v>0</v>
      </c>
      <c r="L178" s="49"/>
      <c r="M178" s="49">
        <f>IF(VLOOKUP($D178,$C$5:$AA$492,11,)=0,0,((VLOOKUP($D178,$C$5:$AA$492,11,)/VLOOKUP($D178,$C$5:$AA$492,4,))*$F178))</f>
        <v>0</v>
      </c>
      <c r="N178" s="49"/>
      <c r="O178" s="49">
        <f>IF(VLOOKUP($D178,$C$5:$AA$492,13,)=0,0,((VLOOKUP($D178,$C$5:$AA$492,13,)/VLOOKUP($D178,$C$5:$AA$492,4,))*$F178))</f>
        <v>0</v>
      </c>
      <c r="P178" s="49">
        <f>IF(VLOOKUP($D178,$C$5:$AA$492,14,)=0,0,((VLOOKUP($D178,$C$5:$AA$492,14,)/VLOOKUP($D178,$C$5:$AA$492,4,))*$F178))</f>
        <v>0</v>
      </c>
      <c r="Q178" s="49"/>
      <c r="R178" s="49">
        <f>IF(VLOOKUP($D178,$C$5:$AA$492,16,)=0,0,((VLOOKUP($D178,$C$5:$AA$492,16,)/VLOOKUP($D178,$C$5:$AA$492,4,))*$F178))</f>
        <v>0</v>
      </c>
      <c r="S178" s="49">
        <f>IF(VLOOKUP($D178,$C$5:$AA$492,17,)=0,0,((VLOOKUP($D178,$C$5:$AA$492,17,)/VLOOKUP($D178,$C$5:$AA$492,4,))*$F178))</f>
        <v>0</v>
      </c>
      <c r="T178" s="49"/>
      <c r="U178" s="49">
        <f>IF(VLOOKUP($D178,$C$5:$AA$492,19,)=0,0,((VLOOKUP($D178,$C$5:$AA$492,19,)/VLOOKUP($D178,$C$5:$AA$492,4,))*$F178))</f>
        <v>0</v>
      </c>
      <c r="V178" s="49"/>
      <c r="W178" s="49">
        <f>IF(VLOOKUP($D178,$C$5:$AA$492,21,)=0,0,((VLOOKUP($D178,$C$5:$AA$492,21,)/VLOOKUP($D178,$C$5:$AA$492,4,))*$F178))</f>
        <v>0</v>
      </c>
      <c r="X178" s="49"/>
      <c r="Y178" s="49">
        <f>IF(VLOOKUP($D178,$C$5:$AA$492,23,)=0,0,((VLOOKUP($D178,$C$5:$AA$492,23,)/VLOOKUP($D178,$C$5:$AA$492,4,))*$F178))</f>
        <v>0</v>
      </c>
      <c r="Z178" s="49"/>
      <c r="AA178" s="49">
        <f>IF(VLOOKUP($D178,$C$5:$AA$492,25,)=0,0,((VLOOKUP($D178,$C$5:$AA$492,25,)/VLOOKUP($D178,$C$5:$AA$492,4,))*$F178))</f>
        <v>0</v>
      </c>
      <c r="AB178" s="49">
        <f>SUM(H178:AA178)</f>
        <v>0</v>
      </c>
      <c r="AC178" s="27" t="str">
        <f>IF(ABS(AB178-F178)&lt;1,"ok","err")</f>
        <v>ok</v>
      </c>
    </row>
    <row r="179" spans="1:29" x14ac:dyDescent="0.2"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49"/>
      <c r="AC179" s="27"/>
    </row>
    <row r="180" spans="1:29" x14ac:dyDescent="0.2">
      <c r="A180" s="14" t="s">
        <v>398</v>
      </c>
      <c r="C180" s="14" t="s">
        <v>400</v>
      </c>
      <c r="F180" s="66">
        <f>SUM(F175:F179)</f>
        <v>119810459</v>
      </c>
      <c r="G180" s="66"/>
      <c r="H180" s="66">
        <f>SUM(H175:H179)</f>
        <v>34332679.475331917</v>
      </c>
      <c r="I180" s="66">
        <f t="shared" ref="I180:AA180" si="92">SUM(I175:I179)</f>
        <v>85477779.524668083</v>
      </c>
      <c r="J180" s="66"/>
      <c r="K180" s="66">
        <f t="shared" si="92"/>
        <v>0</v>
      </c>
      <c r="L180" s="66"/>
      <c r="M180" s="66">
        <f t="shared" si="92"/>
        <v>0</v>
      </c>
      <c r="N180" s="66"/>
      <c r="O180" s="66">
        <f t="shared" si="92"/>
        <v>0</v>
      </c>
      <c r="P180" s="66">
        <f t="shared" si="92"/>
        <v>0</v>
      </c>
      <c r="Q180" s="66"/>
      <c r="R180" s="66">
        <f t="shared" si="92"/>
        <v>0</v>
      </c>
      <c r="S180" s="66">
        <f t="shared" si="92"/>
        <v>0</v>
      </c>
      <c r="T180" s="66"/>
      <c r="U180" s="66">
        <f t="shared" si="92"/>
        <v>0</v>
      </c>
      <c r="V180" s="66"/>
      <c r="W180" s="66">
        <f t="shared" si="92"/>
        <v>0</v>
      </c>
      <c r="X180" s="66"/>
      <c r="Y180" s="66">
        <f t="shared" si="92"/>
        <v>0</v>
      </c>
      <c r="Z180" s="66"/>
      <c r="AA180" s="66">
        <f t="shared" si="92"/>
        <v>0</v>
      </c>
      <c r="AB180" s="49">
        <f>SUM(H180:AA180)</f>
        <v>119810459</v>
      </c>
      <c r="AC180" s="27" t="str">
        <f>IF(ABS(AB180-F180)&lt;1,"ok","err")</f>
        <v>ok</v>
      </c>
    </row>
    <row r="181" spans="1:29" x14ac:dyDescent="0.2"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49"/>
      <c r="AC181" s="27"/>
    </row>
    <row r="182" spans="1:29" x14ac:dyDescent="0.2">
      <c r="A182" s="13" t="s">
        <v>369</v>
      </c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49"/>
      <c r="AC182" s="27"/>
    </row>
    <row r="183" spans="1:29" x14ac:dyDescent="0.2">
      <c r="A183" s="14">
        <v>560</v>
      </c>
      <c r="B183" s="14" t="s">
        <v>372</v>
      </c>
      <c r="C183" s="14" t="s">
        <v>402</v>
      </c>
      <c r="D183" s="14" t="s">
        <v>389</v>
      </c>
      <c r="F183" s="66">
        <v>0</v>
      </c>
      <c r="G183" s="66"/>
      <c r="H183" s="49">
        <f t="shared" ref="H183:H197" si="93">IF((VLOOKUP($D183,$C$5:$AA$492,6,)=0),0,((VLOOKUP($D183,$C$5:$AA$492,6,)/VLOOKUP($D183,$C$5:$AA$492,4,))*$F183))</f>
        <v>0</v>
      </c>
      <c r="I183" s="49">
        <f t="shared" ref="I183:I197" si="94">IF((VLOOKUP($D183,$C$5:$AA$492,7,)=0),0,((VLOOKUP($D183,$C$5:$AA$492,7,)/VLOOKUP($D183,$C$5:$AA$492,4,))*$F183))</f>
        <v>0</v>
      </c>
      <c r="J183" s="49"/>
      <c r="K183" s="49">
        <f t="shared" ref="K183:K197" si="95">IF((VLOOKUP($D183,$C$5:$AA$492,9,)=0),0,((VLOOKUP($D183,$C$5:$AA$492,9,)/VLOOKUP($D183,$C$5:$AA$492,4,))*$F183))</f>
        <v>0</v>
      </c>
      <c r="L183" s="49"/>
      <c r="M183" s="49">
        <f t="shared" ref="M183:M197" si="96">IF((VLOOKUP($D183,$C$5:$AA$492,11,)=0),0,((VLOOKUP($D183,$C$5:$AA$492,11,)/VLOOKUP($D183,$C$5:$AA$492,4,))*$F183))</f>
        <v>0</v>
      </c>
      <c r="N183" s="49"/>
      <c r="O183" s="49">
        <f t="shared" ref="O183:O197" si="97">IF((VLOOKUP($D183,$C$5:$AA$492,13,)=0),0,((VLOOKUP($D183,$C$5:$AA$492,13,)/VLOOKUP($D183,$C$5:$AA$492,4,))*$F183))</f>
        <v>0</v>
      </c>
      <c r="P183" s="49">
        <f t="shared" ref="P183:P197" si="98">IF((VLOOKUP($D183,$C$5:$AA$492,14,)=0),0,((VLOOKUP($D183,$C$5:$AA$492,14,)/VLOOKUP($D183,$C$5:$AA$492,4,))*$F183))</f>
        <v>0</v>
      </c>
      <c r="Q183" s="49"/>
      <c r="R183" s="49">
        <f t="shared" ref="R183:R197" si="99">IF((VLOOKUP($D183,$C$5:$AA$492,16,)=0),0,((VLOOKUP($D183,$C$5:$AA$492,16,)/VLOOKUP($D183,$C$5:$AA$492,4,))*$F183))</f>
        <v>0</v>
      </c>
      <c r="S183" s="49">
        <f t="shared" ref="S183:S197" si="100">IF((VLOOKUP($D183,$C$5:$AA$492,17,)=0),0,((VLOOKUP($D183,$C$5:$AA$492,17,)/VLOOKUP($D183,$C$5:$AA$492,4,))*$F183))</f>
        <v>0</v>
      </c>
      <c r="T183" s="49"/>
      <c r="U183" s="49">
        <f t="shared" ref="U183:U197" si="101">IF((VLOOKUP($D183,$C$5:$AA$492,19,)=0),0,((VLOOKUP($D183,$C$5:$AA$492,19,)/VLOOKUP($D183,$C$5:$AA$492,4,))*$F183))</f>
        <v>0</v>
      </c>
      <c r="V183" s="49"/>
      <c r="W183" s="49">
        <f t="shared" ref="W183:W197" si="102">IF((VLOOKUP($D183,$C$5:$AA$492,21,)=0),0,((VLOOKUP($D183,$C$5:$AA$492,21,)/VLOOKUP($D183,$C$5:$AA$492,4,))*$F183))</f>
        <v>0</v>
      </c>
      <c r="X183" s="49"/>
      <c r="Y183" s="49">
        <f t="shared" ref="Y183:Y197" si="103">IF((VLOOKUP($D183,$C$5:$AA$492,23,)=0),0,((VLOOKUP($D183,$C$5:$AA$492,23,)/VLOOKUP($D183,$C$5:$AA$492,4,))*$F183))</f>
        <v>0</v>
      </c>
      <c r="Z183" s="49"/>
      <c r="AA183" s="49">
        <f t="shared" ref="AA183:AA197" si="104">IF((VLOOKUP($D183,$C$5:$AA$492,25,)=0),0,((VLOOKUP($D183,$C$5:$AA$492,25,)/VLOOKUP($D183,$C$5:$AA$492,4,))*$F183))</f>
        <v>0</v>
      </c>
      <c r="AB183" s="49">
        <f t="shared" ref="AB183:AB197" si="105">SUM(H183:AA183)</f>
        <v>0</v>
      </c>
      <c r="AC183" s="27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100</v>
      </c>
      <c r="C184" s="14" t="s">
        <v>403</v>
      </c>
      <c r="D184" s="14" t="s">
        <v>389</v>
      </c>
      <c r="F184" s="49">
        <v>0</v>
      </c>
      <c r="G184" s="66"/>
      <c r="H184" s="49">
        <f t="shared" si="93"/>
        <v>0</v>
      </c>
      <c r="I184" s="49">
        <f t="shared" si="94"/>
        <v>0</v>
      </c>
      <c r="J184" s="49"/>
      <c r="K184" s="49">
        <f t="shared" si="95"/>
        <v>0</v>
      </c>
      <c r="L184" s="49"/>
      <c r="M184" s="49">
        <f t="shared" si="96"/>
        <v>0</v>
      </c>
      <c r="N184" s="49"/>
      <c r="O184" s="49">
        <f t="shared" si="97"/>
        <v>0</v>
      </c>
      <c r="P184" s="49">
        <f t="shared" si="98"/>
        <v>0</v>
      </c>
      <c r="Q184" s="49"/>
      <c r="R184" s="49">
        <f t="shared" si="99"/>
        <v>0</v>
      </c>
      <c r="S184" s="49">
        <f t="shared" si="100"/>
        <v>0</v>
      </c>
      <c r="T184" s="49"/>
      <c r="U184" s="49">
        <f t="shared" si="101"/>
        <v>0</v>
      </c>
      <c r="V184" s="49"/>
      <c r="W184" s="49">
        <f t="shared" si="102"/>
        <v>0</v>
      </c>
      <c r="X184" s="49"/>
      <c r="Y184" s="49">
        <f t="shared" si="103"/>
        <v>0</v>
      </c>
      <c r="Z184" s="49"/>
      <c r="AA184" s="49">
        <f t="shared" si="104"/>
        <v>0</v>
      </c>
      <c r="AB184" s="49">
        <f t="shared" si="105"/>
        <v>0</v>
      </c>
      <c r="AC184" s="27" t="str">
        <f t="shared" si="106"/>
        <v>ok</v>
      </c>
    </row>
    <row r="185" spans="1:29" x14ac:dyDescent="0.2">
      <c r="A185" s="14">
        <v>562</v>
      </c>
      <c r="B185" s="14" t="s">
        <v>370</v>
      </c>
      <c r="C185" s="14" t="s">
        <v>404</v>
      </c>
      <c r="D185" s="14" t="s">
        <v>389</v>
      </c>
      <c r="F185" s="49">
        <v>0</v>
      </c>
      <c r="G185" s="66"/>
      <c r="H185" s="49">
        <f t="shared" si="93"/>
        <v>0</v>
      </c>
      <c r="I185" s="49">
        <f t="shared" si="94"/>
        <v>0</v>
      </c>
      <c r="J185" s="49"/>
      <c r="K185" s="49">
        <f t="shared" si="95"/>
        <v>0</v>
      </c>
      <c r="L185" s="49"/>
      <c r="M185" s="49">
        <f t="shared" si="96"/>
        <v>0</v>
      </c>
      <c r="N185" s="49"/>
      <c r="O185" s="49">
        <f t="shared" si="97"/>
        <v>0</v>
      </c>
      <c r="P185" s="49">
        <f t="shared" si="98"/>
        <v>0</v>
      </c>
      <c r="Q185" s="49"/>
      <c r="R185" s="49">
        <f t="shared" si="99"/>
        <v>0</v>
      </c>
      <c r="S185" s="49">
        <f t="shared" si="100"/>
        <v>0</v>
      </c>
      <c r="T185" s="49"/>
      <c r="U185" s="49">
        <f t="shared" si="101"/>
        <v>0</v>
      </c>
      <c r="V185" s="49"/>
      <c r="W185" s="49">
        <f t="shared" si="102"/>
        <v>0</v>
      </c>
      <c r="X185" s="49"/>
      <c r="Y185" s="49">
        <f t="shared" si="103"/>
        <v>0</v>
      </c>
      <c r="Z185" s="49"/>
      <c r="AA185" s="49">
        <f t="shared" si="104"/>
        <v>0</v>
      </c>
      <c r="AB185" s="49">
        <f t="shared" si="105"/>
        <v>0</v>
      </c>
      <c r="AC185" s="27" t="str">
        <f t="shared" si="106"/>
        <v>ok</v>
      </c>
    </row>
    <row r="186" spans="1:29" x14ac:dyDescent="0.2">
      <c r="A186" s="14">
        <v>563</v>
      </c>
      <c r="B186" s="14" t="s">
        <v>102</v>
      </c>
      <c r="C186" s="14" t="s">
        <v>405</v>
      </c>
      <c r="D186" s="14" t="s">
        <v>389</v>
      </c>
      <c r="F186" s="49">
        <v>0</v>
      </c>
      <c r="G186" s="66"/>
      <c r="H186" s="49">
        <f t="shared" si="93"/>
        <v>0</v>
      </c>
      <c r="I186" s="49">
        <f t="shared" si="94"/>
        <v>0</v>
      </c>
      <c r="J186" s="49"/>
      <c r="K186" s="49">
        <f t="shared" si="95"/>
        <v>0</v>
      </c>
      <c r="L186" s="49"/>
      <c r="M186" s="49">
        <f t="shared" si="96"/>
        <v>0</v>
      </c>
      <c r="N186" s="49"/>
      <c r="O186" s="49">
        <f t="shared" si="97"/>
        <v>0</v>
      </c>
      <c r="P186" s="49">
        <f t="shared" si="98"/>
        <v>0</v>
      </c>
      <c r="Q186" s="49"/>
      <c r="R186" s="49">
        <f t="shared" si="99"/>
        <v>0</v>
      </c>
      <c r="S186" s="49">
        <f t="shared" si="100"/>
        <v>0</v>
      </c>
      <c r="T186" s="49"/>
      <c r="U186" s="49">
        <f t="shared" si="101"/>
        <v>0</v>
      </c>
      <c r="V186" s="49"/>
      <c r="W186" s="49">
        <f t="shared" si="102"/>
        <v>0</v>
      </c>
      <c r="X186" s="49"/>
      <c r="Y186" s="49">
        <f t="shared" si="103"/>
        <v>0</v>
      </c>
      <c r="Z186" s="49"/>
      <c r="AA186" s="49">
        <f t="shared" si="104"/>
        <v>0</v>
      </c>
      <c r="AB186" s="49">
        <f t="shared" si="105"/>
        <v>0</v>
      </c>
      <c r="AC186" s="27" t="str">
        <f t="shared" si="106"/>
        <v>ok</v>
      </c>
    </row>
    <row r="187" spans="1:29" x14ac:dyDescent="0.2">
      <c r="A187" s="14">
        <v>564</v>
      </c>
      <c r="B187" s="14" t="s">
        <v>104</v>
      </c>
      <c r="C187" s="14" t="s">
        <v>908</v>
      </c>
      <c r="D187" s="14" t="s">
        <v>389</v>
      </c>
      <c r="F187" s="49">
        <v>0</v>
      </c>
      <c r="G187" s="66"/>
      <c r="H187" s="49">
        <f t="shared" si="93"/>
        <v>0</v>
      </c>
      <c r="I187" s="49">
        <f t="shared" si="94"/>
        <v>0</v>
      </c>
      <c r="J187" s="49"/>
      <c r="K187" s="49">
        <f t="shared" si="95"/>
        <v>0</v>
      </c>
      <c r="L187" s="49"/>
      <c r="M187" s="49">
        <f t="shared" si="96"/>
        <v>0</v>
      </c>
      <c r="N187" s="49"/>
      <c r="O187" s="49">
        <f t="shared" si="97"/>
        <v>0</v>
      </c>
      <c r="P187" s="49">
        <f t="shared" si="98"/>
        <v>0</v>
      </c>
      <c r="Q187" s="49"/>
      <c r="R187" s="49">
        <f t="shared" si="99"/>
        <v>0</v>
      </c>
      <c r="S187" s="49">
        <f t="shared" si="100"/>
        <v>0</v>
      </c>
      <c r="T187" s="49"/>
      <c r="U187" s="49">
        <f t="shared" si="101"/>
        <v>0</v>
      </c>
      <c r="V187" s="49"/>
      <c r="W187" s="49">
        <f t="shared" si="102"/>
        <v>0</v>
      </c>
      <c r="X187" s="49"/>
      <c r="Y187" s="49">
        <f t="shared" si="103"/>
        <v>0</v>
      </c>
      <c r="Z187" s="49"/>
      <c r="AA187" s="49">
        <f t="shared" si="104"/>
        <v>0</v>
      </c>
      <c r="AB187" s="49">
        <f>SUM(H187:AA187)</f>
        <v>0</v>
      </c>
      <c r="AC187" s="27" t="str">
        <f>IF(ABS(AB187-F187)&lt;1,"ok","err")</f>
        <v>ok</v>
      </c>
    </row>
    <row r="188" spans="1:29" x14ac:dyDescent="0.2">
      <c r="A188" s="14">
        <v>565</v>
      </c>
      <c r="B188" s="14" t="s">
        <v>907</v>
      </c>
      <c r="C188" s="14" t="s">
        <v>909</v>
      </c>
      <c r="D188" s="14" t="s">
        <v>389</v>
      </c>
      <c r="F188" s="49">
        <v>0</v>
      </c>
      <c r="G188" s="66"/>
      <c r="H188" s="49">
        <f t="shared" si="93"/>
        <v>0</v>
      </c>
      <c r="I188" s="49">
        <f t="shared" si="94"/>
        <v>0</v>
      </c>
      <c r="J188" s="49"/>
      <c r="K188" s="49">
        <f t="shared" si="95"/>
        <v>0</v>
      </c>
      <c r="L188" s="49"/>
      <c r="M188" s="49">
        <f t="shared" si="96"/>
        <v>0</v>
      </c>
      <c r="N188" s="49"/>
      <c r="O188" s="49">
        <f t="shared" si="97"/>
        <v>0</v>
      </c>
      <c r="P188" s="49">
        <f t="shared" si="98"/>
        <v>0</v>
      </c>
      <c r="Q188" s="49"/>
      <c r="R188" s="49">
        <f t="shared" si="99"/>
        <v>0</v>
      </c>
      <c r="S188" s="49">
        <f t="shared" si="100"/>
        <v>0</v>
      </c>
      <c r="T188" s="49"/>
      <c r="U188" s="49">
        <f t="shared" si="101"/>
        <v>0</v>
      </c>
      <c r="V188" s="49"/>
      <c r="W188" s="49">
        <f t="shared" si="102"/>
        <v>0</v>
      </c>
      <c r="X188" s="49"/>
      <c r="Y188" s="49">
        <f t="shared" si="103"/>
        <v>0</v>
      </c>
      <c r="Z188" s="49"/>
      <c r="AA188" s="49">
        <f t="shared" si="104"/>
        <v>0</v>
      </c>
      <c r="AB188" s="49">
        <f>SUM(H188:AA188)</f>
        <v>0</v>
      </c>
      <c r="AC188" s="27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389</v>
      </c>
      <c r="F189" s="49">
        <v>0</v>
      </c>
      <c r="G189" s="66"/>
      <c r="H189" s="49">
        <f t="shared" si="93"/>
        <v>0</v>
      </c>
      <c r="I189" s="49">
        <f t="shared" si="94"/>
        <v>0</v>
      </c>
      <c r="J189" s="49"/>
      <c r="K189" s="49">
        <f t="shared" si="95"/>
        <v>0</v>
      </c>
      <c r="L189" s="49"/>
      <c r="M189" s="49">
        <f t="shared" si="96"/>
        <v>0</v>
      </c>
      <c r="N189" s="49"/>
      <c r="O189" s="49">
        <f t="shared" si="97"/>
        <v>0</v>
      </c>
      <c r="P189" s="49">
        <f t="shared" si="98"/>
        <v>0</v>
      </c>
      <c r="Q189" s="49"/>
      <c r="R189" s="49">
        <f t="shared" si="99"/>
        <v>0</v>
      </c>
      <c r="S189" s="49">
        <f t="shared" si="100"/>
        <v>0</v>
      </c>
      <c r="T189" s="49"/>
      <c r="U189" s="49">
        <f t="shared" si="101"/>
        <v>0</v>
      </c>
      <c r="V189" s="49"/>
      <c r="W189" s="49">
        <f t="shared" si="102"/>
        <v>0</v>
      </c>
      <c r="X189" s="49"/>
      <c r="Y189" s="49">
        <f t="shared" si="103"/>
        <v>0</v>
      </c>
      <c r="Z189" s="49"/>
      <c r="AA189" s="49">
        <f t="shared" si="104"/>
        <v>0</v>
      </c>
      <c r="AB189" s="49">
        <f>SUM(H189:AA189)</f>
        <v>0</v>
      </c>
      <c r="AC189" s="27" t="str">
        <f>IF(ABS(AB189-F189)&lt;1,"ok","err")</f>
        <v>ok</v>
      </c>
    </row>
    <row r="190" spans="1:29" x14ac:dyDescent="0.2">
      <c r="A190" s="14">
        <v>567</v>
      </c>
      <c r="B190" s="14" t="s">
        <v>114</v>
      </c>
      <c r="C190" s="14" t="s">
        <v>910</v>
      </c>
      <c r="D190" s="14" t="s">
        <v>389</v>
      </c>
      <c r="F190" s="49">
        <v>0</v>
      </c>
      <c r="G190" s="66"/>
      <c r="H190" s="49">
        <f t="shared" si="93"/>
        <v>0</v>
      </c>
      <c r="I190" s="49">
        <f t="shared" si="94"/>
        <v>0</v>
      </c>
      <c r="J190" s="49"/>
      <c r="K190" s="49">
        <f t="shared" si="95"/>
        <v>0</v>
      </c>
      <c r="L190" s="49"/>
      <c r="M190" s="49">
        <f t="shared" si="96"/>
        <v>0</v>
      </c>
      <c r="N190" s="49"/>
      <c r="O190" s="49">
        <f t="shared" si="97"/>
        <v>0</v>
      </c>
      <c r="P190" s="49">
        <f t="shared" si="98"/>
        <v>0</v>
      </c>
      <c r="Q190" s="49"/>
      <c r="R190" s="49">
        <f t="shared" si="99"/>
        <v>0</v>
      </c>
      <c r="S190" s="49">
        <f t="shared" si="100"/>
        <v>0</v>
      </c>
      <c r="T190" s="49"/>
      <c r="U190" s="49">
        <f t="shared" si="101"/>
        <v>0</v>
      </c>
      <c r="V190" s="49"/>
      <c r="W190" s="49">
        <f t="shared" si="102"/>
        <v>0</v>
      </c>
      <c r="X190" s="49"/>
      <c r="Y190" s="49">
        <f t="shared" si="103"/>
        <v>0</v>
      </c>
      <c r="Z190" s="49"/>
      <c r="AA190" s="49">
        <f t="shared" si="104"/>
        <v>0</v>
      </c>
      <c r="AB190" s="49">
        <f>SUM(H190:AA190)</f>
        <v>0</v>
      </c>
      <c r="AC190" s="27" t="str">
        <f>IF(ABS(AB190-F190)&lt;1,"ok","err")</f>
        <v>ok</v>
      </c>
    </row>
    <row r="191" spans="1:29" x14ac:dyDescent="0.2">
      <c r="A191" s="14">
        <v>568</v>
      </c>
      <c r="B191" s="14" t="s">
        <v>911</v>
      </c>
      <c r="C191" s="14" t="s">
        <v>406</v>
      </c>
      <c r="D191" s="14" t="s">
        <v>389</v>
      </c>
      <c r="F191" s="49">
        <v>0</v>
      </c>
      <c r="G191" s="66"/>
      <c r="H191" s="49">
        <f t="shared" si="93"/>
        <v>0</v>
      </c>
      <c r="I191" s="49">
        <f t="shared" si="94"/>
        <v>0</v>
      </c>
      <c r="J191" s="49"/>
      <c r="K191" s="49">
        <f t="shared" si="95"/>
        <v>0</v>
      </c>
      <c r="L191" s="49"/>
      <c r="M191" s="49">
        <f t="shared" si="96"/>
        <v>0</v>
      </c>
      <c r="N191" s="49"/>
      <c r="O191" s="49">
        <f t="shared" si="97"/>
        <v>0</v>
      </c>
      <c r="P191" s="49">
        <f t="shared" si="98"/>
        <v>0</v>
      </c>
      <c r="Q191" s="49"/>
      <c r="R191" s="49">
        <f t="shared" si="99"/>
        <v>0</v>
      </c>
      <c r="S191" s="49">
        <f t="shared" si="100"/>
        <v>0</v>
      </c>
      <c r="T191" s="49"/>
      <c r="U191" s="49">
        <f t="shared" si="101"/>
        <v>0</v>
      </c>
      <c r="V191" s="49"/>
      <c r="W191" s="49">
        <f t="shared" si="102"/>
        <v>0</v>
      </c>
      <c r="X191" s="49"/>
      <c r="Y191" s="49">
        <f t="shared" si="103"/>
        <v>0</v>
      </c>
      <c r="Z191" s="49"/>
      <c r="AA191" s="49">
        <f t="shared" si="104"/>
        <v>0</v>
      </c>
      <c r="AB191" s="49">
        <f>SUM(H191:AA191)</f>
        <v>0</v>
      </c>
      <c r="AC191" s="27" t="str">
        <f>IF(ABS(AB191-F191)&lt;1,"ok","err")</f>
        <v>ok</v>
      </c>
    </row>
    <row r="192" spans="1:29" x14ac:dyDescent="0.2">
      <c r="A192" s="14">
        <v>569</v>
      </c>
      <c r="B192" s="14" t="s">
        <v>801</v>
      </c>
      <c r="C192" s="14" t="s">
        <v>912</v>
      </c>
      <c r="D192" s="14" t="s">
        <v>389</v>
      </c>
      <c r="F192" s="49">
        <v>0</v>
      </c>
      <c r="G192" s="66"/>
      <c r="H192" s="49">
        <f t="shared" si="93"/>
        <v>0</v>
      </c>
      <c r="I192" s="49">
        <f t="shared" si="94"/>
        <v>0</v>
      </c>
      <c r="J192" s="49"/>
      <c r="K192" s="49">
        <f t="shared" si="95"/>
        <v>0</v>
      </c>
      <c r="L192" s="49"/>
      <c r="M192" s="49">
        <f t="shared" si="96"/>
        <v>0</v>
      </c>
      <c r="N192" s="49"/>
      <c r="O192" s="49">
        <f t="shared" si="97"/>
        <v>0</v>
      </c>
      <c r="P192" s="49">
        <f t="shared" si="98"/>
        <v>0</v>
      </c>
      <c r="Q192" s="49"/>
      <c r="R192" s="49">
        <f t="shared" si="99"/>
        <v>0</v>
      </c>
      <c r="S192" s="49">
        <f t="shared" si="100"/>
        <v>0</v>
      </c>
      <c r="T192" s="49"/>
      <c r="U192" s="49">
        <f t="shared" si="101"/>
        <v>0</v>
      </c>
      <c r="V192" s="49"/>
      <c r="W192" s="49">
        <f t="shared" si="102"/>
        <v>0</v>
      </c>
      <c r="X192" s="49"/>
      <c r="Y192" s="49">
        <f t="shared" si="103"/>
        <v>0</v>
      </c>
      <c r="Z192" s="49"/>
      <c r="AA192" s="49">
        <f t="shared" si="104"/>
        <v>0</v>
      </c>
      <c r="AB192" s="49">
        <f t="shared" si="105"/>
        <v>0</v>
      </c>
      <c r="AC192" s="27" t="str">
        <f t="shared" si="106"/>
        <v>ok</v>
      </c>
    </row>
    <row r="193" spans="1:29" x14ac:dyDescent="0.2">
      <c r="A193" s="14">
        <v>570</v>
      </c>
      <c r="B193" s="14" t="s">
        <v>373</v>
      </c>
      <c r="C193" s="14" t="s">
        <v>407</v>
      </c>
      <c r="D193" s="14" t="s">
        <v>389</v>
      </c>
      <c r="F193" s="49">
        <v>0</v>
      </c>
      <c r="G193" s="66"/>
      <c r="H193" s="49">
        <f t="shared" si="93"/>
        <v>0</v>
      </c>
      <c r="I193" s="49">
        <f t="shared" si="94"/>
        <v>0</v>
      </c>
      <c r="J193" s="49"/>
      <c r="K193" s="49">
        <f t="shared" si="95"/>
        <v>0</v>
      </c>
      <c r="L193" s="49"/>
      <c r="M193" s="49">
        <f t="shared" si="96"/>
        <v>0</v>
      </c>
      <c r="N193" s="49"/>
      <c r="O193" s="49">
        <f t="shared" si="97"/>
        <v>0</v>
      </c>
      <c r="P193" s="49">
        <f t="shared" si="98"/>
        <v>0</v>
      </c>
      <c r="Q193" s="49"/>
      <c r="R193" s="49">
        <f t="shared" si="99"/>
        <v>0</v>
      </c>
      <c r="S193" s="49">
        <f t="shared" si="100"/>
        <v>0</v>
      </c>
      <c r="T193" s="49"/>
      <c r="U193" s="49">
        <f t="shared" si="101"/>
        <v>0</v>
      </c>
      <c r="V193" s="49"/>
      <c r="W193" s="49">
        <f t="shared" si="102"/>
        <v>0</v>
      </c>
      <c r="X193" s="49"/>
      <c r="Y193" s="49">
        <f t="shared" si="103"/>
        <v>0</v>
      </c>
      <c r="Z193" s="49"/>
      <c r="AA193" s="49">
        <f t="shared" si="104"/>
        <v>0</v>
      </c>
      <c r="AB193" s="49">
        <f t="shared" si="105"/>
        <v>0</v>
      </c>
      <c r="AC193" s="27" t="str">
        <f t="shared" si="106"/>
        <v>ok</v>
      </c>
    </row>
    <row r="194" spans="1:29" x14ac:dyDescent="0.2">
      <c r="A194" s="14">
        <v>571</v>
      </c>
      <c r="B194" s="14" t="s">
        <v>374</v>
      </c>
      <c r="C194" s="14" t="s">
        <v>408</v>
      </c>
      <c r="D194" s="14" t="s">
        <v>389</v>
      </c>
      <c r="F194" s="49">
        <v>0</v>
      </c>
      <c r="G194" s="66"/>
      <c r="H194" s="49">
        <f t="shared" si="93"/>
        <v>0</v>
      </c>
      <c r="I194" s="49">
        <f t="shared" si="94"/>
        <v>0</v>
      </c>
      <c r="J194" s="49"/>
      <c r="K194" s="49">
        <f t="shared" si="95"/>
        <v>0</v>
      </c>
      <c r="L194" s="49"/>
      <c r="M194" s="49">
        <f t="shared" si="96"/>
        <v>0</v>
      </c>
      <c r="N194" s="49"/>
      <c r="O194" s="49">
        <f t="shared" si="97"/>
        <v>0</v>
      </c>
      <c r="P194" s="49">
        <f t="shared" si="98"/>
        <v>0</v>
      </c>
      <c r="Q194" s="49"/>
      <c r="R194" s="49">
        <f t="shared" si="99"/>
        <v>0</v>
      </c>
      <c r="S194" s="49">
        <f t="shared" si="100"/>
        <v>0</v>
      </c>
      <c r="T194" s="49"/>
      <c r="U194" s="49">
        <f t="shared" si="101"/>
        <v>0</v>
      </c>
      <c r="V194" s="49"/>
      <c r="W194" s="49">
        <f t="shared" si="102"/>
        <v>0</v>
      </c>
      <c r="X194" s="49"/>
      <c r="Y194" s="49">
        <f t="shared" si="103"/>
        <v>0</v>
      </c>
      <c r="Z194" s="49"/>
      <c r="AA194" s="49">
        <f t="shared" si="104"/>
        <v>0</v>
      </c>
      <c r="AB194" s="49">
        <f t="shared" si="105"/>
        <v>0</v>
      </c>
      <c r="AC194" s="27" t="str">
        <f t="shared" si="106"/>
        <v>ok</v>
      </c>
    </row>
    <row r="195" spans="1:29" x14ac:dyDescent="0.2">
      <c r="A195" s="14">
        <v>572</v>
      </c>
      <c r="B195" s="14" t="s">
        <v>918</v>
      </c>
      <c r="C195" s="14" t="s">
        <v>915</v>
      </c>
      <c r="D195" s="14" t="s">
        <v>389</v>
      </c>
      <c r="F195" s="49">
        <v>0</v>
      </c>
      <c r="G195" s="66"/>
      <c r="H195" s="49">
        <f t="shared" si="93"/>
        <v>0</v>
      </c>
      <c r="I195" s="49">
        <f t="shared" si="94"/>
        <v>0</v>
      </c>
      <c r="J195" s="49"/>
      <c r="K195" s="49">
        <f t="shared" si="95"/>
        <v>0</v>
      </c>
      <c r="L195" s="49"/>
      <c r="M195" s="49">
        <f t="shared" si="96"/>
        <v>0</v>
      </c>
      <c r="N195" s="49"/>
      <c r="O195" s="49">
        <f t="shared" si="97"/>
        <v>0</v>
      </c>
      <c r="P195" s="49">
        <f t="shared" si="98"/>
        <v>0</v>
      </c>
      <c r="Q195" s="49"/>
      <c r="R195" s="49">
        <f t="shared" si="99"/>
        <v>0</v>
      </c>
      <c r="S195" s="49">
        <f t="shared" si="100"/>
        <v>0</v>
      </c>
      <c r="T195" s="49"/>
      <c r="U195" s="49">
        <f t="shared" si="101"/>
        <v>0</v>
      </c>
      <c r="V195" s="49"/>
      <c r="W195" s="49">
        <f t="shared" si="102"/>
        <v>0</v>
      </c>
      <c r="X195" s="49"/>
      <c r="Y195" s="49">
        <f t="shared" si="103"/>
        <v>0</v>
      </c>
      <c r="Z195" s="49"/>
      <c r="AA195" s="49">
        <f t="shared" si="104"/>
        <v>0</v>
      </c>
      <c r="AB195" s="49">
        <f>SUM(H195:AA195)</f>
        <v>0</v>
      </c>
      <c r="AC195" s="27" t="str">
        <f>IF(ABS(AB195-F195)&lt;1,"ok","err")</f>
        <v>ok</v>
      </c>
    </row>
    <row r="196" spans="1:29" x14ac:dyDescent="0.2">
      <c r="A196" s="14">
        <v>573</v>
      </c>
      <c r="B196" s="14" t="s">
        <v>913</v>
      </c>
      <c r="C196" s="14" t="s">
        <v>916</v>
      </c>
      <c r="D196" s="14" t="s">
        <v>389</v>
      </c>
      <c r="F196" s="49">
        <v>0</v>
      </c>
      <c r="G196" s="66"/>
      <c r="H196" s="49">
        <f t="shared" si="93"/>
        <v>0</v>
      </c>
      <c r="I196" s="49">
        <f t="shared" si="94"/>
        <v>0</v>
      </c>
      <c r="J196" s="49"/>
      <c r="K196" s="49">
        <f t="shared" si="95"/>
        <v>0</v>
      </c>
      <c r="L196" s="49"/>
      <c r="M196" s="49">
        <f t="shared" si="96"/>
        <v>0</v>
      </c>
      <c r="N196" s="49"/>
      <c r="O196" s="49">
        <f t="shared" si="97"/>
        <v>0</v>
      </c>
      <c r="P196" s="49">
        <f t="shared" si="98"/>
        <v>0</v>
      </c>
      <c r="Q196" s="49"/>
      <c r="R196" s="49">
        <f t="shared" si="99"/>
        <v>0</v>
      </c>
      <c r="S196" s="49">
        <f t="shared" si="100"/>
        <v>0</v>
      </c>
      <c r="T196" s="49"/>
      <c r="U196" s="49">
        <f t="shared" si="101"/>
        <v>0</v>
      </c>
      <c r="V196" s="49"/>
      <c r="W196" s="49">
        <f t="shared" si="102"/>
        <v>0</v>
      </c>
      <c r="X196" s="49"/>
      <c r="Y196" s="49">
        <f t="shared" si="103"/>
        <v>0</v>
      </c>
      <c r="Z196" s="49"/>
      <c r="AA196" s="49">
        <f t="shared" si="104"/>
        <v>0</v>
      </c>
      <c r="AB196" s="49">
        <f>SUM(H196:AA196)</f>
        <v>0</v>
      </c>
      <c r="AC196" s="27" t="str">
        <f>IF(ABS(AB196-F196)&lt;1,"ok","err")</f>
        <v>ok</v>
      </c>
    </row>
    <row r="197" spans="1:29" x14ac:dyDescent="0.2">
      <c r="A197" s="14">
        <v>574</v>
      </c>
      <c r="B197" s="14" t="s">
        <v>914</v>
      </c>
      <c r="C197" s="14" t="s">
        <v>917</v>
      </c>
      <c r="D197" s="14" t="s">
        <v>389</v>
      </c>
      <c r="F197" s="49">
        <v>0</v>
      </c>
      <c r="G197" s="66"/>
      <c r="H197" s="49">
        <f t="shared" si="93"/>
        <v>0</v>
      </c>
      <c r="I197" s="49">
        <f t="shared" si="94"/>
        <v>0</v>
      </c>
      <c r="J197" s="49"/>
      <c r="K197" s="49">
        <f t="shared" si="95"/>
        <v>0</v>
      </c>
      <c r="L197" s="49"/>
      <c r="M197" s="49">
        <f t="shared" si="96"/>
        <v>0</v>
      </c>
      <c r="N197" s="49"/>
      <c r="O197" s="49">
        <f t="shared" si="97"/>
        <v>0</v>
      </c>
      <c r="P197" s="49">
        <f t="shared" si="98"/>
        <v>0</v>
      </c>
      <c r="Q197" s="49"/>
      <c r="R197" s="49">
        <f t="shared" si="99"/>
        <v>0</v>
      </c>
      <c r="S197" s="49">
        <f t="shared" si="100"/>
        <v>0</v>
      </c>
      <c r="T197" s="49"/>
      <c r="U197" s="49">
        <f t="shared" si="101"/>
        <v>0</v>
      </c>
      <c r="V197" s="49"/>
      <c r="W197" s="49">
        <f t="shared" si="102"/>
        <v>0</v>
      </c>
      <c r="X197" s="49"/>
      <c r="Y197" s="49">
        <f t="shared" si="103"/>
        <v>0</v>
      </c>
      <c r="Z197" s="49"/>
      <c r="AA197" s="49">
        <f t="shared" si="104"/>
        <v>0</v>
      </c>
      <c r="AB197" s="49">
        <f t="shared" si="105"/>
        <v>0</v>
      </c>
      <c r="AC197" s="27" t="str">
        <f t="shared" si="106"/>
        <v>ok</v>
      </c>
    </row>
    <row r="198" spans="1:29" x14ac:dyDescent="0.2"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49"/>
      <c r="AC198" s="27"/>
    </row>
    <row r="199" spans="1:29" x14ac:dyDescent="0.2">
      <c r="A199" s="14" t="s">
        <v>375</v>
      </c>
      <c r="F199" s="89">
        <f>SUM(F183:F197)</f>
        <v>0</v>
      </c>
      <c r="G199" s="89"/>
      <c r="H199" s="89">
        <f t="shared" ref="G199:AA199" si="107">SUM(H183:H197)</f>
        <v>0</v>
      </c>
      <c r="I199" s="89">
        <f t="shared" si="107"/>
        <v>0</v>
      </c>
      <c r="J199" s="89"/>
      <c r="K199" s="89">
        <f t="shared" si="107"/>
        <v>0</v>
      </c>
      <c r="L199" s="89"/>
      <c r="M199" s="89">
        <f t="shared" si="107"/>
        <v>0</v>
      </c>
      <c r="N199" s="89"/>
      <c r="O199" s="89">
        <f t="shared" si="107"/>
        <v>0</v>
      </c>
      <c r="P199" s="89">
        <f t="shared" si="107"/>
        <v>0</v>
      </c>
      <c r="Q199" s="89"/>
      <c r="R199" s="89">
        <f t="shared" si="107"/>
        <v>0</v>
      </c>
      <c r="S199" s="89">
        <f t="shared" si="107"/>
        <v>0</v>
      </c>
      <c r="T199" s="89"/>
      <c r="U199" s="89">
        <f t="shared" si="107"/>
        <v>0</v>
      </c>
      <c r="V199" s="89"/>
      <c r="W199" s="89">
        <f t="shared" si="107"/>
        <v>0</v>
      </c>
      <c r="X199" s="89"/>
      <c r="Y199" s="89">
        <f t="shared" si="107"/>
        <v>0</v>
      </c>
      <c r="Z199" s="89"/>
      <c r="AA199" s="89">
        <f t="shared" si="107"/>
        <v>0</v>
      </c>
      <c r="AB199" s="66">
        <f>SUM(H199:AA199)</f>
        <v>0</v>
      </c>
      <c r="AC199" s="27" t="str">
        <f>IF(ABS(AB199-F199)&lt;1,"ok","err")</f>
        <v>ok</v>
      </c>
    </row>
    <row r="200" spans="1:29" x14ac:dyDescent="0.2">
      <c r="B200" s="89"/>
      <c r="Q200" s="14"/>
      <c r="AC200" s="27"/>
    </row>
    <row r="201" spans="1:29" x14ac:dyDescent="0.2">
      <c r="A201" s="13" t="s">
        <v>97</v>
      </c>
      <c r="Q201" s="14"/>
      <c r="AC201" s="27"/>
    </row>
    <row r="202" spans="1:29" x14ac:dyDescent="0.2">
      <c r="A202" s="14">
        <v>580</v>
      </c>
      <c r="B202" s="14" t="s">
        <v>98</v>
      </c>
      <c r="C202" s="14" t="s">
        <v>99</v>
      </c>
      <c r="D202" s="14" t="s">
        <v>16</v>
      </c>
      <c r="F202" s="66">
        <v>138628.31</v>
      </c>
      <c r="H202" s="49">
        <f t="shared" ref="H202:H213" si="108">IF(VLOOKUP($D202,$C$5:$AA$492,6,)=0,0,((VLOOKUP($D202,$C$5:$AA$492,6,)/VLOOKUP($D202,$C$5:$AA$492,4,))*$F202))</f>
        <v>0</v>
      </c>
      <c r="I202" s="49">
        <f t="shared" ref="I202:I213" si="109">IF(VLOOKUP($D202,$C$5:$AA$492,7,)=0,0,((VLOOKUP($D202,$C$5:$AA$492,7,)/VLOOKUP($D202,$C$5:$AA$492,4,))*$F202))</f>
        <v>0</v>
      </c>
      <c r="J202" s="49"/>
      <c r="K202" s="49">
        <f t="shared" ref="K202:K213" si="110">IF(VLOOKUP($D202,$C$5:$AA$492,9,)=0,0,((VLOOKUP($D202,$C$5:$AA$492,9,)/VLOOKUP($D202,$C$5:$AA$492,4,))*$F202))</f>
        <v>0</v>
      </c>
      <c r="L202" s="49"/>
      <c r="M202" s="49">
        <f t="shared" ref="M202:M213" si="111">IF(VLOOKUP($D202,$C$5:$AA$492,11,)=0,0,((VLOOKUP($D202,$C$5:$AA$492,11,)/VLOOKUP($D202,$C$5:$AA$492,4,))*$F202))</f>
        <v>972.62850930658658</v>
      </c>
      <c r="N202" s="49"/>
      <c r="O202" s="49">
        <f t="shared" ref="O202:O213" si="112">IF(VLOOKUP($D202,$C$5:$AA$492,13,)=0,0,((VLOOKUP($D202,$C$5:$AA$492,13,)/VLOOKUP($D202,$C$5:$AA$492,4,))*$F202))</f>
        <v>63398.147268970992</v>
      </c>
      <c r="P202" s="49">
        <f t="shared" ref="P202:P213" si="113">IF(VLOOKUP($D202,$C$5:$AA$492,14,)=0,0,((VLOOKUP($D202,$C$5:$AA$492,14,)/VLOOKUP($D202,$C$5:$AA$492,4,))*$F202))</f>
        <v>42598.132893986818</v>
      </c>
      <c r="Q202" s="49"/>
      <c r="R202" s="49">
        <f t="shared" ref="R202:R213" si="114">IF(VLOOKUP($D202,$C$5:$AA$492,16,)=0,0,((VLOOKUP($D202,$C$5:$AA$492,16,)/VLOOKUP($D202,$C$5:$AA$492,4,))*$F202))</f>
        <v>0</v>
      </c>
      <c r="S202" s="49">
        <f t="shared" ref="S202:S213" si="115">IF(VLOOKUP($D202,$C$5:$AA$492,17,)=0,0,((VLOOKUP($D202,$C$5:$AA$492,17,)/VLOOKUP($D202,$C$5:$AA$492,4,))*$F202))</f>
        <v>17768.860275493345</v>
      </c>
      <c r="T202" s="49"/>
      <c r="U202" s="49">
        <f t="shared" ref="U202:U213" si="116">IF(VLOOKUP($D202,$C$5:$AA$492,19,)=0,0,((VLOOKUP($D202,$C$5:$AA$492,19,)/VLOOKUP($D202,$C$5:$AA$492,4,))*$F202))</f>
        <v>6906.343537402824</v>
      </c>
      <c r="V202" s="49"/>
      <c r="W202" s="49">
        <f t="shared" ref="W202:W213" si="117">IF(VLOOKUP($D202,$C$5:$AA$492,21,)=0,0,((VLOOKUP($D202,$C$5:$AA$492,21,)/VLOOKUP($D202,$C$5:$AA$492,4,))*$F202))</f>
        <v>6984.1975148394386</v>
      </c>
      <c r="X202" s="49"/>
      <c r="Y202" s="49">
        <f t="shared" ref="Y202:Y213" si="118">IF(VLOOKUP($D202,$C$5:$AA$492,23,)=0,0,((VLOOKUP($D202,$C$5:$AA$492,23,)/VLOOKUP($D202,$C$5:$AA$492,4,))*$F202))</f>
        <v>0</v>
      </c>
      <c r="Z202" s="49"/>
      <c r="AA202" s="49">
        <f t="shared" ref="AA202:AA213" si="119">IF(VLOOKUP($D202,$C$5:$AA$492,25,)=0,0,((VLOOKUP($D202,$C$5:$AA$492,25,)/VLOOKUP($D202,$C$5:$AA$492,4,))*$F202))</f>
        <v>0</v>
      </c>
      <c r="AB202" s="49">
        <f t="shared" ref="AB202:AB213" si="120">SUM(H202:AA202)</f>
        <v>138628.31000000003</v>
      </c>
      <c r="AC202" s="27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100</v>
      </c>
      <c r="C203" s="14" t="s">
        <v>101</v>
      </c>
      <c r="D203" s="14" t="s">
        <v>23</v>
      </c>
      <c r="F203" s="49">
        <v>0</v>
      </c>
      <c r="H203" s="49">
        <f t="shared" si="108"/>
        <v>0</v>
      </c>
      <c r="I203" s="49">
        <f t="shared" si="109"/>
        <v>0</v>
      </c>
      <c r="J203" s="49"/>
      <c r="K203" s="49">
        <f t="shared" si="110"/>
        <v>0</v>
      </c>
      <c r="L203" s="49"/>
      <c r="M203" s="49">
        <f t="shared" si="111"/>
        <v>0</v>
      </c>
      <c r="N203" s="49"/>
      <c r="O203" s="49">
        <f t="shared" si="112"/>
        <v>0</v>
      </c>
      <c r="P203" s="49">
        <f t="shared" si="113"/>
        <v>0</v>
      </c>
      <c r="Q203" s="49"/>
      <c r="R203" s="49">
        <f t="shared" si="114"/>
        <v>0</v>
      </c>
      <c r="S203" s="49">
        <f t="shared" si="115"/>
        <v>0</v>
      </c>
      <c r="T203" s="49"/>
      <c r="U203" s="49">
        <f t="shared" si="116"/>
        <v>0</v>
      </c>
      <c r="V203" s="49"/>
      <c r="W203" s="49">
        <f t="shared" si="117"/>
        <v>0</v>
      </c>
      <c r="X203" s="49"/>
      <c r="Y203" s="49">
        <f t="shared" si="118"/>
        <v>0</v>
      </c>
      <c r="Z203" s="49"/>
      <c r="AA203" s="49">
        <f t="shared" si="119"/>
        <v>0</v>
      </c>
      <c r="AB203" s="49">
        <f t="shared" si="120"/>
        <v>0</v>
      </c>
      <c r="AC203" s="27" t="str">
        <f t="shared" si="121"/>
        <v>ok</v>
      </c>
    </row>
    <row r="204" spans="1:29" x14ac:dyDescent="0.2">
      <c r="A204" s="14">
        <v>582</v>
      </c>
      <c r="B204" s="14" t="s">
        <v>370</v>
      </c>
      <c r="C204" s="14" t="s">
        <v>376</v>
      </c>
      <c r="D204" s="14" t="s">
        <v>23</v>
      </c>
      <c r="F204" s="49">
        <v>31502.13</v>
      </c>
      <c r="H204" s="49">
        <f t="shared" si="108"/>
        <v>0</v>
      </c>
      <c r="I204" s="49">
        <f t="shared" si="109"/>
        <v>0</v>
      </c>
      <c r="J204" s="49"/>
      <c r="K204" s="49">
        <f t="shared" si="110"/>
        <v>0</v>
      </c>
      <c r="L204" s="49"/>
      <c r="M204" s="49">
        <f t="shared" si="111"/>
        <v>31502.13</v>
      </c>
      <c r="N204" s="49"/>
      <c r="O204" s="49">
        <f t="shared" si="112"/>
        <v>0</v>
      </c>
      <c r="P204" s="49">
        <f t="shared" si="113"/>
        <v>0</v>
      </c>
      <c r="Q204" s="49"/>
      <c r="R204" s="49">
        <f t="shared" si="114"/>
        <v>0</v>
      </c>
      <c r="S204" s="49">
        <f t="shared" si="115"/>
        <v>0</v>
      </c>
      <c r="T204" s="49"/>
      <c r="U204" s="49">
        <f t="shared" si="116"/>
        <v>0</v>
      </c>
      <c r="V204" s="49"/>
      <c r="W204" s="49">
        <f t="shared" si="117"/>
        <v>0</v>
      </c>
      <c r="X204" s="49"/>
      <c r="Y204" s="49">
        <f t="shared" si="118"/>
        <v>0</v>
      </c>
      <c r="Z204" s="49"/>
      <c r="AA204" s="49">
        <f t="shared" si="119"/>
        <v>0</v>
      </c>
      <c r="AB204" s="49">
        <f t="shared" si="120"/>
        <v>31502.13</v>
      </c>
      <c r="AC204" s="27" t="str">
        <f t="shared" si="121"/>
        <v>ok</v>
      </c>
    </row>
    <row r="205" spans="1:29" x14ac:dyDescent="0.2">
      <c r="A205" s="14">
        <v>583</v>
      </c>
      <c r="B205" s="14" t="s">
        <v>102</v>
      </c>
      <c r="C205" s="14" t="s">
        <v>103</v>
      </c>
      <c r="D205" s="14" t="s">
        <v>29</v>
      </c>
      <c r="F205" s="49">
        <v>1984880.14</v>
      </c>
      <c r="H205" s="49">
        <f t="shared" si="108"/>
        <v>0</v>
      </c>
      <c r="I205" s="49">
        <f t="shared" si="109"/>
        <v>0</v>
      </c>
      <c r="J205" s="49"/>
      <c r="K205" s="49">
        <f t="shared" si="110"/>
        <v>0</v>
      </c>
      <c r="L205" s="49"/>
      <c r="M205" s="49">
        <f t="shared" si="111"/>
        <v>0</v>
      </c>
      <c r="N205" s="49"/>
      <c r="O205" s="49">
        <f t="shared" si="112"/>
        <v>1324741.7689732697</v>
      </c>
      <c r="P205" s="49">
        <f t="shared" si="113"/>
        <v>660138.37102673005</v>
      </c>
      <c r="Q205" s="49"/>
      <c r="R205" s="49">
        <f t="shared" si="114"/>
        <v>0</v>
      </c>
      <c r="S205" s="49">
        <f t="shared" si="115"/>
        <v>0</v>
      </c>
      <c r="T205" s="49"/>
      <c r="U205" s="49">
        <f t="shared" si="116"/>
        <v>0</v>
      </c>
      <c r="V205" s="49"/>
      <c r="W205" s="49">
        <f t="shared" si="117"/>
        <v>0</v>
      </c>
      <c r="X205" s="49"/>
      <c r="Y205" s="49">
        <f t="shared" si="118"/>
        <v>0</v>
      </c>
      <c r="Z205" s="49"/>
      <c r="AA205" s="49">
        <f t="shared" si="119"/>
        <v>0</v>
      </c>
      <c r="AB205" s="49">
        <f t="shared" si="120"/>
        <v>1984880.1399999997</v>
      </c>
      <c r="AC205" s="27" t="str">
        <f t="shared" si="121"/>
        <v>ok</v>
      </c>
    </row>
    <row r="206" spans="1:29" x14ac:dyDescent="0.2">
      <c r="A206" s="14">
        <v>584</v>
      </c>
      <c r="B206" s="14" t="s">
        <v>104</v>
      </c>
      <c r="C206" s="14" t="s">
        <v>105</v>
      </c>
      <c r="D206" s="14" t="s">
        <v>35</v>
      </c>
      <c r="F206" s="49">
        <v>-91869.440000000002</v>
      </c>
      <c r="H206" s="49">
        <f t="shared" si="108"/>
        <v>0</v>
      </c>
      <c r="I206" s="49">
        <f t="shared" si="109"/>
        <v>0</v>
      </c>
      <c r="J206" s="49"/>
      <c r="K206" s="49">
        <f t="shared" si="110"/>
        <v>0</v>
      </c>
      <c r="L206" s="49"/>
      <c r="M206" s="49">
        <f t="shared" si="111"/>
        <v>0</v>
      </c>
      <c r="N206" s="49"/>
      <c r="O206" s="49">
        <f t="shared" si="112"/>
        <v>-44828.71491791906</v>
      </c>
      <c r="P206" s="49">
        <f t="shared" si="113"/>
        <v>-47040.725082080942</v>
      </c>
      <c r="Q206" s="49"/>
      <c r="R206" s="49">
        <f t="shared" si="114"/>
        <v>0</v>
      </c>
      <c r="S206" s="49">
        <f t="shared" si="115"/>
        <v>0</v>
      </c>
      <c r="T206" s="49"/>
      <c r="U206" s="49">
        <f t="shared" si="116"/>
        <v>0</v>
      </c>
      <c r="V206" s="49"/>
      <c r="W206" s="49">
        <f t="shared" si="117"/>
        <v>0</v>
      </c>
      <c r="X206" s="49"/>
      <c r="Y206" s="49">
        <f t="shared" si="118"/>
        <v>0</v>
      </c>
      <c r="Z206" s="49"/>
      <c r="AA206" s="49">
        <f t="shared" si="119"/>
        <v>0</v>
      </c>
      <c r="AB206" s="49">
        <f t="shared" si="120"/>
        <v>-91869.440000000002</v>
      </c>
      <c r="AC206" s="27" t="str">
        <f t="shared" si="121"/>
        <v>ok</v>
      </c>
    </row>
    <row r="207" spans="1:29" x14ac:dyDescent="0.2">
      <c r="A207" s="14">
        <v>585</v>
      </c>
      <c r="B207" s="14" t="s">
        <v>106</v>
      </c>
      <c r="C207" s="14" t="s">
        <v>107</v>
      </c>
      <c r="D207" s="14" t="s">
        <v>46</v>
      </c>
      <c r="F207" s="49">
        <v>42956.57</v>
      </c>
      <c r="H207" s="49">
        <f t="shared" si="108"/>
        <v>0</v>
      </c>
      <c r="I207" s="49">
        <f t="shared" si="109"/>
        <v>0</v>
      </c>
      <c r="J207" s="49"/>
      <c r="K207" s="49">
        <f t="shared" si="110"/>
        <v>0</v>
      </c>
      <c r="L207" s="49"/>
      <c r="M207" s="49">
        <f t="shared" si="111"/>
        <v>0</v>
      </c>
      <c r="N207" s="49"/>
      <c r="O207" s="49">
        <f t="shared" si="112"/>
        <v>0</v>
      </c>
      <c r="P207" s="49">
        <f t="shared" si="113"/>
        <v>0</v>
      </c>
      <c r="Q207" s="49"/>
      <c r="R207" s="49">
        <f t="shared" si="114"/>
        <v>0</v>
      </c>
      <c r="S207" s="49">
        <f t="shared" si="115"/>
        <v>0</v>
      </c>
      <c r="T207" s="49"/>
      <c r="U207" s="49">
        <f t="shared" si="116"/>
        <v>0</v>
      </c>
      <c r="V207" s="49"/>
      <c r="W207" s="49">
        <f t="shared" si="117"/>
        <v>42956.57</v>
      </c>
      <c r="X207" s="49"/>
      <c r="Y207" s="49">
        <f t="shared" si="118"/>
        <v>0</v>
      </c>
      <c r="Z207" s="49"/>
      <c r="AA207" s="49">
        <f t="shared" si="119"/>
        <v>0</v>
      </c>
      <c r="AB207" s="49">
        <f t="shared" si="120"/>
        <v>42956.57</v>
      </c>
      <c r="AC207" s="27" t="str">
        <f t="shared" si="121"/>
        <v>ok</v>
      </c>
    </row>
    <row r="208" spans="1:29" x14ac:dyDescent="0.2">
      <c r="A208" s="14">
        <v>586</v>
      </c>
      <c r="B208" s="14" t="s">
        <v>108</v>
      </c>
      <c r="C208" s="14" t="s">
        <v>109</v>
      </c>
      <c r="D208" s="14" t="s">
        <v>43</v>
      </c>
      <c r="F208" s="49">
        <v>594781.71</v>
      </c>
      <c r="H208" s="49">
        <f t="shared" si="108"/>
        <v>0</v>
      </c>
      <c r="I208" s="49">
        <f t="shared" si="109"/>
        <v>0</v>
      </c>
      <c r="J208" s="49"/>
      <c r="K208" s="49">
        <f t="shared" si="110"/>
        <v>0</v>
      </c>
      <c r="L208" s="49"/>
      <c r="M208" s="49">
        <f t="shared" si="111"/>
        <v>0</v>
      </c>
      <c r="N208" s="49"/>
      <c r="O208" s="49">
        <f t="shared" si="112"/>
        <v>0</v>
      </c>
      <c r="P208" s="49">
        <f t="shared" si="113"/>
        <v>0</v>
      </c>
      <c r="Q208" s="49"/>
      <c r="R208" s="49">
        <f t="shared" si="114"/>
        <v>0</v>
      </c>
      <c r="S208" s="49">
        <f t="shared" si="115"/>
        <v>0</v>
      </c>
      <c r="T208" s="49"/>
      <c r="U208" s="49">
        <f t="shared" si="116"/>
        <v>594781.71</v>
      </c>
      <c r="V208" s="49"/>
      <c r="W208" s="49">
        <f t="shared" si="117"/>
        <v>0</v>
      </c>
      <c r="X208" s="49"/>
      <c r="Y208" s="49">
        <f t="shared" si="118"/>
        <v>0</v>
      </c>
      <c r="Z208" s="49"/>
      <c r="AA208" s="49">
        <f t="shared" si="119"/>
        <v>0</v>
      </c>
      <c r="AB208" s="49">
        <f t="shared" si="120"/>
        <v>594781.71</v>
      </c>
      <c r="AC208" s="27" t="str">
        <f t="shared" si="121"/>
        <v>ok</v>
      </c>
    </row>
    <row r="209" spans="1:29" x14ac:dyDescent="0.2">
      <c r="A209" s="14">
        <v>586</v>
      </c>
      <c r="B209" s="14" t="s">
        <v>449</v>
      </c>
      <c r="C209" s="14" t="s">
        <v>450</v>
      </c>
      <c r="D209" s="14" t="s">
        <v>470</v>
      </c>
      <c r="F209" s="49">
        <v>0</v>
      </c>
      <c r="H209" s="49">
        <f t="shared" si="108"/>
        <v>0</v>
      </c>
      <c r="I209" s="49">
        <f t="shared" si="109"/>
        <v>0</v>
      </c>
      <c r="J209" s="49"/>
      <c r="K209" s="49">
        <f t="shared" si="110"/>
        <v>0</v>
      </c>
      <c r="L209" s="49"/>
      <c r="M209" s="49">
        <f t="shared" si="111"/>
        <v>0</v>
      </c>
      <c r="N209" s="49"/>
      <c r="O209" s="49">
        <f t="shared" si="112"/>
        <v>0</v>
      </c>
      <c r="P209" s="49">
        <f t="shared" si="113"/>
        <v>0</v>
      </c>
      <c r="Q209" s="49"/>
      <c r="R209" s="49">
        <f t="shared" si="114"/>
        <v>0</v>
      </c>
      <c r="S209" s="49">
        <f t="shared" si="115"/>
        <v>0</v>
      </c>
      <c r="T209" s="49"/>
      <c r="U209" s="49">
        <f t="shared" si="116"/>
        <v>0</v>
      </c>
      <c r="V209" s="49"/>
      <c r="W209" s="49">
        <f t="shared" si="117"/>
        <v>0</v>
      </c>
      <c r="X209" s="49"/>
      <c r="Y209" s="49">
        <f t="shared" si="118"/>
        <v>0</v>
      </c>
      <c r="Z209" s="49"/>
      <c r="AA209" s="49">
        <f t="shared" si="119"/>
        <v>0</v>
      </c>
      <c r="AB209" s="49">
        <f t="shared" si="120"/>
        <v>0</v>
      </c>
      <c r="AC209" s="27" t="str">
        <f t="shared" si="121"/>
        <v>ok</v>
      </c>
    </row>
    <row r="210" spans="1:29" x14ac:dyDescent="0.2">
      <c r="A210" s="14">
        <v>587</v>
      </c>
      <c r="B210" s="14" t="s">
        <v>110</v>
      </c>
      <c r="C210" s="14" t="s">
        <v>111</v>
      </c>
      <c r="D210" s="14" t="s">
        <v>40</v>
      </c>
      <c r="F210" s="49">
        <v>402247.06</v>
      </c>
      <c r="H210" s="49">
        <f t="shared" si="108"/>
        <v>0</v>
      </c>
      <c r="I210" s="49">
        <f t="shared" si="109"/>
        <v>0</v>
      </c>
      <c r="J210" s="49"/>
      <c r="K210" s="49">
        <f t="shared" si="110"/>
        <v>0</v>
      </c>
      <c r="L210" s="49"/>
      <c r="M210" s="49">
        <f t="shared" si="111"/>
        <v>0</v>
      </c>
      <c r="N210" s="49"/>
      <c r="O210" s="49">
        <f t="shared" si="112"/>
        <v>0</v>
      </c>
      <c r="P210" s="49">
        <f t="shared" si="113"/>
        <v>0</v>
      </c>
      <c r="Q210" s="49"/>
      <c r="R210" s="49">
        <f t="shared" si="114"/>
        <v>0</v>
      </c>
      <c r="S210" s="49">
        <f t="shared" si="115"/>
        <v>402247.06</v>
      </c>
      <c r="T210" s="49"/>
      <c r="U210" s="49">
        <f t="shared" si="116"/>
        <v>0</v>
      </c>
      <c r="V210" s="49"/>
      <c r="W210" s="49">
        <f t="shared" si="117"/>
        <v>0</v>
      </c>
      <c r="X210" s="49"/>
      <c r="Y210" s="49">
        <f t="shared" si="118"/>
        <v>0</v>
      </c>
      <c r="Z210" s="49"/>
      <c r="AA210" s="49">
        <f t="shared" si="119"/>
        <v>0</v>
      </c>
      <c r="AB210" s="49">
        <f t="shared" si="120"/>
        <v>402247.06</v>
      </c>
      <c r="AC210" s="27" t="str">
        <f t="shared" si="121"/>
        <v>ok</v>
      </c>
    </row>
    <row r="211" spans="1:29" x14ac:dyDescent="0.2">
      <c r="A211" s="14">
        <v>588</v>
      </c>
      <c r="B211" s="14" t="s">
        <v>112</v>
      </c>
      <c r="C211" s="14" t="s">
        <v>113</v>
      </c>
      <c r="D211" s="14" t="s">
        <v>16</v>
      </c>
      <c r="F211" s="49">
        <v>262206.55</v>
      </c>
      <c r="H211" s="49">
        <f t="shared" si="108"/>
        <v>0</v>
      </c>
      <c r="I211" s="49">
        <f t="shared" si="109"/>
        <v>0</v>
      </c>
      <c r="J211" s="49"/>
      <c r="K211" s="49">
        <f t="shared" si="110"/>
        <v>0</v>
      </c>
      <c r="L211" s="49"/>
      <c r="M211" s="49">
        <f t="shared" si="111"/>
        <v>1839.6643936359244</v>
      </c>
      <c r="N211" s="49"/>
      <c r="O211" s="49">
        <f t="shared" si="112"/>
        <v>119913.52611734794</v>
      </c>
      <c r="P211" s="49">
        <f t="shared" si="113"/>
        <v>80571.634052047506</v>
      </c>
      <c r="Q211" s="49"/>
      <c r="R211" s="49">
        <f t="shared" si="114"/>
        <v>0</v>
      </c>
      <c r="S211" s="49">
        <f t="shared" si="115"/>
        <v>33608.658651823425</v>
      </c>
      <c r="T211" s="49"/>
      <c r="U211" s="49">
        <f t="shared" si="116"/>
        <v>13062.90549208304</v>
      </c>
      <c r="V211" s="49"/>
      <c r="W211" s="49">
        <f t="shared" si="117"/>
        <v>13210.161293062167</v>
      </c>
      <c r="X211" s="49"/>
      <c r="Y211" s="49">
        <f t="shared" si="118"/>
        <v>0</v>
      </c>
      <c r="Z211" s="49"/>
      <c r="AA211" s="49">
        <f t="shared" si="119"/>
        <v>0</v>
      </c>
      <c r="AB211" s="49">
        <f t="shared" si="120"/>
        <v>262206.55</v>
      </c>
      <c r="AC211" s="27" t="str">
        <f t="shared" si="121"/>
        <v>ok</v>
      </c>
    </row>
    <row r="212" spans="1:29" x14ac:dyDescent="0.2">
      <c r="A212" s="14">
        <v>588</v>
      </c>
      <c r="B212" s="14" t="s">
        <v>708</v>
      </c>
      <c r="C212" s="14" t="s">
        <v>549</v>
      </c>
      <c r="D212" s="14" t="s">
        <v>550</v>
      </c>
      <c r="F212" s="49">
        <v>0</v>
      </c>
      <c r="H212" s="49">
        <f t="shared" si="108"/>
        <v>0</v>
      </c>
      <c r="I212" s="49">
        <f t="shared" si="109"/>
        <v>0</v>
      </c>
      <c r="J212" s="49"/>
      <c r="K212" s="49">
        <f t="shared" si="110"/>
        <v>0</v>
      </c>
      <c r="L212" s="49"/>
      <c r="M212" s="49">
        <f t="shared" si="111"/>
        <v>0</v>
      </c>
      <c r="N212" s="49"/>
      <c r="O212" s="49">
        <f t="shared" si="112"/>
        <v>0</v>
      </c>
      <c r="P212" s="49">
        <f t="shared" si="113"/>
        <v>0</v>
      </c>
      <c r="Q212" s="49"/>
      <c r="R212" s="49">
        <f t="shared" si="114"/>
        <v>0</v>
      </c>
      <c r="S212" s="49">
        <f t="shared" si="115"/>
        <v>0</v>
      </c>
      <c r="T212" s="49"/>
      <c r="U212" s="49">
        <f t="shared" si="116"/>
        <v>0</v>
      </c>
      <c r="V212" s="49"/>
      <c r="W212" s="49">
        <f t="shared" si="117"/>
        <v>0</v>
      </c>
      <c r="X212" s="49"/>
      <c r="Y212" s="49">
        <f t="shared" si="118"/>
        <v>0</v>
      </c>
      <c r="Z212" s="49"/>
      <c r="AA212" s="49">
        <f t="shared" si="119"/>
        <v>0</v>
      </c>
      <c r="AB212" s="49">
        <f t="shared" si="120"/>
        <v>0</v>
      </c>
      <c r="AC212" s="27" t="str">
        <f t="shared" si="121"/>
        <v>ok</v>
      </c>
    </row>
    <row r="213" spans="1:29" x14ac:dyDescent="0.2">
      <c r="A213" s="14">
        <v>589</v>
      </c>
      <c r="B213" s="14" t="s">
        <v>114</v>
      </c>
      <c r="C213" s="14" t="s">
        <v>115</v>
      </c>
      <c r="D213" s="14" t="s">
        <v>16</v>
      </c>
      <c r="F213" s="49">
        <v>0</v>
      </c>
      <c r="H213" s="49">
        <f t="shared" si="108"/>
        <v>0</v>
      </c>
      <c r="I213" s="49">
        <f t="shared" si="109"/>
        <v>0</v>
      </c>
      <c r="J213" s="49"/>
      <c r="K213" s="49">
        <f t="shared" si="110"/>
        <v>0</v>
      </c>
      <c r="L213" s="49"/>
      <c r="M213" s="49">
        <f t="shared" si="111"/>
        <v>0</v>
      </c>
      <c r="N213" s="49"/>
      <c r="O213" s="49">
        <f t="shared" si="112"/>
        <v>0</v>
      </c>
      <c r="P213" s="49">
        <f t="shared" si="113"/>
        <v>0</v>
      </c>
      <c r="Q213" s="49"/>
      <c r="R213" s="49">
        <f t="shared" si="114"/>
        <v>0</v>
      </c>
      <c r="S213" s="49">
        <f t="shared" si="115"/>
        <v>0</v>
      </c>
      <c r="T213" s="49"/>
      <c r="U213" s="49">
        <f t="shared" si="116"/>
        <v>0</v>
      </c>
      <c r="V213" s="49"/>
      <c r="W213" s="49">
        <f t="shared" si="117"/>
        <v>0</v>
      </c>
      <c r="X213" s="49"/>
      <c r="Y213" s="49">
        <f t="shared" si="118"/>
        <v>0</v>
      </c>
      <c r="Z213" s="49"/>
      <c r="AA213" s="49">
        <f t="shared" si="119"/>
        <v>0</v>
      </c>
      <c r="AB213" s="49">
        <f t="shared" si="120"/>
        <v>0</v>
      </c>
      <c r="AC213" s="27" t="str">
        <f t="shared" si="121"/>
        <v>ok</v>
      </c>
    </row>
    <row r="214" spans="1:29" x14ac:dyDescent="0.2">
      <c r="F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C214" s="27"/>
    </row>
    <row r="215" spans="1:29" x14ac:dyDescent="0.2">
      <c r="A215" s="14" t="s">
        <v>116</v>
      </c>
      <c r="C215" s="14" t="s">
        <v>117</v>
      </c>
      <c r="F215" s="66">
        <f>SUM(F202:F214)</f>
        <v>3365333.03</v>
      </c>
      <c r="G215" s="66"/>
      <c r="H215" s="66">
        <f t="shared" ref="G215:AA215" si="122">SUM(H202:H214)</f>
        <v>0</v>
      </c>
      <c r="I215" s="66">
        <f t="shared" si="122"/>
        <v>0</v>
      </c>
      <c r="J215" s="66"/>
      <c r="K215" s="66">
        <f t="shared" si="122"/>
        <v>0</v>
      </c>
      <c r="L215" s="66"/>
      <c r="M215" s="66">
        <f t="shared" si="122"/>
        <v>34314.422902942511</v>
      </c>
      <c r="N215" s="66"/>
      <c r="O215" s="66">
        <f t="shared" si="122"/>
        <v>1463224.7274416694</v>
      </c>
      <c r="P215" s="66">
        <f t="shared" si="122"/>
        <v>736267.41289068339</v>
      </c>
      <c r="Q215" s="66"/>
      <c r="R215" s="66">
        <f t="shared" si="122"/>
        <v>0</v>
      </c>
      <c r="S215" s="66">
        <f t="shared" si="122"/>
        <v>453624.57892731676</v>
      </c>
      <c r="T215" s="66"/>
      <c r="U215" s="66">
        <f t="shared" si="122"/>
        <v>614750.95902948582</v>
      </c>
      <c r="V215" s="66"/>
      <c r="W215" s="66">
        <f t="shared" si="122"/>
        <v>63150.928807901611</v>
      </c>
      <c r="X215" s="66"/>
      <c r="Y215" s="66">
        <f t="shared" si="122"/>
        <v>0</v>
      </c>
      <c r="Z215" s="66"/>
      <c r="AA215" s="66">
        <f t="shared" si="122"/>
        <v>0</v>
      </c>
      <c r="AB215" s="49">
        <f>SUM(H215:AA215)</f>
        <v>3365333.0299999993</v>
      </c>
      <c r="AC215" s="27" t="str">
        <f>IF(ABS(AB215-F215)&lt;1,"ok","err")</f>
        <v>ok</v>
      </c>
    </row>
    <row r="216" spans="1:29" x14ac:dyDescent="0.2"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49"/>
      <c r="AC216" s="27"/>
    </row>
    <row r="217" spans="1:29" x14ac:dyDescent="0.2">
      <c r="A217" s="25" t="s">
        <v>135</v>
      </c>
      <c r="F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C217" s="27"/>
    </row>
    <row r="218" spans="1:29" x14ac:dyDescent="0.2">
      <c r="F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C218" s="27"/>
    </row>
    <row r="219" spans="1:29" x14ac:dyDescent="0.2">
      <c r="A219" s="13" t="s">
        <v>118</v>
      </c>
      <c r="F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C219" s="27"/>
    </row>
    <row r="220" spans="1:29" x14ac:dyDescent="0.2">
      <c r="A220" s="14">
        <v>590</v>
      </c>
      <c r="B220" s="14" t="s">
        <v>119</v>
      </c>
      <c r="C220" s="14" t="s">
        <v>120</v>
      </c>
      <c r="D220" s="14" t="s">
        <v>16</v>
      </c>
      <c r="F220" s="66">
        <f>46760.05+457416.68</f>
        <v>504176.73</v>
      </c>
      <c r="H220" s="49">
        <f t="shared" ref="H220:H227" si="123">IF(VLOOKUP($D220,$C$5:$AA$492,6,)=0,0,((VLOOKUP($D220,$C$5:$AA$492,6,)/VLOOKUP($D220,$C$5:$AA$492,4,))*$F220))</f>
        <v>0</v>
      </c>
      <c r="I220" s="49">
        <f t="shared" ref="I220:I227" si="124">IF(VLOOKUP($D220,$C$5:$AA$492,7,)=0,0,((VLOOKUP($D220,$C$5:$AA$492,7,)/VLOOKUP($D220,$C$5:$AA$492,4,))*$F220))</f>
        <v>0</v>
      </c>
      <c r="J220" s="49"/>
      <c r="K220" s="49">
        <f t="shared" ref="K220:K227" si="125">IF(VLOOKUP($D220,$C$5:$AA$492,9,)=0,0,((VLOOKUP($D220,$C$5:$AA$492,9,)/VLOOKUP($D220,$C$5:$AA$492,4,))*$F220))</f>
        <v>0</v>
      </c>
      <c r="L220" s="49"/>
      <c r="M220" s="49">
        <f t="shared" ref="M220:M227" si="126">IF(VLOOKUP($D220,$C$5:$AA$492,11,)=0,0,((VLOOKUP($D220,$C$5:$AA$492,11,)/VLOOKUP($D220,$C$5:$AA$492,4,))*$F220))</f>
        <v>3537.3486218433263</v>
      </c>
      <c r="N220" s="49"/>
      <c r="O220" s="49">
        <f t="shared" ref="O220:O227" si="127">IF(VLOOKUP($D220,$C$5:$AA$492,13,)=0,0,((VLOOKUP($D220,$C$5:$AA$492,13,)/VLOOKUP($D220,$C$5:$AA$492,4,))*$F220))</f>
        <v>230572.46083522352</v>
      </c>
      <c r="P220" s="49">
        <f t="shared" ref="P220:P227" si="128">IF(VLOOKUP($D220,$C$5:$AA$492,14,)=0,0,((VLOOKUP($D220,$C$5:$AA$492,14,)/VLOOKUP($D220,$C$5:$AA$492,4,))*$F220))</f>
        <v>154924.97417443601</v>
      </c>
      <c r="Q220" s="49"/>
      <c r="R220" s="49">
        <f t="shared" ref="R220:R227" si="129">IF(VLOOKUP($D220,$C$5:$AA$492,16,)=0,0,((VLOOKUP($D220,$C$5:$AA$492,16,)/VLOOKUP($D220,$C$5:$AA$492,4,))*$F220))</f>
        <v>0</v>
      </c>
      <c r="S220" s="49">
        <f t="shared" ref="S220:S227" si="130">IF(VLOOKUP($D220,$C$5:$AA$492,17,)=0,0,((VLOOKUP($D220,$C$5:$AA$492,17,)/VLOOKUP($D220,$C$5:$AA$492,4,))*$F220))</f>
        <v>64623.494793560807</v>
      </c>
      <c r="T220" s="49"/>
      <c r="U220" s="49">
        <f t="shared" ref="U220:U227" si="131">IF(VLOOKUP($D220,$C$5:$AA$492,19,)=0,0,((VLOOKUP($D220,$C$5:$AA$492,19,)/VLOOKUP($D220,$C$5:$AA$492,4,))*$F220))</f>
        <v>25117.652382434644</v>
      </c>
      <c r="V220" s="49"/>
      <c r="W220" s="49">
        <f t="shared" ref="W220:W227" si="132">IF(VLOOKUP($D220,$C$5:$AA$492,21,)=0,0,((VLOOKUP($D220,$C$5:$AA$492,21,)/VLOOKUP($D220,$C$5:$AA$492,4,))*$F220))</f>
        <v>25400.799192501694</v>
      </c>
      <c r="X220" s="49"/>
      <c r="Y220" s="49">
        <f t="shared" ref="Y220:Y227" si="133">IF(VLOOKUP($D220,$C$5:$AA$492,23,)=0,0,((VLOOKUP($D220,$C$5:$AA$492,23,)/VLOOKUP($D220,$C$5:$AA$492,4,))*$F220))</f>
        <v>0</v>
      </c>
      <c r="Z220" s="49"/>
      <c r="AA220" s="49">
        <f t="shared" ref="AA220:AA227" si="134">IF(VLOOKUP($D220,$C$5:$AA$492,25,)=0,0,((VLOOKUP($D220,$C$5:$AA$492,25,)/VLOOKUP($D220,$C$5:$AA$492,4,))*$F220))</f>
        <v>0</v>
      </c>
      <c r="AB220" s="49">
        <f t="shared" ref="AB220:AB227" si="135">SUM(H220:AA220)</f>
        <v>504176.73000000004</v>
      </c>
      <c r="AC220" s="27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121</v>
      </c>
      <c r="C221" s="14" t="s">
        <v>122</v>
      </c>
      <c r="D221" s="14" t="s">
        <v>23</v>
      </c>
      <c r="F221" s="49">
        <v>0</v>
      </c>
      <c r="H221" s="49">
        <f t="shared" si="123"/>
        <v>0</v>
      </c>
      <c r="I221" s="49">
        <f t="shared" si="124"/>
        <v>0</v>
      </c>
      <c r="J221" s="49"/>
      <c r="K221" s="49">
        <f t="shared" si="125"/>
        <v>0</v>
      </c>
      <c r="L221" s="49"/>
      <c r="M221" s="49">
        <f t="shared" si="126"/>
        <v>0</v>
      </c>
      <c r="N221" s="49"/>
      <c r="O221" s="49">
        <f t="shared" si="127"/>
        <v>0</v>
      </c>
      <c r="P221" s="49">
        <f t="shared" si="128"/>
        <v>0</v>
      </c>
      <c r="Q221" s="49"/>
      <c r="R221" s="49">
        <f t="shared" si="129"/>
        <v>0</v>
      </c>
      <c r="S221" s="49">
        <f t="shared" si="130"/>
        <v>0</v>
      </c>
      <c r="T221" s="49"/>
      <c r="U221" s="49">
        <f t="shared" si="131"/>
        <v>0</v>
      </c>
      <c r="V221" s="49"/>
      <c r="W221" s="49">
        <f t="shared" si="132"/>
        <v>0</v>
      </c>
      <c r="X221" s="49"/>
      <c r="Y221" s="49">
        <f t="shared" si="133"/>
        <v>0</v>
      </c>
      <c r="Z221" s="49"/>
      <c r="AA221" s="49">
        <f t="shared" si="134"/>
        <v>0</v>
      </c>
      <c r="AB221" s="49">
        <f t="shared" si="135"/>
        <v>0</v>
      </c>
      <c r="AC221" s="27" t="str">
        <f t="shared" si="136"/>
        <v>ok</v>
      </c>
    </row>
    <row r="222" spans="1:29" x14ac:dyDescent="0.2">
      <c r="A222" s="14">
        <v>593</v>
      </c>
      <c r="B222" s="14" t="s">
        <v>123</v>
      </c>
      <c r="C222" s="14" t="s">
        <v>124</v>
      </c>
      <c r="D222" s="14" t="s">
        <v>29</v>
      </c>
      <c r="F222" s="49">
        <f>1954321.82+4899243.85+1439843.1</f>
        <v>8293408.7699999996</v>
      </c>
      <c r="H222" s="49">
        <f t="shared" si="123"/>
        <v>0</v>
      </c>
      <c r="I222" s="49">
        <f t="shared" si="124"/>
        <v>0</v>
      </c>
      <c r="J222" s="49"/>
      <c r="K222" s="49">
        <f t="shared" si="125"/>
        <v>0</v>
      </c>
      <c r="L222" s="49"/>
      <c r="M222" s="49">
        <f t="shared" si="126"/>
        <v>0</v>
      </c>
      <c r="N222" s="49"/>
      <c r="O222" s="49">
        <f t="shared" si="127"/>
        <v>5535157.908723007</v>
      </c>
      <c r="P222" s="49">
        <f t="shared" si="128"/>
        <v>2758250.8612769921</v>
      </c>
      <c r="Q222" s="49"/>
      <c r="R222" s="49">
        <f t="shared" si="129"/>
        <v>0</v>
      </c>
      <c r="S222" s="49">
        <f t="shared" si="130"/>
        <v>0</v>
      </c>
      <c r="T222" s="49"/>
      <c r="U222" s="49">
        <f t="shared" si="131"/>
        <v>0</v>
      </c>
      <c r="V222" s="49"/>
      <c r="W222" s="49">
        <f t="shared" si="132"/>
        <v>0</v>
      </c>
      <c r="X222" s="49"/>
      <c r="Y222" s="49">
        <f t="shared" si="133"/>
        <v>0</v>
      </c>
      <c r="Z222" s="49"/>
      <c r="AA222" s="49">
        <f t="shared" si="134"/>
        <v>0</v>
      </c>
      <c r="AB222" s="49">
        <f t="shared" si="135"/>
        <v>8293408.7699999996</v>
      </c>
      <c r="AC222" s="27" t="str">
        <f t="shared" si="136"/>
        <v>ok</v>
      </c>
    </row>
    <row r="223" spans="1:29" x14ac:dyDescent="0.2">
      <c r="A223" s="14">
        <v>594</v>
      </c>
      <c r="B223" s="14" t="s">
        <v>125</v>
      </c>
      <c r="C223" s="14" t="s">
        <v>126</v>
      </c>
      <c r="D223" s="14" t="s">
        <v>35</v>
      </c>
      <c r="F223" s="49">
        <f>535289.02+23460.16</f>
        <v>558749.18000000005</v>
      </c>
      <c r="H223" s="49">
        <f t="shared" si="123"/>
        <v>0</v>
      </c>
      <c r="I223" s="49">
        <f t="shared" si="124"/>
        <v>0</v>
      </c>
      <c r="J223" s="49"/>
      <c r="K223" s="49">
        <f t="shared" si="125"/>
        <v>0</v>
      </c>
      <c r="L223" s="49"/>
      <c r="M223" s="49">
        <f t="shared" si="126"/>
        <v>0</v>
      </c>
      <c r="N223" s="49"/>
      <c r="O223" s="49">
        <f t="shared" si="127"/>
        <v>272647.8761690617</v>
      </c>
      <c r="P223" s="49">
        <f t="shared" si="128"/>
        <v>286101.30383093836</v>
      </c>
      <c r="Q223" s="49"/>
      <c r="R223" s="49">
        <f t="shared" si="129"/>
        <v>0</v>
      </c>
      <c r="S223" s="49">
        <f t="shared" si="130"/>
        <v>0</v>
      </c>
      <c r="T223" s="49"/>
      <c r="U223" s="49">
        <f t="shared" si="131"/>
        <v>0</v>
      </c>
      <c r="V223" s="49"/>
      <c r="W223" s="49">
        <f t="shared" si="132"/>
        <v>0</v>
      </c>
      <c r="X223" s="49"/>
      <c r="Y223" s="49">
        <f t="shared" si="133"/>
        <v>0</v>
      </c>
      <c r="Z223" s="49"/>
      <c r="AA223" s="49">
        <f t="shared" si="134"/>
        <v>0</v>
      </c>
      <c r="AB223" s="49">
        <f t="shared" si="135"/>
        <v>558749.18000000005</v>
      </c>
      <c r="AC223" s="27" t="str">
        <f t="shared" si="136"/>
        <v>ok</v>
      </c>
    </row>
    <row r="224" spans="1:29" x14ac:dyDescent="0.2">
      <c r="A224" s="14">
        <v>595</v>
      </c>
      <c r="B224" s="14" t="s">
        <v>127</v>
      </c>
      <c r="C224" s="14" t="s">
        <v>128</v>
      </c>
      <c r="D224" s="14" t="s">
        <v>37</v>
      </c>
      <c r="F224" s="49">
        <v>199299.44</v>
      </c>
      <c r="H224" s="49">
        <f t="shared" si="123"/>
        <v>0</v>
      </c>
      <c r="I224" s="49">
        <f t="shared" si="124"/>
        <v>0</v>
      </c>
      <c r="J224" s="49"/>
      <c r="K224" s="49">
        <f t="shared" si="125"/>
        <v>0</v>
      </c>
      <c r="L224" s="49"/>
      <c r="M224" s="49">
        <f t="shared" si="126"/>
        <v>0</v>
      </c>
      <c r="N224" s="49"/>
      <c r="O224" s="49">
        <f t="shared" si="127"/>
        <v>86901.839802143892</v>
      </c>
      <c r="P224" s="49">
        <f t="shared" si="128"/>
        <v>112397.60019785611</v>
      </c>
      <c r="Q224" s="49"/>
      <c r="R224" s="49">
        <f t="shared" si="129"/>
        <v>0</v>
      </c>
      <c r="S224" s="49">
        <f t="shared" si="130"/>
        <v>0</v>
      </c>
      <c r="T224" s="49"/>
      <c r="U224" s="49">
        <f t="shared" si="131"/>
        <v>0</v>
      </c>
      <c r="V224" s="49"/>
      <c r="W224" s="49">
        <f t="shared" si="132"/>
        <v>0</v>
      </c>
      <c r="X224" s="49"/>
      <c r="Y224" s="49">
        <f t="shared" si="133"/>
        <v>0</v>
      </c>
      <c r="Z224" s="49"/>
      <c r="AA224" s="49">
        <f t="shared" si="134"/>
        <v>0</v>
      </c>
      <c r="AB224" s="49">
        <f t="shared" si="135"/>
        <v>199299.44</v>
      </c>
      <c r="AC224" s="27" t="str">
        <f t="shared" si="136"/>
        <v>ok</v>
      </c>
    </row>
    <row r="225" spans="1:29" x14ac:dyDescent="0.2">
      <c r="A225" s="14">
        <v>596</v>
      </c>
      <c r="B225" s="14" t="s">
        <v>378</v>
      </c>
      <c r="C225" s="14" t="s">
        <v>379</v>
      </c>
      <c r="D225" s="14" t="s">
        <v>48</v>
      </c>
      <c r="F225" s="49">
        <v>41248.99</v>
      </c>
      <c r="H225" s="49">
        <f t="shared" si="123"/>
        <v>0</v>
      </c>
      <c r="I225" s="49">
        <f t="shared" si="124"/>
        <v>0</v>
      </c>
      <c r="J225" s="49"/>
      <c r="K225" s="49">
        <f t="shared" si="125"/>
        <v>0</v>
      </c>
      <c r="L225" s="49"/>
      <c r="M225" s="49">
        <f t="shared" si="126"/>
        <v>0</v>
      </c>
      <c r="N225" s="49"/>
      <c r="O225" s="49">
        <f t="shared" si="127"/>
        <v>0</v>
      </c>
      <c r="P225" s="49">
        <f t="shared" si="128"/>
        <v>0</v>
      </c>
      <c r="Q225" s="49"/>
      <c r="R225" s="49">
        <f t="shared" si="129"/>
        <v>0</v>
      </c>
      <c r="S225" s="49">
        <f t="shared" si="130"/>
        <v>0</v>
      </c>
      <c r="T225" s="49"/>
      <c r="U225" s="49">
        <f t="shared" si="131"/>
        <v>0</v>
      </c>
      <c r="V225" s="49"/>
      <c r="W225" s="49">
        <f t="shared" si="132"/>
        <v>41248.99</v>
      </c>
      <c r="X225" s="49"/>
      <c r="Y225" s="49">
        <f t="shared" si="133"/>
        <v>0</v>
      </c>
      <c r="Z225" s="49"/>
      <c r="AA225" s="49">
        <f t="shared" si="134"/>
        <v>0</v>
      </c>
      <c r="AB225" s="49">
        <f t="shared" si="135"/>
        <v>41248.99</v>
      </c>
      <c r="AC225" s="27" t="str">
        <f t="shared" si="136"/>
        <v>ok</v>
      </c>
    </row>
    <row r="226" spans="1:29" x14ac:dyDescent="0.2">
      <c r="A226" s="14">
        <v>597</v>
      </c>
      <c r="B226" s="14" t="s">
        <v>129</v>
      </c>
      <c r="C226" s="14" t="s">
        <v>130</v>
      </c>
      <c r="D226" s="14" t="s">
        <v>43</v>
      </c>
      <c r="F226" s="49">
        <v>114380.79</v>
      </c>
      <c r="H226" s="49">
        <f t="shared" si="123"/>
        <v>0</v>
      </c>
      <c r="I226" s="49">
        <f t="shared" si="124"/>
        <v>0</v>
      </c>
      <c r="J226" s="49"/>
      <c r="K226" s="49">
        <f t="shared" si="125"/>
        <v>0</v>
      </c>
      <c r="L226" s="49"/>
      <c r="M226" s="49">
        <f t="shared" si="126"/>
        <v>0</v>
      </c>
      <c r="N226" s="49"/>
      <c r="O226" s="49">
        <f t="shared" si="127"/>
        <v>0</v>
      </c>
      <c r="P226" s="49">
        <f t="shared" si="128"/>
        <v>0</v>
      </c>
      <c r="Q226" s="49"/>
      <c r="R226" s="49">
        <f t="shared" si="129"/>
        <v>0</v>
      </c>
      <c r="S226" s="49">
        <f t="shared" si="130"/>
        <v>0</v>
      </c>
      <c r="T226" s="49"/>
      <c r="U226" s="49">
        <f t="shared" si="131"/>
        <v>114380.79</v>
      </c>
      <c r="V226" s="49"/>
      <c r="W226" s="49">
        <f t="shared" si="132"/>
        <v>0</v>
      </c>
      <c r="X226" s="49"/>
      <c r="Y226" s="49">
        <f t="shared" si="133"/>
        <v>0</v>
      </c>
      <c r="Z226" s="49"/>
      <c r="AA226" s="49">
        <f t="shared" si="134"/>
        <v>0</v>
      </c>
      <c r="AB226" s="49">
        <f t="shared" si="135"/>
        <v>114380.79</v>
      </c>
      <c r="AC226" s="27" t="str">
        <f t="shared" si="136"/>
        <v>ok</v>
      </c>
    </row>
    <row r="227" spans="1:29" x14ac:dyDescent="0.2">
      <c r="A227" s="14">
        <v>598</v>
      </c>
      <c r="B227" s="14" t="s">
        <v>382</v>
      </c>
      <c r="C227" s="14" t="s">
        <v>131</v>
      </c>
      <c r="D227" s="14" t="s">
        <v>16</v>
      </c>
      <c r="F227" s="49">
        <v>58669.97</v>
      </c>
      <c r="H227" s="49">
        <f t="shared" si="123"/>
        <v>0</v>
      </c>
      <c r="I227" s="49">
        <f t="shared" si="124"/>
        <v>0</v>
      </c>
      <c r="J227" s="49"/>
      <c r="K227" s="49">
        <f t="shared" si="125"/>
        <v>0</v>
      </c>
      <c r="L227" s="49"/>
      <c r="M227" s="49">
        <f t="shared" si="126"/>
        <v>411.63370932071638</v>
      </c>
      <c r="N227" s="49"/>
      <c r="O227" s="49">
        <f t="shared" si="127"/>
        <v>26831.22515398269</v>
      </c>
      <c r="P227" s="49">
        <f t="shared" si="128"/>
        <v>18028.288586553637</v>
      </c>
      <c r="Q227" s="49"/>
      <c r="R227" s="49">
        <f t="shared" si="129"/>
        <v>0</v>
      </c>
      <c r="S227" s="49">
        <f t="shared" si="130"/>
        <v>7520.0981624704673</v>
      </c>
      <c r="T227" s="49"/>
      <c r="U227" s="49">
        <f t="shared" si="131"/>
        <v>2922.8875988542136</v>
      </c>
      <c r="V227" s="49"/>
      <c r="W227" s="49">
        <f t="shared" si="132"/>
        <v>2955.8367888182756</v>
      </c>
      <c r="X227" s="49"/>
      <c r="Y227" s="49">
        <f t="shared" si="133"/>
        <v>0</v>
      </c>
      <c r="Z227" s="49"/>
      <c r="AA227" s="49">
        <f t="shared" si="134"/>
        <v>0</v>
      </c>
      <c r="AB227" s="49">
        <f t="shared" si="135"/>
        <v>58669.97</v>
      </c>
      <c r="AC227" s="27" t="str">
        <f t="shared" si="136"/>
        <v>ok</v>
      </c>
    </row>
    <row r="228" spans="1:29" x14ac:dyDescent="0.2">
      <c r="F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27"/>
    </row>
    <row r="229" spans="1:29" x14ac:dyDescent="0.2">
      <c r="A229" s="14" t="s">
        <v>132</v>
      </c>
      <c r="C229" s="14" t="s">
        <v>133</v>
      </c>
      <c r="F229" s="66">
        <f t="shared" ref="F229:M229" si="137">SUM(F220:F228)</f>
        <v>9769933.8699999992</v>
      </c>
      <c r="G229" s="66"/>
      <c r="H229" s="66">
        <f t="shared" si="137"/>
        <v>0</v>
      </c>
      <c r="I229" s="66">
        <f t="shared" si="137"/>
        <v>0</v>
      </c>
      <c r="J229" s="66"/>
      <c r="K229" s="66">
        <f t="shared" si="137"/>
        <v>0</v>
      </c>
      <c r="L229" s="66"/>
      <c r="M229" s="66">
        <f t="shared" si="137"/>
        <v>3948.9823311640425</v>
      </c>
      <c r="N229" s="66"/>
      <c r="O229" s="66">
        <f t="shared" ref="O229:AA229" si="138">SUM(O220:O228)</f>
        <v>6152111.3106834181</v>
      </c>
      <c r="P229" s="66">
        <f t="shared" si="138"/>
        <v>3329703.0280667767</v>
      </c>
      <c r="Q229" s="66"/>
      <c r="R229" s="66">
        <f t="shared" si="138"/>
        <v>0</v>
      </c>
      <c r="S229" s="66">
        <f t="shared" si="138"/>
        <v>72143.59295603128</v>
      </c>
      <c r="T229" s="66"/>
      <c r="U229" s="66">
        <f t="shared" si="138"/>
        <v>142421.32998128887</v>
      </c>
      <c r="V229" s="66"/>
      <c r="W229" s="66">
        <f t="shared" si="138"/>
        <v>69605.625981319958</v>
      </c>
      <c r="X229" s="66"/>
      <c r="Y229" s="66">
        <f t="shared" si="138"/>
        <v>0</v>
      </c>
      <c r="Z229" s="66"/>
      <c r="AA229" s="66">
        <f t="shared" si="138"/>
        <v>0</v>
      </c>
      <c r="AB229" s="49">
        <f>SUM(H229:AA229)</f>
        <v>9769933.8699999973</v>
      </c>
      <c r="AC229" s="27" t="str">
        <f>IF(ABS(AB229-F229)&lt;1,"ok","err")</f>
        <v>ok</v>
      </c>
    </row>
    <row r="230" spans="1:29" x14ac:dyDescent="0.2">
      <c r="F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C230" s="27"/>
    </row>
    <row r="231" spans="1:29" x14ac:dyDescent="0.2">
      <c r="A231" s="14" t="s">
        <v>380</v>
      </c>
      <c r="F231" s="49">
        <f>F215+F229</f>
        <v>13135266.899999999</v>
      </c>
      <c r="G231" s="49"/>
      <c r="H231" s="49">
        <f>H215+H229</f>
        <v>0</v>
      </c>
      <c r="I231" s="49">
        <f>I215+I229</f>
        <v>0</v>
      </c>
      <c r="J231" s="49"/>
      <c r="K231" s="49">
        <f>K215+K229</f>
        <v>0</v>
      </c>
      <c r="L231" s="49"/>
      <c r="M231" s="49">
        <f>M215+M229</f>
        <v>38263.405234106554</v>
      </c>
      <c r="N231" s="49"/>
      <c r="O231" s="49">
        <f>O215+O229</f>
        <v>7615336.0381250875</v>
      </c>
      <c r="P231" s="49">
        <f>P215+P229</f>
        <v>4065970.4409574601</v>
      </c>
      <c r="Q231" s="49"/>
      <c r="R231" s="49">
        <f>R215+R229</f>
        <v>0</v>
      </c>
      <c r="S231" s="49">
        <f>S215+S229</f>
        <v>525768.17188334803</v>
      </c>
      <c r="T231" s="49"/>
      <c r="U231" s="49">
        <f>U215+U229</f>
        <v>757172.28901077469</v>
      </c>
      <c r="V231" s="49"/>
      <c r="W231" s="49">
        <f>W215+W229</f>
        <v>132756.55478922155</v>
      </c>
      <c r="X231" s="49"/>
      <c r="Y231" s="49">
        <f>Y215+Y229</f>
        <v>0</v>
      </c>
      <c r="Z231" s="49"/>
      <c r="AA231" s="49">
        <f>AA215+AA229</f>
        <v>0</v>
      </c>
      <c r="AB231" s="49">
        <f>SUM(H231:AA231)</f>
        <v>13135266.899999999</v>
      </c>
      <c r="AC231" s="27" t="str">
        <f>IF(ABS(AB231-F231)&lt;1,"ok","err")</f>
        <v>ok</v>
      </c>
    </row>
    <row r="232" spans="1:29" x14ac:dyDescent="0.2"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C232" s="27"/>
    </row>
    <row r="233" spans="1:29" x14ac:dyDescent="0.2">
      <c r="A233" s="14" t="s">
        <v>381</v>
      </c>
      <c r="F233" s="49">
        <f>F231+F199</f>
        <v>13135266.899999999</v>
      </c>
      <c r="G233" s="49"/>
      <c r="H233" s="49">
        <f>H231+H199</f>
        <v>0</v>
      </c>
      <c r="I233" s="49">
        <f>I231+I199</f>
        <v>0</v>
      </c>
      <c r="J233" s="49"/>
      <c r="K233" s="49">
        <f>K231+K199</f>
        <v>0</v>
      </c>
      <c r="L233" s="49"/>
      <c r="M233" s="49">
        <f>M231+M199</f>
        <v>38263.405234106554</v>
      </c>
      <c r="N233" s="49"/>
      <c r="O233" s="49">
        <f>O231+O199</f>
        <v>7615336.0381250875</v>
      </c>
      <c r="P233" s="49">
        <f>P231+P199</f>
        <v>4065970.4409574601</v>
      </c>
      <c r="Q233" s="49"/>
      <c r="R233" s="49">
        <f>R231+R199</f>
        <v>0</v>
      </c>
      <c r="S233" s="49">
        <f>S231+S199</f>
        <v>525768.17188334803</v>
      </c>
      <c r="T233" s="49"/>
      <c r="U233" s="49">
        <f>U231+U199</f>
        <v>757172.28901077469</v>
      </c>
      <c r="V233" s="49"/>
      <c r="W233" s="49">
        <f>W231+W199</f>
        <v>132756.55478922155</v>
      </c>
      <c r="X233" s="49"/>
      <c r="Y233" s="49">
        <f>Y231+Y199</f>
        <v>0</v>
      </c>
      <c r="Z233" s="49"/>
      <c r="AA233" s="49">
        <f>AA231+AA199</f>
        <v>0</v>
      </c>
      <c r="AB233" s="49">
        <f>SUM(H233:AA233)</f>
        <v>13135266.899999999</v>
      </c>
      <c r="AC233" s="27" t="str">
        <f>IF(ABS(AB233-F233)&lt;1,"ok","err")</f>
        <v>ok</v>
      </c>
    </row>
    <row r="234" spans="1:29" x14ac:dyDescent="0.2"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C234" s="27"/>
    </row>
    <row r="235" spans="1:29" x14ac:dyDescent="0.2">
      <c r="A235" s="14" t="s">
        <v>825</v>
      </c>
      <c r="F235" s="49">
        <f>F170+F199+F231</f>
        <v>13135266.899999999</v>
      </c>
      <c r="G235" s="49"/>
      <c r="H235" s="49">
        <f>H170+H199+H231</f>
        <v>0</v>
      </c>
      <c r="I235" s="49">
        <f>I170+I199+I231</f>
        <v>0</v>
      </c>
      <c r="J235" s="49"/>
      <c r="K235" s="49">
        <f>K170+K199+K231</f>
        <v>0</v>
      </c>
      <c r="L235" s="49"/>
      <c r="M235" s="49">
        <f>M170+M199+M231</f>
        <v>38263.405234106554</v>
      </c>
      <c r="N235" s="49"/>
      <c r="O235" s="49">
        <f>O170+O199+O231</f>
        <v>7615336.0381250875</v>
      </c>
      <c r="P235" s="49">
        <f>P170+P199+P231</f>
        <v>4065970.4409574601</v>
      </c>
      <c r="Q235" s="49"/>
      <c r="R235" s="49">
        <f>R170+R199+R231</f>
        <v>0</v>
      </c>
      <c r="S235" s="49">
        <f>S170+S199+S231</f>
        <v>525768.17188334803</v>
      </c>
      <c r="T235" s="49"/>
      <c r="U235" s="49">
        <f>U170+U199+U231</f>
        <v>757172.28901077469</v>
      </c>
      <c r="V235" s="49"/>
      <c r="W235" s="49">
        <f>W170+W199+W231</f>
        <v>132756.55478922155</v>
      </c>
      <c r="X235" s="49"/>
      <c r="Y235" s="49">
        <f>Y170+Y199+Y231</f>
        <v>0</v>
      </c>
      <c r="Z235" s="49"/>
      <c r="AA235" s="49">
        <f>AA170+AA199+AA231</f>
        <v>0</v>
      </c>
      <c r="AB235" s="49">
        <f>SUM(H235:AA235)</f>
        <v>13135266.899999999</v>
      </c>
      <c r="AC235" s="27" t="str">
        <f>IF(ABS(AB235-F235)&lt;1,"ok","err")</f>
        <v>ok</v>
      </c>
    </row>
    <row r="236" spans="1:29" x14ac:dyDescent="0.2"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C236" s="27"/>
    </row>
    <row r="237" spans="1:29" x14ac:dyDescent="0.2">
      <c r="A237" s="14" t="s">
        <v>824</v>
      </c>
      <c r="C237" s="14" t="s">
        <v>134</v>
      </c>
      <c r="F237" s="66">
        <f>F231+F199+F180+F170</f>
        <v>132945725.90000001</v>
      </c>
      <c r="G237" s="66"/>
      <c r="H237" s="66">
        <f>H231+H199+H180+H170</f>
        <v>34332679.475331917</v>
      </c>
      <c r="I237" s="66">
        <f>I231+I199+I180+I170</f>
        <v>85477779.524668083</v>
      </c>
      <c r="J237" s="66"/>
      <c r="K237" s="66">
        <f>K231+K199+K180+K170</f>
        <v>0</v>
      </c>
      <c r="L237" s="66"/>
      <c r="M237" s="66">
        <f>M231+M199+M180+M170</f>
        <v>38263.405234106554</v>
      </c>
      <c r="N237" s="66"/>
      <c r="O237" s="66">
        <f>O231+O199+O180+O170</f>
        <v>7615336.0381250875</v>
      </c>
      <c r="P237" s="66">
        <f>P231+P199+P180+P170</f>
        <v>4065970.4409574601</v>
      </c>
      <c r="Q237" s="66"/>
      <c r="R237" s="66">
        <f>R231+R199+R180+R170</f>
        <v>0</v>
      </c>
      <c r="S237" s="66">
        <f>S231+S199+S180+S170</f>
        <v>525768.17188334803</v>
      </c>
      <c r="T237" s="66"/>
      <c r="U237" s="66">
        <f>U231+U199+U180+U170</f>
        <v>757172.28901077469</v>
      </c>
      <c r="V237" s="66"/>
      <c r="W237" s="66">
        <f>W231+W199+W180+W170</f>
        <v>132756.55478922155</v>
      </c>
      <c r="X237" s="66"/>
      <c r="Y237" s="66">
        <f>Y231+Y199+Y180+Y170</f>
        <v>0</v>
      </c>
      <c r="Z237" s="66"/>
      <c r="AA237" s="66">
        <f>AA231+AA199+AA180+AA170</f>
        <v>0</v>
      </c>
      <c r="AB237" s="49">
        <f>SUM(H237:AA237)</f>
        <v>132945725.89999999</v>
      </c>
      <c r="AC237" s="27" t="str">
        <f>IF(ABS(AB237-F237)&lt;1,"ok","err")</f>
        <v>ok</v>
      </c>
    </row>
    <row r="238" spans="1:29" x14ac:dyDescent="0.2">
      <c r="A238" s="13"/>
      <c r="F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C238" s="27"/>
    </row>
    <row r="239" spans="1:29" x14ac:dyDescent="0.2">
      <c r="A239" s="13" t="s">
        <v>136</v>
      </c>
      <c r="F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C239" s="27"/>
    </row>
    <row r="240" spans="1:29" x14ac:dyDescent="0.2">
      <c r="A240" s="14">
        <v>901</v>
      </c>
      <c r="B240" s="14" t="s">
        <v>137</v>
      </c>
      <c r="C240" s="14" t="s">
        <v>138</v>
      </c>
      <c r="D240" s="14" t="s">
        <v>139</v>
      </c>
      <c r="F240" s="66">
        <v>0</v>
      </c>
      <c r="H240" s="49">
        <f>IF(VLOOKUP($D240,$C$5:$AA$492,6,)=0,0,((VLOOKUP($D240,$C$5:$AA$492,6,)/VLOOKUP($D240,$C$5:$AA$492,4,))*$F240))</f>
        <v>0</v>
      </c>
      <c r="I240" s="49">
        <f>IF(VLOOKUP($D240,$C$5:$AA$492,7,)=0,0,((VLOOKUP($D240,$C$5:$AA$492,7,)/VLOOKUP($D240,$C$5:$AA$492,4,))*$F240))</f>
        <v>0</v>
      </c>
      <c r="J240" s="49"/>
      <c r="K240" s="49">
        <f>IF(VLOOKUP($D240,$C$5:$AA$492,9,)=0,0,((VLOOKUP($D240,$C$5:$AA$492,9,)/VLOOKUP($D240,$C$5:$AA$492,4,))*$F240))</f>
        <v>0</v>
      </c>
      <c r="L240" s="49"/>
      <c r="M240" s="49">
        <f>IF(VLOOKUP($D240,$C$5:$AA$492,11,)=0,0,((VLOOKUP($D240,$C$5:$AA$492,11,)/VLOOKUP($D240,$C$5:$AA$492,4,))*$F240))</f>
        <v>0</v>
      </c>
      <c r="N240" s="49"/>
      <c r="O240" s="49">
        <f>IF(VLOOKUP($D240,$C$5:$AA$492,13,)=0,0,((VLOOKUP($D240,$C$5:$AA$492,13,)/VLOOKUP($D240,$C$5:$AA$492,4,))*$F240))</f>
        <v>0</v>
      </c>
      <c r="P240" s="49">
        <f>IF(VLOOKUP($D240,$C$5:$AA$492,14,)=0,0,((VLOOKUP($D240,$C$5:$AA$492,14,)/VLOOKUP($D240,$C$5:$AA$492,4,))*$F240))</f>
        <v>0</v>
      </c>
      <c r="Q240" s="49"/>
      <c r="R240" s="49">
        <f>IF(VLOOKUP($D240,$C$5:$AA$492,16,)=0,0,((VLOOKUP($D240,$C$5:$AA$492,16,)/VLOOKUP($D240,$C$5:$AA$492,4,))*$F240))</f>
        <v>0</v>
      </c>
      <c r="S240" s="49">
        <f>IF(VLOOKUP($D240,$C$5:$AA$492,17,)=0,0,((VLOOKUP($D240,$C$5:$AA$492,17,)/VLOOKUP($D240,$C$5:$AA$492,4,))*$F240))</f>
        <v>0</v>
      </c>
      <c r="T240" s="49"/>
      <c r="U240" s="49">
        <f>IF(VLOOKUP($D240,$C$5:$AA$492,19,)=0,0,((VLOOKUP($D240,$C$5:$AA$492,19,)/VLOOKUP($D240,$C$5:$AA$492,4,))*$F240))</f>
        <v>0</v>
      </c>
      <c r="V240" s="49"/>
      <c r="W240" s="49">
        <f>IF(VLOOKUP($D240,$C$5:$AA$492,21,)=0,0,((VLOOKUP($D240,$C$5:$AA$492,21,)/VLOOKUP($D240,$C$5:$AA$492,4,))*$F240))</f>
        <v>0</v>
      </c>
      <c r="X240" s="49"/>
      <c r="Y240" s="49">
        <f>IF(VLOOKUP($D240,$C$5:$AA$492,23,)=0,0,((VLOOKUP($D240,$C$5:$AA$492,23,)/VLOOKUP($D240,$C$5:$AA$492,4,))*$F240))</f>
        <v>0</v>
      </c>
      <c r="Z240" s="49"/>
      <c r="AA240" s="49">
        <f>IF(VLOOKUP($D240,$C$5:$AA$492,25,)=0,0,((VLOOKUP($D240,$C$5:$AA$492,25,)/VLOOKUP($D240,$C$5:$AA$492,4,))*$F240))</f>
        <v>0</v>
      </c>
      <c r="AB240" s="49">
        <f>SUM(H240:AA240)</f>
        <v>0</v>
      </c>
      <c r="AC240" s="27" t="str">
        <f>IF(ABS(AB240-F240)&lt;1,"ok","err")</f>
        <v>ok</v>
      </c>
    </row>
    <row r="241" spans="1:29" x14ac:dyDescent="0.2">
      <c r="A241" s="14">
        <v>902</v>
      </c>
      <c r="B241" s="14" t="s">
        <v>140</v>
      </c>
      <c r="C241" s="14" t="s">
        <v>141</v>
      </c>
      <c r="D241" s="14" t="s">
        <v>139</v>
      </c>
      <c r="F241" s="49">
        <v>52911.94</v>
      </c>
      <c r="H241" s="49">
        <f>IF(VLOOKUP($D241,$C$5:$AA$492,6,)=0,0,((VLOOKUP($D241,$C$5:$AA$492,6,)/VLOOKUP($D241,$C$5:$AA$492,4,))*$F241))</f>
        <v>0</v>
      </c>
      <c r="I241" s="49">
        <f>IF(VLOOKUP($D241,$C$5:$AA$492,7,)=0,0,((VLOOKUP($D241,$C$5:$AA$492,7,)/VLOOKUP($D241,$C$5:$AA$492,4,))*$F241))</f>
        <v>0</v>
      </c>
      <c r="J241" s="49"/>
      <c r="K241" s="49">
        <f>IF(VLOOKUP($D241,$C$5:$AA$492,9,)=0,0,((VLOOKUP($D241,$C$5:$AA$492,9,)/VLOOKUP($D241,$C$5:$AA$492,4,))*$F241))</f>
        <v>0</v>
      </c>
      <c r="L241" s="49"/>
      <c r="M241" s="49">
        <f>IF(VLOOKUP($D241,$C$5:$AA$492,11,)=0,0,((VLOOKUP($D241,$C$5:$AA$492,11,)/VLOOKUP($D241,$C$5:$AA$492,4,))*$F241))</f>
        <v>0</v>
      </c>
      <c r="N241" s="49"/>
      <c r="O241" s="49">
        <f>IF(VLOOKUP($D241,$C$5:$AA$492,13,)=0,0,((VLOOKUP($D241,$C$5:$AA$492,13,)/VLOOKUP($D241,$C$5:$AA$492,4,))*$F241))</f>
        <v>0</v>
      </c>
      <c r="P241" s="49">
        <f>IF(VLOOKUP($D241,$C$5:$AA$492,14,)=0,0,((VLOOKUP($D241,$C$5:$AA$492,14,)/VLOOKUP($D241,$C$5:$AA$492,4,))*$F241))</f>
        <v>0</v>
      </c>
      <c r="Q241" s="49"/>
      <c r="R241" s="49">
        <f>IF(VLOOKUP($D241,$C$5:$AA$492,16,)=0,0,((VLOOKUP($D241,$C$5:$AA$492,16,)/VLOOKUP($D241,$C$5:$AA$492,4,))*$F241))</f>
        <v>0</v>
      </c>
      <c r="S241" s="49">
        <f>IF(VLOOKUP($D241,$C$5:$AA$492,17,)=0,0,((VLOOKUP($D241,$C$5:$AA$492,17,)/VLOOKUP($D241,$C$5:$AA$492,4,))*$F241))</f>
        <v>0</v>
      </c>
      <c r="T241" s="49"/>
      <c r="U241" s="49">
        <f>IF(VLOOKUP($D241,$C$5:$AA$492,19,)=0,0,((VLOOKUP($D241,$C$5:$AA$492,19,)/VLOOKUP($D241,$C$5:$AA$492,4,))*$F241))</f>
        <v>0</v>
      </c>
      <c r="V241" s="49"/>
      <c r="W241" s="49">
        <f>IF(VLOOKUP($D241,$C$5:$AA$492,21,)=0,0,((VLOOKUP($D241,$C$5:$AA$492,21,)/VLOOKUP($D241,$C$5:$AA$492,4,))*$F241))</f>
        <v>0</v>
      </c>
      <c r="X241" s="49"/>
      <c r="Y241" s="49">
        <f>IF(VLOOKUP($D241,$C$5:$AA$492,23,)=0,0,((VLOOKUP($D241,$C$5:$AA$492,23,)/VLOOKUP($D241,$C$5:$AA$492,4,))*$F241))</f>
        <v>52911.94</v>
      </c>
      <c r="Z241" s="49"/>
      <c r="AA241" s="49">
        <f>IF(VLOOKUP($D241,$C$5:$AA$492,25,)=0,0,((VLOOKUP($D241,$C$5:$AA$492,25,)/VLOOKUP($D241,$C$5:$AA$492,4,))*$F241))</f>
        <v>0</v>
      </c>
      <c r="AB241" s="49">
        <f>SUM(H241:AA241)</f>
        <v>52911.94</v>
      </c>
      <c r="AC241" s="27" t="str">
        <f>IF(ABS(AB241-F241)&lt;1,"ok","err")</f>
        <v>ok</v>
      </c>
    </row>
    <row r="242" spans="1:29" x14ac:dyDescent="0.2">
      <c r="A242" s="14">
        <v>903</v>
      </c>
      <c r="B242" s="14" t="s">
        <v>451</v>
      </c>
      <c r="C242" s="14" t="s">
        <v>142</v>
      </c>
      <c r="D242" s="14" t="s">
        <v>139</v>
      </c>
      <c r="F242" s="66">
        <f>2963917.56-199.74</f>
        <v>2963717.82</v>
      </c>
      <c r="H242" s="49">
        <f>IF(VLOOKUP($D242,$C$5:$AA$492,6,)=0,0,((VLOOKUP($D242,$C$5:$AA$492,6,)/VLOOKUP($D242,$C$5:$AA$492,4,))*$F242))</f>
        <v>0</v>
      </c>
      <c r="I242" s="49">
        <f>IF(VLOOKUP($D242,$C$5:$AA$492,7,)=0,0,((VLOOKUP($D242,$C$5:$AA$492,7,)/VLOOKUP($D242,$C$5:$AA$492,4,))*$F242))</f>
        <v>0</v>
      </c>
      <c r="J242" s="49"/>
      <c r="K242" s="49">
        <f>IF(VLOOKUP($D242,$C$5:$AA$492,9,)=0,0,((VLOOKUP($D242,$C$5:$AA$492,9,)/VLOOKUP($D242,$C$5:$AA$492,4,))*$F242))</f>
        <v>0</v>
      </c>
      <c r="L242" s="49"/>
      <c r="M242" s="49">
        <f>IF(VLOOKUP($D242,$C$5:$AA$492,11,)=0,0,((VLOOKUP($D242,$C$5:$AA$492,11,)/VLOOKUP($D242,$C$5:$AA$492,4,))*$F242))</f>
        <v>0</v>
      </c>
      <c r="N242" s="49"/>
      <c r="O242" s="49">
        <f>IF(VLOOKUP($D242,$C$5:$AA$492,13,)=0,0,((VLOOKUP($D242,$C$5:$AA$492,13,)/VLOOKUP($D242,$C$5:$AA$492,4,))*$F242))</f>
        <v>0</v>
      </c>
      <c r="P242" s="49">
        <f>IF(VLOOKUP($D242,$C$5:$AA$492,14,)=0,0,((VLOOKUP($D242,$C$5:$AA$492,14,)/VLOOKUP($D242,$C$5:$AA$492,4,))*$F242))</f>
        <v>0</v>
      </c>
      <c r="Q242" s="49"/>
      <c r="R242" s="49">
        <f>IF(VLOOKUP($D242,$C$5:$AA$492,16,)=0,0,((VLOOKUP($D242,$C$5:$AA$492,16,)/VLOOKUP($D242,$C$5:$AA$492,4,))*$F242))</f>
        <v>0</v>
      </c>
      <c r="S242" s="49">
        <f>IF(VLOOKUP($D242,$C$5:$AA$492,17,)=0,0,((VLOOKUP($D242,$C$5:$AA$492,17,)/VLOOKUP($D242,$C$5:$AA$492,4,))*$F242))</f>
        <v>0</v>
      </c>
      <c r="T242" s="49"/>
      <c r="U242" s="49">
        <f>IF(VLOOKUP($D242,$C$5:$AA$492,19,)=0,0,((VLOOKUP($D242,$C$5:$AA$492,19,)/VLOOKUP($D242,$C$5:$AA$492,4,))*$F242))</f>
        <v>0</v>
      </c>
      <c r="V242" s="49"/>
      <c r="W242" s="49">
        <f>IF(VLOOKUP($D242,$C$5:$AA$492,21,)=0,0,((VLOOKUP($D242,$C$5:$AA$492,21,)/VLOOKUP($D242,$C$5:$AA$492,4,))*$F242))</f>
        <v>0</v>
      </c>
      <c r="X242" s="49"/>
      <c r="Y242" s="49">
        <f>IF(VLOOKUP($D242,$C$5:$AA$492,23,)=0,0,((VLOOKUP($D242,$C$5:$AA$492,23,)/VLOOKUP($D242,$C$5:$AA$492,4,))*$F242))</f>
        <v>2963717.82</v>
      </c>
      <c r="Z242" s="49"/>
      <c r="AA242" s="49">
        <f>IF(VLOOKUP($D242,$C$5:$AA$492,25,)=0,0,((VLOOKUP($D242,$C$5:$AA$492,25,)/VLOOKUP($D242,$C$5:$AA$492,4,))*$F242))</f>
        <v>0</v>
      </c>
      <c r="AB242" s="49">
        <f>SUM(H242:AA242)</f>
        <v>2963717.82</v>
      </c>
      <c r="AC242" s="27" t="str">
        <f>IF(ABS(AB242-F242)&lt;1,"ok","err")</f>
        <v>ok</v>
      </c>
    </row>
    <row r="243" spans="1:29" x14ac:dyDescent="0.2">
      <c r="A243" s="14">
        <v>904</v>
      </c>
      <c r="B243" s="14" t="s">
        <v>143</v>
      </c>
      <c r="C243" s="14" t="s">
        <v>144</v>
      </c>
      <c r="D243" s="14" t="s">
        <v>139</v>
      </c>
      <c r="F243" s="49">
        <f>44070.12-7074.26</f>
        <v>36995.86</v>
      </c>
      <c r="H243" s="49">
        <f>IF(VLOOKUP($D243,$C$5:$AA$492,6,)=0,0,((VLOOKUP($D243,$C$5:$AA$492,6,)/VLOOKUP($D243,$C$5:$AA$492,4,))*$F243))</f>
        <v>0</v>
      </c>
      <c r="I243" s="49">
        <f>IF(VLOOKUP($D243,$C$5:$AA$492,7,)=0,0,((VLOOKUP($D243,$C$5:$AA$492,7,)/VLOOKUP($D243,$C$5:$AA$492,4,))*$F243))</f>
        <v>0</v>
      </c>
      <c r="J243" s="49"/>
      <c r="K243" s="49">
        <f>IF(VLOOKUP($D243,$C$5:$AA$492,9,)=0,0,((VLOOKUP($D243,$C$5:$AA$492,9,)/VLOOKUP($D243,$C$5:$AA$492,4,))*$F243))</f>
        <v>0</v>
      </c>
      <c r="L243" s="49"/>
      <c r="M243" s="49">
        <f>IF(VLOOKUP($D243,$C$5:$AA$492,11,)=0,0,((VLOOKUP($D243,$C$5:$AA$492,11,)/VLOOKUP($D243,$C$5:$AA$492,4,))*$F243))</f>
        <v>0</v>
      </c>
      <c r="N243" s="49"/>
      <c r="O243" s="49">
        <f>IF(VLOOKUP($D243,$C$5:$AA$492,13,)=0,0,((VLOOKUP($D243,$C$5:$AA$492,13,)/VLOOKUP($D243,$C$5:$AA$492,4,))*$F243))</f>
        <v>0</v>
      </c>
      <c r="P243" s="49">
        <f>IF(VLOOKUP($D243,$C$5:$AA$492,14,)=0,0,((VLOOKUP($D243,$C$5:$AA$492,14,)/VLOOKUP($D243,$C$5:$AA$492,4,))*$F243))</f>
        <v>0</v>
      </c>
      <c r="Q243" s="49"/>
      <c r="R243" s="49">
        <f>IF(VLOOKUP($D243,$C$5:$AA$492,16,)=0,0,((VLOOKUP($D243,$C$5:$AA$492,16,)/VLOOKUP($D243,$C$5:$AA$492,4,))*$F243))</f>
        <v>0</v>
      </c>
      <c r="S243" s="49">
        <f>IF(VLOOKUP($D243,$C$5:$AA$492,17,)=0,0,((VLOOKUP($D243,$C$5:$AA$492,17,)/VLOOKUP($D243,$C$5:$AA$492,4,))*$F243))</f>
        <v>0</v>
      </c>
      <c r="T243" s="49"/>
      <c r="U243" s="49">
        <f>IF(VLOOKUP($D243,$C$5:$AA$492,19,)=0,0,((VLOOKUP($D243,$C$5:$AA$492,19,)/VLOOKUP($D243,$C$5:$AA$492,4,))*$F243))</f>
        <v>0</v>
      </c>
      <c r="V243" s="49"/>
      <c r="W243" s="49">
        <f>IF(VLOOKUP($D243,$C$5:$AA$492,21,)=0,0,((VLOOKUP($D243,$C$5:$AA$492,21,)/VLOOKUP($D243,$C$5:$AA$492,4,))*$F243))</f>
        <v>0</v>
      </c>
      <c r="X243" s="49"/>
      <c r="Y243" s="49">
        <f>IF(VLOOKUP($D243,$C$5:$AA$492,23,)=0,0,((VLOOKUP($D243,$C$5:$AA$492,23,)/VLOOKUP($D243,$C$5:$AA$492,4,))*$F243))</f>
        <v>36995.86</v>
      </c>
      <c r="Z243" s="49"/>
      <c r="AA243" s="49">
        <f>IF(VLOOKUP($D243,$C$5:$AA$492,25,)=0,0,((VLOOKUP($D243,$C$5:$AA$492,25,)/VLOOKUP($D243,$C$5:$AA$492,4,))*$F243))</f>
        <v>0</v>
      </c>
      <c r="AB243" s="49">
        <f>SUM(H243:AA243)</f>
        <v>36995.86</v>
      </c>
      <c r="AC243" s="27" t="str">
        <f>IF(ABS(AB243-F243)&lt;1,"ok","err")</f>
        <v>ok</v>
      </c>
    </row>
    <row r="244" spans="1:29" x14ac:dyDescent="0.2">
      <c r="A244" s="14">
        <v>905</v>
      </c>
      <c r="B244" s="14" t="s">
        <v>452</v>
      </c>
      <c r="C244" s="14" t="s">
        <v>142</v>
      </c>
      <c r="D244" s="14" t="s">
        <v>139</v>
      </c>
      <c r="F244" s="49">
        <v>0</v>
      </c>
      <c r="H244" s="49">
        <f>IF(VLOOKUP($D244,$C$5:$AA$492,6,)=0,0,((VLOOKUP($D244,$C$5:$AA$492,6,)/VLOOKUP($D244,$C$5:$AA$492,4,))*$F244))</f>
        <v>0</v>
      </c>
      <c r="I244" s="49">
        <f>IF(VLOOKUP($D244,$C$5:$AA$492,7,)=0,0,((VLOOKUP($D244,$C$5:$AA$492,7,)/VLOOKUP($D244,$C$5:$AA$492,4,))*$F244))</f>
        <v>0</v>
      </c>
      <c r="J244" s="49"/>
      <c r="K244" s="49">
        <f>IF(VLOOKUP($D244,$C$5:$AA$492,9,)=0,0,((VLOOKUP($D244,$C$5:$AA$492,9,)/VLOOKUP($D244,$C$5:$AA$492,4,))*$F244))</f>
        <v>0</v>
      </c>
      <c r="L244" s="49"/>
      <c r="M244" s="49">
        <f>IF(VLOOKUP($D244,$C$5:$AA$492,11,)=0,0,((VLOOKUP($D244,$C$5:$AA$492,11,)/VLOOKUP($D244,$C$5:$AA$492,4,))*$F244))</f>
        <v>0</v>
      </c>
      <c r="N244" s="49"/>
      <c r="O244" s="49">
        <f>IF(VLOOKUP($D244,$C$5:$AA$492,13,)=0,0,((VLOOKUP($D244,$C$5:$AA$492,13,)/VLOOKUP($D244,$C$5:$AA$492,4,))*$F244))</f>
        <v>0</v>
      </c>
      <c r="P244" s="49">
        <f>IF(VLOOKUP($D244,$C$5:$AA$492,14,)=0,0,((VLOOKUP($D244,$C$5:$AA$492,14,)/VLOOKUP($D244,$C$5:$AA$492,4,))*$F244))</f>
        <v>0</v>
      </c>
      <c r="Q244" s="49"/>
      <c r="R244" s="49">
        <f>IF(VLOOKUP($D244,$C$5:$AA$492,16,)=0,0,((VLOOKUP($D244,$C$5:$AA$492,16,)/VLOOKUP($D244,$C$5:$AA$492,4,))*$F244))</f>
        <v>0</v>
      </c>
      <c r="S244" s="49">
        <f>IF(VLOOKUP($D244,$C$5:$AA$492,17,)=0,0,((VLOOKUP($D244,$C$5:$AA$492,17,)/VLOOKUP($D244,$C$5:$AA$492,4,))*$F244))</f>
        <v>0</v>
      </c>
      <c r="T244" s="49"/>
      <c r="U244" s="49">
        <f>IF(VLOOKUP($D244,$C$5:$AA$492,19,)=0,0,((VLOOKUP($D244,$C$5:$AA$492,19,)/VLOOKUP($D244,$C$5:$AA$492,4,))*$F244))</f>
        <v>0</v>
      </c>
      <c r="V244" s="49"/>
      <c r="W244" s="49">
        <f>IF(VLOOKUP($D244,$C$5:$AA$492,21,)=0,0,((VLOOKUP($D244,$C$5:$AA$492,21,)/VLOOKUP($D244,$C$5:$AA$492,4,))*$F244))</f>
        <v>0</v>
      </c>
      <c r="X244" s="49"/>
      <c r="Y244" s="49">
        <f>IF(VLOOKUP($D244,$C$5:$AA$492,23,)=0,0,((VLOOKUP($D244,$C$5:$AA$492,23,)/VLOOKUP($D244,$C$5:$AA$492,4,))*$F244))</f>
        <v>0</v>
      </c>
      <c r="Z244" s="49"/>
      <c r="AA244" s="49">
        <f>IF(VLOOKUP($D244,$C$5:$AA$492,25,)=0,0,((VLOOKUP($D244,$C$5:$AA$492,25,)/VLOOKUP($D244,$C$5:$AA$492,4,))*$F244))</f>
        <v>0</v>
      </c>
      <c r="AB244" s="49">
        <f>SUM(H244:AA244)</f>
        <v>0</v>
      </c>
      <c r="AC244" s="27" t="str">
        <f>IF(ABS(AB244-F244)&lt;1,"ok","err")</f>
        <v>ok</v>
      </c>
    </row>
    <row r="245" spans="1:29" x14ac:dyDescent="0.2">
      <c r="A245" s="13"/>
      <c r="F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27"/>
    </row>
    <row r="246" spans="1:29" x14ac:dyDescent="0.2">
      <c r="A246" s="14" t="s">
        <v>145</v>
      </c>
      <c r="C246" s="14" t="s">
        <v>146</v>
      </c>
      <c r="F246" s="66">
        <f>SUM(F240:F245)</f>
        <v>3053625.6199999996</v>
      </c>
      <c r="G246" s="66"/>
      <c r="H246" s="66">
        <f t="shared" ref="H246:W246" si="139">SUM(H240:H245)</f>
        <v>0</v>
      </c>
      <c r="I246" s="66">
        <f t="shared" si="139"/>
        <v>0</v>
      </c>
      <c r="J246" s="66"/>
      <c r="K246" s="66">
        <f t="shared" si="139"/>
        <v>0</v>
      </c>
      <c r="L246" s="66"/>
      <c r="M246" s="66">
        <f t="shared" si="139"/>
        <v>0</v>
      </c>
      <c r="N246" s="66"/>
      <c r="O246" s="66">
        <f t="shared" si="139"/>
        <v>0</v>
      </c>
      <c r="P246" s="66">
        <f t="shared" si="139"/>
        <v>0</v>
      </c>
      <c r="Q246" s="66"/>
      <c r="R246" s="66">
        <f t="shared" si="139"/>
        <v>0</v>
      </c>
      <c r="S246" s="66">
        <f t="shared" si="139"/>
        <v>0</v>
      </c>
      <c r="T246" s="66"/>
      <c r="U246" s="66">
        <f t="shared" si="139"/>
        <v>0</v>
      </c>
      <c r="V246" s="66"/>
      <c r="W246" s="66">
        <f t="shared" si="139"/>
        <v>0</v>
      </c>
      <c r="X246" s="66"/>
      <c r="Y246" s="66">
        <f>SUM(Y240:Y245)</f>
        <v>3053625.6199999996</v>
      </c>
      <c r="Z246" s="66"/>
      <c r="AA246" s="66">
        <f>SUM(AA240:AA245)</f>
        <v>0</v>
      </c>
      <c r="AB246" s="49">
        <f>SUM(H246:AA246)</f>
        <v>3053625.6199999996</v>
      </c>
      <c r="AC246" s="27" t="str">
        <f>IF(ABS(AB246-F246)&lt;1,"ok","err")</f>
        <v>ok</v>
      </c>
    </row>
    <row r="247" spans="1:29" x14ac:dyDescent="0.2">
      <c r="F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C247" s="27"/>
    </row>
    <row r="248" spans="1:29" x14ac:dyDescent="0.2">
      <c r="A248" s="13" t="s">
        <v>147</v>
      </c>
      <c r="F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C248" s="27"/>
    </row>
    <row r="249" spans="1:29" x14ac:dyDescent="0.2">
      <c r="A249" s="14">
        <v>907</v>
      </c>
      <c r="B249" s="14" t="s">
        <v>383</v>
      </c>
      <c r="C249" s="14" t="s">
        <v>148</v>
      </c>
      <c r="D249" s="14" t="s">
        <v>149</v>
      </c>
      <c r="F249" s="66">
        <v>0</v>
      </c>
      <c r="H249" s="49">
        <f t="shared" ref="H249:H260" si="140">IF(VLOOKUP($D249,$C$5:$AA$492,6,)=0,0,((VLOOKUP($D249,$C$5:$AA$492,6,)/VLOOKUP($D249,$C$5:$AA$492,4,))*$F249))</f>
        <v>0</v>
      </c>
      <c r="I249" s="49">
        <f t="shared" ref="I249:I260" si="141">IF(VLOOKUP($D249,$C$5:$AA$492,7,)=0,0,((VLOOKUP($D249,$C$5:$AA$492,7,)/VLOOKUP($D249,$C$5:$AA$492,4,))*$F249))</f>
        <v>0</v>
      </c>
      <c r="J249" s="49"/>
      <c r="K249" s="49">
        <f t="shared" ref="K249:K260" si="142">IF(VLOOKUP($D249,$C$5:$AA$492,9,)=0,0,((VLOOKUP($D249,$C$5:$AA$492,9,)/VLOOKUP($D249,$C$5:$AA$492,4,))*$F249))</f>
        <v>0</v>
      </c>
      <c r="L249" s="49"/>
      <c r="M249" s="49">
        <f t="shared" ref="M249:M260" si="143">IF(VLOOKUP($D249,$C$5:$AA$492,11,)=0,0,((VLOOKUP($D249,$C$5:$AA$492,11,)/VLOOKUP($D249,$C$5:$AA$492,4,))*$F249))</f>
        <v>0</v>
      </c>
      <c r="N249" s="49"/>
      <c r="O249" s="49">
        <f t="shared" ref="O249:O260" si="144">IF(VLOOKUP($D249,$C$5:$AA$492,13,)=0,0,((VLOOKUP($D249,$C$5:$AA$492,13,)/VLOOKUP($D249,$C$5:$AA$492,4,))*$F249))</f>
        <v>0</v>
      </c>
      <c r="P249" s="49">
        <f t="shared" ref="P249:P260" si="145">IF(VLOOKUP($D249,$C$5:$AA$492,14,)=0,0,((VLOOKUP($D249,$C$5:$AA$492,14,)/VLOOKUP($D249,$C$5:$AA$492,4,))*$F249))</f>
        <v>0</v>
      </c>
      <c r="Q249" s="49"/>
      <c r="R249" s="49">
        <f t="shared" ref="R249:R260" si="146">IF(VLOOKUP($D249,$C$5:$AA$492,16,)=0,0,((VLOOKUP($D249,$C$5:$AA$492,16,)/VLOOKUP($D249,$C$5:$AA$492,4,))*$F249))</f>
        <v>0</v>
      </c>
      <c r="S249" s="49">
        <f t="shared" ref="S249:S260" si="147">IF(VLOOKUP($D249,$C$5:$AA$492,17,)=0,0,((VLOOKUP($D249,$C$5:$AA$492,17,)/VLOOKUP($D249,$C$5:$AA$492,4,))*$F249))</f>
        <v>0</v>
      </c>
      <c r="T249" s="49"/>
      <c r="U249" s="49">
        <f t="shared" ref="U249:U260" si="148">IF(VLOOKUP($D249,$C$5:$AA$492,19,)=0,0,((VLOOKUP($D249,$C$5:$AA$492,19,)/VLOOKUP($D249,$C$5:$AA$492,4,))*$F249))</f>
        <v>0</v>
      </c>
      <c r="V249" s="49"/>
      <c r="W249" s="49">
        <f t="shared" ref="W249:W260" si="149">IF(VLOOKUP($D249,$C$5:$AA$492,21,)=0,0,((VLOOKUP($D249,$C$5:$AA$492,21,)/VLOOKUP($D249,$C$5:$AA$492,4,))*$F249))</f>
        <v>0</v>
      </c>
      <c r="X249" s="49"/>
      <c r="Y249" s="49">
        <f t="shared" ref="Y249:Y260" si="150">IF(VLOOKUP($D249,$C$5:$AA$492,23,)=0,0,((VLOOKUP($D249,$C$5:$AA$492,23,)/VLOOKUP($D249,$C$5:$AA$492,4,))*$F249))</f>
        <v>0</v>
      </c>
      <c r="Z249" s="49"/>
      <c r="AA249" s="49">
        <f t="shared" ref="AA249:AA260" si="151">IF(VLOOKUP($D249,$C$5:$AA$492,25,)=0,0,((VLOOKUP($D249,$C$5:$AA$492,25,)/VLOOKUP($D249,$C$5:$AA$492,4,))*$F249))</f>
        <v>0</v>
      </c>
      <c r="AB249" s="49">
        <f t="shared" ref="AB249:AB260" si="152">SUM(H249:AA249)</f>
        <v>0</v>
      </c>
      <c r="AC249" s="27" t="str">
        <f t="shared" ref="AC249:AC260" si="153">IF(ABS(AB249-F249)&lt;1,"ok","err")</f>
        <v>ok</v>
      </c>
    </row>
    <row r="250" spans="1:29" x14ac:dyDescent="0.2">
      <c r="A250" s="14">
        <v>908</v>
      </c>
      <c r="B250" s="14" t="s">
        <v>150</v>
      </c>
      <c r="C250" s="14" t="s">
        <v>151</v>
      </c>
      <c r="D250" s="14" t="s">
        <v>149</v>
      </c>
      <c r="F250" s="49">
        <f>387816.98</f>
        <v>387816.98</v>
      </c>
      <c r="H250" s="49">
        <f t="shared" si="140"/>
        <v>0</v>
      </c>
      <c r="I250" s="49">
        <f t="shared" si="141"/>
        <v>0</v>
      </c>
      <c r="J250" s="49"/>
      <c r="K250" s="49">
        <f t="shared" si="142"/>
        <v>0</v>
      </c>
      <c r="L250" s="49"/>
      <c r="M250" s="49">
        <f t="shared" si="143"/>
        <v>0</v>
      </c>
      <c r="N250" s="49"/>
      <c r="O250" s="49">
        <f t="shared" si="144"/>
        <v>0</v>
      </c>
      <c r="P250" s="49">
        <f t="shared" si="145"/>
        <v>0</v>
      </c>
      <c r="Q250" s="49"/>
      <c r="R250" s="49">
        <f t="shared" si="146"/>
        <v>0</v>
      </c>
      <c r="S250" s="49">
        <f t="shared" si="147"/>
        <v>0</v>
      </c>
      <c r="T250" s="49"/>
      <c r="U250" s="49">
        <f t="shared" si="148"/>
        <v>0</v>
      </c>
      <c r="V250" s="49"/>
      <c r="W250" s="49">
        <f t="shared" si="149"/>
        <v>0</v>
      </c>
      <c r="X250" s="49"/>
      <c r="Y250" s="49">
        <f t="shared" si="150"/>
        <v>387816.98</v>
      </c>
      <c r="Z250" s="49"/>
      <c r="AA250" s="49">
        <f t="shared" si="151"/>
        <v>0</v>
      </c>
      <c r="AB250" s="49">
        <f t="shared" si="152"/>
        <v>387816.98</v>
      </c>
      <c r="AC250" s="27" t="str">
        <f t="shared" si="153"/>
        <v>ok</v>
      </c>
    </row>
    <row r="251" spans="1:29" x14ac:dyDescent="0.2">
      <c r="A251" s="14">
        <v>908</v>
      </c>
      <c r="B251" s="14" t="s">
        <v>453</v>
      </c>
      <c r="C251" s="14" t="s">
        <v>454</v>
      </c>
      <c r="D251" s="14" t="s">
        <v>470</v>
      </c>
      <c r="F251" s="49">
        <v>0</v>
      </c>
      <c r="H251" s="49">
        <f t="shared" si="140"/>
        <v>0</v>
      </c>
      <c r="I251" s="49">
        <f t="shared" si="141"/>
        <v>0</v>
      </c>
      <c r="J251" s="49"/>
      <c r="K251" s="49">
        <f t="shared" si="142"/>
        <v>0</v>
      </c>
      <c r="L251" s="49"/>
      <c r="M251" s="49">
        <f t="shared" si="143"/>
        <v>0</v>
      </c>
      <c r="N251" s="49"/>
      <c r="O251" s="49">
        <f t="shared" si="144"/>
        <v>0</v>
      </c>
      <c r="P251" s="49">
        <f t="shared" si="145"/>
        <v>0</v>
      </c>
      <c r="Q251" s="49"/>
      <c r="R251" s="49">
        <f t="shared" si="146"/>
        <v>0</v>
      </c>
      <c r="S251" s="49">
        <f t="shared" si="147"/>
        <v>0</v>
      </c>
      <c r="T251" s="49"/>
      <c r="U251" s="49">
        <f t="shared" si="148"/>
        <v>0</v>
      </c>
      <c r="V251" s="49"/>
      <c r="W251" s="49">
        <f t="shared" si="149"/>
        <v>0</v>
      </c>
      <c r="X251" s="49"/>
      <c r="Y251" s="49">
        <f t="shared" si="150"/>
        <v>0</v>
      </c>
      <c r="Z251" s="49"/>
      <c r="AA251" s="49">
        <f t="shared" si="151"/>
        <v>0</v>
      </c>
      <c r="AB251" s="49">
        <f t="shared" si="152"/>
        <v>0</v>
      </c>
      <c r="AC251" s="27" t="str">
        <f t="shared" si="153"/>
        <v>ok</v>
      </c>
    </row>
    <row r="252" spans="1:29" x14ac:dyDescent="0.2">
      <c r="A252" s="14">
        <v>909</v>
      </c>
      <c r="B252" s="14" t="s">
        <v>152</v>
      </c>
      <c r="C252" s="14" t="s">
        <v>153</v>
      </c>
      <c r="D252" s="14" t="s">
        <v>149</v>
      </c>
      <c r="F252" s="49">
        <v>0</v>
      </c>
      <c r="H252" s="49">
        <f t="shared" si="140"/>
        <v>0</v>
      </c>
      <c r="I252" s="49">
        <f t="shared" si="141"/>
        <v>0</v>
      </c>
      <c r="J252" s="49"/>
      <c r="K252" s="49">
        <f t="shared" si="142"/>
        <v>0</v>
      </c>
      <c r="L252" s="49"/>
      <c r="M252" s="49">
        <f t="shared" si="143"/>
        <v>0</v>
      </c>
      <c r="N252" s="49"/>
      <c r="O252" s="49">
        <f t="shared" si="144"/>
        <v>0</v>
      </c>
      <c r="P252" s="49">
        <f t="shared" si="145"/>
        <v>0</v>
      </c>
      <c r="Q252" s="49"/>
      <c r="R252" s="49">
        <f t="shared" si="146"/>
        <v>0</v>
      </c>
      <c r="S252" s="49">
        <f t="shared" si="147"/>
        <v>0</v>
      </c>
      <c r="T252" s="49"/>
      <c r="U252" s="49">
        <f t="shared" si="148"/>
        <v>0</v>
      </c>
      <c r="V252" s="49"/>
      <c r="W252" s="49">
        <f t="shared" si="149"/>
        <v>0</v>
      </c>
      <c r="X252" s="49"/>
      <c r="Y252" s="49">
        <f t="shared" si="150"/>
        <v>0</v>
      </c>
      <c r="Z252" s="49"/>
      <c r="AA252" s="49">
        <f t="shared" si="151"/>
        <v>0</v>
      </c>
      <c r="AB252" s="49">
        <f t="shared" si="152"/>
        <v>0</v>
      </c>
      <c r="AC252" s="27" t="str">
        <f t="shared" si="153"/>
        <v>ok</v>
      </c>
    </row>
    <row r="253" spans="1:29" x14ac:dyDescent="0.2">
      <c r="A253" s="14">
        <v>909</v>
      </c>
      <c r="B253" s="14" t="s">
        <v>455</v>
      </c>
      <c r="C253" s="14" t="s">
        <v>456</v>
      </c>
      <c r="D253" s="14" t="s">
        <v>470</v>
      </c>
      <c r="F253" s="49">
        <v>0</v>
      </c>
      <c r="H253" s="49">
        <f t="shared" si="140"/>
        <v>0</v>
      </c>
      <c r="I253" s="49">
        <f t="shared" si="141"/>
        <v>0</v>
      </c>
      <c r="J253" s="49"/>
      <c r="K253" s="49">
        <f t="shared" si="142"/>
        <v>0</v>
      </c>
      <c r="L253" s="49"/>
      <c r="M253" s="49">
        <f t="shared" si="143"/>
        <v>0</v>
      </c>
      <c r="N253" s="49"/>
      <c r="O253" s="49">
        <f t="shared" si="144"/>
        <v>0</v>
      </c>
      <c r="P253" s="49">
        <f t="shared" si="145"/>
        <v>0</v>
      </c>
      <c r="Q253" s="49"/>
      <c r="R253" s="49">
        <f t="shared" si="146"/>
        <v>0</v>
      </c>
      <c r="S253" s="49">
        <f t="shared" si="147"/>
        <v>0</v>
      </c>
      <c r="T253" s="49"/>
      <c r="U253" s="49">
        <f t="shared" si="148"/>
        <v>0</v>
      </c>
      <c r="V253" s="49"/>
      <c r="W253" s="49">
        <f t="shared" si="149"/>
        <v>0</v>
      </c>
      <c r="X253" s="49"/>
      <c r="Y253" s="49">
        <f t="shared" si="150"/>
        <v>0</v>
      </c>
      <c r="Z253" s="49"/>
      <c r="AA253" s="49">
        <f t="shared" si="151"/>
        <v>0</v>
      </c>
      <c r="AB253" s="49">
        <f t="shared" si="152"/>
        <v>0</v>
      </c>
      <c r="AC253" s="27" t="str">
        <f t="shared" si="153"/>
        <v>ok</v>
      </c>
    </row>
    <row r="254" spans="1:29" x14ac:dyDescent="0.2">
      <c r="A254" s="14">
        <v>910</v>
      </c>
      <c r="B254" s="14" t="s">
        <v>154</v>
      </c>
      <c r="C254" s="14" t="s">
        <v>155</v>
      </c>
      <c r="D254" s="14" t="s">
        <v>149</v>
      </c>
      <c r="F254" s="49">
        <v>0</v>
      </c>
      <c r="H254" s="49">
        <f t="shared" si="140"/>
        <v>0</v>
      </c>
      <c r="I254" s="49">
        <f t="shared" si="141"/>
        <v>0</v>
      </c>
      <c r="J254" s="49"/>
      <c r="K254" s="49">
        <f t="shared" si="142"/>
        <v>0</v>
      </c>
      <c r="L254" s="49"/>
      <c r="M254" s="49">
        <f t="shared" si="143"/>
        <v>0</v>
      </c>
      <c r="N254" s="49"/>
      <c r="O254" s="49">
        <f t="shared" si="144"/>
        <v>0</v>
      </c>
      <c r="P254" s="49">
        <f t="shared" si="145"/>
        <v>0</v>
      </c>
      <c r="Q254" s="49"/>
      <c r="R254" s="49">
        <f t="shared" si="146"/>
        <v>0</v>
      </c>
      <c r="S254" s="49">
        <f t="shared" si="147"/>
        <v>0</v>
      </c>
      <c r="T254" s="49"/>
      <c r="U254" s="49">
        <f t="shared" si="148"/>
        <v>0</v>
      </c>
      <c r="V254" s="49"/>
      <c r="W254" s="49">
        <f t="shared" si="149"/>
        <v>0</v>
      </c>
      <c r="X254" s="49"/>
      <c r="Y254" s="49">
        <f t="shared" si="150"/>
        <v>0</v>
      </c>
      <c r="Z254" s="49"/>
      <c r="AA254" s="49">
        <f t="shared" si="151"/>
        <v>0</v>
      </c>
      <c r="AB254" s="49">
        <f t="shared" si="152"/>
        <v>0</v>
      </c>
      <c r="AC254" s="27" t="str">
        <f t="shared" si="153"/>
        <v>ok</v>
      </c>
    </row>
    <row r="255" spans="1:29" x14ac:dyDescent="0.2">
      <c r="A255" s="14">
        <v>911</v>
      </c>
      <c r="B255" s="14" t="s">
        <v>383</v>
      </c>
      <c r="C255" s="14" t="s">
        <v>709</v>
      </c>
      <c r="D255" s="14" t="s">
        <v>149</v>
      </c>
      <c r="F255" s="49">
        <v>0</v>
      </c>
      <c r="H255" s="49">
        <f t="shared" si="140"/>
        <v>0</v>
      </c>
      <c r="I255" s="49">
        <f t="shared" si="141"/>
        <v>0</v>
      </c>
      <c r="J255" s="49"/>
      <c r="K255" s="49">
        <f t="shared" si="142"/>
        <v>0</v>
      </c>
      <c r="L255" s="49"/>
      <c r="M255" s="49">
        <f t="shared" si="143"/>
        <v>0</v>
      </c>
      <c r="N255" s="49"/>
      <c r="O255" s="49">
        <f t="shared" si="144"/>
        <v>0</v>
      </c>
      <c r="P255" s="49">
        <f t="shared" si="145"/>
        <v>0</v>
      </c>
      <c r="Q255" s="49"/>
      <c r="R255" s="49">
        <f t="shared" si="146"/>
        <v>0</v>
      </c>
      <c r="S255" s="49">
        <f t="shared" si="147"/>
        <v>0</v>
      </c>
      <c r="T255" s="49"/>
      <c r="U255" s="49">
        <f t="shared" si="148"/>
        <v>0</v>
      </c>
      <c r="V255" s="49"/>
      <c r="W255" s="49">
        <f t="shared" si="149"/>
        <v>0</v>
      </c>
      <c r="X255" s="49"/>
      <c r="Y255" s="49">
        <f t="shared" si="150"/>
        <v>0</v>
      </c>
      <c r="Z255" s="49"/>
      <c r="AA255" s="49">
        <f t="shared" si="151"/>
        <v>0</v>
      </c>
      <c r="AB255" s="49">
        <f>SUM(H255:AA255)</f>
        <v>0</v>
      </c>
      <c r="AC255" s="27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470</v>
      </c>
      <c r="F256" s="49">
        <f>185657.03-230802.2+80062.76</f>
        <v>34917.589999999982</v>
      </c>
      <c r="H256" s="49">
        <f t="shared" si="140"/>
        <v>0</v>
      </c>
      <c r="I256" s="49">
        <f t="shared" si="141"/>
        <v>0</v>
      </c>
      <c r="J256" s="49"/>
      <c r="K256" s="49">
        <f t="shared" si="142"/>
        <v>0</v>
      </c>
      <c r="L256" s="49"/>
      <c r="M256" s="49">
        <f t="shared" si="143"/>
        <v>0</v>
      </c>
      <c r="N256" s="49"/>
      <c r="O256" s="49">
        <f t="shared" si="144"/>
        <v>0</v>
      </c>
      <c r="P256" s="49">
        <f t="shared" si="145"/>
        <v>0</v>
      </c>
      <c r="Q256" s="49"/>
      <c r="R256" s="49">
        <f t="shared" si="146"/>
        <v>0</v>
      </c>
      <c r="S256" s="49">
        <f t="shared" si="147"/>
        <v>0</v>
      </c>
      <c r="T256" s="49"/>
      <c r="U256" s="49">
        <f t="shared" si="148"/>
        <v>0</v>
      </c>
      <c r="V256" s="49"/>
      <c r="W256" s="49">
        <f t="shared" si="149"/>
        <v>0</v>
      </c>
      <c r="X256" s="49"/>
      <c r="Y256" s="49">
        <f t="shared" si="150"/>
        <v>0</v>
      </c>
      <c r="Z256" s="49"/>
      <c r="AA256" s="49">
        <f t="shared" si="151"/>
        <v>34917.589999999982</v>
      </c>
      <c r="AB256" s="49">
        <f t="shared" si="152"/>
        <v>34917.589999999982</v>
      </c>
      <c r="AC256" s="27" t="str">
        <f t="shared" si="153"/>
        <v>ok</v>
      </c>
    </row>
    <row r="257" spans="1:29" x14ac:dyDescent="0.2">
      <c r="A257" s="14">
        <v>913</v>
      </c>
      <c r="B257" s="14" t="s">
        <v>637</v>
      </c>
      <c r="C257" s="14" t="s">
        <v>576</v>
      </c>
      <c r="D257" s="14" t="s">
        <v>470</v>
      </c>
      <c r="F257" s="49">
        <f>15314.76</f>
        <v>15314.76</v>
      </c>
      <c r="H257" s="49">
        <f t="shared" si="140"/>
        <v>0</v>
      </c>
      <c r="I257" s="49">
        <f t="shared" si="141"/>
        <v>0</v>
      </c>
      <c r="J257" s="49"/>
      <c r="K257" s="49">
        <f t="shared" si="142"/>
        <v>0</v>
      </c>
      <c r="L257" s="49"/>
      <c r="M257" s="49">
        <f t="shared" si="143"/>
        <v>0</v>
      </c>
      <c r="N257" s="49"/>
      <c r="O257" s="49">
        <f t="shared" si="144"/>
        <v>0</v>
      </c>
      <c r="P257" s="49">
        <f t="shared" si="145"/>
        <v>0</v>
      </c>
      <c r="Q257" s="49"/>
      <c r="R257" s="49">
        <f t="shared" si="146"/>
        <v>0</v>
      </c>
      <c r="S257" s="49">
        <f t="shared" si="147"/>
        <v>0</v>
      </c>
      <c r="T257" s="49"/>
      <c r="U257" s="49">
        <f t="shared" si="148"/>
        <v>0</v>
      </c>
      <c r="V257" s="49"/>
      <c r="W257" s="49">
        <f t="shared" si="149"/>
        <v>0</v>
      </c>
      <c r="X257" s="49"/>
      <c r="Y257" s="49">
        <f t="shared" si="150"/>
        <v>0</v>
      </c>
      <c r="Z257" s="49"/>
      <c r="AA257" s="49">
        <f t="shared" si="151"/>
        <v>15314.76</v>
      </c>
      <c r="AB257" s="49">
        <f t="shared" si="152"/>
        <v>15314.76</v>
      </c>
      <c r="AC257" s="27" t="str">
        <f t="shared" si="153"/>
        <v>ok</v>
      </c>
    </row>
    <row r="258" spans="1:29" x14ac:dyDescent="0.2">
      <c r="A258" s="14">
        <v>914</v>
      </c>
      <c r="B258" s="14" t="s">
        <v>924</v>
      </c>
      <c r="C258" s="14" t="s">
        <v>925</v>
      </c>
      <c r="D258" s="14" t="s">
        <v>470</v>
      </c>
      <c r="F258" s="49">
        <v>0</v>
      </c>
      <c r="H258" s="49">
        <f t="shared" si="140"/>
        <v>0</v>
      </c>
      <c r="I258" s="49">
        <f t="shared" si="141"/>
        <v>0</v>
      </c>
      <c r="J258" s="49"/>
      <c r="K258" s="49">
        <f t="shared" si="142"/>
        <v>0</v>
      </c>
      <c r="L258" s="49"/>
      <c r="M258" s="49">
        <f t="shared" si="143"/>
        <v>0</v>
      </c>
      <c r="N258" s="49"/>
      <c r="O258" s="49">
        <f t="shared" si="144"/>
        <v>0</v>
      </c>
      <c r="P258" s="49">
        <f t="shared" si="145"/>
        <v>0</v>
      </c>
      <c r="Q258" s="49"/>
      <c r="R258" s="49">
        <f t="shared" si="146"/>
        <v>0</v>
      </c>
      <c r="S258" s="49">
        <f t="shared" si="147"/>
        <v>0</v>
      </c>
      <c r="T258" s="49"/>
      <c r="U258" s="49">
        <f t="shared" si="148"/>
        <v>0</v>
      </c>
      <c r="V258" s="49"/>
      <c r="W258" s="49">
        <f t="shared" si="149"/>
        <v>0</v>
      </c>
      <c r="X258" s="49"/>
      <c r="Y258" s="49">
        <f t="shared" si="150"/>
        <v>0</v>
      </c>
      <c r="Z258" s="49"/>
      <c r="AA258" s="49">
        <f t="shared" si="151"/>
        <v>0</v>
      </c>
      <c r="AB258" s="49">
        <f>SUM(H258:AA258)</f>
        <v>0</v>
      </c>
      <c r="AC258" s="27" t="str">
        <f>IF(ABS(AB258-F258)&lt;1,"ok","err")</f>
        <v>ok</v>
      </c>
    </row>
    <row r="259" spans="1:29" x14ac:dyDescent="0.2">
      <c r="A259" s="14">
        <v>916</v>
      </c>
      <c r="B259" s="14" t="s">
        <v>639</v>
      </c>
      <c r="C259" s="14" t="s">
        <v>640</v>
      </c>
      <c r="D259" s="14" t="s">
        <v>470</v>
      </c>
      <c r="F259" s="49">
        <v>0</v>
      </c>
      <c r="H259" s="49">
        <f t="shared" si="140"/>
        <v>0</v>
      </c>
      <c r="I259" s="49">
        <f t="shared" si="141"/>
        <v>0</v>
      </c>
      <c r="J259" s="49"/>
      <c r="K259" s="49">
        <f t="shared" si="142"/>
        <v>0</v>
      </c>
      <c r="L259" s="49"/>
      <c r="M259" s="49">
        <f t="shared" si="143"/>
        <v>0</v>
      </c>
      <c r="N259" s="49"/>
      <c r="O259" s="49">
        <f t="shared" si="144"/>
        <v>0</v>
      </c>
      <c r="P259" s="49">
        <f t="shared" si="145"/>
        <v>0</v>
      </c>
      <c r="Q259" s="49"/>
      <c r="R259" s="49">
        <f t="shared" si="146"/>
        <v>0</v>
      </c>
      <c r="S259" s="49">
        <f t="shared" si="147"/>
        <v>0</v>
      </c>
      <c r="T259" s="49"/>
      <c r="U259" s="49">
        <f t="shared" si="148"/>
        <v>0</v>
      </c>
      <c r="V259" s="49"/>
      <c r="W259" s="49">
        <f t="shared" si="149"/>
        <v>0</v>
      </c>
      <c r="X259" s="49"/>
      <c r="Y259" s="49">
        <f t="shared" si="150"/>
        <v>0</v>
      </c>
      <c r="Z259" s="49"/>
      <c r="AA259" s="49">
        <f t="shared" si="151"/>
        <v>0</v>
      </c>
      <c r="AB259" s="49">
        <f t="shared" si="152"/>
        <v>0</v>
      </c>
      <c r="AC259" s="27" t="str">
        <f t="shared" si="153"/>
        <v>ok</v>
      </c>
    </row>
    <row r="260" spans="1:29" x14ac:dyDescent="0.2">
      <c r="A260" s="14">
        <v>917</v>
      </c>
      <c r="B260" s="14" t="s">
        <v>639</v>
      </c>
      <c r="C260" s="14" t="s">
        <v>919</v>
      </c>
      <c r="D260" s="14" t="s">
        <v>470</v>
      </c>
      <c r="F260" s="49">
        <v>0</v>
      </c>
      <c r="H260" s="49">
        <f t="shared" si="140"/>
        <v>0</v>
      </c>
      <c r="I260" s="49">
        <f t="shared" si="141"/>
        <v>0</v>
      </c>
      <c r="J260" s="49"/>
      <c r="K260" s="49">
        <f t="shared" si="142"/>
        <v>0</v>
      </c>
      <c r="L260" s="49"/>
      <c r="M260" s="49">
        <f t="shared" si="143"/>
        <v>0</v>
      </c>
      <c r="N260" s="49"/>
      <c r="O260" s="49">
        <f t="shared" si="144"/>
        <v>0</v>
      </c>
      <c r="P260" s="49">
        <f t="shared" si="145"/>
        <v>0</v>
      </c>
      <c r="Q260" s="49"/>
      <c r="R260" s="49">
        <f t="shared" si="146"/>
        <v>0</v>
      </c>
      <c r="S260" s="49">
        <f t="shared" si="147"/>
        <v>0</v>
      </c>
      <c r="T260" s="49"/>
      <c r="U260" s="49">
        <f t="shared" si="148"/>
        <v>0</v>
      </c>
      <c r="V260" s="49"/>
      <c r="W260" s="49">
        <f t="shared" si="149"/>
        <v>0</v>
      </c>
      <c r="X260" s="49"/>
      <c r="Y260" s="49">
        <f t="shared" si="150"/>
        <v>0</v>
      </c>
      <c r="Z260" s="49"/>
      <c r="AA260" s="49">
        <f t="shared" si="151"/>
        <v>0</v>
      </c>
      <c r="AB260" s="49">
        <f t="shared" si="152"/>
        <v>0</v>
      </c>
      <c r="AC260" s="27" t="str">
        <f t="shared" si="153"/>
        <v>ok</v>
      </c>
    </row>
    <row r="261" spans="1:29" x14ac:dyDescent="0.2">
      <c r="F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27"/>
    </row>
    <row r="262" spans="1:29" x14ac:dyDescent="0.2">
      <c r="A262" s="14" t="s">
        <v>156</v>
      </c>
      <c r="C262" s="14" t="s">
        <v>157</v>
      </c>
      <c r="F262" s="66">
        <f>SUM(F249:F260)</f>
        <v>438049.32999999996</v>
      </c>
      <c r="G262" s="66"/>
      <c r="H262" s="66">
        <f t="shared" ref="G262:W262" si="154">SUM(H249:H261)</f>
        <v>0</v>
      </c>
      <c r="I262" s="66">
        <f t="shared" si="154"/>
        <v>0</v>
      </c>
      <c r="J262" s="66"/>
      <c r="K262" s="66">
        <f t="shared" si="154"/>
        <v>0</v>
      </c>
      <c r="L262" s="66"/>
      <c r="M262" s="66">
        <f t="shared" si="154"/>
        <v>0</v>
      </c>
      <c r="N262" s="66"/>
      <c r="O262" s="66">
        <f t="shared" si="154"/>
        <v>0</v>
      </c>
      <c r="P262" s="66">
        <f t="shared" si="154"/>
        <v>0</v>
      </c>
      <c r="Q262" s="66"/>
      <c r="R262" s="66">
        <f t="shared" si="154"/>
        <v>0</v>
      </c>
      <c r="S262" s="66">
        <f t="shared" si="154"/>
        <v>0</v>
      </c>
      <c r="T262" s="66"/>
      <c r="U262" s="66">
        <f t="shared" si="154"/>
        <v>0</v>
      </c>
      <c r="V262" s="66"/>
      <c r="W262" s="66">
        <f t="shared" si="154"/>
        <v>0</v>
      </c>
      <c r="X262" s="66"/>
      <c r="Y262" s="66">
        <f>SUM(Y249:Y261)</f>
        <v>387816.98</v>
      </c>
      <c r="Z262" s="66"/>
      <c r="AA262" s="66">
        <f>SUM(AA249:AA261)</f>
        <v>50232.349999999984</v>
      </c>
      <c r="AB262" s="49">
        <f>SUM(H262:AA262)</f>
        <v>438049.32999999996</v>
      </c>
      <c r="AC262" s="27" t="str">
        <f>IF(ABS(AB262-F262)&lt;1,"ok","err")</f>
        <v>ok</v>
      </c>
    </row>
    <row r="263" spans="1:29" x14ac:dyDescent="0.2">
      <c r="D263" s="89"/>
      <c r="F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C263" s="27"/>
    </row>
    <row r="264" spans="1:29" x14ac:dyDescent="0.2">
      <c r="A264" s="14" t="s">
        <v>409</v>
      </c>
      <c r="C264" s="14" t="s">
        <v>410</v>
      </c>
      <c r="F264" s="49">
        <f t="shared" ref="F264:M264" si="155">F233+F246+F262</f>
        <v>16626941.849999998</v>
      </c>
      <c r="G264" s="49"/>
      <c r="H264" s="49">
        <f t="shared" si="155"/>
        <v>0</v>
      </c>
      <c r="I264" s="49">
        <f t="shared" si="155"/>
        <v>0</v>
      </c>
      <c r="J264" s="49"/>
      <c r="K264" s="49">
        <f t="shared" si="155"/>
        <v>0</v>
      </c>
      <c r="L264" s="49"/>
      <c r="M264" s="49">
        <f t="shared" si="155"/>
        <v>38263.405234106554</v>
      </c>
      <c r="N264" s="49"/>
      <c r="O264" s="49">
        <f t="shared" ref="O264:AA264" si="156">O233+O246+O262</f>
        <v>7615336.0381250875</v>
      </c>
      <c r="P264" s="49">
        <f t="shared" si="156"/>
        <v>4065970.4409574601</v>
      </c>
      <c r="Q264" s="49"/>
      <c r="R264" s="49">
        <f t="shared" si="156"/>
        <v>0</v>
      </c>
      <c r="S264" s="49">
        <f t="shared" si="156"/>
        <v>525768.17188334803</v>
      </c>
      <c r="T264" s="49"/>
      <c r="U264" s="49">
        <f t="shared" si="156"/>
        <v>757172.28901077469</v>
      </c>
      <c r="V264" s="49"/>
      <c r="W264" s="49">
        <f t="shared" si="156"/>
        <v>132756.55478922155</v>
      </c>
      <c r="X264" s="49"/>
      <c r="Y264" s="49">
        <f t="shared" si="156"/>
        <v>3441442.5999999996</v>
      </c>
      <c r="Z264" s="49"/>
      <c r="AA264" s="49">
        <f t="shared" si="156"/>
        <v>50232.349999999984</v>
      </c>
      <c r="AB264" s="49">
        <f>SUM(H264:AA264)</f>
        <v>16626941.849999998</v>
      </c>
      <c r="AC264" s="27" t="str">
        <f>IF(ABS(AB264-F264)&lt;1,"ok","err")</f>
        <v>ok</v>
      </c>
    </row>
    <row r="265" spans="1:29" x14ac:dyDescent="0.2">
      <c r="F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C265" s="27"/>
    </row>
    <row r="266" spans="1:29" x14ac:dyDescent="0.2">
      <c r="A266" s="25" t="s">
        <v>135</v>
      </c>
      <c r="F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C266" s="27"/>
    </row>
    <row r="267" spans="1:29" x14ac:dyDescent="0.2">
      <c r="F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C267" s="27"/>
    </row>
    <row r="268" spans="1:29" x14ac:dyDescent="0.2">
      <c r="A268" s="13" t="s">
        <v>158</v>
      </c>
      <c r="F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C268" s="27"/>
    </row>
    <row r="269" spans="1:29" x14ac:dyDescent="0.2">
      <c r="A269" s="14">
        <v>920</v>
      </c>
      <c r="B269" s="14" t="s">
        <v>159</v>
      </c>
      <c r="C269" s="14" t="s">
        <v>160</v>
      </c>
      <c r="D269" s="14" t="s">
        <v>410</v>
      </c>
      <c r="F269" s="66">
        <v>2210245.94</v>
      </c>
      <c r="H269" s="49">
        <f>IF((VLOOKUP($D269,$C$5:$AA$492,6,)=0),0,((VLOOKUP($D269,$C$5:$AA$492,6,)/VLOOKUP($D269,$C$5:$AA$492,4,))*$F269))</f>
        <v>0</v>
      </c>
      <c r="I269" s="49">
        <f>(VLOOKUP($D269,$C$5:$AA$492,7,)/VLOOKUP($D269,$C$5:$AA$492,4,))*$F269</f>
        <v>0</v>
      </c>
      <c r="J269" s="49"/>
      <c r="K269" s="49">
        <f>(VLOOKUP($D269,$C$5:$AA$492,9,)/VLOOKUP($D269,$C$5:$AA$492,4,))*$F269</f>
        <v>0</v>
      </c>
      <c r="L269" s="49"/>
      <c r="M269" s="49">
        <f>(VLOOKUP($D269,$C$5:$AA$492,11,)/VLOOKUP($D269,$C$5:$AA$492,4,))*$F269</f>
        <v>5086.4155797392632</v>
      </c>
      <c r="N269" s="49"/>
      <c r="O269" s="49">
        <f>(VLOOKUP($D269,$C$5:$AA$492,13,)/VLOOKUP($D269,$C$5:$AA$492,4,))*$F269</f>
        <v>1012318.7842869409</v>
      </c>
      <c r="P269" s="49">
        <f>(VLOOKUP($D269,$C$5:$AA$492,14,)/VLOOKUP($D269,$C$5:$AA$492,4,))*$F269</f>
        <v>540495.94569829071</v>
      </c>
      <c r="Q269" s="49"/>
      <c r="R269" s="49">
        <f>(VLOOKUP($D269,$C$5:$AA$492,16,)/VLOOKUP($D269,$C$5:$AA$492,4,))*$F269</f>
        <v>0</v>
      </c>
      <c r="S269" s="49">
        <f>(VLOOKUP($D269,$C$5:$AA$492,17,)/VLOOKUP($D269,$C$5:$AA$492,4,))*$F269</f>
        <v>69891.202950613093</v>
      </c>
      <c r="T269" s="49"/>
      <c r="U269" s="49">
        <f>(VLOOKUP($D269,$C$5:$AA$492,19,)/VLOOKUP($D269,$C$5:$AA$492,4,))*$F269</f>
        <v>100652.12188533465</v>
      </c>
      <c r="V269" s="49"/>
      <c r="W269" s="49">
        <f>(VLOOKUP($D269,$C$5:$AA$492,21,)/VLOOKUP($D269,$C$5:$AA$492,4,))*$F269</f>
        <v>17647.540893472513</v>
      </c>
      <c r="X269" s="49"/>
      <c r="Y269" s="49">
        <f>(VLOOKUP($D269,$C$5:$AA$492,23,)/VLOOKUP($D269,$C$5:$AA$492,4,))*$F269</f>
        <v>457476.46217894508</v>
      </c>
      <c r="Z269" s="49"/>
      <c r="AA269" s="49">
        <f>(VLOOKUP($D269,$C$5:$AA$492,25,)/VLOOKUP($D269,$C$5:$AA$492,4,))*$F269</f>
        <v>6677.4665266637103</v>
      </c>
      <c r="AB269" s="49">
        <f t="shared" ref="AB269:AB281" si="157">SUM(H269:AA269)</f>
        <v>2210245.9400000004</v>
      </c>
      <c r="AC269" s="27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161</v>
      </c>
      <c r="C270" s="14" t="s">
        <v>162</v>
      </c>
      <c r="D270" s="14" t="s">
        <v>515</v>
      </c>
      <c r="F270" s="49">
        <v>563506.62</v>
      </c>
      <c r="H270" s="49">
        <f>IF(VLOOKUP($D270,$C$5:$AA$492,6,)=0,0,((VLOOKUP($D270,$C$5:$AA$492,6,)/VLOOKUP($D270,$C$5:$AA$492,4,))*$F270))</f>
        <v>0</v>
      </c>
      <c r="I270" s="49">
        <f>IF(VLOOKUP($D270,$C$5:$AA$492,7,)=0,0,((VLOOKUP($D270,$C$5:$AA$492,7,)/VLOOKUP($D270,$C$5:$AA$492,4,))*$F270))</f>
        <v>0</v>
      </c>
      <c r="J270" s="49"/>
      <c r="K270" s="49">
        <f>IF(VLOOKUP($D270,$C$5:$AA$492,9,)=0,0,((VLOOKUP($D270,$C$5:$AA$492,9,)/VLOOKUP($D270,$C$5:$AA$492,4,))*$F270))</f>
        <v>0</v>
      </c>
      <c r="L270" s="49"/>
      <c r="M270" s="49">
        <f>IF(VLOOKUP($D270,$C$5:$AA$492,11,)=0,0,((VLOOKUP($D270,$C$5:$AA$492,11,)/VLOOKUP($D270,$C$5:$AA$492,4,))*$F270))</f>
        <v>564.48263376665443</v>
      </c>
      <c r="N270" s="49"/>
      <c r="O270" s="49">
        <f>IF(VLOOKUP($D270,$C$5:$AA$492,13,)=0,0,((VLOOKUP($D270,$C$5:$AA$492,13,)/VLOOKUP($D270,$C$5:$AA$492,4,))*$F270))</f>
        <v>214148.42191697969</v>
      </c>
      <c r="P270" s="49">
        <f>IF(VLOOKUP($D270,$C$5:$AA$492,14,)=0,0,((VLOOKUP($D270,$C$5:$AA$492,14,)/VLOOKUP($D270,$C$5:$AA$492,4,))*$F270))</f>
        <v>119613.73519623525</v>
      </c>
      <c r="Q270" s="49"/>
      <c r="R270" s="49">
        <f>IF(VLOOKUP($D270,$C$5:$AA$492,16,)=0,0,((VLOOKUP($D270,$C$5:$AA$492,16,)/VLOOKUP($D270,$C$5:$AA$492,4,))*$F270))</f>
        <v>0</v>
      </c>
      <c r="S270" s="49">
        <f>IF(VLOOKUP($D270,$C$5:$AA$492,17,)=0,0,((VLOOKUP($D270,$C$5:$AA$492,17,)/VLOOKUP($D270,$C$5:$AA$492,4,))*$F270))</f>
        <v>10312.481025764888</v>
      </c>
      <c r="T270" s="49"/>
      <c r="U270" s="49">
        <f>IF(VLOOKUP($D270,$C$5:$AA$492,19,)=0,0,((VLOOKUP($D270,$C$5:$AA$492,19,)/VLOOKUP($D270,$C$5:$AA$492,4,))*$F270))</f>
        <v>38489.126827387416</v>
      </c>
      <c r="V270" s="49"/>
      <c r="W270" s="49">
        <f>IF(VLOOKUP($D270,$C$5:$AA$492,21,)=0,0,((VLOOKUP($D270,$C$5:$AA$492,21,)/VLOOKUP($D270,$C$5:$AA$492,4,))*$F270))</f>
        <v>7614.5479489213494</v>
      </c>
      <c r="X270" s="49"/>
      <c r="Y270" s="49">
        <f>IF(VLOOKUP($D270,$C$5:$AA$492,23,)=0,0,((VLOOKUP($D270,$C$5:$AA$492,23,)/VLOOKUP($D270,$C$5:$AA$492,4,))*$F270))</f>
        <v>135161.13075893794</v>
      </c>
      <c r="Z270" s="49"/>
      <c r="AA270" s="49">
        <f>IF(VLOOKUP($D270,$C$5:$AA$492,25,)=0,0,((VLOOKUP($D270,$C$5:$AA$492,25,)/VLOOKUP($D270,$C$5:$AA$492,4,))*$F270))</f>
        <v>37602.693692006796</v>
      </c>
      <c r="AB270" s="49">
        <f>SUM(H270:AA270)</f>
        <v>563506.62</v>
      </c>
      <c r="AC270" s="27" t="str">
        <f>IF(ABS(AB270-F270)&lt;1,"ok","err")</f>
        <v>ok</v>
      </c>
    </row>
    <row r="271" spans="1:29" x14ac:dyDescent="0.2">
      <c r="A271" s="14">
        <v>923</v>
      </c>
      <c r="B271" s="14" t="s">
        <v>163</v>
      </c>
      <c r="C271" s="14" t="s">
        <v>164</v>
      </c>
      <c r="D271" s="14" t="s">
        <v>410</v>
      </c>
      <c r="F271" s="49">
        <v>351479.17</v>
      </c>
      <c r="H271" s="49">
        <f t="shared" ref="H271:H281" si="159">IF((VLOOKUP($D271,$C$5:$AA$492,6,)=0),0,((VLOOKUP($D271,$C$5:$AA$492,6,)/VLOOKUP($D271,$C$5:$AA$492,4,))*$F271))</f>
        <v>0</v>
      </c>
      <c r="I271" s="49">
        <f t="shared" ref="I271:I281" si="160">(VLOOKUP($D271,$C$5:$AA$492,7,)/VLOOKUP($D271,$C$5:$AA$492,4,))*$F271</f>
        <v>0</v>
      </c>
      <c r="J271" s="49"/>
      <c r="K271" s="49">
        <f t="shared" ref="K271:K281" si="161">(VLOOKUP($D271,$C$5:$AA$492,9,)/VLOOKUP($D271,$C$5:$AA$492,4,))*$F271</f>
        <v>0</v>
      </c>
      <c r="L271" s="49"/>
      <c r="M271" s="49">
        <f t="shared" ref="M271:M281" si="162">(VLOOKUP($D271,$C$5:$AA$492,11,)/VLOOKUP($D271,$C$5:$AA$492,4,))*$F271</f>
        <v>808.85529247565319</v>
      </c>
      <c r="N271" s="49"/>
      <c r="O271" s="49">
        <f t="shared" ref="O271:O281" si="163">(VLOOKUP($D271,$C$5:$AA$492,13,)/VLOOKUP($D271,$C$5:$AA$492,4,))*$F271</f>
        <v>160981.61731114096</v>
      </c>
      <c r="P271" s="49">
        <f t="shared" ref="P271:P281" si="164">(VLOOKUP($D271,$C$5:$AA$492,14,)/VLOOKUP($D271,$C$5:$AA$492,4,))*$F271</f>
        <v>85951.098447623561</v>
      </c>
      <c r="Q271" s="49"/>
      <c r="R271" s="49">
        <f t="shared" ref="R271:R281" si="165">(VLOOKUP($D271,$C$5:$AA$492,16,)/VLOOKUP($D271,$C$5:$AA$492,4,))*$F271</f>
        <v>0</v>
      </c>
      <c r="S271" s="49">
        <f t="shared" ref="S271:S281" si="166">(VLOOKUP($D271,$C$5:$AA$492,17,)/VLOOKUP($D271,$C$5:$AA$492,4,))*$F271</f>
        <v>11114.284414603671</v>
      </c>
      <c r="T271" s="49"/>
      <c r="U271" s="49">
        <f t="shared" ref="U271:U281" si="167">(VLOOKUP($D271,$C$5:$AA$492,19,)/VLOOKUP($D271,$C$5:$AA$492,4,))*$F271</f>
        <v>16005.967308324185</v>
      </c>
      <c r="V271" s="49"/>
      <c r="W271" s="49">
        <f t="shared" ref="W271:W281" si="168">(VLOOKUP($D271,$C$5:$AA$492,21,)/VLOOKUP($D271,$C$5:$AA$492,4,))*$F271</f>
        <v>2806.3587465649989</v>
      </c>
      <c r="X271" s="49"/>
      <c r="Y271" s="49">
        <f t="shared" ref="Y271:Y281" si="169">(VLOOKUP($D271,$C$5:$AA$492,23,)/VLOOKUP($D271,$C$5:$AA$492,4,))*$F271</f>
        <v>72749.120046428856</v>
      </c>
      <c r="Z271" s="49"/>
      <c r="AA271" s="49">
        <f t="shared" ref="AA271:AA281" si="170">(VLOOKUP($D271,$C$5:$AA$492,25,)/VLOOKUP($D271,$C$5:$AA$492,4,))*$F271</f>
        <v>1061.8684328380866</v>
      </c>
      <c r="AB271" s="49">
        <f t="shared" si="157"/>
        <v>351479.17</v>
      </c>
      <c r="AC271" s="27" t="str">
        <f t="shared" si="158"/>
        <v>ok</v>
      </c>
    </row>
    <row r="272" spans="1:29" x14ac:dyDescent="0.2">
      <c r="A272" s="14">
        <v>924</v>
      </c>
      <c r="B272" s="14" t="s">
        <v>165</v>
      </c>
      <c r="C272" s="14" t="s">
        <v>166</v>
      </c>
      <c r="D272" s="14" t="s">
        <v>84</v>
      </c>
      <c r="F272" s="49">
        <v>0</v>
      </c>
      <c r="H272" s="49">
        <f t="shared" si="159"/>
        <v>0</v>
      </c>
      <c r="I272" s="49">
        <f t="shared" si="160"/>
        <v>0</v>
      </c>
      <c r="J272" s="49"/>
      <c r="K272" s="49">
        <f t="shared" si="161"/>
        <v>0</v>
      </c>
      <c r="L272" s="49"/>
      <c r="M272" s="49">
        <f t="shared" si="162"/>
        <v>0</v>
      </c>
      <c r="N272" s="49"/>
      <c r="O272" s="49">
        <f t="shared" si="163"/>
        <v>0</v>
      </c>
      <c r="P272" s="49">
        <f t="shared" si="164"/>
        <v>0</v>
      </c>
      <c r="Q272" s="49"/>
      <c r="R272" s="49">
        <f t="shared" si="165"/>
        <v>0</v>
      </c>
      <c r="S272" s="49">
        <f t="shared" si="166"/>
        <v>0</v>
      </c>
      <c r="T272" s="49"/>
      <c r="U272" s="49">
        <f t="shared" si="167"/>
        <v>0</v>
      </c>
      <c r="V272" s="49"/>
      <c r="W272" s="49">
        <f t="shared" si="168"/>
        <v>0</v>
      </c>
      <c r="X272" s="49"/>
      <c r="Y272" s="49">
        <f t="shared" si="169"/>
        <v>0</v>
      </c>
      <c r="Z272" s="49"/>
      <c r="AA272" s="49">
        <f t="shared" si="170"/>
        <v>0</v>
      </c>
      <c r="AB272" s="49">
        <f t="shared" si="157"/>
        <v>0</v>
      </c>
      <c r="AC272" s="27" t="str">
        <f t="shared" si="158"/>
        <v>ok</v>
      </c>
    </row>
    <row r="273" spans="1:29" x14ac:dyDescent="0.2">
      <c r="A273" s="14">
        <v>925</v>
      </c>
      <c r="B273" s="14" t="s">
        <v>167</v>
      </c>
      <c r="C273" s="14" t="s">
        <v>168</v>
      </c>
      <c r="D273" s="14" t="s">
        <v>515</v>
      </c>
      <c r="F273" s="49">
        <v>0</v>
      </c>
      <c r="H273" s="49">
        <f t="shared" si="159"/>
        <v>0</v>
      </c>
      <c r="I273" s="49">
        <f t="shared" si="160"/>
        <v>0</v>
      </c>
      <c r="J273" s="49"/>
      <c r="K273" s="49">
        <f t="shared" si="161"/>
        <v>0</v>
      </c>
      <c r="L273" s="49"/>
      <c r="M273" s="49">
        <f t="shared" si="162"/>
        <v>0</v>
      </c>
      <c r="N273" s="49"/>
      <c r="O273" s="49">
        <f t="shared" si="163"/>
        <v>0</v>
      </c>
      <c r="P273" s="49">
        <f t="shared" si="164"/>
        <v>0</v>
      </c>
      <c r="Q273" s="49"/>
      <c r="R273" s="49">
        <f t="shared" si="165"/>
        <v>0</v>
      </c>
      <c r="S273" s="49">
        <f t="shared" si="166"/>
        <v>0</v>
      </c>
      <c r="T273" s="49"/>
      <c r="U273" s="49">
        <f t="shared" si="167"/>
        <v>0</v>
      </c>
      <c r="V273" s="49"/>
      <c r="W273" s="49">
        <f t="shared" si="168"/>
        <v>0</v>
      </c>
      <c r="X273" s="49"/>
      <c r="Y273" s="49">
        <f t="shared" si="169"/>
        <v>0</v>
      </c>
      <c r="Z273" s="49"/>
      <c r="AA273" s="49">
        <f t="shared" si="170"/>
        <v>0</v>
      </c>
      <c r="AB273" s="49">
        <f t="shared" si="157"/>
        <v>0</v>
      </c>
      <c r="AC273" s="27" t="str">
        <f t="shared" si="158"/>
        <v>ok</v>
      </c>
    </row>
    <row r="274" spans="1:29" x14ac:dyDescent="0.2">
      <c r="A274" s="14">
        <v>926</v>
      </c>
      <c r="B274" s="14" t="s">
        <v>169</v>
      </c>
      <c r="C274" s="14" t="s">
        <v>170</v>
      </c>
      <c r="D274" s="14" t="s">
        <v>515</v>
      </c>
      <c r="F274" s="49">
        <v>0</v>
      </c>
      <c r="H274" s="49">
        <f t="shared" si="159"/>
        <v>0</v>
      </c>
      <c r="I274" s="49">
        <f t="shared" si="160"/>
        <v>0</v>
      </c>
      <c r="J274" s="49"/>
      <c r="K274" s="49">
        <f t="shared" si="161"/>
        <v>0</v>
      </c>
      <c r="L274" s="49"/>
      <c r="M274" s="49">
        <f t="shared" si="162"/>
        <v>0</v>
      </c>
      <c r="N274" s="49"/>
      <c r="O274" s="49">
        <f t="shared" si="163"/>
        <v>0</v>
      </c>
      <c r="P274" s="49">
        <f t="shared" si="164"/>
        <v>0</v>
      </c>
      <c r="Q274" s="49"/>
      <c r="R274" s="49">
        <f t="shared" si="165"/>
        <v>0</v>
      </c>
      <c r="S274" s="49">
        <f t="shared" si="166"/>
        <v>0</v>
      </c>
      <c r="T274" s="49"/>
      <c r="U274" s="49">
        <f t="shared" si="167"/>
        <v>0</v>
      </c>
      <c r="V274" s="49"/>
      <c r="W274" s="49">
        <f t="shared" si="168"/>
        <v>0</v>
      </c>
      <c r="X274" s="49"/>
      <c r="Y274" s="49">
        <f t="shared" si="169"/>
        <v>0</v>
      </c>
      <c r="Z274" s="49"/>
      <c r="AA274" s="49">
        <f t="shared" si="170"/>
        <v>0</v>
      </c>
      <c r="AB274" s="49">
        <f t="shared" si="157"/>
        <v>0</v>
      </c>
      <c r="AC274" s="27" t="str">
        <f t="shared" si="158"/>
        <v>ok</v>
      </c>
    </row>
    <row r="275" spans="1:29" x14ac:dyDescent="0.2">
      <c r="A275" s="14">
        <v>928</v>
      </c>
      <c r="B275" s="14" t="s">
        <v>577</v>
      </c>
      <c r="C275" s="14" t="s">
        <v>172</v>
      </c>
      <c r="D275" s="14" t="s">
        <v>410</v>
      </c>
      <c r="F275" s="49">
        <f>135802.82</f>
        <v>135802.82</v>
      </c>
      <c r="H275" s="49">
        <f t="shared" si="159"/>
        <v>0</v>
      </c>
      <c r="I275" s="49">
        <f t="shared" si="160"/>
        <v>0</v>
      </c>
      <c r="J275" s="49"/>
      <c r="K275" s="49">
        <f t="shared" si="161"/>
        <v>0</v>
      </c>
      <c r="L275" s="49"/>
      <c r="M275" s="49">
        <f t="shared" si="162"/>
        <v>312.52159179196451</v>
      </c>
      <c r="N275" s="49"/>
      <c r="O275" s="49">
        <f t="shared" si="163"/>
        <v>62199.297895843338</v>
      </c>
      <c r="P275" s="49">
        <f t="shared" si="164"/>
        <v>33209.369281499392</v>
      </c>
      <c r="Q275" s="49"/>
      <c r="R275" s="49">
        <f t="shared" si="165"/>
        <v>0</v>
      </c>
      <c r="S275" s="49">
        <f t="shared" si="166"/>
        <v>4294.2834017311125</v>
      </c>
      <c r="T275" s="49"/>
      <c r="U275" s="49">
        <f t="shared" si="167"/>
        <v>6184.3081548708387</v>
      </c>
      <c r="V275" s="49"/>
      <c r="W275" s="49">
        <f t="shared" si="168"/>
        <v>1084.3073053666087</v>
      </c>
      <c r="X275" s="49"/>
      <c r="Y275" s="49">
        <f t="shared" si="169"/>
        <v>28108.452784907768</v>
      </c>
      <c r="Z275" s="49"/>
      <c r="AA275" s="49">
        <f t="shared" si="170"/>
        <v>410.27958398898227</v>
      </c>
      <c r="AB275" s="49">
        <f t="shared" si="157"/>
        <v>135802.82</v>
      </c>
      <c r="AC275" s="27" t="str">
        <f t="shared" si="158"/>
        <v>ok</v>
      </c>
    </row>
    <row r="276" spans="1:29" x14ac:dyDescent="0.2">
      <c r="A276" s="14">
        <v>929</v>
      </c>
      <c r="B276" s="14" t="s">
        <v>926</v>
      </c>
      <c r="C276" s="14" t="s">
        <v>385</v>
      </c>
      <c r="D276" s="14" t="s">
        <v>410</v>
      </c>
      <c r="F276" s="49">
        <f>-115427.12</f>
        <v>-115427.12</v>
      </c>
      <c r="H276" s="49">
        <f t="shared" si="159"/>
        <v>0</v>
      </c>
      <c r="I276" s="49">
        <f t="shared" si="160"/>
        <v>0</v>
      </c>
      <c r="J276" s="49"/>
      <c r="K276" s="49">
        <f t="shared" si="161"/>
        <v>0</v>
      </c>
      <c r="L276" s="49"/>
      <c r="M276" s="49">
        <f t="shared" si="162"/>
        <v>-265.63120911894242</v>
      </c>
      <c r="N276" s="49"/>
      <c r="O276" s="49">
        <f t="shared" si="163"/>
        <v>-52866.986283048143</v>
      </c>
      <c r="P276" s="49">
        <f t="shared" si="164"/>
        <v>-28226.67344595601</v>
      </c>
      <c r="Q276" s="49"/>
      <c r="R276" s="49">
        <f t="shared" si="165"/>
        <v>0</v>
      </c>
      <c r="S276" s="49">
        <f t="shared" si="166"/>
        <v>-3649.9740250285322</v>
      </c>
      <c r="T276" s="49"/>
      <c r="U276" s="49">
        <f t="shared" si="167"/>
        <v>-5256.4216229770109</v>
      </c>
      <c r="V276" s="49"/>
      <c r="W276" s="49">
        <f t="shared" si="168"/>
        <v>-921.6190757557772</v>
      </c>
      <c r="X276" s="49"/>
      <c r="Y276" s="49">
        <f t="shared" si="169"/>
        <v>-23891.092634290533</v>
      </c>
      <c r="Z276" s="49"/>
      <c r="AA276" s="49">
        <f t="shared" si="170"/>
        <v>-348.72170382504817</v>
      </c>
      <c r="AB276" s="49">
        <f t="shared" si="157"/>
        <v>-115427.12</v>
      </c>
      <c r="AC276" s="27" t="str">
        <f t="shared" si="158"/>
        <v>ok</v>
      </c>
    </row>
    <row r="277" spans="1:29" x14ac:dyDescent="0.2">
      <c r="A277" s="14">
        <v>930</v>
      </c>
      <c r="B277" s="14" t="s">
        <v>173</v>
      </c>
      <c r="C277" s="14" t="s">
        <v>174</v>
      </c>
      <c r="D277" s="14" t="s">
        <v>410</v>
      </c>
      <c r="F277" s="49">
        <f>320000.01+29663.82+249448.93+232878.53+50451.72</f>
        <v>882443.01</v>
      </c>
      <c r="H277" s="49">
        <f t="shared" si="159"/>
        <v>0</v>
      </c>
      <c r="I277" s="49">
        <f t="shared" si="160"/>
        <v>0</v>
      </c>
      <c r="J277" s="49"/>
      <c r="K277" s="49">
        <f t="shared" si="161"/>
        <v>0</v>
      </c>
      <c r="L277" s="49"/>
      <c r="M277" s="49">
        <f t="shared" si="162"/>
        <v>2030.7567556468448</v>
      </c>
      <c r="N277" s="49"/>
      <c r="O277" s="49">
        <f t="shared" si="163"/>
        <v>404169.33650637488</v>
      </c>
      <c r="P277" s="49">
        <f t="shared" si="164"/>
        <v>215793.57327754947</v>
      </c>
      <c r="Q277" s="49"/>
      <c r="R277" s="49">
        <f t="shared" si="165"/>
        <v>0</v>
      </c>
      <c r="S277" s="49">
        <f t="shared" si="166"/>
        <v>27904.136090963661</v>
      </c>
      <c r="T277" s="49"/>
      <c r="U277" s="49">
        <f t="shared" si="167"/>
        <v>40185.465242561011</v>
      </c>
      <c r="V277" s="49"/>
      <c r="W277" s="49">
        <f t="shared" si="168"/>
        <v>7045.7992132468189</v>
      </c>
      <c r="X277" s="49"/>
      <c r="Y277" s="49">
        <f t="shared" si="169"/>
        <v>182647.95739850539</v>
      </c>
      <c r="Z277" s="49"/>
      <c r="AA277" s="49">
        <f t="shared" si="170"/>
        <v>2665.9855151519337</v>
      </c>
      <c r="AB277" s="49">
        <f t="shared" si="157"/>
        <v>882443.01</v>
      </c>
      <c r="AC277" s="27" t="str">
        <f t="shared" si="158"/>
        <v>ok</v>
      </c>
    </row>
    <row r="278" spans="1:29" x14ac:dyDescent="0.2">
      <c r="A278" s="14">
        <v>931</v>
      </c>
      <c r="B278" s="14" t="s">
        <v>175</v>
      </c>
      <c r="C278" s="14" t="s">
        <v>176</v>
      </c>
      <c r="D278" s="14" t="s">
        <v>84</v>
      </c>
      <c r="F278" s="49">
        <v>0</v>
      </c>
      <c r="H278" s="49">
        <f t="shared" si="159"/>
        <v>0</v>
      </c>
      <c r="I278" s="49">
        <f t="shared" si="160"/>
        <v>0</v>
      </c>
      <c r="J278" s="49"/>
      <c r="K278" s="49">
        <f t="shared" si="161"/>
        <v>0</v>
      </c>
      <c r="L278" s="49"/>
      <c r="M278" s="49">
        <f t="shared" si="162"/>
        <v>0</v>
      </c>
      <c r="N278" s="49"/>
      <c r="O278" s="49">
        <f t="shared" si="163"/>
        <v>0</v>
      </c>
      <c r="P278" s="49">
        <f t="shared" si="164"/>
        <v>0</v>
      </c>
      <c r="Q278" s="49"/>
      <c r="R278" s="49">
        <f t="shared" si="165"/>
        <v>0</v>
      </c>
      <c r="S278" s="49">
        <f t="shared" si="166"/>
        <v>0</v>
      </c>
      <c r="T278" s="49"/>
      <c r="U278" s="49">
        <f t="shared" si="167"/>
        <v>0</v>
      </c>
      <c r="V278" s="49"/>
      <c r="W278" s="49">
        <f t="shared" si="168"/>
        <v>0</v>
      </c>
      <c r="X278" s="49"/>
      <c r="Y278" s="49">
        <f t="shared" si="169"/>
        <v>0</v>
      </c>
      <c r="Z278" s="49"/>
      <c r="AA278" s="49">
        <f t="shared" si="170"/>
        <v>0</v>
      </c>
      <c r="AB278" s="49">
        <f t="shared" si="157"/>
        <v>0</v>
      </c>
      <c r="AC278" s="27" t="str">
        <f t="shared" si="158"/>
        <v>ok</v>
      </c>
    </row>
    <row r="279" spans="1:29" x14ac:dyDescent="0.2">
      <c r="A279" s="14">
        <v>932</v>
      </c>
      <c r="B279" s="14" t="s">
        <v>177</v>
      </c>
      <c r="C279" s="14" t="s">
        <v>922</v>
      </c>
      <c r="D279" s="14" t="s">
        <v>70</v>
      </c>
      <c r="F279" s="49">
        <v>493276</v>
      </c>
      <c r="H279" s="49">
        <f t="shared" si="159"/>
        <v>0</v>
      </c>
      <c r="I279" s="49">
        <f t="shared" si="160"/>
        <v>0</v>
      </c>
      <c r="J279" s="49"/>
      <c r="K279" s="49">
        <f t="shared" si="161"/>
        <v>0</v>
      </c>
      <c r="L279" s="49"/>
      <c r="M279" s="49">
        <f t="shared" si="162"/>
        <v>3460.868134053685</v>
      </c>
      <c r="N279" s="49"/>
      <c r="O279" s="49">
        <f t="shared" si="163"/>
        <v>225587.28799513562</v>
      </c>
      <c r="P279" s="49">
        <f t="shared" si="164"/>
        <v>151575.36437841764</v>
      </c>
      <c r="Q279" s="49"/>
      <c r="R279" s="49">
        <f t="shared" si="165"/>
        <v>0</v>
      </c>
      <c r="S279" s="49">
        <f t="shared" si="166"/>
        <v>63226.279836018031</v>
      </c>
      <c r="T279" s="49"/>
      <c r="U279" s="49">
        <f t="shared" si="167"/>
        <v>24574.58736066187</v>
      </c>
      <c r="V279" s="49"/>
      <c r="W279" s="49">
        <f t="shared" si="168"/>
        <v>24851.612295713185</v>
      </c>
      <c r="X279" s="49"/>
      <c r="Y279" s="49">
        <f t="shared" si="169"/>
        <v>0</v>
      </c>
      <c r="Z279" s="49"/>
      <c r="AA279" s="49">
        <f t="shared" si="170"/>
        <v>0</v>
      </c>
      <c r="AB279" s="49">
        <f>SUM(H279:AA279)</f>
        <v>493276</v>
      </c>
      <c r="AC279" s="27" t="str">
        <f>IF(ABS(AB279-F279)&lt;1,"ok","err")</f>
        <v>ok</v>
      </c>
    </row>
    <row r="280" spans="1:29" x14ac:dyDescent="0.2">
      <c r="A280" s="14">
        <v>933</v>
      </c>
      <c r="B280" s="14" t="s">
        <v>920</v>
      </c>
      <c r="C280" s="14" t="s">
        <v>921</v>
      </c>
      <c r="D280" s="14" t="s">
        <v>70</v>
      </c>
      <c r="F280" s="49">
        <v>0</v>
      </c>
      <c r="H280" s="49">
        <f t="shared" si="159"/>
        <v>0</v>
      </c>
      <c r="I280" s="49">
        <f t="shared" si="160"/>
        <v>0</v>
      </c>
      <c r="J280" s="49"/>
      <c r="K280" s="49">
        <f t="shared" si="161"/>
        <v>0</v>
      </c>
      <c r="L280" s="49"/>
      <c r="M280" s="49">
        <f t="shared" si="162"/>
        <v>0</v>
      </c>
      <c r="N280" s="49"/>
      <c r="O280" s="49">
        <f t="shared" si="163"/>
        <v>0</v>
      </c>
      <c r="P280" s="49">
        <f t="shared" si="164"/>
        <v>0</v>
      </c>
      <c r="Q280" s="49"/>
      <c r="R280" s="49">
        <f t="shared" si="165"/>
        <v>0</v>
      </c>
      <c r="S280" s="49">
        <f t="shared" si="166"/>
        <v>0</v>
      </c>
      <c r="T280" s="49"/>
      <c r="U280" s="49">
        <f t="shared" si="167"/>
        <v>0</v>
      </c>
      <c r="V280" s="49"/>
      <c r="W280" s="49">
        <f t="shared" si="168"/>
        <v>0</v>
      </c>
      <c r="X280" s="49"/>
      <c r="Y280" s="49">
        <f t="shared" si="169"/>
        <v>0</v>
      </c>
      <c r="Z280" s="49"/>
      <c r="AA280" s="49">
        <f t="shared" si="170"/>
        <v>0</v>
      </c>
      <c r="AB280" s="49">
        <f>SUM(H280:AA280)</f>
        <v>0</v>
      </c>
      <c r="AC280" s="27" t="str">
        <f>IF(ABS(AB280-F280)&lt;1,"ok","err")</f>
        <v>ok</v>
      </c>
    </row>
    <row r="281" spans="1:29" x14ac:dyDescent="0.2">
      <c r="A281" s="14">
        <v>935</v>
      </c>
      <c r="B281" s="14" t="s">
        <v>923</v>
      </c>
      <c r="C281" s="14" t="s">
        <v>710</v>
      </c>
      <c r="D281" s="14" t="s">
        <v>84</v>
      </c>
      <c r="F281" s="49">
        <v>0</v>
      </c>
      <c r="H281" s="49">
        <f t="shared" si="159"/>
        <v>0</v>
      </c>
      <c r="I281" s="49">
        <f t="shared" si="160"/>
        <v>0</v>
      </c>
      <c r="J281" s="49"/>
      <c r="K281" s="49">
        <f t="shared" si="161"/>
        <v>0</v>
      </c>
      <c r="L281" s="49"/>
      <c r="M281" s="49">
        <f t="shared" si="162"/>
        <v>0</v>
      </c>
      <c r="N281" s="49"/>
      <c r="O281" s="49">
        <f t="shared" si="163"/>
        <v>0</v>
      </c>
      <c r="P281" s="49">
        <f t="shared" si="164"/>
        <v>0</v>
      </c>
      <c r="Q281" s="49"/>
      <c r="R281" s="49">
        <f t="shared" si="165"/>
        <v>0</v>
      </c>
      <c r="S281" s="49">
        <f t="shared" si="166"/>
        <v>0</v>
      </c>
      <c r="T281" s="49"/>
      <c r="U281" s="49">
        <f t="shared" si="167"/>
        <v>0</v>
      </c>
      <c r="V281" s="49"/>
      <c r="W281" s="49">
        <f t="shared" si="168"/>
        <v>0</v>
      </c>
      <c r="X281" s="49"/>
      <c r="Y281" s="49">
        <f t="shared" si="169"/>
        <v>0</v>
      </c>
      <c r="Z281" s="49"/>
      <c r="AA281" s="49">
        <f t="shared" si="170"/>
        <v>0</v>
      </c>
      <c r="AB281" s="49">
        <f t="shared" si="157"/>
        <v>0</v>
      </c>
      <c r="AC281" s="27" t="str">
        <f t="shared" si="158"/>
        <v>ok</v>
      </c>
    </row>
    <row r="282" spans="1:29" x14ac:dyDescent="0.2">
      <c r="F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27"/>
    </row>
    <row r="283" spans="1:29" x14ac:dyDescent="0.2">
      <c r="A283" s="14" t="s">
        <v>178</v>
      </c>
      <c r="C283" s="14" t="s">
        <v>179</v>
      </c>
      <c r="F283" s="66">
        <f>SUM(F269:F282)</f>
        <v>4521326.4399999995</v>
      </c>
      <c r="G283" s="66"/>
      <c r="H283" s="66">
        <f>SUM(H269:H282)</f>
        <v>0</v>
      </c>
      <c r="I283" s="66">
        <f>SUM(I269:I282)</f>
        <v>0</v>
      </c>
      <c r="J283" s="66"/>
      <c r="K283" s="66">
        <f>SUM(K269:K282)</f>
        <v>0</v>
      </c>
      <c r="L283" s="66"/>
      <c r="M283" s="66">
        <f>SUM(M269:M282)</f>
        <v>11998.268778355123</v>
      </c>
      <c r="N283" s="66"/>
      <c r="O283" s="66">
        <f>SUM(O269:O282)</f>
        <v>2026537.7596293674</v>
      </c>
      <c r="P283" s="66">
        <f>SUM(P269:P282)</f>
        <v>1118412.4128336601</v>
      </c>
      <c r="Q283" s="66"/>
      <c r="R283" s="66">
        <f>SUM(R269:R282)</f>
        <v>0</v>
      </c>
      <c r="S283" s="66">
        <f>SUM(S269:S282)</f>
        <v>183092.69369466591</v>
      </c>
      <c r="T283" s="66"/>
      <c r="U283" s="66">
        <f>SUM(U269:U282)</f>
        <v>220835.15515616297</v>
      </c>
      <c r="V283" s="66"/>
      <c r="W283" s="66">
        <f>SUM(W269:W282)</f>
        <v>60128.547327529697</v>
      </c>
      <c r="X283" s="66"/>
      <c r="Y283" s="66">
        <f>SUM(Y269:Y282)</f>
        <v>852252.03053343447</v>
      </c>
      <c r="Z283" s="66"/>
      <c r="AA283" s="66">
        <f>SUM(AA269:AA282)</f>
        <v>48069.572046824462</v>
      </c>
      <c r="AB283" s="49">
        <f>SUM(H283:AA283)</f>
        <v>4521326.4400000004</v>
      </c>
      <c r="AC283" s="27" t="str">
        <f>IF(ABS(AB283-F283)&lt;1,"ok","err")</f>
        <v>ok</v>
      </c>
    </row>
    <row r="284" spans="1:29" x14ac:dyDescent="0.2">
      <c r="F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27"/>
    </row>
    <row r="285" spans="1:29" x14ac:dyDescent="0.2">
      <c r="A285" s="14" t="s">
        <v>180</v>
      </c>
      <c r="C285" s="14" t="s">
        <v>181</v>
      </c>
      <c r="F285" s="66">
        <f>F237+F246+F262+F283</f>
        <v>140958727.29000002</v>
      </c>
      <c r="G285" s="66"/>
      <c r="H285" s="66">
        <f>H237+H246+H262+H283</f>
        <v>34332679.475331917</v>
      </c>
      <c r="I285" s="66">
        <f>I237+I246+I262+I283</f>
        <v>85477779.524668083</v>
      </c>
      <c r="J285" s="66"/>
      <c r="K285" s="66">
        <f>K237+K246+K262+K283</f>
        <v>0</v>
      </c>
      <c r="L285" s="66"/>
      <c r="M285" s="66">
        <f>M237+M246+M262+M283</f>
        <v>50261.674012461677</v>
      </c>
      <c r="N285" s="66"/>
      <c r="O285" s="66">
        <f>O237+O246+O262+O283</f>
        <v>9641873.7977544554</v>
      </c>
      <c r="P285" s="66">
        <f>P237+P246+P262+P283</f>
        <v>5184382.8537911205</v>
      </c>
      <c r="Q285" s="66"/>
      <c r="R285" s="66">
        <f>R237+R246+R262+R283</f>
        <v>0</v>
      </c>
      <c r="S285" s="66">
        <f>S237+S246+S262+S283</f>
        <v>708860.86557801394</v>
      </c>
      <c r="T285" s="66"/>
      <c r="U285" s="66">
        <f>U237+U246+U262+U283</f>
        <v>978007.44416693761</v>
      </c>
      <c r="V285" s="66"/>
      <c r="W285" s="66">
        <f>W237+W246+W262+W283</f>
        <v>192885.10211675125</v>
      </c>
      <c r="X285" s="66"/>
      <c r="Y285" s="66">
        <f>Y237+Y246+Y262+Y283</f>
        <v>4293694.6305334345</v>
      </c>
      <c r="Z285" s="66"/>
      <c r="AA285" s="66">
        <f>AA237+AA246+AA262+AA283</f>
        <v>98301.922046824446</v>
      </c>
      <c r="AB285" s="49">
        <f>SUM(H285:AA285)</f>
        <v>140958727.28999999</v>
      </c>
      <c r="AC285" s="27" t="str">
        <f>IF(ABS(AB285-F285)&lt;1,"ok","err")</f>
        <v>ok</v>
      </c>
    </row>
    <row r="286" spans="1:29" x14ac:dyDescent="0.2">
      <c r="F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27"/>
    </row>
    <row r="287" spans="1:29" x14ac:dyDescent="0.2">
      <c r="A287" s="14" t="s">
        <v>411</v>
      </c>
      <c r="C287" s="14" t="s">
        <v>88</v>
      </c>
      <c r="F287" s="89">
        <f>F285-F180</f>
        <v>21148268.290000021</v>
      </c>
      <c r="G287" s="89"/>
      <c r="H287" s="89">
        <f>H285-H180</f>
        <v>0</v>
      </c>
      <c r="I287" s="89">
        <f>I285-I180</f>
        <v>0</v>
      </c>
      <c r="J287" s="89"/>
      <c r="K287" s="89">
        <f>K285-K180</f>
        <v>0</v>
      </c>
      <c r="L287" s="89"/>
      <c r="M287" s="89">
        <f>M285-M180</f>
        <v>50261.674012461677</v>
      </c>
      <c r="N287" s="89"/>
      <c r="O287" s="89">
        <f>O285-O180</f>
        <v>9641873.7977544554</v>
      </c>
      <c r="P287" s="89">
        <f>P285-P180</f>
        <v>5184382.8537911205</v>
      </c>
      <c r="Q287" s="89">
        <f>Q285-Q180</f>
        <v>0</v>
      </c>
      <c r="R287" s="89">
        <f>R285-R180</f>
        <v>0</v>
      </c>
      <c r="S287" s="89">
        <f>S285-S180</f>
        <v>708860.86557801394</v>
      </c>
      <c r="T287" s="89"/>
      <c r="U287" s="89">
        <f>U285-U180</f>
        <v>978007.44416693761</v>
      </c>
      <c r="V287" s="89"/>
      <c r="W287" s="89">
        <f>W285-W180</f>
        <v>192885.10211675125</v>
      </c>
      <c r="X287" s="89"/>
      <c r="Y287" s="89">
        <f>Y285-Y180</f>
        <v>4293694.6305334345</v>
      </c>
      <c r="Z287" s="89"/>
      <c r="AA287" s="89">
        <f>AA285-AA180</f>
        <v>98301.922046824446</v>
      </c>
      <c r="AB287" s="49">
        <f>SUM(H287:AA287)</f>
        <v>21148268.289999999</v>
      </c>
      <c r="AC287" s="27" t="str">
        <f>IF(ABS(AB287-F287)&lt;1,"ok","err")</f>
        <v>ok</v>
      </c>
    </row>
    <row r="288" spans="1:29" x14ac:dyDescent="0.2">
      <c r="Q288" s="14"/>
      <c r="AC288" s="27"/>
    </row>
    <row r="289" spans="1:29" x14ac:dyDescent="0.2">
      <c r="AC289" s="27"/>
    </row>
    <row r="290" spans="1:29" x14ac:dyDescent="0.2">
      <c r="A290" s="25" t="s">
        <v>183</v>
      </c>
      <c r="AC290" s="27"/>
    </row>
    <row r="291" spans="1:29" x14ac:dyDescent="0.2">
      <c r="AC291" s="27"/>
    </row>
    <row r="292" spans="1:29" x14ac:dyDescent="0.2">
      <c r="A292" s="13" t="s">
        <v>184</v>
      </c>
      <c r="AC292" s="27"/>
    </row>
    <row r="293" spans="1:29" x14ac:dyDescent="0.2">
      <c r="A293" s="14" t="s">
        <v>765</v>
      </c>
      <c r="C293" s="14" t="s">
        <v>826</v>
      </c>
      <c r="D293" s="14" t="s">
        <v>781</v>
      </c>
      <c r="F293" s="49">
        <v>0</v>
      </c>
      <c r="H293" s="49">
        <f t="shared" ref="H293:H310" si="171">IF((VLOOKUP($D293,$C$5:$AA$492,6,)=0),0,((VLOOKUP($D293,$C$5:$AA$492,6,)/VLOOKUP($D293,$C$5:$AA$492,4,))*$F293))</f>
        <v>0</v>
      </c>
      <c r="I293" s="49">
        <f t="shared" ref="I293:I310" si="172">IF((VLOOKUP($D293,$C$5:$AA$492,7,)=0),0,((VLOOKUP($D293,$C$5:$AA$492,7,)/VLOOKUP($D293,$C$5:$AA$492,4,))*$F293))</f>
        <v>0</v>
      </c>
      <c r="J293" s="49"/>
      <c r="K293" s="49">
        <f t="shared" ref="K293:K310" si="173">IF((VLOOKUP($D293,$C$5:$AA$492,9,)=0),0,((VLOOKUP($D293,$C$5:$AA$492,9,)/VLOOKUP($D293,$C$5:$AA$492,4,))*$F293))</f>
        <v>0</v>
      </c>
      <c r="L293" s="49"/>
      <c r="M293" s="49">
        <f t="shared" ref="M293:M310" si="174">IF((VLOOKUP($D293,$C$5:$AA$492,11,)=0),0,((VLOOKUP($D293,$C$5:$AA$492,11,)/VLOOKUP($D293,$C$5:$AA$492,4,))*$F293))</f>
        <v>0</v>
      </c>
      <c r="N293" s="49"/>
      <c r="O293" s="49">
        <f t="shared" ref="O293:O310" si="175">IF((VLOOKUP($D293,$C$5:$AA$492,13,)=0),0,((VLOOKUP($D293,$C$5:$AA$492,13,)/VLOOKUP($D293,$C$5:$AA$492,4,))*$F293))</f>
        <v>0</v>
      </c>
      <c r="P293" s="49">
        <f t="shared" ref="P293:P310" si="176">IF((VLOOKUP($D293,$C$5:$AA$492,14,)=0),0,((VLOOKUP($D293,$C$5:$AA$492,14,)/VLOOKUP($D293,$C$5:$AA$492,4,))*$F293))</f>
        <v>0</v>
      </c>
      <c r="Q293" s="49"/>
      <c r="R293" s="49">
        <f t="shared" ref="R293:R310" si="177">IF((VLOOKUP($D293,$C$5:$AA$492,16,)=0),0,((VLOOKUP($D293,$C$5:$AA$492,16,)/VLOOKUP($D293,$C$5:$AA$492,4,))*$F293))</f>
        <v>0</v>
      </c>
      <c r="S293" s="49">
        <f t="shared" ref="S293:S310" si="178">IF((VLOOKUP($D293,$C$5:$AA$492,17,)=0),0,((VLOOKUP($D293,$C$5:$AA$492,17,)/VLOOKUP($D293,$C$5:$AA$492,4,))*$F293))</f>
        <v>0</v>
      </c>
      <c r="T293" s="49"/>
      <c r="U293" s="49">
        <f t="shared" ref="U293:U310" si="179">IF((VLOOKUP($D293,$C$5:$AA$492,19,)=0),0,((VLOOKUP($D293,$C$5:$AA$492,19,)/VLOOKUP($D293,$C$5:$AA$492,4,))*$F293))</f>
        <v>0</v>
      </c>
      <c r="V293" s="49"/>
      <c r="W293" s="49">
        <f t="shared" ref="W293:W310" si="180">IF((VLOOKUP($D293,$C$5:$AA$492,21,)=0),0,((VLOOKUP($D293,$C$5:$AA$492,21,)/VLOOKUP($D293,$C$5:$AA$492,4,))*$F293))</f>
        <v>0</v>
      </c>
      <c r="X293" s="49"/>
      <c r="Y293" s="49">
        <f t="shared" ref="Y293:Y310" si="181">IF((VLOOKUP($D293,$C$5:$AA$492,23,)=0),0,((VLOOKUP($D293,$C$5:$AA$492,23,)/VLOOKUP($D293,$C$5:$AA$492,4,))*$F293))</f>
        <v>0</v>
      </c>
      <c r="Z293" s="49"/>
      <c r="AA293" s="49">
        <f t="shared" ref="AA293:AA310" si="182">IF((VLOOKUP($D293,$C$5:$AA$492,25,)=0),0,((VLOOKUP($D293,$C$5:$AA$492,25,)/VLOOKUP($D293,$C$5:$AA$492,4,))*$F293))</f>
        <v>0</v>
      </c>
      <c r="AB293" s="49">
        <f>SUM(H293:AA293)</f>
        <v>0</v>
      </c>
      <c r="AC293" s="27" t="str">
        <f>IF(ABS(AB293-F293)&lt;1,"ok","err")</f>
        <v>ok</v>
      </c>
    </row>
    <row r="294" spans="1:29" x14ac:dyDescent="0.2">
      <c r="A294" s="14" t="s">
        <v>366</v>
      </c>
      <c r="C294" s="14" t="s">
        <v>413</v>
      </c>
      <c r="D294" s="14" t="s">
        <v>389</v>
      </c>
      <c r="F294" s="49">
        <v>0</v>
      </c>
      <c r="H294" s="49">
        <f t="shared" si="171"/>
        <v>0</v>
      </c>
      <c r="I294" s="49">
        <f t="shared" si="172"/>
        <v>0</v>
      </c>
      <c r="J294" s="49"/>
      <c r="K294" s="49">
        <f t="shared" si="173"/>
        <v>0</v>
      </c>
      <c r="L294" s="49"/>
      <c r="M294" s="49">
        <f t="shared" si="174"/>
        <v>0</v>
      </c>
      <c r="N294" s="49"/>
      <c r="O294" s="49">
        <f t="shared" si="175"/>
        <v>0</v>
      </c>
      <c r="P294" s="49">
        <f t="shared" si="176"/>
        <v>0</v>
      </c>
      <c r="Q294" s="49"/>
      <c r="R294" s="49">
        <f t="shared" si="177"/>
        <v>0</v>
      </c>
      <c r="S294" s="49">
        <f t="shared" si="178"/>
        <v>0</v>
      </c>
      <c r="T294" s="49"/>
      <c r="U294" s="49">
        <f t="shared" si="179"/>
        <v>0</v>
      </c>
      <c r="V294" s="49"/>
      <c r="W294" s="49">
        <f t="shared" si="180"/>
        <v>0</v>
      </c>
      <c r="X294" s="49"/>
      <c r="Y294" s="49">
        <f t="shared" si="181"/>
        <v>0</v>
      </c>
      <c r="Z294" s="49"/>
      <c r="AA294" s="49">
        <f t="shared" si="182"/>
        <v>0</v>
      </c>
      <c r="AB294" s="49">
        <f>SUM(H294:AA294)</f>
        <v>0</v>
      </c>
      <c r="AC294" s="27" t="str">
        <f>IF(ABS(AB294-F294)&lt;1,"ok","err")</f>
        <v>ok</v>
      </c>
    </row>
    <row r="295" spans="1:29" x14ac:dyDescent="0.2">
      <c r="A295" s="14" t="s">
        <v>425</v>
      </c>
      <c r="C295" s="14" t="s">
        <v>457</v>
      </c>
      <c r="D295" s="14" t="s">
        <v>423</v>
      </c>
      <c r="F295" s="49">
        <v>0</v>
      </c>
      <c r="H295" s="49">
        <f t="shared" si="171"/>
        <v>0</v>
      </c>
      <c r="I295" s="49">
        <f t="shared" si="172"/>
        <v>0</v>
      </c>
      <c r="J295" s="49"/>
      <c r="K295" s="49">
        <f t="shared" si="173"/>
        <v>0</v>
      </c>
      <c r="L295" s="49"/>
      <c r="M295" s="49">
        <f t="shared" si="174"/>
        <v>0</v>
      </c>
      <c r="N295" s="49"/>
      <c r="O295" s="49">
        <f t="shared" si="175"/>
        <v>0</v>
      </c>
      <c r="P295" s="49">
        <f t="shared" si="176"/>
        <v>0</v>
      </c>
      <c r="Q295" s="49"/>
      <c r="R295" s="49">
        <f t="shared" si="177"/>
        <v>0</v>
      </c>
      <c r="S295" s="49">
        <f t="shared" si="178"/>
        <v>0</v>
      </c>
      <c r="T295" s="49"/>
      <c r="U295" s="49">
        <f t="shared" si="179"/>
        <v>0</v>
      </c>
      <c r="V295" s="49"/>
      <c r="W295" s="49">
        <f t="shared" si="180"/>
        <v>0</v>
      </c>
      <c r="X295" s="49"/>
      <c r="Y295" s="49">
        <f t="shared" si="181"/>
        <v>0</v>
      </c>
      <c r="Z295" s="49"/>
      <c r="AA295" s="49">
        <f t="shared" si="182"/>
        <v>0</v>
      </c>
      <c r="AB295" s="49">
        <f t="shared" ref="AB295:AB306" si="183">SUM(H295:AA295)</f>
        <v>0</v>
      </c>
      <c r="AC295" s="27" t="str">
        <f t="shared" ref="AC295:AC306" si="184">IF(ABS(AB295-F295)&lt;1,"ok","err")</f>
        <v>ok</v>
      </c>
    </row>
    <row r="296" spans="1:29" x14ac:dyDescent="0.2">
      <c r="A296" s="14" t="s">
        <v>426</v>
      </c>
      <c r="C296" s="14" t="s">
        <v>458</v>
      </c>
      <c r="D296" s="14" t="s">
        <v>23</v>
      </c>
      <c r="F296" s="49">
        <v>0</v>
      </c>
      <c r="H296" s="49">
        <f t="shared" si="171"/>
        <v>0</v>
      </c>
      <c r="I296" s="49">
        <f t="shared" si="172"/>
        <v>0</v>
      </c>
      <c r="J296" s="49"/>
      <c r="K296" s="49">
        <f t="shared" si="173"/>
        <v>0</v>
      </c>
      <c r="L296" s="49"/>
      <c r="M296" s="49">
        <f t="shared" si="174"/>
        <v>0</v>
      </c>
      <c r="N296" s="49"/>
      <c r="O296" s="49">
        <f t="shared" si="175"/>
        <v>0</v>
      </c>
      <c r="P296" s="49">
        <f t="shared" si="176"/>
        <v>0</v>
      </c>
      <c r="Q296" s="49"/>
      <c r="R296" s="49">
        <f t="shared" si="177"/>
        <v>0</v>
      </c>
      <c r="S296" s="49">
        <f t="shared" si="178"/>
        <v>0</v>
      </c>
      <c r="T296" s="49"/>
      <c r="U296" s="49">
        <f t="shared" si="179"/>
        <v>0</v>
      </c>
      <c r="V296" s="49"/>
      <c r="W296" s="49">
        <f t="shared" si="180"/>
        <v>0</v>
      </c>
      <c r="X296" s="49"/>
      <c r="Y296" s="49">
        <f t="shared" si="181"/>
        <v>0</v>
      </c>
      <c r="Z296" s="49"/>
      <c r="AA296" s="49">
        <f t="shared" si="182"/>
        <v>0</v>
      </c>
      <c r="AB296" s="49">
        <f t="shared" si="183"/>
        <v>0</v>
      </c>
      <c r="AC296" s="27" t="str">
        <f t="shared" si="184"/>
        <v>ok</v>
      </c>
    </row>
    <row r="297" spans="1:29" x14ac:dyDescent="0.2">
      <c r="A297" s="14" t="s">
        <v>427</v>
      </c>
      <c r="C297" s="14" t="s">
        <v>459</v>
      </c>
      <c r="D297" s="14" t="s">
        <v>26</v>
      </c>
      <c r="F297" s="49">
        <v>0</v>
      </c>
      <c r="H297" s="49">
        <f t="shared" si="171"/>
        <v>0</v>
      </c>
      <c r="I297" s="49">
        <f t="shared" si="172"/>
        <v>0</v>
      </c>
      <c r="J297" s="49"/>
      <c r="K297" s="49">
        <f t="shared" si="173"/>
        <v>0</v>
      </c>
      <c r="L297" s="49"/>
      <c r="M297" s="49">
        <f t="shared" si="174"/>
        <v>0</v>
      </c>
      <c r="N297" s="49"/>
      <c r="O297" s="49">
        <f t="shared" si="175"/>
        <v>0</v>
      </c>
      <c r="P297" s="49">
        <f t="shared" si="176"/>
        <v>0</v>
      </c>
      <c r="Q297" s="49"/>
      <c r="R297" s="49">
        <f t="shared" si="177"/>
        <v>0</v>
      </c>
      <c r="S297" s="49">
        <f t="shared" si="178"/>
        <v>0</v>
      </c>
      <c r="T297" s="49"/>
      <c r="U297" s="49">
        <f t="shared" si="179"/>
        <v>0</v>
      </c>
      <c r="V297" s="49"/>
      <c r="W297" s="49">
        <f t="shared" si="180"/>
        <v>0</v>
      </c>
      <c r="X297" s="49"/>
      <c r="Y297" s="49">
        <f t="shared" si="181"/>
        <v>0</v>
      </c>
      <c r="Z297" s="49"/>
      <c r="AA297" s="49">
        <f t="shared" si="182"/>
        <v>0</v>
      </c>
      <c r="AB297" s="49">
        <f t="shared" si="183"/>
        <v>0</v>
      </c>
      <c r="AC297" s="27" t="str">
        <f t="shared" si="184"/>
        <v>ok</v>
      </c>
    </row>
    <row r="298" spans="1:29" x14ac:dyDescent="0.2">
      <c r="A298" s="14" t="s">
        <v>428</v>
      </c>
      <c r="C298" s="14" t="s">
        <v>460</v>
      </c>
      <c r="D298" s="14" t="s">
        <v>29</v>
      </c>
      <c r="F298" s="49">
        <v>0</v>
      </c>
      <c r="H298" s="49">
        <f t="shared" si="171"/>
        <v>0</v>
      </c>
      <c r="I298" s="49">
        <f t="shared" si="172"/>
        <v>0</v>
      </c>
      <c r="J298" s="49"/>
      <c r="K298" s="49">
        <f t="shared" si="173"/>
        <v>0</v>
      </c>
      <c r="L298" s="49"/>
      <c r="M298" s="49">
        <f t="shared" si="174"/>
        <v>0</v>
      </c>
      <c r="N298" s="49"/>
      <c r="O298" s="49">
        <f t="shared" si="175"/>
        <v>0</v>
      </c>
      <c r="P298" s="49">
        <f t="shared" si="176"/>
        <v>0</v>
      </c>
      <c r="Q298" s="49"/>
      <c r="R298" s="49">
        <f t="shared" si="177"/>
        <v>0</v>
      </c>
      <c r="S298" s="49">
        <f t="shared" si="178"/>
        <v>0</v>
      </c>
      <c r="T298" s="49"/>
      <c r="U298" s="49">
        <f t="shared" si="179"/>
        <v>0</v>
      </c>
      <c r="V298" s="49"/>
      <c r="W298" s="49">
        <f t="shared" si="180"/>
        <v>0</v>
      </c>
      <c r="X298" s="49"/>
      <c r="Y298" s="49">
        <f t="shared" si="181"/>
        <v>0</v>
      </c>
      <c r="Z298" s="49"/>
      <c r="AA298" s="49">
        <f t="shared" si="182"/>
        <v>0</v>
      </c>
      <c r="AB298" s="49">
        <f t="shared" si="183"/>
        <v>0</v>
      </c>
      <c r="AC298" s="27" t="str">
        <f t="shared" si="184"/>
        <v>ok</v>
      </c>
    </row>
    <row r="299" spans="1:29" x14ac:dyDescent="0.2">
      <c r="A299" s="14" t="s">
        <v>446</v>
      </c>
      <c r="C299" s="14" t="s">
        <v>461</v>
      </c>
      <c r="D299" s="14" t="s">
        <v>32</v>
      </c>
      <c r="F299" s="49">
        <v>0</v>
      </c>
      <c r="H299" s="49">
        <f t="shared" si="171"/>
        <v>0</v>
      </c>
      <c r="I299" s="49">
        <f t="shared" si="172"/>
        <v>0</v>
      </c>
      <c r="J299" s="49"/>
      <c r="K299" s="49">
        <f t="shared" si="173"/>
        <v>0</v>
      </c>
      <c r="L299" s="49"/>
      <c r="M299" s="49">
        <f t="shared" si="174"/>
        <v>0</v>
      </c>
      <c r="N299" s="49"/>
      <c r="O299" s="49">
        <f t="shared" si="175"/>
        <v>0</v>
      </c>
      <c r="P299" s="49">
        <f t="shared" si="176"/>
        <v>0</v>
      </c>
      <c r="Q299" s="49"/>
      <c r="R299" s="49">
        <f t="shared" si="177"/>
        <v>0</v>
      </c>
      <c r="S299" s="49">
        <f t="shared" si="178"/>
        <v>0</v>
      </c>
      <c r="T299" s="49"/>
      <c r="U299" s="49">
        <f t="shared" si="179"/>
        <v>0</v>
      </c>
      <c r="V299" s="49"/>
      <c r="W299" s="49">
        <f t="shared" si="180"/>
        <v>0</v>
      </c>
      <c r="X299" s="49"/>
      <c r="Y299" s="49">
        <f t="shared" si="181"/>
        <v>0</v>
      </c>
      <c r="Z299" s="49"/>
      <c r="AA299" s="49">
        <f t="shared" si="182"/>
        <v>0</v>
      </c>
      <c r="AB299" s="49">
        <f t="shared" si="183"/>
        <v>0</v>
      </c>
      <c r="AC299" s="27" t="str">
        <f t="shared" si="184"/>
        <v>ok</v>
      </c>
    </row>
    <row r="300" spans="1:29" x14ac:dyDescent="0.2">
      <c r="A300" s="14" t="s">
        <v>429</v>
      </c>
      <c r="C300" s="14" t="s">
        <v>462</v>
      </c>
      <c r="D300" s="14" t="s">
        <v>35</v>
      </c>
      <c r="F300" s="49">
        <v>0</v>
      </c>
      <c r="H300" s="49">
        <f t="shared" si="171"/>
        <v>0</v>
      </c>
      <c r="I300" s="49">
        <f t="shared" si="172"/>
        <v>0</v>
      </c>
      <c r="J300" s="49"/>
      <c r="K300" s="49">
        <f t="shared" si="173"/>
        <v>0</v>
      </c>
      <c r="L300" s="49"/>
      <c r="M300" s="49">
        <f t="shared" si="174"/>
        <v>0</v>
      </c>
      <c r="N300" s="49"/>
      <c r="O300" s="49">
        <f t="shared" si="175"/>
        <v>0</v>
      </c>
      <c r="P300" s="49">
        <f t="shared" si="176"/>
        <v>0</v>
      </c>
      <c r="Q300" s="49"/>
      <c r="R300" s="49">
        <f t="shared" si="177"/>
        <v>0</v>
      </c>
      <c r="S300" s="49">
        <f t="shared" si="178"/>
        <v>0</v>
      </c>
      <c r="T300" s="49"/>
      <c r="U300" s="49">
        <f t="shared" si="179"/>
        <v>0</v>
      </c>
      <c r="V300" s="49"/>
      <c r="W300" s="49">
        <f t="shared" si="180"/>
        <v>0</v>
      </c>
      <c r="X300" s="49"/>
      <c r="Y300" s="49">
        <f t="shared" si="181"/>
        <v>0</v>
      </c>
      <c r="Z300" s="49"/>
      <c r="AA300" s="49">
        <f t="shared" si="182"/>
        <v>0</v>
      </c>
      <c r="AB300" s="49">
        <f t="shared" si="183"/>
        <v>0</v>
      </c>
      <c r="AC300" s="27" t="str">
        <f t="shared" si="184"/>
        <v>ok</v>
      </c>
    </row>
    <row r="301" spans="1:29" x14ac:dyDescent="0.2">
      <c r="A301" s="14" t="s">
        <v>430</v>
      </c>
      <c r="C301" s="14" t="s">
        <v>463</v>
      </c>
      <c r="D301" s="14" t="s">
        <v>37</v>
      </c>
      <c r="F301" s="49">
        <v>0</v>
      </c>
      <c r="H301" s="49">
        <f t="shared" si="171"/>
        <v>0</v>
      </c>
      <c r="I301" s="49">
        <f t="shared" si="172"/>
        <v>0</v>
      </c>
      <c r="J301" s="49"/>
      <c r="K301" s="49">
        <f t="shared" si="173"/>
        <v>0</v>
      </c>
      <c r="L301" s="49"/>
      <c r="M301" s="49">
        <f t="shared" si="174"/>
        <v>0</v>
      </c>
      <c r="N301" s="49"/>
      <c r="O301" s="49">
        <f t="shared" si="175"/>
        <v>0</v>
      </c>
      <c r="P301" s="49">
        <f t="shared" si="176"/>
        <v>0</v>
      </c>
      <c r="Q301" s="49"/>
      <c r="R301" s="49">
        <f t="shared" si="177"/>
        <v>0</v>
      </c>
      <c r="S301" s="49">
        <f t="shared" si="178"/>
        <v>0</v>
      </c>
      <c r="T301" s="49"/>
      <c r="U301" s="49">
        <f t="shared" si="179"/>
        <v>0</v>
      </c>
      <c r="V301" s="49"/>
      <c r="W301" s="49">
        <f t="shared" si="180"/>
        <v>0</v>
      </c>
      <c r="X301" s="49"/>
      <c r="Y301" s="49">
        <f t="shared" si="181"/>
        <v>0</v>
      </c>
      <c r="Z301" s="49"/>
      <c r="AA301" s="49">
        <f t="shared" si="182"/>
        <v>0</v>
      </c>
      <c r="AB301" s="49">
        <f t="shared" si="183"/>
        <v>0</v>
      </c>
      <c r="AC301" s="27" t="str">
        <f t="shared" si="184"/>
        <v>ok</v>
      </c>
    </row>
    <row r="302" spans="1:29" x14ac:dyDescent="0.2">
      <c r="A302" s="14" t="s">
        <v>431</v>
      </c>
      <c r="C302" s="14" t="s">
        <v>464</v>
      </c>
      <c r="D302" s="14" t="s">
        <v>40</v>
      </c>
      <c r="F302" s="49">
        <v>0</v>
      </c>
      <c r="H302" s="49">
        <f t="shared" si="171"/>
        <v>0</v>
      </c>
      <c r="I302" s="49">
        <f t="shared" si="172"/>
        <v>0</v>
      </c>
      <c r="J302" s="49"/>
      <c r="K302" s="49">
        <f t="shared" si="173"/>
        <v>0</v>
      </c>
      <c r="L302" s="49"/>
      <c r="M302" s="49">
        <f t="shared" si="174"/>
        <v>0</v>
      </c>
      <c r="N302" s="49"/>
      <c r="O302" s="49">
        <f t="shared" si="175"/>
        <v>0</v>
      </c>
      <c r="P302" s="49">
        <f t="shared" si="176"/>
        <v>0</v>
      </c>
      <c r="Q302" s="49"/>
      <c r="R302" s="49">
        <f t="shared" si="177"/>
        <v>0</v>
      </c>
      <c r="S302" s="49">
        <f t="shared" si="178"/>
        <v>0</v>
      </c>
      <c r="T302" s="49"/>
      <c r="U302" s="49">
        <f t="shared" si="179"/>
        <v>0</v>
      </c>
      <c r="V302" s="49"/>
      <c r="W302" s="49">
        <f t="shared" si="180"/>
        <v>0</v>
      </c>
      <c r="X302" s="49"/>
      <c r="Y302" s="49">
        <f t="shared" si="181"/>
        <v>0</v>
      </c>
      <c r="Z302" s="49"/>
      <c r="AA302" s="49">
        <f t="shared" si="182"/>
        <v>0</v>
      </c>
      <c r="AB302" s="49">
        <f t="shared" si="183"/>
        <v>0</v>
      </c>
      <c r="AC302" s="27" t="str">
        <f t="shared" si="184"/>
        <v>ok</v>
      </c>
    </row>
    <row r="303" spans="1:29" x14ac:dyDescent="0.2">
      <c r="A303" s="14" t="s">
        <v>432</v>
      </c>
      <c r="C303" s="14" t="s">
        <v>465</v>
      </c>
      <c r="D303" s="14" t="s">
        <v>43</v>
      </c>
      <c r="F303" s="49">
        <v>0</v>
      </c>
      <c r="H303" s="49">
        <f t="shared" si="171"/>
        <v>0</v>
      </c>
      <c r="I303" s="49">
        <f t="shared" si="172"/>
        <v>0</v>
      </c>
      <c r="J303" s="49"/>
      <c r="K303" s="49">
        <f t="shared" si="173"/>
        <v>0</v>
      </c>
      <c r="L303" s="49"/>
      <c r="M303" s="49">
        <f t="shared" si="174"/>
        <v>0</v>
      </c>
      <c r="N303" s="49"/>
      <c r="O303" s="49">
        <f t="shared" si="175"/>
        <v>0</v>
      </c>
      <c r="P303" s="49">
        <f t="shared" si="176"/>
        <v>0</v>
      </c>
      <c r="Q303" s="49"/>
      <c r="R303" s="49">
        <f t="shared" si="177"/>
        <v>0</v>
      </c>
      <c r="S303" s="49">
        <f t="shared" si="178"/>
        <v>0</v>
      </c>
      <c r="T303" s="49"/>
      <c r="U303" s="49">
        <f t="shared" si="179"/>
        <v>0</v>
      </c>
      <c r="V303" s="49"/>
      <c r="W303" s="49">
        <f t="shared" si="180"/>
        <v>0</v>
      </c>
      <c r="X303" s="49"/>
      <c r="Y303" s="49">
        <f t="shared" si="181"/>
        <v>0</v>
      </c>
      <c r="Z303" s="49"/>
      <c r="AA303" s="49">
        <f t="shared" si="182"/>
        <v>0</v>
      </c>
      <c r="AB303" s="49">
        <f t="shared" si="183"/>
        <v>0</v>
      </c>
      <c r="AC303" s="27" t="str">
        <f t="shared" si="184"/>
        <v>ok</v>
      </c>
    </row>
    <row r="304" spans="1:29" x14ac:dyDescent="0.2">
      <c r="A304" s="14" t="s">
        <v>433</v>
      </c>
      <c r="C304" s="14" t="s">
        <v>466</v>
      </c>
      <c r="D304" s="14" t="s">
        <v>46</v>
      </c>
      <c r="F304" s="49">
        <v>0</v>
      </c>
      <c r="H304" s="49">
        <f t="shared" si="171"/>
        <v>0</v>
      </c>
      <c r="I304" s="49">
        <f t="shared" si="172"/>
        <v>0</v>
      </c>
      <c r="J304" s="49"/>
      <c r="K304" s="49">
        <f t="shared" si="173"/>
        <v>0</v>
      </c>
      <c r="L304" s="49"/>
      <c r="M304" s="49">
        <f t="shared" si="174"/>
        <v>0</v>
      </c>
      <c r="N304" s="49"/>
      <c r="O304" s="49">
        <f t="shared" si="175"/>
        <v>0</v>
      </c>
      <c r="P304" s="49">
        <f t="shared" si="176"/>
        <v>0</v>
      </c>
      <c r="Q304" s="49"/>
      <c r="R304" s="49">
        <f t="shared" si="177"/>
        <v>0</v>
      </c>
      <c r="S304" s="49">
        <f t="shared" si="178"/>
        <v>0</v>
      </c>
      <c r="T304" s="49"/>
      <c r="U304" s="49">
        <f t="shared" si="179"/>
        <v>0</v>
      </c>
      <c r="V304" s="49"/>
      <c r="W304" s="49">
        <f t="shared" si="180"/>
        <v>0</v>
      </c>
      <c r="X304" s="49"/>
      <c r="Y304" s="49">
        <f t="shared" si="181"/>
        <v>0</v>
      </c>
      <c r="Z304" s="49"/>
      <c r="AA304" s="49">
        <f t="shared" si="182"/>
        <v>0</v>
      </c>
      <c r="AB304" s="49">
        <f t="shared" si="183"/>
        <v>0</v>
      </c>
      <c r="AC304" s="27" t="str">
        <f t="shared" si="184"/>
        <v>ok</v>
      </c>
    </row>
    <row r="305" spans="1:29" x14ac:dyDescent="0.2">
      <c r="A305" s="14" t="s">
        <v>434</v>
      </c>
      <c r="C305" s="14" t="s">
        <v>467</v>
      </c>
      <c r="D305" s="14" t="s">
        <v>48</v>
      </c>
      <c r="F305" s="49">
        <v>0</v>
      </c>
      <c r="H305" s="49">
        <f t="shared" si="171"/>
        <v>0</v>
      </c>
      <c r="I305" s="49">
        <f t="shared" si="172"/>
        <v>0</v>
      </c>
      <c r="J305" s="49"/>
      <c r="K305" s="49">
        <f t="shared" si="173"/>
        <v>0</v>
      </c>
      <c r="L305" s="49"/>
      <c r="M305" s="49">
        <f t="shared" si="174"/>
        <v>0</v>
      </c>
      <c r="N305" s="49"/>
      <c r="O305" s="49">
        <f t="shared" si="175"/>
        <v>0</v>
      </c>
      <c r="P305" s="49">
        <f t="shared" si="176"/>
        <v>0</v>
      </c>
      <c r="Q305" s="49"/>
      <c r="R305" s="49">
        <f t="shared" si="177"/>
        <v>0</v>
      </c>
      <c r="S305" s="49">
        <f t="shared" si="178"/>
        <v>0</v>
      </c>
      <c r="T305" s="49"/>
      <c r="U305" s="49">
        <f t="shared" si="179"/>
        <v>0</v>
      </c>
      <c r="V305" s="49"/>
      <c r="W305" s="49">
        <f t="shared" si="180"/>
        <v>0</v>
      </c>
      <c r="X305" s="49"/>
      <c r="Y305" s="49">
        <f t="shared" si="181"/>
        <v>0</v>
      </c>
      <c r="Z305" s="49"/>
      <c r="AA305" s="49">
        <f t="shared" si="182"/>
        <v>0</v>
      </c>
      <c r="AB305" s="49">
        <f t="shared" si="183"/>
        <v>0</v>
      </c>
      <c r="AC305" s="27" t="str">
        <f t="shared" si="184"/>
        <v>ok</v>
      </c>
    </row>
    <row r="306" spans="1:29" x14ac:dyDescent="0.2">
      <c r="A306" s="14" t="s">
        <v>579</v>
      </c>
      <c r="C306" s="14" t="s">
        <v>468</v>
      </c>
      <c r="D306" s="14" t="s">
        <v>16</v>
      </c>
      <c r="F306" s="49">
        <v>12306150.92</v>
      </c>
      <c r="H306" s="49">
        <f t="shared" si="171"/>
        <v>0</v>
      </c>
      <c r="I306" s="49">
        <f t="shared" si="172"/>
        <v>0</v>
      </c>
      <c r="J306" s="49"/>
      <c r="K306" s="49">
        <f t="shared" si="173"/>
        <v>0</v>
      </c>
      <c r="L306" s="49"/>
      <c r="M306" s="49">
        <f t="shared" si="174"/>
        <v>86341.045523973269</v>
      </c>
      <c r="N306" s="49"/>
      <c r="O306" s="49">
        <f t="shared" si="175"/>
        <v>5627906.5101518072</v>
      </c>
      <c r="P306" s="49">
        <f t="shared" si="176"/>
        <v>3781471.8530696803</v>
      </c>
      <c r="Q306" s="49"/>
      <c r="R306" s="49">
        <f t="shared" si="177"/>
        <v>0</v>
      </c>
      <c r="S306" s="49">
        <f t="shared" si="178"/>
        <v>1577356.5747617777</v>
      </c>
      <c r="T306" s="49"/>
      <c r="U306" s="49">
        <f t="shared" si="179"/>
        <v>613081.88692948665</v>
      </c>
      <c r="V306" s="49"/>
      <c r="W306" s="49">
        <f t="shared" si="180"/>
        <v>619993.04956327518</v>
      </c>
      <c r="X306" s="49"/>
      <c r="Y306" s="49">
        <f t="shared" si="181"/>
        <v>0</v>
      </c>
      <c r="Z306" s="49"/>
      <c r="AA306" s="49">
        <f t="shared" si="182"/>
        <v>0</v>
      </c>
      <c r="AB306" s="49">
        <f t="shared" si="183"/>
        <v>12306150.92</v>
      </c>
      <c r="AC306" s="27" t="str">
        <f t="shared" si="184"/>
        <v>ok</v>
      </c>
    </row>
    <row r="307" spans="1:29" x14ac:dyDescent="0.2">
      <c r="A307" s="14" t="s">
        <v>81</v>
      </c>
      <c r="C307" s="14" t="s">
        <v>414</v>
      </c>
      <c r="D307" s="14" t="s">
        <v>70</v>
      </c>
      <c r="F307" s="49">
        <v>480962.87</v>
      </c>
      <c r="H307" s="49">
        <f t="shared" si="171"/>
        <v>0</v>
      </c>
      <c r="I307" s="49">
        <f t="shared" si="172"/>
        <v>0</v>
      </c>
      <c r="J307" s="49"/>
      <c r="K307" s="49">
        <f t="shared" si="173"/>
        <v>0</v>
      </c>
      <c r="L307" s="49"/>
      <c r="M307" s="49">
        <f t="shared" si="174"/>
        <v>3374.47812268589</v>
      </c>
      <c r="N307" s="49"/>
      <c r="O307" s="49">
        <f t="shared" si="175"/>
        <v>219956.18977946823</v>
      </c>
      <c r="P307" s="49">
        <f t="shared" si="176"/>
        <v>147791.7479722093</v>
      </c>
      <c r="Q307" s="49"/>
      <c r="R307" s="49">
        <f t="shared" si="177"/>
        <v>0</v>
      </c>
      <c r="S307" s="49">
        <f t="shared" si="178"/>
        <v>61648.028708784463</v>
      </c>
      <c r="T307" s="49"/>
      <c r="U307" s="49">
        <f t="shared" si="179"/>
        <v>23961.157781950991</v>
      </c>
      <c r="V307" s="49"/>
      <c r="W307" s="49">
        <f t="shared" si="180"/>
        <v>24231.267634901156</v>
      </c>
      <c r="X307" s="49"/>
      <c r="Y307" s="49">
        <f t="shared" si="181"/>
        <v>0</v>
      </c>
      <c r="Z307" s="49"/>
      <c r="AA307" s="49">
        <f t="shared" si="182"/>
        <v>0</v>
      </c>
      <c r="AB307" s="49">
        <f>SUM(H307:AA307)</f>
        <v>480962.87000000005</v>
      </c>
      <c r="AC307" s="27" t="str">
        <f>IF(ABS(AB307-F307)&lt;1,"ok","err")</f>
        <v>ok</v>
      </c>
    </row>
    <row r="308" spans="1:29" x14ac:dyDescent="0.2">
      <c r="A308" s="14" t="s">
        <v>764</v>
      </c>
      <c r="C308" s="14" t="s">
        <v>414</v>
      </c>
      <c r="D308" s="14" t="s">
        <v>70</v>
      </c>
      <c r="F308" s="49">
        <v>0</v>
      </c>
      <c r="H308" s="49">
        <f t="shared" si="171"/>
        <v>0</v>
      </c>
      <c r="I308" s="49">
        <f t="shared" si="172"/>
        <v>0</v>
      </c>
      <c r="J308" s="49"/>
      <c r="K308" s="49">
        <f t="shared" si="173"/>
        <v>0</v>
      </c>
      <c r="L308" s="49"/>
      <c r="M308" s="49">
        <f t="shared" si="174"/>
        <v>0</v>
      </c>
      <c r="N308" s="49"/>
      <c r="O308" s="49">
        <f t="shared" si="175"/>
        <v>0</v>
      </c>
      <c r="P308" s="49">
        <f t="shared" si="176"/>
        <v>0</v>
      </c>
      <c r="Q308" s="49"/>
      <c r="R308" s="49">
        <f t="shared" si="177"/>
        <v>0</v>
      </c>
      <c r="S308" s="49">
        <f t="shared" si="178"/>
        <v>0</v>
      </c>
      <c r="T308" s="49"/>
      <c r="U308" s="49">
        <f t="shared" si="179"/>
        <v>0</v>
      </c>
      <c r="V308" s="49"/>
      <c r="W308" s="49">
        <f t="shared" si="180"/>
        <v>0</v>
      </c>
      <c r="X308" s="49"/>
      <c r="Y308" s="49">
        <f t="shared" si="181"/>
        <v>0</v>
      </c>
      <c r="Z308" s="49"/>
      <c r="AA308" s="49">
        <f t="shared" si="182"/>
        <v>0</v>
      </c>
      <c r="AB308" s="49">
        <f>SUM(H308:AA308)</f>
        <v>0</v>
      </c>
      <c r="AC308" s="27" t="str">
        <f>IF(ABS(AB308-F308)&lt;1,"ok","err")</f>
        <v>ok</v>
      </c>
    </row>
    <row r="309" spans="1:29" x14ac:dyDescent="0.2">
      <c r="A309" s="14" t="s">
        <v>386</v>
      </c>
      <c r="C309" s="14" t="s">
        <v>415</v>
      </c>
      <c r="D309" s="14" t="s">
        <v>391</v>
      </c>
      <c r="F309" s="49">
        <v>0</v>
      </c>
      <c r="H309" s="49">
        <f t="shared" si="171"/>
        <v>0</v>
      </c>
      <c r="I309" s="49">
        <f t="shared" si="172"/>
        <v>0</v>
      </c>
      <c r="J309" s="49"/>
      <c r="K309" s="49">
        <f t="shared" si="173"/>
        <v>0</v>
      </c>
      <c r="L309" s="49"/>
      <c r="M309" s="49">
        <f t="shared" si="174"/>
        <v>0</v>
      </c>
      <c r="N309" s="49"/>
      <c r="O309" s="49">
        <f t="shared" si="175"/>
        <v>0</v>
      </c>
      <c r="P309" s="49">
        <f t="shared" si="176"/>
        <v>0</v>
      </c>
      <c r="Q309" s="49"/>
      <c r="R309" s="49">
        <f t="shared" si="177"/>
        <v>0</v>
      </c>
      <c r="S309" s="49">
        <f t="shared" si="178"/>
        <v>0</v>
      </c>
      <c r="T309" s="49"/>
      <c r="U309" s="49">
        <f t="shared" si="179"/>
        <v>0</v>
      </c>
      <c r="V309" s="49"/>
      <c r="W309" s="49">
        <f t="shared" si="180"/>
        <v>0</v>
      </c>
      <c r="X309" s="49"/>
      <c r="Y309" s="49">
        <f t="shared" si="181"/>
        <v>0</v>
      </c>
      <c r="Z309" s="49"/>
      <c r="AA309" s="49">
        <f t="shared" si="182"/>
        <v>0</v>
      </c>
      <c r="AB309" s="49">
        <f>SUM(H309:AA309)</f>
        <v>0</v>
      </c>
      <c r="AC309" s="27" t="str">
        <f>IF(ABS(AB309-F309)&lt;1,"ok","err")</f>
        <v>ok</v>
      </c>
    </row>
    <row r="310" spans="1:29" x14ac:dyDescent="0.2">
      <c r="A310" s="14" t="s">
        <v>387</v>
      </c>
      <c r="C310" s="14" t="s">
        <v>416</v>
      </c>
      <c r="D310" s="14" t="s">
        <v>16</v>
      </c>
      <c r="F310" s="49">
        <v>0</v>
      </c>
      <c r="H310" s="49">
        <f t="shared" si="171"/>
        <v>0</v>
      </c>
      <c r="I310" s="49">
        <f t="shared" si="172"/>
        <v>0</v>
      </c>
      <c r="J310" s="49"/>
      <c r="K310" s="49">
        <f t="shared" si="173"/>
        <v>0</v>
      </c>
      <c r="L310" s="49"/>
      <c r="M310" s="49">
        <f t="shared" si="174"/>
        <v>0</v>
      </c>
      <c r="N310" s="49"/>
      <c r="O310" s="49">
        <f t="shared" si="175"/>
        <v>0</v>
      </c>
      <c r="P310" s="49">
        <f t="shared" si="176"/>
        <v>0</v>
      </c>
      <c r="Q310" s="49"/>
      <c r="R310" s="49">
        <f t="shared" si="177"/>
        <v>0</v>
      </c>
      <c r="S310" s="49">
        <f t="shared" si="178"/>
        <v>0</v>
      </c>
      <c r="T310" s="49"/>
      <c r="U310" s="49">
        <f t="shared" si="179"/>
        <v>0</v>
      </c>
      <c r="V310" s="49"/>
      <c r="W310" s="49">
        <f t="shared" si="180"/>
        <v>0</v>
      </c>
      <c r="X310" s="49"/>
      <c r="Y310" s="49">
        <f t="shared" si="181"/>
        <v>0</v>
      </c>
      <c r="Z310" s="49"/>
      <c r="AA310" s="49">
        <f t="shared" si="182"/>
        <v>0</v>
      </c>
      <c r="AB310" s="49">
        <f>SUM(H310:AA310)</f>
        <v>0</v>
      </c>
      <c r="AC310" s="27" t="str">
        <f>IF(ABS(AB310-F310)&lt;1,"ok","err")</f>
        <v>ok</v>
      </c>
    </row>
    <row r="311" spans="1:29" x14ac:dyDescent="0.2">
      <c r="F311" s="49"/>
      <c r="AC311" s="27"/>
    </row>
    <row r="312" spans="1:29" x14ac:dyDescent="0.2">
      <c r="A312" s="14" t="s">
        <v>185</v>
      </c>
      <c r="C312" s="14" t="s">
        <v>186</v>
      </c>
      <c r="F312" s="66">
        <f>SUM(F293:F311)</f>
        <v>12787113.789999999</v>
      </c>
      <c r="H312" s="49">
        <f>SUM(H293:H311)</f>
        <v>0</v>
      </c>
      <c r="I312" s="49">
        <f>SUM(I293:I311)</f>
        <v>0</v>
      </c>
      <c r="J312" s="49"/>
      <c r="K312" s="49">
        <f>SUM(K293:K311)</f>
        <v>0</v>
      </c>
      <c r="M312" s="49">
        <f>SUM(M293:M311)</f>
        <v>89715.52364665916</v>
      </c>
      <c r="O312" s="49">
        <f>SUM(O293:O311)</f>
        <v>5847862.6999312751</v>
      </c>
      <c r="P312" s="49">
        <f>SUM(P293:P311)</f>
        <v>3929263.6010418897</v>
      </c>
      <c r="R312" s="49">
        <f>SUM(R293:R311)</f>
        <v>0</v>
      </c>
      <c r="S312" s="49">
        <f>SUM(S293:S311)</f>
        <v>1639004.603470562</v>
      </c>
      <c r="U312" s="49">
        <f>SUM(U293:U311)</f>
        <v>637043.04471143766</v>
      </c>
      <c r="W312" s="49">
        <f>SUM(W293:W311)</f>
        <v>644224.31719817629</v>
      </c>
      <c r="Y312" s="49">
        <f>SUM(Y293:Y311)</f>
        <v>0</v>
      </c>
      <c r="AA312" s="49">
        <f>SUM(AA293:AA311)</f>
        <v>0</v>
      </c>
      <c r="AB312" s="49">
        <f>SUM(H312:AA312)</f>
        <v>12787113.789999999</v>
      </c>
      <c r="AC312" s="27" t="str">
        <f>IF(ABS(AB312-F312)&lt;1,"ok","err")</f>
        <v>ok</v>
      </c>
    </row>
    <row r="313" spans="1:29" x14ac:dyDescent="0.2">
      <c r="F313" s="49"/>
      <c r="AC313" s="27"/>
    </row>
    <row r="314" spans="1:29" x14ac:dyDescent="0.2">
      <c r="A314" s="14" t="s">
        <v>187</v>
      </c>
      <c r="C314" s="14" t="s">
        <v>188</v>
      </c>
      <c r="D314" s="14" t="s">
        <v>84</v>
      </c>
      <c r="F314" s="66">
        <v>0</v>
      </c>
      <c r="H314" s="49">
        <f>IF(VLOOKUP($D314,$C$5:$AA$492,6,)=0,0,((VLOOKUP($D314,$C$5:$AA$492,6,)/VLOOKUP($D314,$C$5:$AA$492,4,))*$F314))</f>
        <v>0</v>
      </c>
      <c r="I314" s="49">
        <f>IF(VLOOKUP($D314,$C$5:$AA$492,7,)=0,0,((VLOOKUP($D314,$C$5:$AA$492,7,)/VLOOKUP($D314,$C$5:$AA$492,4,))*$F314))</f>
        <v>0</v>
      </c>
      <c r="J314" s="49"/>
      <c r="K314" s="49">
        <f>IF(VLOOKUP($D314,$C$5:$AA$492,9,)=0,0,((VLOOKUP($D314,$C$5:$AA$492,9,)/VLOOKUP($D314,$C$5:$AA$492,4,))*$F314))</f>
        <v>0</v>
      </c>
      <c r="L314" s="49"/>
      <c r="M314" s="49">
        <f>IF(VLOOKUP($D314,$C$5:$AA$492,11,)=0,0,((VLOOKUP($D314,$C$5:$AA$492,11,)/VLOOKUP($D314,$C$5:$AA$492,4,))*$F314))</f>
        <v>0</v>
      </c>
      <c r="N314" s="49"/>
      <c r="O314" s="49">
        <f>IF(VLOOKUP($D314,$C$5:$AA$492,13,)=0,0,((VLOOKUP($D314,$C$5:$AA$492,13,)/VLOOKUP($D314,$C$5:$AA$492,4,))*$F314))</f>
        <v>0</v>
      </c>
      <c r="P314" s="49">
        <f>IF(VLOOKUP($D314,$C$5:$AA$492,14,)=0,0,((VLOOKUP($D314,$C$5:$AA$492,14,)/VLOOKUP($D314,$C$5:$AA$492,4,))*$F314))</f>
        <v>0</v>
      </c>
      <c r="Q314" s="49"/>
      <c r="R314" s="49">
        <f>IF(VLOOKUP($D314,$C$5:$AA$492,16,)=0,0,((VLOOKUP($D314,$C$5:$AA$492,16,)/VLOOKUP($D314,$C$5:$AA$492,4,))*$F314))</f>
        <v>0</v>
      </c>
      <c r="S314" s="49">
        <f>IF(VLOOKUP($D314,$C$5:$AA$492,17,)=0,0,((VLOOKUP($D314,$C$5:$AA$492,17,)/VLOOKUP($D314,$C$5:$AA$492,4,))*$F314))</f>
        <v>0</v>
      </c>
      <c r="T314" s="49"/>
      <c r="U314" s="49">
        <f>IF(VLOOKUP($D314,$C$5:$AA$492,19,)=0,0,((VLOOKUP($D314,$C$5:$AA$492,19,)/VLOOKUP($D314,$C$5:$AA$492,4,))*$F314))</f>
        <v>0</v>
      </c>
      <c r="V314" s="49"/>
      <c r="W314" s="49">
        <f>IF(VLOOKUP($D314,$C$5:$AA$492,21,)=0,0,((VLOOKUP($D314,$C$5:$AA$492,21,)/VLOOKUP($D314,$C$5:$AA$492,4,))*$F314))</f>
        <v>0</v>
      </c>
      <c r="X314" s="49"/>
      <c r="Y314" s="49">
        <f>IF(VLOOKUP($D314,$C$5:$AA$492,23,)=0,0,((VLOOKUP($D314,$C$5:$AA$492,23,)/VLOOKUP($D314,$C$5:$AA$492,4,))*$F314))</f>
        <v>0</v>
      </c>
      <c r="Z314" s="49"/>
      <c r="AA314" s="49">
        <f>IF(VLOOKUP($D314,$C$5:$AA$492,25,)=0,0,((VLOOKUP($D314,$C$5:$AA$492,25,)/VLOOKUP($D314,$C$5:$AA$492,4,))*$F314))</f>
        <v>0</v>
      </c>
      <c r="AB314" s="49">
        <f>SUM(H314:AA314)</f>
        <v>0</v>
      </c>
      <c r="AC314" s="27" t="str">
        <f>IF(ABS(AB314-F314)&lt;1,"ok","err")</f>
        <v>ok</v>
      </c>
    </row>
    <row r="315" spans="1:29" x14ac:dyDescent="0.2">
      <c r="AC315" s="27"/>
    </row>
    <row r="316" spans="1:29" x14ac:dyDescent="0.2">
      <c r="A316" s="14" t="s">
        <v>308</v>
      </c>
      <c r="C316" s="14" t="s">
        <v>189</v>
      </c>
      <c r="D316" s="14" t="s">
        <v>84</v>
      </c>
      <c r="F316" s="66">
        <v>160</v>
      </c>
      <c r="G316" s="66"/>
      <c r="H316" s="49">
        <f>IF(VLOOKUP($D316,$C$5:$AA$492,6,)=0,0,((VLOOKUP($D316,$C$5:$AA$492,6,)/VLOOKUP($D316,$C$5:$AA$492,4,))*$F316))</f>
        <v>0</v>
      </c>
      <c r="I316" s="49">
        <f>IF(VLOOKUP($D316,$C$5:$AA$492,7,)=0,0,((VLOOKUP($D316,$C$5:$AA$492,7,)/VLOOKUP($D316,$C$5:$AA$492,4,))*$F316))</f>
        <v>0</v>
      </c>
      <c r="J316" s="49"/>
      <c r="K316" s="49">
        <f>IF(VLOOKUP($D316,$C$5:$AA$492,9,)=0,0,((VLOOKUP($D316,$C$5:$AA$492,9,)/VLOOKUP($D316,$C$5:$AA$492,4,))*$F316))</f>
        <v>0</v>
      </c>
      <c r="L316" s="49"/>
      <c r="M316" s="49">
        <f>IF(VLOOKUP($D316,$C$5:$AA$492,11,)=0,0,((VLOOKUP($D316,$C$5:$AA$492,11,)/VLOOKUP($D316,$C$5:$AA$492,4,))*$F316))</f>
        <v>1.1225741804762237</v>
      </c>
      <c r="N316" s="49"/>
      <c r="O316" s="49">
        <f>IF(VLOOKUP($D316,$C$5:$AA$492,13,)=0,0,((VLOOKUP($D316,$C$5:$AA$492,13,)/VLOOKUP($D316,$C$5:$AA$492,4,))*$F316))</f>
        <v>73.171948522169544</v>
      </c>
      <c r="P316" s="49">
        <f>IF(VLOOKUP($D316,$C$5:$AA$492,14,)=0,0,((VLOOKUP($D316,$C$5:$AA$492,14,)/VLOOKUP($D316,$C$5:$AA$492,4,))*$F316))</f>
        <v>49.165291440383932</v>
      </c>
      <c r="Q316" s="49"/>
      <c r="R316" s="49">
        <f>IF(VLOOKUP($D316,$C$5:$AA$492,16,)=0,0,((VLOOKUP($D316,$C$5:$AA$492,16,)/VLOOKUP($D316,$C$5:$AA$492,4,))*$F316))</f>
        <v>0</v>
      </c>
      <c r="S316" s="49">
        <f>IF(VLOOKUP($D316,$C$5:$AA$492,17,)=0,0,((VLOOKUP($D316,$C$5:$AA$492,17,)/VLOOKUP($D316,$C$5:$AA$492,4,))*$F316))</f>
        <v>20.508203873212739</v>
      </c>
      <c r="T316" s="49"/>
      <c r="U316" s="49">
        <f>IF(VLOOKUP($D316,$C$5:$AA$492,19,)=0,0,((VLOOKUP($D316,$C$5:$AA$492,19,)/VLOOKUP($D316,$C$5:$AA$492,4,))*$F316))</f>
        <v>7.9710628080545138</v>
      </c>
      <c r="V316" s="49"/>
      <c r="W316" s="49">
        <f>IF(VLOOKUP($D316,$C$5:$AA$492,21,)=0,0,((VLOOKUP($D316,$C$5:$AA$492,21,)/VLOOKUP($D316,$C$5:$AA$492,4,))*$F316))</f>
        <v>8.0609191757030754</v>
      </c>
      <c r="X316" s="49"/>
      <c r="Y316" s="49">
        <f>IF(VLOOKUP($D316,$C$5:$AA$492,23,)=0,0,((VLOOKUP($D316,$C$5:$AA$492,23,)/VLOOKUP($D316,$C$5:$AA$492,4,))*$F316))</f>
        <v>0</v>
      </c>
      <c r="Z316" s="49"/>
      <c r="AA316" s="49">
        <f>IF(VLOOKUP($D316,$C$5:$AA$492,25,)=0,0,((VLOOKUP($D316,$C$5:$AA$492,25,)/VLOOKUP($D316,$C$5:$AA$492,4,))*$F316))</f>
        <v>0</v>
      </c>
      <c r="AB316" s="49">
        <f>SUM(H316:AA316)</f>
        <v>160.00000000000003</v>
      </c>
      <c r="AC316" s="27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190</v>
      </c>
      <c r="C318" s="14" t="s">
        <v>191</v>
      </c>
      <c r="D318" s="14" t="s">
        <v>84</v>
      </c>
      <c r="F318" s="66">
        <v>3252736.2</v>
      </c>
      <c r="H318" s="49">
        <f>IF(VLOOKUP($D318,$C$5:$AA$492,6,)=0,0,((VLOOKUP($D318,$C$5:$AA$492,6,)/VLOOKUP($D318,$C$5:$AA$492,4,))*$F318))</f>
        <v>0</v>
      </c>
      <c r="I318" s="49">
        <f>IF(VLOOKUP($D318,$C$5:$AA$492,7,)=0,0,((VLOOKUP($D318,$C$5:$AA$492,7,)/VLOOKUP($D318,$C$5:$AA$492,4,))*$F318))</f>
        <v>0</v>
      </c>
      <c r="J318" s="49"/>
      <c r="K318" s="49">
        <f>IF(VLOOKUP($D318,$C$5:$AA$492,9,)=0,0,((VLOOKUP($D318,$C$5:$AA$492,9,)/VLOOKUP($D318,$C$5:$AA$492,4,))*$F318))</f>
        <v>0</v>
      </c>
      <c r="L318" s="49"/>
      <c r="M318" s="49">
        <f>IF(VLOOKUP($D318,$C$5:$AA$492,11,)=0,0,((VLOOKUP($D318,$C$5:$AA$492,11,)/VLOOKUP($D318,$C$5:$AA$492,4,))*$F318))</f>
        <v>22821.485462627163</v>
      </c>
      <c r="N318" s="49"/>
      <c r="O318" s="49">
        <f>IF(VLOOKUP($D318,$C$5:$AA$492,13,)=0,0,((VLOOKUP($D318,$C$5:$AA$492,13,)/VLOOKUP($D318,$C$5:$AA$492,4,))*$F318))</f>
        <v>1487556.5361412335</v>
      </c>
      <c r="P318" s="49">
        <f>IF(VLOOKUP($D318,$C$5:$AA$492,14,)=0,0,((VLOOKUP($D318,$C$5:$AA$492,14,)/VLOOKUP($D318,$C$5:$AA$492,4,))*$F318))</f>
        <v>999510.77032304357</v>
      </c>
      <c r="Q318" s="49"/>
      <c r="R318" s="49">
        <f>IF(VLOOKUP($D318,$C$5:$AA$492,16,)=0,0,((VLOOKUP($D318,$C$5:$AA$492,16,)/VLOOKUP($D318,$C$5:$AA$492,4,))*$F318))</f>
        <v>0</v>
      </c>
      <c r="S318" s="49">
        <f>IF(VLOOKUP($D318,$C$5:$AA$492,17,)=0,0,((VLOOKUP($D318,$C$5:$AA$492,17,)/VLOOKUP($D318,$C$5:$AA$492,4,))*$F318))</f>
        <v>416923.6070961206</v>
      </c>
      <c r="T318" s="49"/>
      <c r="U318" s="49">
        <f>IF(VLOOKUP($D318,$C$5:$AA$492,19,)=0,0,((VLOOKUP($D318,$C$5:$AA$492,19,)/VLOOKUP($D318,$C$5:$AA$492,4,))*$F318))</f>
        <v>162048.52842645356</v>
      </c>
      <c r="V318" s="49"/>
      <c r="W318" s="49">
        <f>IF(VLOOKUP($D318,$C$5:$AA$492,21,)=0,0,((VLOOKUP($D318,$C$5:$AA$492,21,)/VLOOKUP($D318,$C$5:$AA$492,4,))*$F318))</f>
        <v>163875.2725505222</v>
      </c>
      <c r="X318" s="49"/>
      <c r="Y318" s="49">
        <f>IF(VLOOKUP($D318,$C$5:$AA$492,23,)=0,0,((VLOOKUP($D318,$C$5:$AA$492,23,)/VLOOKUP($D318,$C$5:$AA$492,4,))*$F318))</f>
        <v>0</v>
      </c>
      <c r="Z318" s="49"/>
      <c r="AA318" s="49">
        <f>IF(VLOOKUP($D318,$C$5:$AA$492,25,)=0,0,((VLOOKUP($D318,$C$5:$AA$492,25,)/VLOOKUP($D318,$C$5:$AA$492,4,))*$F318))</f>
        <v>0</v>
      </c>
      <c r="AB318" s="49">
        <f>SUM(H318:AA318)</f>
        <v>3252736.2000000007</v>
      </c>
      <c r="AC318" s="27" t="str">
        <f>IF(ABS(AB318-F318)&lt;1,"ok","err")</f>
        <v>ok</v>
      </c>
    </row>
    <row r="319" spans="1:29" x14ac:dyDescent="0.2">
      <c r="AC319" s="27"/>
    </row>
    <row r="320" spans="1:29" x14ac:dyDescent="0.2">
      <c r="A320" s="14" t="s">
        <v>192</v>
      </c>
      <c r="C320" s="14" t="s">
        <v>193</v>
      </c>
      <c r="D320" s="14" t="s">
        <v>84</v>
      </c>
      <c r="F320" s="66">
        <v>386829.07</v>
      </c>
      <c r="H320" s="49">
        <f>IF(VLOOKUP($D320,$C$5:$AA$492,6,)=0,0,((VLOOKUP($D320,$C$5:$AA$492,6,)/VLOOKUP($D320,$C$5:$AA$492,4,))*$F320))</f>
        <v>0</v>
      </c>
      <c r="I320" s="49">
        <f>IF(VLOOKUP($D320,$C$5:$AA$492,7,)=0,0,((VLOOKUP($D320,$C$5:$AA$492,7,)/VLOOKUP($D320,$C$5:$AA$492,4,))*$F320))</f>
        <v>0</v>
      </c>
      <c r="J320" s="49"/>
      <c r="K320" s="49">
        <f>IF(VLOOKUP($D320,$C$5:$AA$492,9,)=0,0,((VLOOKUP($D320,$C$5:$AA$492,9,)/VLOOKUP($D320,$C$5:$AA$492,4,))*$F320))</f>
        <v>0</v>
      </c>
      <c r="L320" s="49"/>
      <c r="M320" s="49">
        <f>IF(VLOOKUP($D320,$C$5:$AA$492,11,)=0,0,((VLOOKUP($D320,$C$5:$AA$492,11,)/VLOOKUP($D320,$C$5:$AA$492,4,))*$F320))</f>
        <v>2714.0270389976858</v>
      </c>
      <c r="N320" s="49"/>
      <c r="O320" s="49">
        <f>IF(VLOOKUP($D320,$C$5:$AA$492,13,)=0,0,((VLOOKUP($D320,$C$5:$AA$492,13,)/VLOOKUP($D320,$C$5:$AA$492,4,))*$F320))</f>
        <v>176906.47998074198</v>
      </c>
      <c r="P320" s="49">
        <f>IF(VLOOKUP($D320,$C$5:$AA$492,14,)=0,0,((VLOOKUP($D320,$C$5:$AA$492,14,)/VLOOKUP($D320,$C$5:$AA$492,4,))*$F320))</f>
        <v>118866.02477601674</v>
      </c>
      <c r="Q320" s="49"/>
      <c r="R320" s="49">
        <f>IF(VLOOKUP($D320,$C$5:$AA$492,16,)=0,0,((VLOOKUP($D320,$C$5:$AA$492,16,)/VLOOKUP($D320,$C$5:$AA$492,4,))*$F320))</f>
        <v>0</v>
      </c>
      <c r="S320" s="49">
        <f>IF(VLOOKUP($D320,$C$5:$AA$492,17,)=0,0,((VLOOKUP($D320,$C$5:$AA$492,17,)/VLOOKUP($D320,$C$5:$AA$492,4,))*$F320))</f>
        <v>49582.308947783014</v>
      </c>
      <c r="T320" s="49"/>
      <c r="U320" s="49">
        <f>IF(VLOOKUP($D320,$C$5:$AA$492,19,)=0,0,((VLOOKUP($D320,$C$5:$AA$492,19,)/VLOOKUP($D320,$C$5:$AA$492,4,))*$F320))</f>
        <v>19271.492580945727</v>
      </c>
      <c r="V320" s="49"/>
      <c r="W320" s="49">
        <f>IF(VLOOKUP($D320,$C$5:$AA$492,21,)=0,0,((VLOOKUP($D320,$C$5:$AA$492,21,)/VLOOKUP($D320,$C$5:$AA$492,4,))*$F320))</f>
        <v>19488.73667551492</v>
      </c>
      <c r="X320" s="49"/>
      <c r="Y320" s="49">
        <f>IF(VLOOKUP($D320,$C$5:$AA$492,23,)=0,0,((VLOOKUP($D320,$C$5:$AA$492,23,)/VLOOKUP($D320,$C$5:$AA$492,4,))*$F320))</f>
        <v>0</v>
      </c>
      <c r="Z320" s="49"/>
      <c r="AA320" s="49">
        <f>IF(VLOOKUP($D320,$C$5:$AA$492,25,)=0,0,((VLOOKUP($D320,$C$5:$AA$492,25,)/VLOOKUP($D320,$C$5:$AA$492,4,))*$F320))</f>
        <v>0</v>
      </c>
      <c r="AB320" s="49">
        <f>SUM(H320:AA320)</f>
        <v>386829.07000000007</v>
      </c>
      <c r="AC320" s="27" t="str">
        <f>IF(ABS(AB320-F320)&lt;1,"ok","err")</f>
        <v>ok</v>
      </c>
    </row>
    <row r="321" spans="1:29" x14ac:dyDescent="0.2"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27"/>
    </row>
    <row r="322" spans="1:29" x14ac:dyDescent="0.2">
      <c r="A322" s="14" t="s">
        <v>194</v>
      </c>
      <c r="C322" s="14" t="s">
        <v>856</v>
      </c>
      <c r="D322" s="14" t="s">
        <v>84</v>
      </c>
      <c r="F322" s="66">
        <v>24820.22</v>
      </c>
      <c r="H322" s="49">
        <f>IF(VLOOKUP($D322,$C$5:$AA$492,6,)=0,0,((VLOOKUP($D322,$C$5:$AA$492,6,)/VLOOKUP($D322,$C$5:$AA$492,4,))*$F322))</f>
        <v>0</v>
      </c>
      <c r="I322" s="49">
        <f>IF(VLOOKUP($D322,$C$5:$AA$492,7,)=0,0,((VLOOKUP($D322,$C$5:$AA$492,7,)/VLOOKUP($D322,$C$5:$AA$492,4,))*$F322))</f>
        <v>0</v>
      </c>
      <c r="J322" s="49"/>
      <c r="K322" s="49">
        <f>IF(VLOOKUP($D322,$C$5:$AA$492,9,)=0,0,((VLOOKUP($D322,$C$5:$AA$492,9,)/VLOOKUP($D322,$C$5:$AA$492,4,))*$F322))</f>
        <v>0</v>
      </c>
      <c r="L322" s="49"/>
      <c r="M322" s="49">
        <f>IF(VLOOKUP($D322,$C$5:$AA$492,11,)=0,0,((VLOOKUP($D322,$C$5:$AA$492,11,)/VLOOKUP($D322,$C$5:$AA$492,4,))*$F322))</f>
        <v>174.14086328587234</v>
      </c>
      <c r="N322" s="49"/>
      <c r="O322" s="49">
        <f>IF(VLOOKUP($D322,$C$5:$AA$492,13,)=0,0,((VLOOKUP($D322,$C$5:$AA$492,13,)/VLOOKUP($D322,$C$5:$AA$492,4,))*$F322))</f>
        <v>11350.899125930768</v>
      </c>
      <c r="P322" s="49">
        <f>IF(VLOOKUP($D322,$C$5:$AA$492,14,)=0,0,((VLOOKUP($D322,$C$5:$AA$492,14,)/VLOOKUP($D322,$C$5:$AA$492,4,))*$F322))</f>
        <v>7626.8334369652885</v>
      </c>
      <c r="Q322" s="49"/>
      <c r="R322" s="49">
        <f>IF(VLOOKUP($D322,$C$5:$AA$492,16,)=0,0,((VLOOKUP($D322,$C$5:$AA$492,16,)/VLOOKUP($D322,$C$5:$AA$492,4,))*$F322))</f>
        <v>0</v>
      </c>
      <c r="S322" s="49">
        <f>IF(VLOOKUP($D322,$C$5:$AA$492,17,)=0,0,((VLOOKUP($D322,$C$5:$AA$492,17,)/VLOOKUP($D322,$C$5:$AA$492,4,))*$F322))</f>
        <v>3181.3633246124523</v>
      </c>
      <c r="T322" s="49"/>
      <c r="U322" s="49">
        <f>IF(VLOOKUP($D322,$C$5:$AA$492,19,)=0,0,((VLOOKUP($D322,$C$5:$AA$492,19,)/VLOOKUP($D322,$C$5:$AA$492,4,))*$F322))</f>
        <v>1236.5220783108177</v>
      </c>
      <c r="V322" s="49"/>
      <c r="W322" s="49">
        <f>IF(VLOOKUP($D322,$C$5:$AA$492,21,)=0,0,((VLOOKUP($D322,$C$5:$AA$492,21,)/VLOOKUP($D322,$C$5:$AA$492,4,))*$F322))</f>
        <v>1250.4611708948062</v>
      </c>
      <c r="X322" s="49"/>
      <c r="Y322" s="49">
        <f>IF(VLOOKUP($D322,$C$5:$AA$492,23,)=0,0,((VLOOKUP($D322,$C$5:$AA$492,23,)/VLOOKUP($D322,$C$5:$AA$492,4,))*$F322))</f>
        <v>0</v>
      </c>
      <c r="Z322" s="49"/>
      <c r="AA322" s="49">
        <f>IF(VLOOKUP($D322,$C$5:$AA$492,25,)=0,0,((VLOOKUP($D322,$C$5:$AA$492,25,)/VLOOKUP($D322,$C$5:$AA$492,4,))*$F322))</f>
        <v>0</v>
      </c>
      <c r="AB322" s="49">
        <f>SUM(H322:AA322)</f>
        <v>24820.220000000005</v>
      </c>
      <c r="AC322" s="27" t="str">
        <f>IF(ABS(AB322-F322)&lt;1,"ok","err")</f>
        <v>ok</v>
      </c>
    </row>
    <row r="323" spans="1:29" x14ac:dyDescent="0.2"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27"/>
    </row>
    <row r="324" spans="1:29" x14ac:dyDescent="0.2">
      <c r="A324" s="13" t="s">
        <v>195</v>
      </c>
      <c r="C324" s="14" t="s">
        <v>196</v>
      </c>
      <c r="F324" s="89">
        <f>SUM(F312:F323)</f>
        <v>16451659.279999999</v>
      </c>
      <c r="G324" s="89"/>
      <c r="H324" s="89">
        <f>SUM(H312:H323)</f>
        <v>0</v>
      </c>
      <c r="I324" s="89">
        <f>SUM(I312:I323)</f>
        <v>0</v>
      </c>
      <c r="J324" s="89"/>
      <c r="K324" s="89">
        <f>SUM(K312:K323)</f>
        <v>0</v>
      </c>
      <c r="L324" s="89"/>
      <c r="M324" s="89">
        <f>SUM(M312:M323)</f>
        <v>115426.29958575036</v>
      </c>
      <c r="N324" s="89"/>
      <c r="O324" s="89">
        <f>SUM(O312:O323)</f>
        <v>7523749.7871277034</v>
      </c>
      <c r="P324" s="89">
        <f>SUM(P312:P323)</f>
        <v>5055316.3948693546</v>
      </c>
      <c r="Q324" s="89">
        <f>SUM(Q312:Q323)</f>
        <v>0</v>
      </c>
      <c r="R324" s="89">
        <f>SUM(R312:R323)</f>
        <v>0</v>
      </c>
      <c r="S324" s="89">
        <f>SUM(S312:S323)</f>
        <v>2108712.391042951</v>
      </c>
      <c r="T324" s="89"/>
      <c r="U324" s="89">
        <f>SUM(U312:U323)</f>
        <v>819607.55885995587</v>
      </c>
      <c r="V324" s="89"/>
      <c r="W324" s="89">
        <f>SUM(W312:W323)</f>
        <v>828846.84851428401</v>
      </c>
      <c r="X324" s="89"/>
      <c r="Y324" s="89">
        <f>SUM(Y312:Y323)</f>
        <v>0</v>
      </c>
      <c r="Z324" s="89"/>
      <c r="AA324" s="89">
        <f>SUM(AA312:AA323)</f>
        <v>0</v>
      </c>
      <c r="AB324" s="49">
        <f>SUM(H324:AA324)</f>
        <v>16451659.280000001</v>
      </c>
      <c r="AC324" s="27" t="str">
        <f>IF(ABS(AB324-F324)&lt;1,"ok","err")</f>
        <v>ok</v>
      </c>
    </row>
    <row r="325" spans="1:29" x14ac:dyDescent="0.2">
      <c r="D325" s="89"/>
      <c r="AC325" s="27"/>
    </row>
    <row r="326" spans="1:29" x14ac:dyDescent="0.2">
      <c r="A326" s="13" t="s">
        <v>388</v>
      </c>
      <c r="F326" s="89">
        <f>F285+F324</f>
        <v>157410386.57000002</v>
      </c>
      <c r="G326" s="89"/>
      <c r="H326" s="89">
        <f>H285+H324</f>
        <v>34332679.475331917</v>
      </c>
      <c r="I326" s="89">
        <f>I285+I324</f>
        <v>85477779.524668083</v>
      </c>
      <c r="J326" s="89"/>
      <c r="K326" s="89">
        <f>K285+K324</f>
        <v>0</v>
      </c>
      <c r="L326" s="89"/>
      <c r="M326" s="89">
        <f>M285+M324</f>
        <v>165687.97359821203</v>
      </c>
      <c r="N326" s="89"/>
      <c r="O326" s="89">
        <f t="shared" ref="O326:AA326" si="185">O285+O324</f>
        <v>17165623.584882159</v>
      </c>
      <c r="P326" s="89">
        <f t="shared" si="185"/>
        <v>10239699.248660475</v>
      </c>
      <c r="Q326" s="89">
        <f t="shared" si="185"/>
        <v>0</v>
      </c>
      <c r="R326" s="89">
        <f t="shared" si="185"/>
        <v>0</v>
      </c>
      <c r="S326" s="89">
        <f t="shared" si="185"/>
        <v>2817573.256620965</v>
      </c>
      <c r="T326" s="89"/>
      <c r="U326" s="89">
        <f t="shared" si="185"/>
        <v>1797615.0030268934</v>
      </c>
      <c r="V326" s="89"/>
      <c r="W326" s="89">
        <f t="shared" si="185"/>
        <v>1021731.9506310353</v>
      </c>
      <c r="X326" s="89"/>
      <c r="Y326" s="89">
        <f t="shared" si="185"/>
        <v>4293694.6305334345</v>
      </c>
      <c r="Z326" s="89"/>
      <c r="AA326" s="89">
        <f t="shared" si="185"/>
        <v>98301.922046824446</v>
      </c>
      <c r="AB326" s="49">
        <f>SUM(H326:AA326)</f>
        <v>157410386.56999999</v>
      </c>
      <c r="AC326" s="27" t="str">
        <f>IF(ABS(AB326-F326)&lt;1,"ok","err")</f>
        <v>ok</v>
      </c>
    </row>
    <row r="327" spans="1:29" x14ac:dyDescent="0.2">
      <c r="F327" s="89"/>
      <c r="AC327" s="27"/>
    </row>
    <row r="328" spans="1:29" x14ac:dyDescent="0.2">
      <c r="AC328" s="27"/>
    </row>
    <row r="329" spans="1:29" x14ac:dyDescent="0.2">
      <c r="AC329" s="27"/>
    </row>
    <row r="330" spans="1:29" x14ac:dyDescent="0.2">
      <c r="A330" s="25" t="s">
        <v>182</v>
      </c>
      <c r="Q330" s="14"/>
      <c r="AC330" s="27"/>
    </row>
    <row r="331" spans="1:29" x14ac:dyDescent="0.2">
      <c r="A331" s="25"/>
      <c r="Q331" s="14"/>
      <c r="AC331" s="27"/>
    </row>
    <row r="332" spans="1:29" x14ac:dyDescent="0.2">
      <c r="A332" s="13" t="s">
        <v>787</v>
      </c>
      <c r="Q332" s="14"/>
      <c r="AC332" s="27"/>
    </row>
    <row r="333" spans="1:29" x14ac:dyDescent="0.2">
      <c r="A333" s="14">
        <v>500</v>
      </c>
      <c r="B333" s="14" t="s">
        <v>792</v>
      </c>
      <c r="C333" s="14" t="s">
        <v>839</v>
      </c>
      <c r="D333" s="14" t="s">
        <v>781</v>
      </c>
      <c r="F333" s="66">
        <v>0</v>
      </c>
      <c r="H333" s="49">
        <f t="shared" ref="H333:H341" si="186">IF(VLOOKUP($D333,$C$5:$AA$492,6,)=0,0,((VLOOKUP($D333,$C$5:$AA$492,6,)/VLOOKUP($D333,$C$5:$AA$492,4,))*$F333))</f>
        <v>0</v>
      </c>
      <c r="I333" s="49">
        <f t="shared" ref="I333:I341" si="187">IF(VLOOKUP($D333,$C$5:$AA$492,7,)=0,0,((VLOOKUP($D333,$C$5:$AA$492,7,)/VLOOKUP($D333,$C$5:$AA$492,4,))*$F333))</f>
        <v>0</v>
      </c>
      <c r="J333" s="49"/>
      <c r="K333" s="49">
        <f t="shared" ref="K333:K341" si="188">IF(VLOOKUP($D333,$C$5:$AA$492,9,)=0,0,((VLOOKUP($D333,$C$5:$AA$492,9,)/VLOOKUP($D333,$C$5:$AA$492,4,))*$F333))</f>
        <v>0</v>
      </c>
      <c r="L333" s="49"/>
      <c r="M333" s="49">
        <f t="shared" ref="M333:M341" si="189">IF(VLOOKUP($D333,$C$5:$AA$492,11,)=0,0,((VLOOKUP($D333,$C$5:$AA$492,11,)/VLOOKUP($D333,$C$5:$AA$492,4,))*$F333))</f>
        <v>0</v>
      </c>
      <c r="N333" s="49"/>
      <c r="O333" s="49">
        <f t="shared" ref="O333:O341" si="190">IF(VLOOKUP($D333,$C$5:$AA$492,13,)=0,0,((VLOOKUP($D333,$C$5:$AA$492,13,)/VLOOKUP($D333,$C$5:$AA$492,4,))*$F333))</f>
        <v>0</v>
      </c>
      <c r="P333" s="49">
        <f t="shared" ref="P333:P341" si="191">IF(VLOOKUP($D333,$C$5:$AA$492,14,)=0,0,((VLOOKUP($D333,$C$5:$AA$492,14,)/VLOOKUP($D333,$C$5:$AA$492,4,))*$F333))</f>
        <v>0</v>
      </c>
      <c r="Q333" s="49"/>
      <c r="R333" s="49">
        <f t="shared" ref="R333:R341" si="192">IF(VLOOKUP($D333,$C$5:$AA$492,16,)=0,0,((VLOOKUP($D333,$C$5:$AA$492,16,)/VLOOKUP($D333,$C$5:$AA$492,4,))*$F333))</f>
        <v>0</v>
      </c>
      <c r="S333" s="49">
        <f t="shared" ref="S333:S341" si="193">IF(VLOOKUP($D333,$C$5:$AA$492,17,)=0,0,((VLOOKUP($D333,$C$5:$AA$492,17,)/VLOOKUP($D333,$C$5:$AA$492,4,))*$F333))</f>
        <v>0</v>
      </c>
      <c r="T333" s="49"/>
      <c r="U333" s="49">
        <f t="shared" ref="U333:U341" si="194">IF(VLOOKUP($D333,$C$5:$AA$492,19,)=0,0,((VLOOKUP($D333,$C$5:$AA$492,19,)/VLOOKUP($D333,$C$5:$AA$492,4,))*$F333))</f>
        <v>0</v>
      </c>
      <c r="V333" s="49"/>
      <c r="W333" s="49">
        <f t="shared" ref="W333:W341" si="195">IF(VLOOKUP($D333,$C$5:$AA$492,21,)=0,0,((VLOOKUP($D333,$C$5:$AA$492,21,)/VLOOKUP($D333,$C$5:$AA$492,4,))*$F333))</f>
        <v>0</v>
      </c>
      <c r="X333" s="49"/>
      <c r="Y333" s="49">
        <f t="shared" ref="Y333:Y341" si="196">IF(VLOOKUP($D333,$C$5:$AA$492,23,)=0,0,((VLOOKUP($D333,$C$5:$AA$492,23,)/VLOOKUP($D333,$C$5:$AA$492,4,))*$F333))</f>
        <v>0</v>
      </c>
      <c r="Z333" s="49"/>
      <c r="AA333" s="49">
        <f t="shared" ref="AA333:AA341" si="197">IF(VLOOKUP($D333,$C$5:$AA$492,25,)=0,0,((VLOOKUP($D333,$C$5:$AA$492,25,)/VLOOKUP($D333,$C$5:$AA$492,4,))*$F333))</f>
        <v>0</v>
      </c>
      <c r="AB333" s="49">
        <f t="shared" ref="AB333:AB341" si="198">SUM(H333:AA333)</f>
        <v>0</v>
      </c>
      <c r="AC333" s="27" t="str">
        <f t="shared" ref="AC333:AC341" si="199">IF(ABS(AB333-F333)&lt;1,"ok","err")</f>
        <v>ok</v>
      </c>
    </row>
    <row r="334" spans="1:29" x14ac:dyDescent="0.2">
      <c r="A334" s="14">
        <v>501</v>
      </c>
      <c r="B334" s="14" t="s">
        <v>793</v>
      </c>
      <c r="C334" s="14" t="s">
        <v>840</v>
      </c>
      <c r="D334" s="14" t="s">
        <v>785</v>
      </c>
      <c r="F334" s="49">
        <v>0</v>
      </c>
      <c r="H334" s="49">
        <f t="shared" si="186"/>
        <v>0</v>
      </c>
      <c r="I334" s="49">
        <f t="shared" si="187"/>
        <v>0</v>
      </c>
      <c r="J334" s="49"/>
      <c r="K334" s="49">
        <f t="shared" si="188"/>
        <v>0</v>
      </c>
      <c r="L334" s="49"/>
      <c r="M334" s="49">
        <f t="shared" si="189"/>
        <v>0</v>
      </c>
      <c r="N334" s="49"/>
      <c r="O334" s="49">
        <f t="shared" si="190"/>
        <v>0</v>
      </c>
      <c r="P334" s="49">
        <f t="shared" si="191"/>
        <v>0</v>
      </c>
      <c r="Q334" s="49"/>
      <c r="R334" s="49">
        <f t="shared" si="192"/>
        <v>0</v>
      </c>
      <c r="S334" s="49">
        <f t="shared" si="193"/>
        <v>0</v>
      </c>
      <c r="T334" s="49"/>
      <c r="U334" s="49">
        <f t="shared" si="194"/>
        <v>0</v>
      </c>
      <c r="V334" s="49"/>
      <c r="W334" s="49">
        <f t="shared" si="195"/>
        <v>0</v>
      </c>
      <c r="X334" s="49"/>
      <c r="Y334" s="49">
        <f t="shared" si="196"/>
        <v>0</v>
      </c>
      <c r="Z334" s="49"/>
      <c r="AA334" s="49">
        <f t="shared" si="197"/>
        <v>0</v>
      </c>
      <c r="AB334" s="49">
        <f t="shared" si="198"/>
        <v>0</v>
      </c>
      <c r="AC334" s="27" t="str">
        <f t="shared" si="199"/>
        <v>ok</v>
      </c>
    </row>
    <row r="335" spans="1:29" x14ac:dyDescent="0.2">
      <c r="A335" s="14">
        <v>502</v>
      </c>
      <c r="B335" s="14" t="s">
        <v>794</v>
      </c>
      <c r="C335" s="14" t="s">
        <v>841</v>
      </c>
      <c r="D335" s="14" t="s">
        <v>551</v>
      </c>
      <c r="F335" s="49">
        <v>0</v>
      </c>
      <c r="H335" s="49">
        <f t="shared" si="186"/>
        <v>0</v>
      </c>
      <c r="I335" s="49">
        <f t="shared" si="187"/>
        <v>0</v>
      </c>
      <c r="J335" s="49"/>
      <c r="K335" s="49">
        <f t="shared" si="188"/>
        <v>0</v>
      </c>
      <c r="L335" s="49"/>
      <c r="M335" s="49">
        <f t="shared" si="189"/>
        <v>0</v>
      </c>
      <c r="N335" s="49"/>
      <c r="O335" s="49">
        <f t="shared" si="190"/>
        <v>0</v>
      </c>
      <c r="P335" s="49">
        <f t="shared" si="191"/>
        <v>0</v>
      </c>
      <c r="Q335" s="49"/>
      <c r="R335" s="49">
        <f t="shared" si="192"/>
        <v>0</v>
      </c>
      <c r="S335" s="49">
        <f t="shared" si="193"/>
        <v>0</v>
      </c>
      <c r="T335" s="49"/>
      <c r="U335" s="49">
        <f t="shared" si="194"/>
        <v>0</v>
      </c>
      <c r="V335" s="49"/>
      <c r="W335" s="49">
        <f t="shared" si="195"/>
        <v>0</v>
      </c>
      <c r="X335" s="49"/>
      <c r="Y335" s="49">
        <f t="shared" si="196"/>
        <v>0</v>
      </c>
      <c r="Z335" s="49"/>
      <c r="AA335" s="49">
        <f t="shared" si="197"/>
        <v>0</v>
      </c>
      <c r="AB335" s="49">
        <f t="shared" si="198"/>
        <v>0</v>
      </c>
      <c r="AC335" s="27" t="str">
        <f t="shared" si="199"/>
        <v>ok</v>
      </c>
    </row>
    <row r="336" spans="1:29" x14ac:dyDescent="0.2">
      <c r="A336" s="14">
        <v>503</v>
      </c>
      <c r="B336" s="14" t="s">
        <v>795</v>
      </c>
      <c r="C336" s="14" t="s">
        <v>842</v>
      </c>
      <c r="D336" s="14" t="s">
        <v>551</v>
      </c>
      <c r="F336" s="49">
        <v>0</v>
      </c>
      <c r="H336" s="49">
        <f t="shared" si="186"/>
        <v>0</v>
      </c>
      <c r="I336" s="49">
        <f t="shared" si="187"/>
        <v>0</v>
      </c>
      <c r="J336" s="49"/>
      <c r="K336" s="49">
        <f t="shared" si="188"/>
        <v>0</v>
      </c>
      <c r="L336" s="49"/>
      <c r="M336" s="49">
        <f t="shared" si="189"/>
        <v>0</v>
      </c>
      <c r="N336" s="49"/>
      <c r="O336" s="49">
        <f t="shared" si="190"/>
        <v>0</v>
      </c>
      <c r="P336" s="49">
        <f t="shared" si="191"/>
        <v>0</v>
      </c>
      <c r="Q336" s="49"/>
      <c r="R336" s="49">
        <f t="shared" si="192"/>
        <v>0</v>
      </c>
      <c r="S336" s="49">
        <f t="shared" si="193"/>
        <v>0</v>
      </c>
      <c r="T336" s="49"/>
      <c r="U336" s="49">
        <f t="shared" si="194"/>
        <v>0</v>
      </c>
      <c r="V336" s="49"/>
      <c r="W336" s="49">
        <f t="shared" si="195"/>
        <v>0</v>
      </c>
      <c r="X336" s="49"/>
      <c r="Y336" s="49">
        <f t="shared" si="196"/>
        <v>0</v>
      </c>
      <c r="Z336" s="49"/>
      <c r="AA336" s="49">
        <f t="shared" si="197"/>
        <v>0</v>
      </c>
      <c r="AB336" s="49">
        <f t="shared" si="198"/>
        <v>0</v>
      </c>
      <c r="AC336" s="27" t="str">
        <f t="shared" si="199"/>
        <v>ok</v>
      </c>
    </row>
    <row r="337" spans="1:29" x14ac:dyDescent="0.2">
      <c r="A337" s="14">
        <v>504</v>
      </c>
      <c r="B337" s="14" t="s">
        <v>796</v>
      </c>
      <c r="C337" s="14" t="s">
        <v>843</v>
      </c>
      <c r="D337" s="14" t="s">
        <v>551</v>
      </c>
      <c r="F337" s="49">
        <v>0</v>
      </c>
      <c r="H337" s="49">
        <f t="shared" si="186"/>
        <v>0</v>
      </c>
      <c r="I337" s="49">
        <f t="shared" si="187"/>
        <v>0</v>
      </c>
      <c r="J337" s="49"/>
      <c r="K337" s="49">
        <f t="shared" si="188"/>
        <v>0</v>
      </c>
      <c r="L337" s="49"/>
      <c r="M337" s="49">
        <f t="shared" si="189"/>
        <v>0</v>
      </c>
      <c r="N337" s="49"/>
      <c r="O337" s="49">
        <f t="shared" si="190"/>
        <v>0</v>
      </c>
      <c r="P337" s="49">
        <f t="shared" si="191"/>
        <v>0</v>
      </c>
      <c r="Q337" s="49"/>
      <c r="R337" s="49">
        <f t="shared" si="192"/>
        <v>0</v>
      </c>
      <c r="S337" s="49">
        <f t="shared" si="193"/>
        <v>0</v>
      </c>
      <c r="T337" s="49"/>
      <c r="U337" s="49">
        <f t="shared" si="194"/>
        <v>0</v>
      </c>
      <c r="V337" s="49"/>
      <c r="W337" s="49">
        <f t="shared" si="195"/>
        <v>0</v>
      </c>
      <c r="X337" s="49"/>
      <c r="Y337" s="49">
        <f t="shared" si="196"/>
        <v>0</v>
      </c>
      <c r="Z337" s="49"/>
      <c r="AA337" s="49">
        <f t="shared" si="197"/>
        <v>0</v>
      </c>
      <c r="AB337" s="49">
        <f t="shared" si="198"/>
        <v>0</v>
      </c>
      <c r="AC337" s="27" t="str">
        <f t="shared" si="199"/>
        <v>ok</v>
      </c>
    </row>
    <row r="338" spans="1:29" x14ac:dyDescent="0.2">
      <c r="A338" s="14">
        <v>505</v>
      </c>
      <c r="B338" s="14" t="s">
        <v>797</v>
      </c>
      <c r="C338" s="14" t="s">
        <v>844</v>
      </c>
      <c r="D338" s="14" t="s">
        <v>551</v>
      </c>
      <c r="F338" s="49">
        <v>0</v>
      </c>
      <c r="H338" s="49">
        <f t="shared" si="186"/>
        <v>0</v>
      </c>
      <c r="I338" s="49">
        <f t="shared" si="187"/>
        <v>0</v>
      </c>
      <c r="J338" s="49"/>
      <c r="K338" s="49">
        <f t="shared" si="188"/>
        <v>0</v>
      </c>
      <c r="L338" s="49"/>
      <c r="M338" s="49">
        <f t="shared" si="189"/>
        <v>0</v>
      </c>
      <c r="N338" s="49"/>
      <c r="O338" s="49">
        <f t="shared" si="190"/>
        <v>0</v>
      </c>
      <c r="P338" s="49">
        <f t="shared" si="191"/>
        <v>0</v>
      </c>
      <c r="Q338" s="49"/>
      <c r="R338" s="49">
        <f t="shared" si="192"/>
        <v>0</v>
      </c>
      <c r="S338" s="49">
        <f t="shared" si="193"/>
        <v>0</v>
      </c>
      <c r="T338" s="49"/>
      <c r="U338" s="49">
        <f t="shared" si="194"/>
        <v>0</v>
      </c>
      <c r="V338" s="49"/>
      <c r="W338" s="49">
        <f t="shared" si="195"/>
        <v>0</v>
      </c>
      <c r="X338" s="49"/>
      <c r="Y338" s="49">
        <f t="shared" si="196"/>
        <v>0</v>
      </c>
      <c r="Z338" s="49"/>
      <c r="AA338" s="49">
        <f t="shared" si="197"/>
        <v>0</v>
      </c>
      <c r="AB338" s="49">
        <f t="shared" si="198"/>
        <v>0</v>
      </c>
      <c r="AC338" s="27" t="str">
        <f t="shared" si="199"/>
        <v>ok</v>
      </c>
    </row>
    <row r="339" spans="1:29" x14ac:dyDescent="0.2">
      <c r="A339" s="14">
        <v>506</v>
      </c>
      <c r="B339" s="14" t="s">
        <v>798</v>
      </c>
      <c r="C339" s="14" t="s">
        <v>845</v>
      </c>
      <c r="D339" s="14" t="s">
        <v>551</v>
      </c>
      <c r="F339" s="49">
        <v>0</v>
      </c>
      <c r="H339" s="49">
        <f t="shared" si="186"/>
        <v>0</v>
      </c>
      <c r="I339" s="49">
        <f t="shared" si="187"/>
        <v>0</v>
      </c>
      <c r="J339" s="49"/>
      <c r="K339" s="49">
        <f t="shared" si="188"/>
        <v>0</v>
      </c>
      <c r="L339" s="49"/>
      <c r="M339" s="49">
        <f t="shared" si="189"/>
        <v>0</v>
      </c>
      <c r="N339" s="49"/>
      <c r="O339" s="49">
        <f t="shared" si="190"/>
        <v>0</v>
      </c>
      <c r="P339" s="49">
        <f t="shared" si="191"/>
        <v>0</v>
      </c>
      <c r="Q339" s="49"/>
      <c r="R339" s="49">
        <f t="shared" si="192"/>
        <v>0</v>
      </c>
      <c r="S339" s="49">
        <f t="shared" si="193"/>
        <v>0</v>
      </c>
      <c r="T339" s="49"/>
      <c r="U339" s="49">
        <f t="shared" si="194"/>
        <v>0</v>
      </c>
      <c r="V339" s="49"/>
      <c r="W339" s="49">
        <f t="shared" si="195"/>
        <v>0</v>
      </c>
      <c r="X339" s="49"/>
      <c r="Y339" s="49">
        <f t="shared" si="196"/>
        <v>0</v>
      </c>
      <c r="Z339" s="49"/>
      <c r="AA339" s="49">
        <f t="shared" si="197"/>
        <v>0</v>
      </c>
      <c r="AB339" s="49">
        <f t="shared" si="198"/>
        <v>0</v>
      </c>
      <c r="AC339" s="27" t="str">
        <f t="shared" si="199"/>
        <v>ok</v>
      </c>
    </row>
    <row r="340" spans="1:29" x14ac:dyDescent="0.2">
      <c r="A340" s="14">
        <v>507</v>
      </c>
      <c r="B340" s="14" t="s">
        <v>114</v>
      </c>
      <c r="C340" s="14" t="s">
        <v>846</v>
      </c>
      <c r="D340" s="14" t="s">
        <v>551</v>
      </c>
      <c r="F340" s="49">
        <v>0</v>
      </c>
      <c r="H340" s="49">
        <f t="shared" si="186"/>
        <v>0</v>
      </c>
      <c r="I340" s="49">
        <f t="shared" si="187"/>
        <v>0</v>
      </c>
      <c r="J340" s="49"/>
      <c r="K340" s="49">
        <f t="shared" si="188"/>
        <v>0</v>
      </c>
      <c r="L340" s="49"/>
      <c r="M340" s="49">
        <f t="shared" si="189"/>
        <v>0</v>
      </c>
      <c r="N340" s="49"/>
      <c r="O340" s="49">
        <f t="shared" si="190"/>
        <v>0</v>
      </c>
      <c r="P340" s="49">
        <f t="shared" si="191"/>
        <v>0</v>
      </c>
      <c r="Q340" s="49"/>
      <c r="R340" s="49">
        <f t="shared" si="192"/>
        <v>0</v>
      </c>
      <c r="S340" s="49">
        <f t="shared" si="193"/>
        <v>0</v>
      </c>
      <c r="T340" s="49"/>
      <c r="U340" s="49">
        <f t="shared" si="194"/>
        <v>0</v>
      </c>
      <c r="V340" s="49"/>
      <c r="W340" s="49">
        <f t="shared" si="195"/>
        <v>0</v>
      </c>
      <c r="X340" s="49"/>
      <c r="Y340" s="49">
        <f t="shared" si="196"/>
        <v>0</v>
      </c>
      <c r="Z340" s="49"/>
      <c r="AA340" s="49">
        <f t="shared" si="197"/>
        <v>0</v>
      </c>
      <c r="AB340" s="49">
        <f t="shared" si="198"/>
        <v>0</v>
      </c>
      <c r="AC340" s="27" t="str">
        <f t="shared" si="199"/>
        <v>ok</v>
      </c>
    </row>
    <row r="341" spans="1:29" x14ac:dyDescent="0.2">
      <c r="A341" s="14">
        <v>509</v>
      </c>
      <c r="B341" s="14" t="s">
        <v>799</v>
      </c>
      <c r="C341" s="14" t="s">
        <v>847</v>
      </c>
      <c r="D341" s="14" t="s">
        <v>785</v>
      </c>
      <c r="F341" s="49">
        <v>0</v>
      </c>
      <c r="H341" s="49">
        <f t="shared" si="186"/>
        <v>0</v>
      </c>
      <c r="I341" s="49">
        <f t="shared" si="187"/>
        <v>0</v>
      </c>
      <c r="J341" s="49"/>
      <c r="K341" s="49">
        <f t="shared" si="188"/>
        <v>0</v>
      </c>
      <c r="L341" s="49"/>
      <c r="M341" s="49">
        <f t="shared" si="189"/>
        <v>0</v>
      </c>
      <c r="N341" s="49"/>
      <c r="O341" s="49">
        <f t="shared" si="190"/>
        <v>0</v>
      </c>
      <c r="P341" s="49">
        <f t="shared" si="191"/>
        <v>0</v>
      </c>
      <c r="Q341" s="49"/>
      <c r="R341" s="49">
        <f t="shared" si="192"/>
        <v>0</v>
      </c>
      <c r="S341" s="49">
        <f t="shared" si="193"/>
        <v>0</v>
      </c>
      <c r="T341" s="49"/>
      <c r="U341" s="49">
        <f t="shared" si="194"/>
        <v>0</v>
      </c>
      <c r="V341" s="49"/>
      <c r="W341" s="49">
        <f t="shared" si="195"/>
        <v>0</v>
      </c>
      <c r="X341" s="49"/>
      <c r="Y341" s="49">
        <f t="shared" si="196"/>
        <v>0</v>
      </c>
      <c r="Z341" s="49"/>
      <c r="AA341" s="49">
        <f t="shared" si="197"/>
        <v>0</v>
      </c>
      <c r="AB341" s="49">
        <f t="shared" si="198"/>
        <v>0</v>
      </c>
      <c r="AC341" s="27" t="str">
        <f t="shared" si="199"/>
        <v>ok</v>
      </c>
    </row>
    <row r="342" spans="1:29" x14ac:dyDescent="0.2"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C342" s="27"/>
    </row>
    <row r="343" spans="1:29" x14ac:dyDescent="0.2">
      <c r="A343" s="14" t="s">
        <v>791</v>
      </c>
      <c r="C343" s="14" t="s">
        <v>848</v>
      </c>
      <c r="F343" s="66">
        <f>SUM(F333:F342)</f>
        <v>0</v>
      </c>
      <c r="H343" s="66">
        <f>SUM(H333:H342)</f>
        <v>0</v>
      </c>
      <c r="I343" s="66">
        <f>SUM(I333:I342)</f>
        <v>0</v>
      </c>
      <c r="J343" s="66"/>
      <c r="K343" s="66">
        <f>SUM(K333:K342)</f>
        <v>0</v>
      </c>
      <c r="L343" s="66"/>
      <c r="M343" s="66">
        <f>SUM(M333:M342)</f>
        <v>0</v>
      </c>
      <c r="N343" s="66"/>
      <c r="O343" s="66">
        <f>SUM(O333:O342)</f>
        <v>0</v>
      </c>
      <c r="P343" s="66">
        <f>SUM(P333:P342)</f>
        <v>0</v>
      </c>
      <c r="Q343" s="66"/>
      <c r="R343" s="66">
        <f>SUM(R333:R342)</f>
        <v>0</v>
      </c>
      <c r="S343" s="66">
        <f>SUM(S333:S342)</f>
        <v>0</v>
      </c>
      <c r="T343" s="66"/>
      <c r="U343" s="66">
        <f>SUM(U333:U342)</f>
        <v>0</v>
      </c>
      <c r="V343" s="66"/>
      <c r="W343" s="66">
        <f>SUM(W333:W342)</f>
        <v>0</v>
      </c>
      <c r="X343" s="66"/>
      <c r="Y343" s="66">
        <f>SUM(Y333:Y342)</f>
        <v>0</v>
      </c>
      <c r="Z343" s="66"/>
      <c r="AA343" s="66">
        <f>SUM(AA333:AA342)</f>
        <v>0</v>
      </c>
      <c r="AB343" s="49">
        <f>SUM(H343:AA343)</f>
        <v>0</v>
      </c>
      <c r="AC343" s="27" t="str">
        <f>IF(ABS(AB343-F343)&lt;1,"ok","err")</f>
        <v>ok</v>
      </c>
    </row>
    <row r="344" spans="1:29" x14ac:dyDescent="0.2">
      <c r="A344" s="13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C344" s="27"/>
    </row>
    <row r="345" spans="1:29" x14ac:dyDescent="0.2">
      <c r="A345" s="13" t="s">
        <v>788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C345" s="27"/>
    </row>
    <row r="346" spans="1:29" x14ac:dyDescent="0.2">
      <c r="A346" s="14">
        <v>510</v>
      </c>
      <c r="B346" s="14" t="s">
        <v>800</v>
      </c>
      <c r="C346" s="14" t="s">
        <v>849</v>
      </c>
      <c r="D346" s="14" t="s">
        <v>785</v>
      </c>
      <c r="F346" s="66">
        <v>0</v>
      </c>
      <c r="H346" s="49">
        <f>IF(VLOOKUP($D346,$C$5:$AA$492,6,)=0,0,((VLOOKUP($D346,$C$5:$AA$492,6,)/VLOOKUP($D346,$C$5:$AA$492,4,))*$F346))</f>
        <v>0</v>
      </c>
      <c r="I346" s="49">
        <f>IF(VLOOKUP($D346,$C$5:$AA$492,7,)=0,0,((VLOOKUP($D346,$C$5:$AA$492,7,)/VLOOKUP($D346,$C$5:$AA$492,4,))*$F346))</f>
        <v>0</v>
      </c>
      <c r="J346" s="49"/>
      <c r="K346" s="49">
        <f>IF(VLOOKUP($D346,$C$5:$AA$492,9,)=0,0,((VLOOKUP($D346,$C$5:$AA$492,9,)/VLOOKUP($D346,$C$5:$AA$492,4,))*$F346))</f>
        <v>0</v>
      </c>
      <c r="L346" s="49"/>
      <c r="M346" s="49">
        <f>IF(VLOOKUP($D346,$C$5:$AA$492,11,)=0,0,((VLOOKUP($D346,$C$5:$AA$492,11,)/VLOOKUP($D346,$C$5:$AA$492,4,))*$F346))</f>
        <v>0</v>
      </c>
      <c r="N346" s="49"/>
      <c r="O346" s="49">
        <f>IF(VLOOKUP($D346,$C$5:$AA$492,13,)=0,0,((VLOOKUP($D346,$C$5:$AA$492,13,)/VLOOKUP($D346,$C$5:$AA$492,4,))*$F346))</f>
        <v>0</v>
      </c>
      <c r="P346" s="49">
        <f>IF(VLOOKUP($D346,$C$5:$AA$492,14,)=0,0,((VLOOKUP($D346,$C$5:$AA$492,14,)/VLOOKUP($D346,$C$5:$AA$492,4,))*$F346))</f>
        <v>0</v>
      </c>
      <c r="Q346" s="49"/>
      <c r="R346" s="49">
        <f>IF(VLOOKUP($D346,$C$5:$AA$492,16,)=0,0,((VLOOKUP($D346,$C$5:$AA$492,16,)/VLOOKUP($D346,$C$5:$AA$492,4,))*$F346))</f>
        <v>0</v>
      </c>
      <c r="S346" s="49">
        <f>IF(VLOOKUP($D346,$C$5:$AA$492,17,)=0,0,((VLOOKUP($D346,$C$5:$AA$492,17,)/VLOOKUP($D346,$C$5:$AA$492,4,))*$F346))</f>
        <v>0</v>
      </c>
      <c r="T346" s="49"/>
      <c r="U346" s="49">
        <f>IF(VLOOKUP($D346,$C$5:$AA$492,19,)=0,0,((VLOOKUP($D346,$C$5:$AA$492,19,)/VLOOKUP($D346,$C$5:$AA$492,4,))*$F346))</f>
        <v>0</v>
      </c>
      <c r="V346" s="49"/>
      <c r="W346" s="49">
        <f>IF(VLOOKUP($D346,$C$5:$AA$492,21,)=0,0,((VLOOKUP($D346,$C$5:$AA$492,21,)/VLOOKUP($D346,$C$5:$AA$492,4,))*$F346))</f>
        <v>0</v>
      </c>
      <c r="X346" s="49"/>
      <c r="Y346" s="49">
        <f>IF(VLOOKUP($D346,$C$5:$AA$492,23,)=0,0,((VLOOKUP($D346,$C$5:$AA$492,23,)/VLOOKUP($D346,$C$5:$AA$492,4,))*$F346))</f>
        <v>0</v>
      </c>
      <c r="Z346" s="49"/>
      <c r="AA346" s="49">
        <f>IF(VLOOKUP($D346,$C$5:$AA$492,25,)=0,0,((VLOOKUP($D346,$C$5:$AA$492,25,)/VLOOKUP($D346,$C$5:$AA$492,4,))*$F346))</f>
        <v>0</v>
      </c>
      <c r="AB346" s="49">
        <f>SUM(H346:AA346)</f>
        <v>0</v>
      </c>
      <c r="AC346" s="27" t="str">
        <f>IF(ABS(AB346-F346)&lt;1,"ok","err")</f>
        <v>ok</v>
      </c>
    </row>
    <row r="347" spans="1:29" x14ac:dyDescent="0.2">
      <c r="A347" s="14">
        <v>511</v>
      </c>
      <c r="B347" s="14" t="s">
        <v>801</v>
      </c>
      <c r="C347" s="14" t="s">
        <v>850</v>
      </c>
      <c r="D347" s="14" t="s">
        <v>551</v>
      </c>
      <c r="F347" s="49">
        <v>0</v>
      </c>
      <c r="H347" s="49">
        <f>IF(VLOOKUP($D347,$C$5:$AA$492,6,)=0,0,((VLOOKUP($D347,$C$5:$AA$492,6,)/VLOOKUP($D347,$C$5:$AA$492,4,))*$F347))</f>
        <v>0</v>
      </c>
      <c r="I347" s="49">
        <f>IF(VLOOKUP($D347,$C$5:$AA$492,7,)=0,0,((VLOOKUP($D347,$C$5:$AA$492,7,)/VLOOKUP($D347,$C$5:$AA$492,4,))*$F347))</f>
        <v>0</v>
      </c>
      <c r="J347" s="49"/>
      <c r="K347" s="49">
        <f>IF(VLOOKUP($D347,$C$5:$AA$492,9,)=0,0,((VLOOKUP($D347,$C$5:$AA$492,9,)/VLOOKUP($D347,$C$5:$AA$492,4,))*$F347))</f>
        <v>0</v>
      </c>
      <c r="L347" s="49"/>
      <c r="M347" s="49">
        <f>IF(VLOOKUP($D347,$C$5:$AA$492,11,)=0,0,((VLOOKUP($D347,$C$5:$AA$492,11,)/VLOOKUP($D347,$C$5:$AA$492,4,))*$F347))</f>
        <v>0</v>
      </c>
      <c r="N347" s="49"/>
      <c r="O347" s="49">
        <f>IF(VLOOKUP($D347,$C$5:$AA$492,13,)=0,0,((VLOOKUP($D347,$C$5:$AA$492,13,)/VLOOKUP($D347,$C$5:$AA$492,4,))*$F347))</f>
        <v>0</v>
      </c>
      <c r="P347" s="49">
        <f>IF(VLOOKUP($D347,$C$5:$AA$492,14,)=0,0,((VLOOKUP($D347,$C$5:$AA$492,14,)/VLOOKUP($D347,$C$5:$AA$492,4,))*$F347))</f>
        <v>0</v>
      </c>
      <c r="Q347" s="49"/>
      <c r="R347" s="49">
        <f>IF(VLOOKUP($D347,$C$5:$AA$492,16,)=0,0,((VLOOKUP($D347,$C$5:$AA$492,16,)/VLOOKUP($D347,$C$5:$AA$492,4,))*$F347))</f>
        <v>0</v>
      </c>
      <c r="S347" s="49">
        <f>IF(VLOOKUP($D347,$C$5:$AA$492,17,)=0,0,((VLOOKUP($D347,$C$5:$AA$492,17,)/VLOOKUP($D347,$C$5:$AA$492,4,))*$F347))</f>
        <v>0</v>
      </c>
      <c r="T347" s="49"/>
      <c r="U347" s="49">
        <f>IF(VLOOKUP($D347,$C$5:$AA$492,19,)=0,0,((VLOOKUP($D347,$C$5:$AA$492,19,)/VLOOKUP($D347,$C$5:$AA$492,4,))*$F347))</f>
        <v>0</v>
      </c>
      <c r="V347" s="49"/>
      <c r="W347" s="49">
        <f>IF(VLOOKUP($D347,$C$5:$AA$492,21,)=0,0,((VLOOKUP($D347,$C$5:$AA$492,21,)/VLOOKUP($D347,$C$5:$AA$492,4,))*$F347))</f>
        <v>0</v>
      </c>
      <c r="X347" s="49"/>
      <c r="Y347" s="49">
        <f>IF(VLOOKUP($D347,$C$5:$AA$492,23,)=0,0,((VLOOKUP($D347,$C$5:$AA$492,23,)/VLOOKUP($D347,$C$5:$AA$492,4,))*$F347))</f>
        <v>0</v>
      </c>
      <c r="Z347" s="49"/>
      <c r="AA347" s="49">
        <f>IF(VLOOKUP($D347,$C$5:$AA$492,25,)=0,0,((VLOOKUP($D347,$C$5:$AA$492,25,)/VLOOKUP($D347,$C$5:$AA$492,4,))*$F347))</f>
        <v>0</v>
      </c>
      <c r="AB347" s="49">
        <f>SUM(H347:AA347)</f>
        <v>0</v>
      </c>
      <c r="AC347" s="27" t="str">
        <f>IF(ABS(AB347-F347)&lt;1,"ok","err")</f>
        <v>ok</v>
      </c>
    </row>
    <row r="348" spans="1:29" x14ac:dyDescent="0.2">
      <c r="A348" s="14">
        <v>512</v>
      </c>
      <c r="B348" s="14" t="s">
        <v>802</v>
      </c>
      <c r="C348" s="14" t="s">
        <v>851</v>
      </c>
      <c r="D348" s="14" t="s">
        <v>785</v>
      </c>
      <c r="F348" s="49">
        <v>0</v>
      </c>
      <c r="H348" s="49">
        <f>IF(VLOOKUP($D348,$C$5:$AA$492,6,)=0,0,((VLOOKUP($D348,$C$5:$AA$492,6,)/VLOOKUP($D348,$C$5:$AA$492,4,))*$F348))</f>
        <v>0</v>
      </c>
      <c r="I348" s="49">
        <f>IF(VLOOKUP($D348,$C$5:$AA$492,7,)=0,0,((VLOOKUP($D348,$C$5:$AA$492,7,)/VLOOKUP($D348,$C$5:$AA$492,4,))*$F348))</f>
        <v>0</v>
      </c>
      <c r="J348" s="49"/>
      <c r="K348" s="49">
        <f>IF(VLOOKUP($D348,$C$5:$AA$492,9,)=0,0,((VLOOKUP($D348,$C$5:$AA$492,9,)/VLOOKUP($D348,$C$5:$AA$492,4,))*$F348))</f>
        <v>0</v>
      </c>
      <c r="L348" s="49"/>
      <c r="M348" s="49">
        <f>IF(VLOOKUP($D348,$C$5:$AA$492,11,)=0,0,((VLOOKUP($D348,$C$5:$AA$492,11,)/VLOOKUP($D348,$C$5:$AA$492,4,))*$F348))</f>
        <v>0</v>
      </c>
      <c r="N348" s="49"/>
      <c r="O348" s="49">
        <f>IF(VLOOKUP($D348,$C$5:$AA$492,13,)=0,0,((VLOOKUP($D348,$C$5:$AA$492,13,)/VLOOKUP($D348,$C$5:$AA$492,4,))*$F348))</f>
        <v>0</v>
      </c>
      <c r="P348" s="49">
        <f>IF(VLOOKUP($D348,$C$5:$AA$492,14,)=0,0,((VLOOKUP($D348,$C$5:$AA$492,14,)/VLOOKUP($D348,$C$5:$AA$492,4,))*$F348))</f>
        <v>0</v>
      </c>
      <c r="Q348" s="49"/>
      <c r="R348" s="49">
        <f>IF(VLOOKUP($D348,$C$5:$AA$492,16,)=0,0,((VLOOKUP($D348,$C$5:$AA$492,16,)/VLOOKUP($D348,$C$5:$AA$492,4,))*$F348))</f>
        <v>0</v>
      </c>
      <c r="S348" s="49">
        <f>IF(VLOOKUP($D348,$C$5:$AA$492,17,)=0,0,((VLOOKUP($D348,$C$5:$AA$492,17,)/VLOOKUP($D348,$C$5:$AA$492,4,))*$F348))</f>
        <v>0</v>
      </c>
      <c r="T348" s="49"/>
      <c r="U348" s="49">
        <f>IF(VLOOKUP($D348,$C$5:$AA$492,19,)=0,0,((VLOOKUP($D348,$C$5:$AA$492,19,)/VLOOKUP($D348,$C$5:$AA$492,4,))*$F348))</f>
        <v>0</v>
      </c>
      <c r="V348" s="49"/>
      <c r="W348" s="49">
        <f>IF(VLOOKUP($D348,$C$5:$AA$492,21,)=0,0,((VLOOKUP($D348,$C$5:$AA$492,21,)/VLOOKUP($D348,$C$5:$AA$492,4,))*$F348))</f>
        <v>0</v>
      </c>
      <c r="X348" s="49"/>
      <c r="Y348" s="49">
        <f>IF(VLOOKUP($D348,$C$5:$AA$492,23,)=0,0,((VLOOKUP($D348,$C$5:$AA$492,23,)/VLOOKUP($D348,$C$5:$AA$492,4,))*$F348))</f>
        <v>0</v>
      </c>
      <c r="Z348" s="49"/>
      <c r="AA348" s="49">
        <f>IF(VLOOKUP($D348,$C$5:$AA$492,25,)=0,0,((VLOOKUP($D348,$C$5:$AA$492,25,)/VLOOKUP($D348,$C$5:$AA$492,4,))*$F348))</f>
        <v>0</v>
      </c>
      <c r="AB348" s="49">
        <f>SUM(H348:AA348)</f>
        <v>0</v>
      </c>
      <c r="AC348" s="27" t="str">
        <f>IF(ABS(AB348-F348)&lt;1,"ok","err")</f>
        <v>ok</v>
      </c>
    </row>
    <row r="349" spans="1:29" x14ac:dyDescent="0.2">
      <c r="A349" s="14">
        <v>513</v>
      </c>
      <c r="B349" s="14" t="s">
        <v>803</v>
      </c>
      <c r="C349" s="14" t="s">
        <v>852</v>
      </c>
      <c r="D349" s="14" t="s">
        <v>785</v>
      </c>
      <c r="F349" s="49">
        <v>0</v>
      </c>
      <c r="H349" s="49">
        <f>IF(VLOOKUP($D349,$C$5:$AA$492,6,)=0,0,((VLOOKUP($D349,$C$5:$AA$492,6,)/VLOOKUP($D349,$C$5:$AA$492,4,))*$F349))</f>
        <v>0</v>
      </c>
      <c r="I349" s="49">
        <f>IF(VLOOKUP($D349,$C$5:$AA$492,7,)=0,0,((VLOOKUP($D349,$C$5:$AA$492,7,)/VLOOKUP($D349,$C$5:$AA$492,4,))*$F349))</f>
        <v>0</v>
      </c>
      <c r="J349" s="49"/>
      <c r="K349" s="49">
        <f>IF(VLOOKUP($D349,$C$5:$AA$492,9,)=0,0,((VLOOKUP($D349,$C$5:$AA$492,9,)/VLOOKUP($D349,$C$5:$AA$492,4,))*$F349))</f>
        <v>0</v>
      </c>
      <c r="L349" s="49"/>
      <c r="M349" s="49">
        <f>IF(VLOOKUP($D349,$C$5:$AA$492,11,)=0,0,((VLOOKUP($D349,$C$5:$AA$492,11,)/VLOOKUP($D349,$C$5:$AA$492,4,))*$F349))</f>
        <v>0</v>
      </c>
      <c r="N349" s="49"/>
      <c r="O349" s="49">
        <f>IF(VLOOKUP($D349,$C$5:$AA$492,13,)=0,0,((VLOOKUP($D349,$C$5:$AA$492,13,)/VLOOKUP($D349,$C$5:$AA$492,4,))*$F349))</f>
        <v>0</v>
      </c>
      <c r="P349" s="49">
        <f>IF(VLOOKUP($D349,$C$5:$AA$492,14,)=0,0,((VLOOKUP($D349,$C$5:$AA$492,14,)/VLOOKUP($D349,$C$5:$AA$492,4,))*$F349))</f>
        <v>0</v>
      </c>
      <c r="Q349" s="49"/>
      <c r="R349" s="49">
        <f>IF(VLOOKUP($D349,$C$5:$AA$492,16,)=0,0,((VLOOKUP($D349,$C$5:$AA$492,16,)/VLOOKUP($D349,$C$5:$AA$492,4,))*$F349))</f>
        <v>0</v>
      </c>
      <c r="S349" s="49">
        <f>IF(VLOOKUP($D349,$C$5:$AA$492,17,)=0,0,((VLOOKUP($D349,$C$5:$AA$492,17,)/VLOOKUP($D349,$C$5:$AA$492,4,))*$F349))</f>
        <v>0</v>
      </c>
      <c r="T349" s="49"/>
      <c r="U349" s="49">
        <f>IF(VLOOKUP($D349,$C$5:$AA$492,19,)=0,0,((VLOOKUP($D349,$C$5:$AA$492,19,)/VLOOKUP($D349,$C$5:$AA$492,4,))*$F349))</f>
        <v>0</v>
      </c>
      <c r="V349" s="49"/>
      <c r="W349" s="49">
        <f>IF(VLOOKUP($D349,$C$5:$AA$492,21,)=0,0,((VLOOKUP($D349,$C$5:$AA$492,21,)/VLOOKUP($D349,$C$5:$AA$492,4,))*$F349))</f>
        <v>0</v>
      </c>
      <c r="X349" s="49"/>
      <c r="Y349" s="49">
        <f>IF(VLOOKUP($D349,$C$5:$AA$492,23,)=0,0,((VLOOKUP($D349,$C$5:$AA$492,23,)/VLOOKUP($D349,$C$5:$AA$492,4,))*$F349))</f>
        <v>0</v>
      </c>
      <c r="Z349" s="49"/>
      <c r="AA349" s="49">
        <f>IF(VLOOKUP($D349,$C$5:$AA$492,25,)=0,0,((VLOOKUP($D349,$C$5:$AA$492,25,)/VLOOKUP($D349,$C$5:$AA$492,4,))*$F349))</f>
        <v>0</v>
      </c>
      <c r="AB349" s="49">
        <f>SUM(H349:AA349)</f>
        <v>0</v>
      </c>
      <c r="AC349" s="27" t="str">
        <f>IF(ABS(AB349-F349)&lt;1,"ok","err")</f>
        <v>ok</v>
      </c>
    </row>
    <row r="350" spans="1:29" x14ac:dyDescent="0.2">
      <c r="A350" s="14">
        <v>514</v>
      </c>
      <c r="B350" s="14" t="s">
        <v>804</v>
      </c>
      <c r="C350" s="14" t="s">
        <v>853</v>
      </c>
      <c r="D350" s="14" t="s">
        <v>551</v>
      </c>
      <c r="F350" s="49">
        <v>0</v>
      </c>
      <c r="H350" s="49">
        <f>IF(VLOOKUP($D350,$C$5:$AA$492,6,)=0,0,((VLOOKUP($D350,$C$5:$AA$492,6,)/VLOOKUP($D350,$C$5:$AA$492,4,))*$F350))</f>
        <v>0</v>
      </c>
      <c r="I350" s="49">
        <f>IF(VLOOKUP($D350,$C$5:$AA$492,7,)=0,0,((VLOOKUP($D350,$C$5:$AA$492,7,)/VLOOKUP($D350,$C$5:$AA$492,4,))*$F350))</f>
        <v>0</v>
      </c>
      <c r="J350" s="49"/>
      <c r="K350" s="49">
        <f>IF(VLOOKUP($D350,$C$5:$AA$492,9,)=0,0,((VLOOKUP($D350,$C$5:$AA$492,9,)/VLOOKUP($D350,$C$5:$AA$492,4,))*$F350))</f>
        <v>0</v>
      </c>
      <c r="L350" s="49"/>
      <c r="M350" s="49">
        <f>IF(VLOOKUP($D350,$C$5:$AA$492,11,)=0,0,((VLOOKUP($D350,$C$5:$AA$492,11,)/VLOOKUP($D350,$C$5:$AA$492,4,))*$F350))</f>
        <v>0</v>
      </c>
      <c r="N350" s="49"/>
      <c r="O350" s="49">
        <f>IF(VLOOKUP($D350,$C$5:$AA$492,13,)=0,0,((VLOOKUP($D350,$C$5:$AA$492,13,)/VLOOKUP($D350,$C$5:$AA$492,4,))*$F350))</f>
        <v>0</v>
      </c>
      <c r="P350" s="49">
        <f>IF(VLOOKUP($D350,$C$5:$AA$492,14,)=0,0,((VLOOKUP($D350,$C$5:$AA$492,14,)/VLOOKUP($D350,$C$5:$AA$492,4,))*$F350))</f>
        <v>0</v>
      </c>
      <c r="Q350" s="49"/>
      <c r="R350" s="49">
        <f>IF(VLOOKUP($D350,$C$5:$AA$492,16,)=0,0,((VLOOKUP($D350,$C$5:$AA$492,16,)/VLOOKUP($D350,$C$5:$AA$492,4,))*$F350))</f>
        <v>0</v>
      </c>
      <c r="S350" s="49">
        <f>IF(VLOOKUP($D350,$C$5:$AA$492,17,)=0,0,((VLOOKUP($D350,$C$5:$AA$492,17,)/VLOOKUP($D350,$C$5:$AA$492,4,))*$F350))</f>
        <v>0</v>
      </c>
      <c r="T350" s="49"/>
      <c r="U350" s="49">
        <f>IF(VLOOKUP($D350,$C$5:$AA$492,19,)=0,0,((VLOOKUP($D350,$C$5:$AA$492,19,)/VLOOKUP($D350,$C$5:$AA$492,4,))*$F350))</f>
        <v>0</v>
      </c>
      <c r="V350" s="49"/>
      <c r="W350" s="49">
        <f>IF(VLOOKUP($D350,$C$5:$AA$492,21,)=0,0,((VLOOKUP($D350,$C$5:$AA$492,21,)/VLOOKUP($D350,$C$5:$AA$492,4,))*$F350))</f>
        <v>0</v>
      </c>
      <c r="X350" s="49"/>
      <c r="Y350" s="49">
        <f>IF(VLOOKUP($D350,$C$5:$AA$492,23,)=0,0,((VLOOKUP($D350,$C$5:$AA$492,23,)/VLOOKUP($D350,$C$5:$AA$492,4,))*$F350))</f>
        <v>0</v>
      </c>
      <c r="Z350" s="49"/>
      <c r="AA350" s="49">
        <f>IF(VLOOKUP($D350,$C$5:$AA$492,25,)=0,0,((VLOOKUP($D350,$C$5:$AA$492,25,)/VLOOKUP($D350,$C$5:$AA$492,4,))*$F350))</f>
        <v>0</v>
      </c>
      <c r="AB350" s="49">
        <f>SUM(H350:AA350)</f>
        <v>0</v>
      </c>
      <c r="AC350" s="27" t="str">
        <f>IF(ABS(AB350-F350)&lt;1,"ok","err")</f>
        <v>ok</v>
      </c>
    </row>
    <row r="351" spans="1:29" x14ac:dyDescent="0.2"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27"/>
    </row>
    <row r="352" spans="1:29" x14ac:dyDescent="0.2">
      <c r="A352" s="14" t="s">
        <v>789</v>
      </c>
      <c r="C352" s="14" t="s">
        <v>854</v>
      </c>
      <c r="F352" s="66">
        <f>SUM(F346:F351)</f>
        <v>0</v>
      </c>
      <c r="H352" s="66">
        <f>SUM(H346:H351)</f>
        <v>0</v>
      </c>
      <c r="I352" s="66">
        <f>SUM(I346:I351)</f>
        <v>0</v>
      </c>
      <c r="J352" s="66"/>
      <c r="K352" s="66">
        <f>SUM(K346:K351)</f>
        <v>0</v>
      </c>
      <c r="L352" s="66"/>
      <c r="M352" s="66">
        <f>SUM(M346:M351)</f>
        <v>0</v>
      </c>
      <c r="N352" s="66"/>
      <c r="O352" s="66">
        <f>SUM(O346:O351)</f>
        <v>0</v>
      </c>
      <c r="P352" s="66">
        <f>SUM(P346:P351)</f>
        <v>0</v>
      </c>
      <c r="Q352" s="66"/>
      <c r="R352" s="66">
        <f>SUM(R346:R351)</f>
        <v>0</v>
      </c>
      <c r="S352" s="66">
        <f>SUM(S346:S351)</f>
        <v>0</v>
      </c>
      <c r="T352" s="66"/>
      <c r="U352" s="66">
        <f>SUM(U346:U351)</f>
        <v>0</v>
      </c>
      <c r="V352" s="66"/>
      <c r="W352" s="66">
        <f>SUM(W346:W351)</f>
        <v>0</v>
      </c>
      <c r="X352" s="66"/>
      <c r="Y352" s="66">
        <f>SUM(Y346:Y351)</f>
        <v>0</v>
      </c>
      <c r="Z352" s="66"/>
      <c r="AA352" s="66">
        <f>SUM(AA346:AA351)</f>
        <v>0</v>
      </c>
      <c r="AB352" s="49">
        <f>SUM(H352:AA352)</f>
        <v>0</v>
      </c>
      <c r="AC352" s="27" t="str">
        <f>IF(ABS(AB352-F352)&lt;1,"ok","err")</f>
        <v>ok</v>
      </c>
    </row>
    <row r="353" spans="1:29" x14ac:dyDescent="0.2">
      <c r="F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C353" s="27"/>
    </row>
    <row r="354" spans="1:29" x14ac:dyDescent="0.2">
      <c r="A354" s="14" t="s">
        <v>790</v>
      </c>
      <c r="C354" s="14" t="s">
        <v>855</v>
      </c>
      <c r="F354" s="49">
        <f>F343+F352</f>
        <v>0</v>
      </c>
      <c r="H354" s="49">
        <f>H343+H352</f>
        <v>0</v>
      </c>
      <c r="I354" s="49">
        <f>I343+I352</f>
        <v>0</v>
      </c>
      <c r="J354" s="49"/>
      <c r="K354" s="49">
        <f>K343+K352</f>
        <v>0</v>
      </c>
      <c r="L354" s="49"/>
      <c r="M354" s="49">
        <f>M343+M352</f>
        <v>0</v>
      </c>
      <c r="N354" s="49"/>
      <c r="O354" s="49">
        <f>O343+O352</f>
        <v>0</v>
      </c>
      <c r="P354" s="49">
        <f>P343+P352</f>
        <v>0</v>
      </c>
      <c r="Q354" s="49"/>
      <c r="R354" s="49">
        <f>R343+R352</f>
        <v>0</v>
      </c>
      <c r="S354" s="49">
        <f>S343+S352</f>
        <v>0</v>
      </c>
      <c r="T354" s="49"/>
      <c r="U354" s="49">
        <f>U343+U352</f>
        <v>0</v>
      </c>
      <c r="V354" s="49"/>
      <c r="W354" s="49">
        <f>W343+W352</f>
        <v>0</v>
      </c>
      <c r="X354" s="49"/>
      <c r="Y354" s="49">
        <f>Y343+Y352</f>
        <v>0</v>
      </c>
      <c r="Z354" s="49"/>
      <c r="AA354" s="49">
        <f>AA343+AA352</f>
        <v>0</v>
      </c>
      <c r="AB354" s="49">
        <f>SUM(H354:AA354)</f>
        <v>0</v>
      </c>
      <c r="AC354" s="27" t="str">
        <f>IF(ABS(AB354-F354)&lt;1,"ok","err")</f>
        <v>ok</v>
      </c>
    </row>
    <row r="355" spans="1:29" x14ac:dyDescent="0.2">
      <c r="A355" s="25"/>
      <c r="Q355" s="14"/>
      <c r="AC355" s="27"/>
    </row>
    <row r="356" spans="1:29" x14ac:dyDescent="0.2">
      <c r="A356" s="25"/>
      <c r="Q356" s="14"/>
      <c r="AC356" s="27"/>
    </row>
    <row r="357" spans="1:29" x14ac:dyDescent="0.2">
      <c r="A357" s="25" t="s">
        <v>472</v>
      </c>
      <c r="Q357" s="14"/>
      <c r="AC357" s="27"/>
    </row>
    <row r="358" spans="1:29" x14ac:dyDescent="0.2">
      <c r="A358" s="25"/>
      <c r="Q358" s="14"/>
      <c r="AC358" s="27"/>
    </row>
    <row r="359" spans="1:29" x14ac:dyDescent="0.2">
      <c r="A359" s="13" t="s">
        <v>95</v>
      </c>
      <c r="Q359" s="14"/>
      <c r="AC359" s="27"/>
    </row>
    <row r="360" spans="1:29" x14ac:dyDescent="0.2">
      <c r="A360" s="14">
        <v>555</v>
      </c>
      <c r="B360" s="14" t="s">
        <v>377</v>
      </c>
      <c r="C360" s="14" t="s">
        <v>529</v>
      </c>
      <c r="D360" s="14" t="s">
        <v>96</v>
      </c>
      <c r="F360" s="66">
        <v>0</v>
      </c>
      <c r="G360" s="66"/>
      <c r="H360" s="49">
        <f>IF(VLOOKUP($D360,$C$5:$AA$492,6,)=0,0,((VLOOKUP($D360,$C$5:$AA$492,6,)/VLOOKUP($D360,$C$5:$AA$492,4,))*$F360))</f>
        <v>0</v>
      </c>
      <c r="I360" s="49">
        <f>IF(VLOOKUP($D360,$C$5:$AA$492,7,)=0,0,((VLOOKUP($D360,$C$5:$AA$492,7,)/VLOOKUP($D360,$C$5:$AA$492,4,))*$F360))</f>
        <v>0</v>
      </c>
      <c r="J360" s="49"/>
      <c r="K360" s="49">
        <f>IF(VLOOKUP($D360,$C$5:$AA$492,9,)=0,0,((VLOOKUP($D360,$C$5:$AA$492,9,)/VLOOKUP($D360,$C$5:$AA$492,4,))*$F360))</f>
        <v>0</v>
      </c>
      <c r="L360" s="49"/>
      <c r="M360" s="49">
        <f>IF(VLOOKUP($D360,$C$5:$AA$492,11,)=0,0,((VLOOKUP($D360,$C$5:$AA$492,11,)/VLOOKUP($D360,$C$5:$AA$492,4,))*$F360))</f>
        <v>0</v>
      </c>
      <c r="N360" s="49"/>
      <c r="O360" s="49">
        <f>IF(VLOOKUP($D360,$C$5:$AA$492,13,)=0,0,((VLOOKUP($D360,$C$5:$AA$492,13,)/VLOOKUP($D360,$C$5:$AA$492,4,))*$F360))</f>
        <v>0</v>
      </c>
      <c r="P360" s="49">
        <f>IF(VLOOKUP($D360,$C$5:$AA$492,14,)=0,0,((VLOOKUP($D360,$C$5:$AA$492,14,)/VLOOKUP($D360,$C$5:$AA$492,4,))*$F360))</f>
        <v>0</v>
      </c>
      <c r="Q360" s="49"/>
      <c r="R360" s="49">
        <f>IF(VLOOKUP($D360,$C$5:$AA$492,16,)=0,0,((VLOOKUP($D360,$C$5:$AA$492,16,)/VLOOKUP($D360,$C$5:$AA$492,4,))*$F360))</f>
        <v>0</v>
      </c>
      <c r="S360" s="49">
        <f>IF(VLOOKUP($D360,$C$5:$AA$492,17,)=0,0,((VLOOKUP($D360,$C$5:$AA$492,17,)/VLOOKUP($D360,$C$5:$AA$492,4,))*$F360))</f>
        <v>0</v>
      </c>
      <c r="T360" s="49"/>
      <c r="U360" s="49">
        <f>IF(VLOOKUP($D360,$C$5:$AA$492,19,)=0,0,((VLOOKUP($D360,$C$5:$AA$492,19,)/VLOOKUP($D360,$C$5:$AA$492,4,))*$F360))</f>
        <v>0</v>
      </c>
      <c r="V360" s="49"/>
      <c r="W360" s="49">
        <f>IF(VLOOKUP($D360,$C$5:$AA$492,21,)=0,0,((VLOOKUP($D360,$C$5:$AA$492,21,)/VLOOKUP($D360,$C$5:$AA$492,4,))*$F360))</f>
        <v>0</v>
      </c>
      <c r="X360" s="49"/>
      <c r="Y360" s="49">
        <f>IF(VLOOKUP($D360,$C$5:$AA$492,23,)=0,0,((VLOOKUP($D360,$C$5:$AA$492,23,)/VLOOKUP($D360,$C$5:$AA$492,4,))*$F360))</f>
        <v>0</v>
      </c>
      <c r="Z360" s="49"/>
      <c r="AA360" s="49">
        <f>IF(VLOOKUP($D360,$C$5:$AA$492,25,)=0,0,((VLOOKUP($D360,$C$5:$AA$492,25,)/VLOOKUP($D360,$C$5:$AA$492,4,))*$F360))</f>
        <v>0</v>
      </c>
      <c r="AB360" s="49">
        <f>SUM(H360:AA360)</f>
        <v>0</v>
      </c>
      <c r="AC360" s="27" t="str">
        <f>IF(ABS(AB360-F360)&lt;1,"ok","err")</f>
        <v>ok</v>
      </c>
    </row>
    <row r="361" spans="1:29" x14ac:dyDescent="0.2">
      <c r="A361" s="14">
        <v>557</v>
      </c>
      <c r="B361" s="14" t="s">
        <v>397</v>
      </c>
      <c r="C361" s="14" t="s">
        <v>474</v>
      </c>
      <c r="D361" s="14" t="s">
        <v>96</v>
      </c>
      <c r="F361" s="49"/>
      <c r="G361" s="66"/>
      <c r="H361" s="49">
        <f>IF(VLOOKUP($D361,$C$5:$AA$492,6,)=0,0,((VLOOKUP($D361,$C$5:$AA$492,6,)/VLOOKUP($D361,$C$5:$AA$492,4,))*$F361))</f>
        <v>0</v>
      </c>
      <c r="I361" s="49">
        <f>IF(VLOOKUP($D361,$C$5:$AA$492,7,)=0,0,((VLOOKUP($D361,$C$5:$AA$492,7,)/VLOOKUP($D361,$C$5:$AA$492,4,))*$F361))</f>
        <v>0</v>
      </c>
      <c r="J361" s="49"/>
      <c r="K361" s="49">
        <f>IF(VLOOKUP($D361,$C$5:$AA$492,9,)=0,0,((VLOOKUP($D361,$C$5:$AA$492,9,)/VLOOKUP($D361,$C$5:$AA$492,4,))*$F361))</f>
        <v>0</v>
      </c>
      <c r="L361" s="49"/>
      <c r="M361" s="49">
        <f>IF(VLOOKUP($D361,$C$5:$AA$492,11,)=0,0,((VLOOKUP($D361,$C$5:$AA$492,11,)/VLOOKUP($D361,$C$5:$AA$492,4,))*$F361))</f>
        <v>0</v>
      </c>
      <c r="N361" s="49"/>
      <c r="O361" s="49">
        <f>IF(VLOOKUP($D361,$C$5:$AA$492,13,)=0,0,((VLOOKUP($D361,$C$5:$AA$492,13,)/VLOOKUP($D361,$C$5:$AA$492,4,))*$F361))</f>
        <v>0</v>
      </c>
      <c r="P361" s="49">
        <f>IF(VLOOKUP($D361,$C$5:$AA$492,14,)=0,0,((VLOOKUP($D361,$C$5:$AA$492,14,)/VLOOKUP($D361,$C$5:$AA$492,4,))*$F361))</f>
        <v>0</v>
      </c>
      <c r="Q361" s="49"/>
      <c r="R361" s="49">
        <f>IF(VLOOKUP($D361,$C$5:$AA$492,16,)=0,0,((VLOOKUP($D361,$C$5:$AA$492,16,)/VLOOKUP($D361,$C$5:$AA$492,4,))*$F361))</f>
        <v>0</v>
      </c>
      <c r="S361" s="49">
        <f>IF(VLOOKUP($D361,$C$5:$AA$492,17,)=0,0,((VLOOKUP($D361,$C$5:$AA$492,17,)/VLOOKUP($D361,$C$5:$AA$492,4,))*$F361))</f>
        <v>0</v>
      </c>
      <c r="T361" s="49"/>
      <c r="U361" s="49">
        <f>IF(VLOOKUP($D361,$C$5:$AA$492,19,)=0,0,((VLOOKUP($D361,$C$5:$AA$492,19,)/VLOOKUP($D361,$C$5:$AA$492,4,))*$F361))</f>
        <v>0</v>
      </c>
      <c r="V361" s="49"/>
      <c r="W361" s="49">
        <f>IF(VLOOKUP($D361,$C$5:$AA$492,21,)=0,0,((VLOOKUP($D361,$C$5:$AA$492,21,)/VLOOKUP($D361,$C$5:$AA$492,4,))*$F361))</f>
        <v>0</v>
      </c>
      <c r="X361" s="49"/>
      <c r="Y361" s="49">
        <f>IF(VLOOKUP($D361,$C$5:$AA$492,23,)=0,0,((VLOOKUP($D361,$C$5:$AA$492,23,)/VLOOKUP($D361,$C$5:$AA$492,4,))*$F361))</f>
        <v>0</v>
      </c>
      <c r="Z361" s="49"/>
      <c r="AA361" s="49">
        <f>IF(VLOOKUP($D361,$C$5:$AA$492,25,)=0,0,((VLOOKUP($D361,$C$5:$AA$492,25,)/VLOOKUP($D361,$C$5:$AA$492,4,))*$F361))</f>
        <v>0</v>
      </c>
      <c r="AB361" s="49">
        <f>SUM(H361:AA361)</f>
        <v>0</v>
      </c>
      <c r="AC361" s="27" t="str">
        <f>IF(ABS(AB361-F361)&lt;1,"ok","err")</f>
        <v>ok</v>
      </c>
    </row>
    <row r="362" spans="1:29" x14ac:dyDescent="0.2">
      <c r="F362" s="49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49"/>
      <c r="AC362" s="27"/>
    </row>
    <row r="363" spans="1:29" x14ac:dyDescent="0.2">
      <c r="B363" s="14" t="s">
        <v>531</v>
      </c>
      <c r="C363" s="14" t="s">
        <v>473</v>
      </c>
      <c r="F363" s="66">
        <f>SUM(F360:F362)</f>
        <v>0</v>
      </c>
      <c r="G363" s="66"/>
      <c r="H363" s="66">
        <f>SUM(H360:H362)</f>
        <v>0</v>
      </c>
      <c r="I363" s="66">
        <f>SUM(I360:I362)</f>
        <v>0</v>
      </c>
      <c r="J363" s="66"/>
      <c r="K363" s="66">
        <f>SUM(K360:K362)</f>
        <v>0</v>
      </c>
      <c r="L363" s="66"/>
      <c r="M363" s="66">
        <f>SUM(M360:M362)</f>
        <v>0</v>
      </c>
      <c r="N363" s="66"/>
      <c r="O363" s="66">
        <f>SUM(O360:O362)</f>
        <v>0</v>
      </c>
      <c r="P363" s="66">
        <f>SUM(P360:P362)</f>
        <v>0</v>
      </c>
      <c r="Q363" s="66"/>
      <c r="R363" s="66">
        <f>SUM(R360:R362)</f>
        <v>0</v>
      </c>
      <c r="S363" s="66">
        <f>SUM(S360:S362)</f>
        <v>0</v>
      </c>
      <c r="T363" s="66"/>
      <c r="U363" s="66">
        <f>SUM(U360:U362)</f>
        <v>0</v>
      </c>
      <c r="V363" s="66"/>
      <c r="W363" s="66">
        <f>SUM(W360:W362)</f>
        <v>0</v>
      </c>
      <c r="X363" s="66"/>
      <c r="Y363" s="66">
        <f>SUM(Y360:Y362)</f>
        <v>0</v>
      </c>
      <c r="Z363" s="66"/>
      <c r="AA363" s="66">
        <f>SUM(AA360:AA362)</f>
        <v>0</v>
      </c>
      <c r="AB363" s="49">
        <f>SUM(H363:AA363)</f>
        <v>0</v>
      </c>
      <c r="AC363" s="27" t="str">
        <f>IF(ABS(AB363-F363)&lt;1,"ok","err")</f>
        <v>ok</v>
      </c>
    </row>
    <row r="364" spans="1:29" x14ac:dyDescent="0.2"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49"/>
      <c r="AC364" s="27"/>
    </row>
    <row r="365" spans="1:29" x14ac:dyDescent="0.2">
      <c r="A365" s="13" t="s">
        <v>533</v>
      </c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49"/>
      <c r="AC365" s="27"/>
    </row>
    <row r="366" spans="1:29" x14ac:dyDescent="0.2">
      <c r="A366" s="14">
        <v>560</v>
      </c>
      <c r="B366" s="14" t="s">
        <v>372</v>
      </c>
      <c r="C366" s="14" t="s">
        <v>530</v>
      </c>
      <c r="D366" s="14" t="s">
        <v>389</v>
      </c>
      <c r="F366" s="66">
        <v>0</v>
      </c>
      <c r="G366" s="66"/>
      <c r="H366" s="49">
        <f t="shared" ref="H366:H373" si="200">IF((VLOOKUP($D366,$C$5:$AA$492,6,)=0),0,((VLOOKUP($D366,$C$5:$AA$492,6,)/VLOOKUP($D366,$C$5:$AA$492,4,))*$F366))</f>
        <v>0</v>
      </c>
      <c r="I366" s="49">
        <f t="shared" ref="I366:I373" si="201">IF((VLOOKUP($D366,$C$5:$AA$492,7,)=0),0,((VLOOKUP($D366,$C$5:$AA$492,7,)/VLOOKUP($D366,$C$5:$AA$492,4,))*$F366))</f>
        <v>0</v>
      </c>
      <c r="J366" s="49"/>
      <c r="K366" s="49">
        <f t="shared" ref="K366:K373" si="202">IF((VLOOKUP($D366,$C$5:$AA$492,9,)=0),0,((VLOOKUP($D366,$C$5:$AA$492,9,)/VLOOKUP($D366,$C$5:$AA$492,4,))*$F366))</f>
        <v>0</v>
      </c>
      <c r="L366" s="49"/>
      <c r="M366" s="49">
        <f t="shared" ref="M366:M373" si="203">IF((VLOOKUP($D366,$C$5:$AA$492,11,)=0),0,((VLOOKUP($D366,$C$5:$AA$492,11,)/VLOOKUP($D366,$C$5:$AA$492,4,))*$F366))</f>
        <v>0</v>
      </c>
      <c r="N366" s="49"/>
      <c r="O366" s="49">
        <f t="shared" ref="O366:O373" si="204">IF((VLOOKUP($D366,$C$5:$AA$492,13,)=0),0,((VLOOKUP($D366,$C$5:$AA$492,13,)/VLOOKUP($D366,$C$5:$AA$492,4,))*$F366))</f>
        <v>0</v>
      </c>
      <c r="P366" s="49">
        <f t="shared" ref="P366:P373" si="205">IF((VLOOKUP($D366,$C$5:$AA$492,14,)=0),0,((VLOOKUP($D366,$C$5:$AA$492,14,)/VLOOKUP($D366,$C$5:$AA$492,4,))*$F366))</f>
        <v>0</v>
      </c>
      <c r="Q366" s="49"/>
      <c r="R366" s="49">
        <f t="shared" ref="R366:R373" si="206">IF((VLOOKUP($D366,$C$5:$AA$492,16,)=0),0,((VLOOKUP($D366,$C$5:$AA$492,16,)/VLOOKUP($D366,$C$5:$AA$492,4,))*$F366))</f>
        <v>0</v>
      </c>
      <c r="S366" s="49">
        <f t="shared" ref="S366:S373" si="207">IF((VLOOKUP($D366,$C$5:$AA$492,17,)=0),0,((VLOOKUP($D366,$C$5:$AA$492,17,)/VLOOKUP($D366,$C$5:$AA$492,4,))*$F366))</f>
        <v>0</v>
      </c>
      <c r="T366" s="49"/>
      <c r="U366" s="49">
        <f t="shared" ref="U366:U373" si="208">IF((VLOOKUP($D366,$C$5:$AA$492,19,)=0),0,((VLOOKUP($D366,$C$5:$AA$492,19,)/VLOOKUP($D366,$C$5:$AA$492,4,))*$F366))</f>
        <v>0</v>
      </c>
      <c r="V366" s="49"/>
      <c r="W366" s="49">
        <f t="shared" ref="W366:W373" si="209">IF((VLOOKUP($D366,$C$5:$AA$492,21,)=0),0,((VLOOKUP($D366,$C$5:$AA$492,21,)/VLOOKUP($D366,$C$5:$AA$492,4,))*$F366))</f>
        <v>0</v>
      </c>
      <c r="X366" s="49"/>
      <c r="Y366" s="49">
        <f t="shared" ref="Y366:Y373" si="210">IF((VLOOKUP($D366,$C$5:$AA$492,23,)=0),0,((VLOOKUP($D366,$C$5:$AA$492,23,)/VLOOKUP($D366,$C$5:$AA$492,4,))*$F366))</f>
        <v>0</v>
      </c>
      <c r="Z366" s="49"/>
      <c r="AA366" s="49">
        <f t="shared" ref="AA366:AA373" si="211">IF((VLOOKUP($D366,$C$5:$AA$492,25,)=0),0,((VLOOKUP($D366,$C$5:$AA$492,25,)/VLOOKUP($D366,$C$5:$AA$492,4,))*$F366))</f>
        <v>0</v>
      </c>
      <c r="AB366" s="49">
        <f t="shared" ref="AB366:AB373" si="212">SUM(H366:AA366)</f>
        <v>0</v>
      </c>
      <c r="AC366" s="27" t="str">
        <f t="shared" ref="AC366:AC373" si="213">IF(ABS(AB366-F366)&lt;1,"ok","err")</f>
        <v>ok</v>
      </c>
    </row>
    <row r="367" spans="1:29" x14ac:dyDescent="0.2">
      <c r="A367" s="14">
        <v>561</v>
      </c>
      <c r="B367" s="14" t="s">
        <v>100</v>
      </c>
      <c r="C367" s="14" t="s">
        <v>475</v>
      </c>
      <c r="D367" s="14" t="s">
        <v>389</v>
      </c>
      <c r="F367" s="49">
        <v>0</v>
      </c>
      <c r="G367" s="66"/>
      <c r="H367" s="49">
        <f t="shared" si="200"/>
        <v>0</v>
      </c>
      <c r="I367" s="49">
        <f t="shared" si="201"/>
        <v>0</v>
      </c>
      <c r="J367" s="49"/>
      <c r="K367" s="49">
        <f t="shared" si="202"/>
        <v>0</v>
      </c>
      <c r="L367" s="49"/>
      <c r="M367" s="49">
        <f t="shared" si="203"/>
        <v>0</v>
      </c>
      <c r="N367" s="49"/>
      <c r="O367" s="49">
        <f t="shared" si="204"/>
        <v>0</v>
      </c>
      <c r="P367" s="49">
        <f t="shared" si="205"/>
        <v>0</v>
      </c>
      <c r="Q367" s="49"/>
      <c r="R367" s="49">
        <f t="shared" si="206"/>
        <v>0</v>
      </c>
      <c r="S367" s="49">
        <f t="shared" si="207"/>
        <v>0</v>
      </c>
      <c r="T367" s="49"/>
      <c r="U367" s="49">
        <f t="shared" si="208"/>
        <v>0</v>
      </c>
      <c r="V367" s="49"/>
      <c r="W367" s="49">
        <f t="shared" si="209"/>
        <v>0</v>
      </c>
      <c r="X367" s="49"/>
      <c r="Y367" s="49">
        <f t="shared" si="210"/>
        <v>0</v>
      </c>
      <c r="Z367" s="49"/>
      <c r="AA367" s="49">
        <f t="shared" si="211"/>
        <v>0</v>
      </c>
      <c r="AB367" s="49">
        <f t="shared" si="212"/>
        <v>0</v>
      </c>
      <c r="AC367" s="27" t="str">
        <f t="shared" si="213"/>
        <v>ok</v>
      </c>
    </row>
    <row r="368" spans="1:29" x14ac:dyDescent="0.2">
      <c r="A368" s="14">
        <v>562</v>
      </c>
      <c r="B368" s="14" t="s">
        <v>370</v>
      </c>
      <c r="C368" s="14" t="s">
        <v>476</v>
      </c>
      <c r="D368" s="14" t="s">
        <v>389</v>
      </c>
      <c r="F368" s="49">
        <v>0</v>
      </c>
      <c r="G368" s="66"/>
      <c r="H368" s="49">
        <f t="shared" si="200"/>
        <v>0</v>
      </c>
      <c r="I368" s="49">
        <f t="shared" si="201"/>
        <v>0</v>
      </c>
      <c r="J368" s="49"/>
      <c r="K368" s="49">
        <f t="shared" si="202"/>
        <v>0</v>
      </c>
      <c r="L368" s="49"/>
      <c r="M368" s="49">
        <f t="shared" si="203"/>
        <v>0</v>
      </c>
      <c r="N368" s="49"/>
      <c r="O368" s="49">
        <f t="shared" si="204"/>
        <v>0</v>
      </c>
      <c r="P368" s="49">
        <f t="shared" si="205"/>
        <v>0</v>
      </c>
      <c r="Q368" s="49"/>
      <c r="R368" s="49">
        <f t="shared" si="206"/>
        <v>0</v>
      </c>
      <c r="S368" s="49">
        <f t="shared" si="207"/>
        <v>0</v>
      </c>
      <c r="T368" s="49"/>
      <c r="U368" s="49">
        <f t="shared" si="208"/>
        <v>0</v>
      </c>
      <c r="V368" s="49"/>
      <c r="W368" s="49">
        <f t="shared" si="209"/>
        <v>0</v>
      </c>
      <c r="X368" s="49"/>
      <c r="Y368" s="49">
        <f t="shared" si="210"/>
        <v>0</v>
      </c>
      <c r="Z368" s="49"/>
      <c r="AA368" s="49">
        <f t="shared" si="211"/>
        <v>0</v>
      </c>
      <c r="AB368" s="49">
        <f t="shared" si="212"/>
        <v>0</v>
      </c>
      <c r="AC368" s="27" t="str">
        <f t="shared" si="213"/>
        <v>ok</v>
      </c>
    </row>
    <row r="369" spans="1:29" x14ac:dyDescent="0.2">
      <c r="A369" s="14">
        <v>563</v>
      </c>
      <c r="B369" s="14" t="s">
        <v>102</v>
      </c>
      <c r="C369" s="14" t="s">
        <v>477</v>
      </c>
      <c r="D369" s="14" t="s">
        <v>389</v>
      </c>
      <c r="F369" s="49">
        <v>0</v>
      </c>
      <c r="G369" s="66"/>
      <c r="H369" s="49">
        <f t="shared" si="200"/>
        <v>0</v>
      </c>
      <c r="I369" s="49">
        <f t="shared" si="201"/>
        <v>0</v>
      </c>
      <c r="J369" s="49"/>
      <c r="K369" s="49">
        <f t="shared" si="202"/>
        <v>0</v>
      </c>
      <c r="L369" s="49"/>
      <c r="M369" s="49">
        <f t="shared" si="203"/>
        <v>0</v>
      </c>
      <c r="N369" s="49"/>
      <c r="O369" s="49">
        <f t="shared" si="204"/>
        <v>0</v>
      </c>
      <c r="P369" s="49">
        <f t="shared" si="205"/>
        <v>0</v>
      </c>
      <c r="Q369" s="49"/>
      <c r="R369" s="49">
        <f t="shared" si="206"/>
        <v>0</v>
      </c>
      <c r="S369" s="49">
        <f t="shared" si="207"/>
        <v>0</v>
      </c>
      <c r="T369" s="49"/>
      <c r="U369" s="49">
        <f t="shared" si="208"/>
        <v>0</v>
      </c>
      <c r="V369" s="49"/>
      <c r="W369" s="49">
        <f t="shared" si="209"/>
        <v>0</v>
      </c>
      <c r="X369" s="49"/>
      <c r="Y369" s="49">
        <f t="shared" si="210"/>
        <v>0</v>
      </c>
      <c r="Z369" s="49"/>
      <c r="AA369" s="49">
        <f t="shared" si="211"/>
        <v>0</v>
      </c>
      <c r="AB369" s="49">
        <f t="shared" si="212"/>
        <v>0</v>
      </c>
      <c r="AC369" s="27" t="str">
        <f t="shared" si="213"/>
        <v>ok</v>
      </c>
    </row>
    <row r="370" spans="1:29" x14ac:dyDescent="0.2">
      <c r="A370" s="14">
        <v>566</v>
      </c>
      <c r="B370" s="14" t="s">
        <v>585</v>
      </c>
      <c r="C370" s="14" t="s">
        <v>589</v>
      </c>
      <c r="D370" s="14" t="s">
        <v>389</v>
      </c>
      <c r="F370" s="49">
        <v>0</v>
      </c>
      <c r="G370" s="66"/>
      <c r="H370" s="49">
        <f t="shared" si="200"/>
        <v>0</v>
      </c>
      <c r="I370" s="49">
        <f t="shared" si="201"/>
        <v>0</v>
      </c>
      <c r="J370" s="49"/>
      <c r="K370" s="49">
        <f t="shared" si="202"/>
        <v>0</v>
      </c>
      <c r="L370" s="49"/>
      <c r="M370" s="49">
        <f t="shared" si="203"/>
        <v>0</v>
      </c>
      <c r="N370" s="49"/>
      <c r="O370" s="49">
        <f t="shared" si="204"/>
        <v>0</v>
      </c>
      <c r="P370" s="49">
        <f t="shared" si="205"/>
        <v>0</v>
      </c>
      <c r="Q370" s="49"/>
      <c r="R370" s="49">
        <f t="shared" si="206"/>
        <v>0</v>
      </c>
      <c r="S370" s="49">
        <f t="shared" si="207"/>
        <v>0</v>
      </c>
      <c r="T370" s="49"/>
      <c r="U370" s="49">
        <f t="shared" si="208"/>
        <v>0</v>
      </c>
      <c r="V370" s="49"/>
      <c r="W370" s="49">
        <f t="shared" si="209"/>
        <v>0</v>
      </c>
      <c r="X370" s="49"/>
      <c r="Y370" s="49">
        <f t="shared" si="210"/>
        <v>0</v>
      </c>
      <c r="Z370" s="49"/>
      <c r="AA370" s="49">
        <f t="shared" si="211"/>
        <v>0</v>
      </c>
      <c r="AB370" s="49">
        <f>SUM(H370:AA370)</f>
        <v>0</v>
      </c>
      <c r="AC370" s="27" t="str">
        <f>IF(ABS(AB370-F370)&lt;1,"ok","err")</f>
        <v>ok</v>
      </c>
    </row>
    <row r="371" spans="1:29" x14ac:dyDescent="0.2">
      <c r="A371" s="14">
        <v>568</v>
      </c>
      <c r="B371" s="14" t="s">
        <v>371</v>
      </c>
      <c r="C371" s="14" t="s">
        <v>478</v>
      </c>
      <c r="D371" s="14" t="s">
        <v>389</v>
      </c>
      <c r="F371" s="49">
        <v>0</v>
      </c>
      <c r="G371" s="66"/>
      <c r="H371" s="49">
        <f t="shared" si="200"/>
        <v>0</v>
      </c>
      <c r="I371" s="49">
        <f t="shared" si="201"/>
        <v>0</v>
      </c>
      <c r="J371" s="49"/>
      <c r="K371" s="49">
        <f t="shared" si="202"/>
        <v>0</v>
      </c>
      <c r="L371" s="49"/>
      <c r="M371" s="49">
        <f t="shared" si="203"/>
        <v>0</v>
      </c>
      <c r="N371" s="49"/>
      <c r="O371" s="49">
        <f t="shared" si="204"/>
        <v>0</v>
      </c>
      <c r="P371" s="49">
        <f t="shared" si="205"/>
        <v>0</v>
      </c>
      <c r="Q371" s="49"/>
      <c r="R371" s="49">
        <f t="shared" si="206"/>
        <v>0</v>
      </c>
      <c r="S371" s="49">
        <f t="shared" si="207"/>
        <v>0</v>
      </c>
      <c r="T371" s="49"/>
      <c r="U371" s="49">
        <f t="shared" si="208"/>
        <v>0</v>
      </c>
      <c r="V371" s="49"/>
      <c r="W371" s="49">
        <f t="shared" si="209"/>
        <v>0</v>
      </c>
      <c r="X371" s="49"/>
      <c r="Y371" s="49">
        <f t="shared" si="210"/>
        <v>0</v>
      </c>
      <c r="Z371" s="49"/>
      <c r="AA371" s="49">
        <f t="shared" si="211"/>
        <v>0</v>
      </c>
      <c r="AB371" s="49">
        <f t="shared" si="212"/>
        <v>0</v>
      </c>
      <c r="AC371" s="27" t="str">
        <f t="shared" si="213"/>
        <v>ok</v>
      </c>
    </row>
    <row r="372" spans="1:29" x14ac:dyDescent="0.2">
      <c r="A372" s="14">
        <v>570</v>
      </c>
      <c r="B372" s="14" t="s">
        <v>373</v>
      </c>
      <c r="C372" s="14" t="s">
        <v>479</v>
      </c>
      <c r="D372" s="14" t="s">
        <v>389</v>
      </c>
      <c r="F372" s="49">
        <v>0</v>
      </c>
      <c r="G372" s="66"/>
      <c r="H372" s="49">
        <f t="shared" si="200"/>
        <v>0</v>
      </c>
      <c r="I372" s="49">
        <f t="shared" si="201"/>
        <v>0</v>
      </c>
      <c r="J372" s="49"/>
      <c r="K372" s="49">
        <f t="shared" si="202"/>
        <v>0</v>
      </c>
      <c r="L372" s="49"/>
      <c r="M372" s="49">
        <f t="shared" si="203"/>
        <v>0</v>
      </c>
      <c r="N372" s="49"/>
      <c r="O372" s="49">
        <f t="shared" si="204"/>
        <v>0</v>
      </c>
      <c r="P372" s="49">
        <f t="shared" si="205"/>
        <v>0</v>
      </c>
      <c r="Q372" s="49"/>
      <c r="R372" s="49">
        <f t="shared" si="206"/>
        <v>0</v>
      </c>
      <c r="S372" s="49">
        <f t="shared" si="207"/>
        <v>0</v>
      </c>
      <c r="T372" s="49"/>
      <c r="U372" s="49">
        <f t="shared" si="208"/>
        <v>0</v>
      </c>
      <c r="V372" s="49"/>
      <c r="W372" s="49">
        <f t="shared" si="209"/>
        <v>0</v>
      </c>
      <c r="X372" s="49"/>
      <c r="Y372" s="49">
        <f t="shared" si="210"/>
        <v>0</v>
      </c>
      <c r="Z372" s="49"/>
      <c r="AA372" s="49">
        <f t="shared" si="211"/>
        <v>0</v>
      </c>
      <c r="AB372" s="49">
        <f t="shared" si="212"/>
        <v>0</v>
      </c>
      <c r="AC372" s="27" t="str">
        <f t="shared" si="213"/>
        <v>ok</v>
      </c>
    </row>
    <row r="373" spans="1:29" x14ac:dyDescent="0.2">
      <c r="A373" s="14">
        <v>571</v>
      </c>
      <c r="B373" s="14" t="s">
        <v>374</v>
      </c>
      <c r="C373" s="14" t="s">
        <v>480</v>
      </c>
      <c r="D373" s="14" t="s">
        <v>389</v>
      </c>
      <c r="F373" s="49">
        <v>0</v>
      </c>
      <c r="G373" s="66"/>
      <c r="H373" s="49">
        <f t="shared" si="200"/>
        <v>0</v>
      </c>
      <c r="I373" s="49">
        <f t="shared" si="201"/>
        <v>0</v>
      </c>
      <c r="J373" s="49"/>
      <c r="K373" s="49">
        <f t="shared" si="202"/>
        <v>0</v>
      </c>
      <c r="L373" s="49"/>
      <c r="M373" s="49">
        <f t="shared" si="203"/>
        <v>0</v>
      </c>
      <c r="N373" s="49"/>
      <c r="O373" s="49">
        <f t="shared" si="204"/>
        <v>0</v>
      </c>
      <c r="P373" s="49">
        <f t="shared" si="205"/>
        <v>0</v>
      </c>
      <c r="Q373" s="49"/>
      <c r="R373" s="49">
        <f t="shared" si="206"/>
        <v>0</v>
      </c>
      <c r="S373" s="49">
        <f t="shared" si="207"/>
        <v>0</v>
      </c>
      <c r="T373" s="49"/>
      <c r="U373" s="49">
        <f t="shared" si="208"/>
        <v>0</v>
      </c>
      <c r="V373" s="49"/>
      <c r="W373" s="49">
        <f t="shared" si="209"/>
        <v>0</v>
      </c>
      <c r="X373" s="49"/>
      <c r="Y373" s="49">
        <f t="shared" si="210"/>
        <v>0</v>
      </c>
      <c r="Z373" s="49"/>
      <c r="AA373" s="49">
        <f t="shared" si="211"/>
        <v>0</v>
      </c>
      <c r="AB373" s="49">
        <f t="shared" si="212"/>
        <v>0</v>
      </c>
      <c r="AC373" s="27" t="str">
        <f t="shared" si="213"/>
        <v>ok</v>
      </c>
    </row>
    <row r="374" spans="1:29" x14ac:dyDescent="0.2"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49"/>
      <c r="AC374" s="27"/>
    </row>
    <row r="375" spans="1:29" x14ac:dyDescent="0.2">
      <c r="A375" s="14" t="s">
        <v>532</v>
      </c>
      <c r="F375" s="89">
        <f>SUM(F366:F373)</f>
        <v>0</v>
      </c>
      <c r="G375" s="89"/>
      <c r="H375" s="89">
        <f>SUM(H366:H373)</f>
        <v>0</v>
      </c>
      <c r="I375" s="89">
        <f>SUM(I366:I373)</f>
        <v>0</v>
      </c>
      <c r="J375" s="89"/>
      <c r="K375" s="89">
        <f>SUM(K366:K373)</f>
        <v>0</v>
      </c>
      <c r="L375" s="89"/>
      <c r="M375" s="89">
        <f>SUM(M366:M373)</f>
        <v>0</v>
      </c>
      <c r="N375" s="89"/>
      <c r="O375" s="89">
        <f>SUM(O366:O373)</f>
        <v>0</v>
      </c>
      <c r="P375" s="89">
        <f>SUM(P366:P373)</f>
        <v>0</v>
      </c>
      <c r="Q375" s="89"/>
      <c r="R375" s="89">
        <f>SUM(R366:R373)</f>
        <v>0</v>
      </c>
      <c r="S375" s="89">
        <f>SUM(S366:S373)</f>
        <v>0</v>
      </c>
      <c r="T375" s="89"/>
      <c r="U375" s="89">
        <f>SUM(U366:U373)</f>
        <v>0</v>
      </c>
      <c r="V375" s="89"/>
      <c r="W375" s="89">
        <f>SUM(W366:W373)</f>
        <v>0</v>
      </c>
      <c r="X375" s="89"/>
      <c r="Y375" s="89">
        <f>SUM(Y366:Y373)</f>
        <v>0</v>
      </c>
      <c r="Z375" s="89"/>
      <c r="AA375" s="89">
        <f>SUM(AA366:AA373)</f>
        <v>0</v>
      </c>
      <c r="AB375" s="66">
        <f>SUM(H375:AA375)</f>
        <v>0</v>
      </c>
      <c r="AC375" s="27" t="str">
        <f>IF(ABS(AB375-F375)&lt;1,"ok","err")</f>
        <v>ok</v>
      </c>
    </row>
    <row r="376" spans="1:29" x14ac:dyDescent="0.2">
      <c r="Q376" s="14"/>
      <c r="AC376" s="27"/>
    </row>
    <row r="377" spans="1:29" x14ac:dyDescent="0.2">
      <c r="A377" s="13" t="s">
        <v>534</v>
      </c>
      <c r="Q377" s="14"/>
      <c r="AC377" s="27"/>
    </row>
    <row r="378" spans="1:29" x14ac:dyDescent="0.2">
      <c r="A378" s="14">
        <v>580</v>
      </c>
      <c r="B378" s="14" t="s">
        <v>98</v>
      </c>
      <c r="C378" s="14" t="s">
        <v>481</v>
      </c>
      <c r="D378" s="14" t="s">
        <v>16</v>
      </c>
      <c r="F378" s="66">
        <v>74305.740000000005</v>
      </c>
      <c r="H378" s="49">
        <f t="shared" ref="H378:H388" si="214">IF(VLOOKUP($D378,$C$5:$AA$492,6,)=0,0,((VLOOKUP($D378,$C$5:$AA$492,6,)/VLOOKUP($D378,$C$5:$AA$492,4,))*$F378))</f>
        <v>0</v>
      </c>
      <c r="I378" s="49">
        <f t="shared" ref="I378:I388" si="215">IF(VLOOKUP($D378,$C$5:$AA$492,7,)=0,0,((VLOOKUP($D378,$C$5:$AA$492,7,)/VLOOKUP($D378,$C$5:$AA$492,4,))*$F378))</f>
        <v>0</v>
      </c>
      <c r="J378" s="49"/>
      <c r="K378" s="49">
        <f t="shared" ref="K378:K388" si="216">IF(VLOOKUP($D378,$C$5:$AA$492,9,)=0,0,((VLOOKUP($D378,$C$5:$AA$492,9,)/VLOOKUP($D378,$C$5:$AA$492,4,))*$F378))</f>
        <v>0</v>
      </c>
      <c r="L378" s="49"/>
      <c r="M378" s="49">
        <f t="shared" ref="M378:M388" si="217">IF(VLOOKUP($D378,$C$5:$AA$492,11,)=0,0,((VLOOKUP($D378,$C$5:$AA$492,11,)/VLOOKUP($D378,$C$5:$AA$492,4,))*$F378))</f>
        <v>521.33565740737095</v>
      </c>
      <c r="N378" s="49"/>
      <c r="O378" s="49">
        <f t="shared" ref="O378:O388" si="218">IF(VLOOKUP($D378,$C$5:$AA$492,13,)=0,0,((VLOOKUP($D378,$C$5:$AA$492,13,)/VLOOKUP($D378,$C$5:$AA$492,4,))*$F378))</f>
        <v>33981.848638635711</v>
      </c>
      <c r="P378" s="49">
        <f t="shared" ref="P378:P388" si="219">IF(VLOOKUP($D378,$C$5:$AA$492,14,)=0,0,((VLOOKUP($D378,$C$5:$AA$492,14,)/VLOOKUP($D378,$C$5:$AA$492,4,))*$F378))</f>
        <v>22832.896017458716</v>
      </c>
      <c r="Q378" s="49"/>
      <c r="R378" s="49">
        <f t="shared" ref="R378:R388" si="220">IF(VLOOKUP($D378,$C$5:$AA$492,16,)=0,0,((VLOOKUP($D378,$C$5:$AA$492,16,)/VLOOKUP($D378,$C$5:$AA$492,4,))*$F378))</f>
        <v>0</v>
      </c>
      <c r="S378" s="49">
        <f t="shared" ref="S378:S388" si="221">IF(VLOOKUP($D378,$C$5:$AA$492,17,)=0,0,((VLOOKUP($D378,$C$5:$AA$492,17,)/VLOOKUP($D378,$C$5:$AA$492,4,))*$F378))</f>
        <v>9524.2329054371148</v>
      </c>
      <c r="T378" s="49"/>
      <c r="U378" s="49">
        <f t="shared" ref="U378:U388" si="222">IF(VLOOKUP($D378,$C$5:$AA$492,19,)=0,0,((VLOOKUP($D378,$C$5:$AA$492,19,)/VLOOKUP($D378,$C$5:$AA$492,4,))*$F378))</f>
        <v>3701.8482533685547</v>
      </c>
      <c r="V378" s="49"/>
      <c r="W378" s="49">
        <f t="shared" ref="W378:W388" si="223">IF(VLOOKUP($D378,$C$5:$AA$492,21,)=0,0,((VLOOKUP($D378,$C$5:$AA$492,21,)/VLOOKUP($D378,$C$5:$AA$492,4,))*$F378))</f>
        <v>3743.5785276925435</v>
      </c>
      <c r="X378" s="49"/>
      <c r="Y378" s="49">
        <f t="shared" ref="Y378:Y388" si="224">IF(VLOOKUP($D378,$C$5:$AA$492,23,)=0,0,((VLOOKUP($D378,$C$5:$AA$492,23,)/VLOOKUP($D378,$C$5:$AA$492,4,))*$F378))</f>
        <v>0</v>
      </c>
      <c r="Z378" s="49"/>
      <c r="AA378" s="49">
        <f t="shared" ref="AA378:AA388" si="225">IF(VLOOKUP($D378,$C$5:$AA$492,25,)=0,0,((VLOOKUP($D378,$C$5:$AA$492,25,)/VLOOKUP($D378,$C$5:$AA$492,4,))*$F378))</f>
        <v>0</v>
      </c>
      <c r="AB378" s="49">
        <f t="shared" ref="AB378:AB388" si="226">SUM(H378:AA378)</f>
        <v>74305.74000000002</v>
      </c>
      <c r="AC378" s="27" t="str">
        <f t="shared" ref="AC378:AC388" si="227">IF(ABS(AB378-F378)&lt;1,"ok","err")</f>
        <v>ok</v>
      </c>
    </row>
    <row r="379" spans="1:29" x14ac:dyDescent="0.2">
      <c r="A379" s="14">
        <v>581</v>
      </c>
      <c r="B379" s="14" t="s">
        <v>100</v>
      </c>
      <c r="C379" s="14" t="s">
        <v>482</v>
      </c>
      <c r="D379" s="14" t="s">
        <v>23</v>
      </c>
      <c r="F379" s="49">
        <v>0</v>
      </c>
      <c r="H379" s="49">
        <f t="shared" si="214"/>
        <v>0</v>
      </c>
      <c r="I379" s="49">
        <f t="shared" si="215"/>
        <v>0</v>
      </c>
      <c r="J379" s="49"/>
      <c r="K379" s="49">
        <f t="shared" si="216"/>
        <v>0</v>
      </c>
      <c r="L379" s="49"/>
      <c r="M379" s="49">
        <f t="shared" si="217"/>
        <v>0</v>
      </c>
      <c r="N379" s="49"/>
      <c r="O379" s="49">
        <f t="shared" si="218"/>
        <v>0</v>
      </c>
      <c r="P379" s="49">
        <f t="shared" si="219"/>
        <v>0</v>
      </c>
      <c r="Q379" s="49"/>
      <c r="R379" s="49">
        <f t="shared" si="220"/>
        <v>0</v>
      </c>
      <c r="S379" s="49">
        <f t="shared" si="221"/>
        <v>0</v>
      </c>
      <c r="T379" s="49"/>
      <c r="U379" s="49">
        <f t="shared" si="222"/>
        <v>0</v>
      </c>
      <c r="V379" s="49"/>
      <c r="W379" s="49">
        <f t="shared" si="223"/>
        <v>0</v>
      </c>
      <c r="X379" s="49"/>
      <c r="Y379" s="49">
        <f t="shared" si="224"/>
        <v>0</v>
      </c>
      <c r="Z379" s="49"/>
      <c r="AA379" s="49">
        <f t="shared" si="225"/>
        <v>0</v>
      </c>
      <c r="AB379" s="49">
        <f t="shared" si="226"/>
        <v>0</v>
      </c>
      <c r="AC379" s="27" t="str">
        <f t="shared" si="227"/>
        <v>ok</v>
      </c>
    </row>
    <row r="380" spans="1:29" x14ac:dyDescent="0.2">
      <c r="A380" s="14">
        <v>582</v>
      </c>
      <c r="B380" s="14" t="s">
        <v>370</v>
      </c>
      <c r="C380" s="14" t="s">
        <v>483</v>
      </c>
      <c r="D380" s="14" t="s">
        <v>23</v>
      </c>
      <c r="F380" s="49">
        <v>0</v>
      </c>
      <c r="H380" s="49">
        <f t="shared" si="214"/>
        <v>0</v>
      </c>
      <c r="I380" s="49">
        <f t="shared" si="215"/>
        <v>0</v>
      </c>
      <c r="J380" s="49"/>
      <c r="K380" s="49">
        <f t="shared" si="216"/>
        <v>0</v>
      </c>
      <c r="L380" s="49"/>
      <c r="M380" s="49">
        <f t="shared" si="217"/>
        <v>0</v>
      </c>
      <c r="N380" s="49"/>
      <c r="O380" s="49">
        <f t="shared" si="218"/>
        <v>0</v>
      </c>
      <c r="P380" s="49">
        <f t="shared" si="219"/>
        <v>0</v>
      </c>
      <c r="Q380" s="49"/>
      <c r="R380" s="49">
        <f t="shared" si="220"/>
        <v>0</v>
      </c>
      <c r="S380" s="49">
        <f t="shared" si="221"/>
        <v>0</v>
      </c>
      <c r="T380" s="49"/>
      <c r="U380" s="49">
        <f t="shared" si="222"/>
        <v>0</v>
      </c>
      <c r="V380" s="49"/>
      <c r="W380" s="49">
        <f t="shared" si="223"/>
        <v>0</v>
      </c>
      <c r="X380" s="49"/>
      <c r="Y380" s="49">
        <f t="shared" si="224"/>
        <v>0</v>
      </c>
      <c r="Z380" s="49"/>
      <c r="AA380" s="49">
        <f t="shared" si="225"/>
        <v>0</v>
      </c>
      <c r="AB380" s="49">
        <f t="shared" si="226"/>
        <v>0</v>
      </c>
      <c r="AC380" s="27" t="str">
        <f t="shared" si="227"/>
        <v>ok</v>
      </c>
    </row>
    <row r="381" spans="1:29" x14ac:dyDescent="0.2">
      <c r="A381" s="14">
        <v>583</v>
      </c>
      <c r="B381" s="14" t="s">
        <v>102</v>
      </c>
      <c r="C381" s="14" t="s">
        <v>484</v>
      </c>
      <c r="D381" s="14" t="s">
        <v>29</v>
      </c>
      <c r="F381" s="49">
        <v>4786.51</v>
      </c>
      <c r="H381" s="49">
        <f t="shared" si="214"/>
        <v>0</v>
      </c>
      <c r="I381" s="49">
        <f t="shared" si="215"/>
        <v>0</v>
      </c>
      <c r="J381" s="49"/>
      <c r="K381" s="49">
        <f t="shared" si="216"/>
        <v>0</v>
      </c>
      <c r="L381" s="49"/>
      <c r="M381" s="49">
        <f t="shared" si="217"/>
        <v>0</v>
      </c>
      <c r="N381" s="49"/>
      <c r="O381" s="49">
        <f t="shared" si="218"/>
        <v>3194.5957828003893</v>
      </c>
      <c r="P381" s="49">
        <f t="shared" si="219"/>
        <v>1591.9142171996107</v>
      </c>
      <c r="Q381" s="49"/>
      <c r="R381" s="49">
        <f t="shared" si="220"/>
        <v>0</v>
      </c>
      <c r="S381" s="49">
        <f t="shared" si="221"/>
        <v>0</v>
      </c>
      <c r="T381" s="49"/>
      <c r="U381" s="49">
        <f t="shared" si="222"/>
        <v>0</v>
      </c>
      <c r="V381" s="49"/>
      <c r="W381" s="49">
        <f t="shared" si="223"/>
        <v>0</v>
      </c>
      <c r="X381" s="49"/>
      <c r="Y381" s="49">
        <f t="shared" si="224"/>
        <v>0</v>
      </c>
      <c r="Z381" s="49"/>
      <c r="AA381" s="49">
        <f t="shared" si="225"/>
        <v>0</v>
      </c>
      <c r="AB381" s="49">
        <f t="shared" si="226"/>
        <v>4786.51</v>
      </c>
      <c r="AC381" s="27" t="str">
        <f t="shared" si="227"/>
        <v>ok</v>
      </c>
    </row>
    <row r="382" spans="1:29" x14ac:dyDescent="0.2">
      <c r="A382" s="14">
        <v>584</v>
      </c>
      <c r="B382" s="14" t="s">
        <v>104</v>
      </c>
      <c r="C382" s="14" t="s">
        <v>485</v>
      </c>
      <c r="D382" s="14" t="s">
        <v>35</v>
      </c>
      <c r="F382" s="49">
        <v>0</v>
      </c>
      <c r="H382" s="49">
        <f t="shared" si="214"/>
        <v>0</v>
      </c>
      <c r="I382" s="49">
        <f t="shared" si="215"/>
        <v>0</v>
      </c>
      <c r="J382" s="49"/>
      <c r="K382" s="49">
        <f t="shared" si="216"/>
        <v>0</v>
      </c>
      <c r="L382" s="49"/>
      <c r="M382" s="49">
        <f t="shared" si="217"/>
        <v>0</v>
      </c>
      <c r="N382" s="49"/>
      <c r="O382" s="49">
        <f t="shared" si="218"/>
        <v>0</v>
      </c>
      <c r="P382" s="49">
        <f t="shared" si="219"/>
        <v>0</v>
      </c>
      <c r="Q382" s="49"/>
      <c r="R382" s="49">
        <f t="shared" si="220"/>
        <v>0</v>
      </c>
      <c r="S382" s="49">
        <f t="shared" si="221"/>
        <v>0</v>
      </c>
      <c r="T382" s="49"/>
      <c r="U382" s="49">
        <f t="shared" si="222"/>
        <v>0</v>
      </c>
      <c r="V382" s="49"/>
      <c r="W382" s="49">
        <f t="shared" si="223"/>
        <v>0</v>
      </c>
      <c r="X382" s="49"/>
      <c r="Y382" s="49">
        <f t="shared" si="224"/>
        <v>0</v>
      </c>
      <c r="Z382" s="49"/>
      <c r="AA382" s="49">
        <f t="shared" si="225"/>
        <v>0</v>
      </c>
      <c r="AB382" s="49">
        <f t="shared" si="226"/>
        <v>0</v>
      </c>
      <c r="AC382" s="27" t="str">
        <f t="shared" si="227"/>
        <v>ok</v>
      </c>
    </row>
    <row r="383" spans="1:29" x14ac:dyDescent="0.2">
      <c r="A383" s="14">
        <v>585</v>
      </c>
      <c r="B383" s="14" t="s">
        <v>106</v>
      </c>
      <c r="C383" s="14" t="s">
        <v>486</v>
      </c>
      <c r="D383" s="14" t="s">
        <v>46</v>
      </c>
      <c r="F383" s="49">
        <v>1338.97</v>
      </c>
      <c r="H383" s="49">
        <f t="shared" si="214"/>
        <v>0</v>
      </c>
      <c r="I383" s="49">
        <f t="shared" si="215"/>
        <v>0</v>
      </c>
      <c r="J383" s="49"/>
      <c r="K383" s="49">
        <f t="shared" si="216"/>
        <v>0</v>
      </c>
      <c r="L383" s="49"/>
      <c r="M383" s="49">
        <f t="shared" si="217"/>
        <v>0</v>
      </c>
      <c r="N383" s="49"/>
      <c r="O383" s="49">
        <f t="shared" si="218"/>
        <v>0</v>
      </c>
      <c r="P383" s="49">
        <f t="shared" si="219"/>
        <v>0</v>
      </c>
      <c r="Q383" s="49"/>
      <c r="R383" s="49">
        <f t="shared" si="220"/>
        <v>0</v>
      </c>
      <c r="S383" s="49">
        <f t="shared" si="221"/>
        <v>0</v>
      </c>
      <c r="T383" s="49"/>
      <c r="U383" s="49">
        <f t="shared" si="222"/>
        <v>0</v>
      </c>
      <c r="V383" s="49"/>
      <c r="W383" s="49">
        <f t="shared" si="223"/>
        <v>1338.97</v>
      </c>
      <c r="X383" s="49"/>
      <c r="Y383" s="49">
        <f t="shared" si="224"/>
        <v>0</v>
      </c>
      <c r="Z383" s="49"/>
      <c r="AA383" s="49">
        <f t="shared" si="225"/>
        <v>0</v>
      </c>
      <c r="AB383" s="49">
        <f t="shared" si="226"/>
        <v>1338.97</v>
      </c>
      <c r="AC383" s="27" t="str">
        <f t="shared" si="227"/>
        <v>ok</v>
      </c>
    </row>
    <row r="384" spans="1:29" x14ac:dyDescent="0.2">
      <c r="A384" s="14">
        <v>586</v>
      </c>
      <c r="B384" s="14" t="s">
        <v>108</v>
      </c>
      <c r="C384" s="14" t="s">
        <v>487</v>
      </c>
      <c r="D384" s="14" t="s">
        <v>43</v>
      </c>
      <c r="F384" s="49">
        <v>153613</v>
      </c>
      <c r="H384" s="49">
        <f t="shared" si="214"/>
        <v>0</v>
      </c>
      <c r="I384" s="49">
        <f t="shared" si="215"/>
        <v>0</v>
      </c>
      <c r="J384" s="49"/>
      <c r="K384" s="49">
        <f t="shared" si="216"/>
        <v>0</v>
      </c>
      <c r="L384" s="49"/>
      <c r="M384" s="49">
        <f t="shared" si="217"/>
        <v>0</v>
      </c>
      <c r="N384" s="49"/>
      <c r="O384" s="49">
        <f t="shared" si="218"/>
        <v>0</v>
      </c>
      <c r="P384" s="49">
        <f t="shared" si="219"/>
        <v>0</v>
      </c>
      <c r="Q384" s="49"/>
      <c r="R384" s="49">
        <f t="shared" si="220"/>
        <v>0</v>
      </c>
      <c r="S384" s="49">
        <f t="shared" si="221"/>
        <v>0</v>
      </c>
      <c r="T384" s="49"/>
      <c r="U384" s="49">
        <f t="shared" si="222"/>
        <v>153613</v>
      </c>
      <c r="V384" s="49"/>
      <c r="W384" s="49">
        <f t="shared" si="223"/>
        <v>0</v>
      </c>
      <c r="X384" s="49"/>
      <c r="Y384" s="49">
        <f t="shared" si="224"/>
        <v>0</v>
      </c>
      <c r="Z384" s="49"/>
      <c r="AA384" s="49">
        <f t="shared" si="225"/>
        <v>0</v>
      </c>
      <c r="AB384" s="49">
        <f t="shared" si="226"/>
        <v>153613</v>
      </c>
      <c r="AC384" s="27" t="str">
        <f t="shared" si="227"/>
        <v>ok</v>
      </c>
    </row>
    <row r="385" spans="1:29" x14ac:dyDescent="0.2">
      <c r="A385" s="14">
        <v>586</v>
      </c>
      <c r="B385" s="14" t="s">
        <v>449</v>
      </c>
      <c r="C385" s="14" t="s">
        <v>488</v>
      </c>
      <c r="D385" s="14" t="s">
        <v>470</v>
      </c>
      <c r="F385" s="49">
        <v>0</v>
      </c>
      <c r="H385" s="49">
        <f t="shared" si="214"/>
        <v>0</v>
      </c>
      <c r="I385" s="49">
        <f t="shared" si="215"/>
        <v>0</v>
      </c>
      <c r="J385" s="49"/>
      <c r="K385" s="49">
        <f t="shared" si="216"/>
        <v>0</v>
      </c>
      <c r="L385" s="49"/>
      <c r="M385" s="49">
        <f t="shared" si="217"/>
        <v>0</v>
      </c>
      <c r="N385" s="49"/>
      <c r="O385" s="49">
        <f t="shared" si="218"/>
        <v>0</v>
      </c>
      <c r="P385" s="49">
        <f t="shared" si="219"/>
        <v>0</v>
      </c>
      <c r="Q385" s="49"/>
      <c r="R385" s="49">
        <f t="shared" si="220"/>
        <v>0</v>
      </c>
      <c r="S385" s="49">
        <f t="shared" si="221"/>
        <v>0</v>
      </c>
      <c r="T385" s="49"/>
      <c r="U385" s="49">
        <f t="shared" si="222"/>
        <v>0</v>
      </c>
      <c r="V385" s="49"/>
      <c r="W385" s="49">
        <f t="shared" si="223"/>
        <v>0</v>
      </c>
      <c r="X385" s="49"/>
      <c r="Y385" s="49">
        <f t="shared" si="224"/>
        <v>0</v>
      </c>
      <c r="Z385" s="49"/>
      <c r="AA385" s="49">
        <f t="shared" si="225"/>
        <v>0</v>
      </c>
      <c r="AB385" s="49">
        <f t="shared" si="226"/>
        <v>0</v>
      </c>
      <c r="AC385" s="27" t="str">
        <f t="shared" si="227"/>
        <v>ok</v>
      </c>
    </row>
    <row r="386" spans="1:29" x14ac:dyDescent="0.2">
      <c r="A386" s="14">
        <v>587</v>
      </c>
      <c r="B386" s="14" t="s">
        <v>110</v>
      </c>
      <c r="C386" s="14" t="s">
        <v>489</v>
      </c>
      <c r="D386" s="14" t="s">
        <v>40</v>
      </c>
      <c r="F386" s="49">
        <v>0</v>
      </c>
      <c r="H386" s="49">
        <f t="shared" si="214"/>
        <v>0</v>
      </c>
      <c r="I386" s="49">
        <f t="shared" si="215"/>
        <v>0</v>
      </c>
      <c r="J386" s="49"/>
      <c r="K386" s="49">
        <f t="shared" si="216"/>
        <v>0</v>
      </c>
      <c r="L386" s="49"/>
      <c r="M386" s="49">
        <f t="shared" si="217"/>
        <v>0</v>
      </c>
      <c r="N386" s="49"/>
      <c r="O386" s="49">
        <f t="shared" si="218"/>
        <v>0</v>
      </c>
      <c r="P386" s="49">
        <f t="shared" si="219"/>
        <v>0</v>
      </c>
      <c r="Q386" s="49"/>
      <c r="R386" s="49">
        <f t="shared" si="220"/>
        <v>0</v>
      </c>
      <c r="S386" s="49">
        <f t="shared" si="221"/>
        <v>0</v>
      </c>
      <c r="T386" s="49"/>
      <c r="U386" s="49">
        <f t="shared" si="222"/>
        <v>0</v>
      </c>
      <c r="V386" s="49"/>
      <c r="W386" s="49">
        <f t="shared" si="223"/>
        <v>0</v>
      </c>
      <c r="X386" s="49"/>
      <c r="Y386" s="49">
        <f t="shared" si="224"/>
        <v>0</v>
      </c>
      <c r="Z386" s="49"/>
      <c r="AA386" s="49">
        <f t="shared" si="225"/>
        <v>0</v>
      </c>
      <c r="AB386" s="49">
        <f t="shared" si="226"/>
        <v>0</v>
      </c>
      <c r="AC386" s="27" t="str">
        <f t="shared" si="227"/>
        <v>ok</v>
      </c>
    </row>
    <row r="387" spans="1:29" x14ac:dyDescent="0.2">
      <c r="A387" s="14">
        <v>588</v>
      </c>
      <c r="B387" s="14" t="s">
        <v>112</v>
      </c>
      <c r="C387" s="14" t="s">
        <v>490</v>
      </c>
      <c r="D387" s="14" t="s">
        <v>16</v>
      </c>
      <c r="F387" s="49">
        <v>67965</v>
      </c>
      <c r="H387" s="49">
        <f t="shared" si="214"/>
        <v>0</v>
      </c>
      <c r="I387" s="49">
        <f t="shared" si="215"/>
        <v>0</v>
      </c>
      <c r="J387" s="49"/>
      <c r="K387" s="49">
        <f t="shared" si="216"/>
        <v>0</v>
      </c>
      <c r="L387" s="49"/>
      <c r="M387" s="49">
        <f t="shared" si="217"/>
        <v>476.84846360041581</v>
      </c>
      <c r="N387" s="49"/>
      <c r="O387" s="49">
        <f t="shared" si="218"/>
        <v>31082.071758182825</v>
      </c>
      <c r="P387" s="49">
        <f t="shared" si="219"/>
        <v>20884.493954660589</v>
      </c>
      <c r="Q387" s="49"/>
      <c r="R387" s="49">
        <f t="shared" si="220"/>
        <v>0</v>
      </c>
      <c r="S387" s="49">
        <f t="shared" si="221"/>
        <v>8711.5004765181457</v>
      </c>
      <c r="T387" s="49"/>
      <c r="U387" s="49">
        <f t="shared" si="222"/>
        <v>3385.9580234339073</v>
      </c>
      <c r="V387" s="49"/>
      <c r="W387" s="49">
        <f t="shared" si="223"/>
        <v>3424.1273236041216</v>
      </c>
      <c r="X387" s="49"/>
      <c r="Y387" s="49">
        <f t="shared" si="224"/>
        <v>0</v>
      </c>
      <c r="Z387" s="49"/>
      <c r="AA387" s="49">
        <f t="shared" si="225"/>
        <v>0</v>
      </c>
      <c r="AB387" s="49">
        <f t="shared" si="226"/>
        <v>67965</v>
      </c>
      <c r="AC387" s="27" t="str">
        <f t="shared" si="227"/>
        <v>ok</v>
      </c>
    </row>
    <row r="388" spans="1:29" x14ac:dyDescent="0.2">
      <c r="A388" s="14">
        <v>589</v>
      </c>
      <c r="B388" s="14" t="s">
        <v>114</v>
      </c>
      <c r="C388" s="14" t="s">
        <v>491</v>
      </c>
      <c r="D388" s="14" t="s">
        <v>16</v>
      </c>
      <c r="F388" s="49">
        <v>0</v>
      </c>
      <c r="H388" s="49">
        <f t="shared" si="214"/>
        <v>0</v>
      </c>
      <c r="I388" s="49">
        <f t="shared" si="215"/>
        <v>0</v>
      </c>
      <c r="J388" s="49"/>
      <c r="K388" s="49">
        <f t="shared" si="216"/>
        <v>0</v>
      </c>
      <c r="L388" s="49"/>
      <c r="M388" s="49">
        <f t="shared" si="217"/>
        <v>0</v>
      </c>
      <c r="N388" s="49"/>
      <c r="O388" s="49">
        <f t="shared" si="218"/>
        <v>0</v>
      </c>
      <c r="P388" s="49">
        <f t="shared" si="219"/>
        <v>0</v>
      </c>
      <c r="Q388" s="49"/>
      <c r="R388" s="49">
        <f t="shared" si="220"/>
        <v>0</v>
      </c>
      <c r="S388" s="49">
        <f t="shared" si="221"/>
        <v>0</v>
      </c>
      <c r="T388" s="49"/>
      <c r="U388" s="49">
        <f t="shared" si="222"/>
        <v>0</v>
      </c>
      <c r="V388" s="49"/>
      <c r="W388" s="49">
        <f t="shared" si="223"/>
        <v>0</v>
      </c>
      <c r="X388" s="49"/>
      <c r="Y388" s="49">
        <f t="shared" si="224"/>
        <v>0</v>
      </c>
      <c r="Z388" s="49"/>
      <c r="AA388" s="49">
        <f t="shared" si="225"/>
        <v>0</v>
      </c>
      <c r="AB388" s="49">
        <f t="shared" si="226"/>
        <v>0</v>
      </c>
      <c r="AC388" s="27" t="str">
        <f t="shared" si="227"/>
        <v>ok</v>
      </c>
    </row>
    <row r="389" spans="1:29" x14ac:dyDescent="0.2">
      <c r="F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C389" s="27"/>
    </row>
    <row r="390" spans="1:29" x14ac:dyDescent="0.2">
      <c r="A390" s="14" t="s">
        <v>535</v>
      </c>
      <c r="C390" s="14" t="s">
        <v>492</v>
      </c>
      <c r="F390" s="66">
        <f>SUM(F378:F389)</f>
        <v>302009.21999999997</v>
      </c>
      <c r="G390" s="66"/>
      <c r="H390" s="66">
        <f>SUM(H378:H389)</f>
        <v>0</v>
      </c>
      <c r="I390" s="66">
        <f>SUM(I378:I389)</f>
        <v>0</v>
      </c>
      <c r="J390" s="66"/>
      <c r="K390" s="66">
        <f>SUM(K378:K389)</f>
        <v>0</v>
      </c>
      <c r="L390" s="66"/>
      <c r="M390" s="66">
        <f>SUM(M378:M389)</f>
        <v>998.18412100778676</v>
      </c>
      <c r="N390" s="66"/>
      <c r="O390" s="66">
        <f>SUM(O378:O389)</f>
        <v>68258.51617961892</v>
      </c>
      <c r="P390" s="66">
        <f>SUM(P378:P389)</f>
        <v>45309.304189318915</v>
      </c>
      <c r="Q390" s="66"/>
      <c r="R390" s="66">
        <f>SUM(R378:R389)</f>
        <v>0</v>
      </c>
      <c r="S390" s="66">
        <f>SUM(S378:S389)</f>
        <v>18235.733381955259</v>
      </c>
      <c r="T390" s="66"/>
      <c r="U390" s="66">
        <f>SUM(U378:U389)</f>
        <v>160700.80627680244</v>
      </c>
      <c r="V390" s="66"/>
      <c r="W390" s="66">
        <f>SUM(W378:W389)</f>
        <v>8506.6758512966662</v>
      </c>
      <c r="X390" s="66"/>
      <c r="Y390" s="66">
        <f>SUM(Y378:Y389)</f>
        <v>0</v>
      </c>
      <c r="Z390" s="66"/>
      <c r="AA390" s="66">
        <f>SUM(AA378:AA389)</f>
        <v>0</v>
      </c>
      <c r="AB390" s="49">
        <f>SUM(H390:AA390)</f>
        <v>302009.22000000003</v>
      </c>
      <c r="AC390" s="27" t="str">
        <f>IF(ABS(AB390-F390)&lt;1,"ok","err")</f>
        <v>ok</v>
      </c>
    </row>
    <row r="391" spans="1:29" x14ac:dyDescent="0.2"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49"/>
      <c r="AC391" s="27"/>
    </row>
    <row r="392" spans="1:29" x14ac:dyDescent="0.2"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49"/>
      <c r="AC392" s="27"/>
    </row>
    <row r="393" spans="1:29" x14ac:dyDescent="0.2">
      <c r="A393" s="13"/>
      <c r="F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C393" s="27"/>
    </row>
    <row r="394" spans="1:29" x14ac:dyDescent="0.2">
      <c r="A394" s="25" t="s">
        <v>472</v>
      </c>
      <c r="F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C394" s="27"/>
    </row>
    <row r="395" spans="1:29" x14ac:dyDescent="0.2">
      <c r="F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C395" s="27"/>
    </row>
    <row r="396" spans="1:29" x14ac:dyDescent="0.2">
      <c r="A396" s="13" t="s">
        <v>536</v>
      </c>
      <c r="F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C396" s="27"/>
    </row>
    <row r="397" spans="1:29" x14ac:dyDescent="0.2">
      <c r="A397" s="14">
        <v>590</v>
      </c>
      <c r="B397" s="14" t="s">
        <v>119</v>
      </c>
      <c r="C397" s="14" t="s">
        <v>493</v>
      </c>
      <c r="D397" s="14" t="s">
        <v>16</v>
      </c>
      <c r="F397" s="49">
        <f>26099+264032</f>
        <v>290131</v>
      </c>
      <c r="H397" s="49">
        <f t="shared" ref="H397:H404" si="228">IF(VLOOKUP($D397,$C$5:$AA$492,6,)=0,0,((VLOOKUP($D397,$C$5:$AA$492,6,)/VLOOKUP($D397,$C$5:$AA$492,4,))*$F397))</f>
        <v>0</v>
      </c>
      <c r="I397" s="49">
        <f t="shared" ref="I397:I404" si="229">IF(VLOOKUP($D397,$C$5:$AA$492,7,)=0,0,((VLOOKUP($D397,$C$5:$AA$492,7,)/VLOOKUP($D397,$C$5:$AA$492,4,))*$F397))</f>
        <v>0</v>
      </c>
      <c r="J397" s="49"/>
      <c r="K397" s="49">
        <f t="shared" ref="K397:K404" si="230">IF(VLOOKUP($D397,$C$5:$AA$492,9,)=0,0,((VLOOKUP($D397,$C$5:$AA$492,9,)/VLOOKUP($D397,$C$5:$AA$492,4,))*$F397))</f>
        <v>0</v>
      </c>
      <c r="L397" s="49"/>
      <c r="M397" s="49">
        <f t="shared" ref="M397:M404" si="231">IF(VLOOKUP($D397,$C$5:$AA$492,11,)=0,0,((VLOOKUP($D397,$C$5:$AA$492,11,)/VLOOKUP($D397,$C$5:$AA$492,4,))*$F397))</f>
        <v>2035.58480972342</v>
      </c>
      <c r="N397" s="49"/>
      <c r="O397" s="49">
        <f t="shared" ref="O397:O404" si="232">IF(VLOOKUP($D397,$C$5:$AA$492,13,)=0,0,((VLOOKUP($D397,$C$5:$AA$492,13,)/VLOOKUP($D397,$C$5:$AA$492,4,))*$F397))</f>
        <v>132684.0662292848</v>
      </c>
      <c r="P397" s="49">
        <f t="shared" ref="P397:P404" si="233">IF(VLOOKUP($D397,$C$5:$AA$492,14,)=0,0,((VLOOKUP($D397,$C$5:$AA$492,14,)/VLOOKUP($D397,$C$5:$AA$492,4,))*$F397))</f>
        <v>89152.344818062687</v>
      </c>
      <c r="Q397" s="49"/>
      <c r="R397" s="49">
        <f t="shared" ref="R397:R404" si="234">IF(VLOOKUP($D397,$C$5:$AA$492,16,)=0,0,((VLOOKUP($D397,$C$5:$AA$492,16,)/VLOOKUP($D397,$C$5:$AA$492,4,))*$F397))</f>
        <v>0</v>
      </c>
      <c r="S397" s="49">
        <f t="shared" ref="S397:S404" si="235">IF(VLOOKUP($D397,$C$5:$AA$492,17,)=0,0,((VLOOKUP($D397,$C$5:$AA$492,17,)/VLOOKUP($D397,$C$5:$AA$492,4,))*$F397))</f>
        <v>37187.910612119267</v>
      </c>
      <c r="T397" s="49"/>
      <c r="U397" s="49">
        <f t="shared" ref="U397:U404" si="236">IF(VLOOKUP($D397,$C$5:$AA$492,19,)=0,0,((VLOOKUP($D397,$C$5:$AA$492,19,)/VLOOKUP($D397,$C$5:$AA$492,4,))*$F397))</f>
        <v>14454.077647272903</v>
      </c>
      <c r="V397" s="49"/>
      <c r="W397" s="49">
        <f t="shared" ref="W397:W404" si="237">IF(VLOOKUP($D397,$C$5:$AA$492,21,)=0,0,((VLOOKUP($D397,$C$5:$AA$492,21,)/VLOOKUP($D397,$C$5:$AA$492,4,))*$F397))</f>
        <v>14617.015883536929</v>
      </c>
      <c r="X397" s="49"/>
      <c r="Y397" s="49">
        <f t="shared" ref="Y397:Y404" si="238">IF(VLOOKUP($D397,$C$5:$AA$492,23,)=0,0,((VLOOKUP($D397,$C$5:$AA$492,23,)/VLOOKUP($D397,$C$5:$AA$492,4,))*$F397))</f>
        <v>0</v>
      </c>
      <c r="Z397" s="49"/>
      <c r="AA397" s="49">
        <f t="shared" ref="AA397:AA404" si="239">IF(VLOOKUP($D397,$C$5:$AA$492,25,)=0,0,((VLOOKUP($D397,$C$5:$AA$492,25,)/VLOOKUP($D397,$C$5:$AA$492,4,))*$F397))</f>
        <v>0</v>
      </c>
      <c r="AB397" s="49">
        <f t="shared" ref="AB397:AB404" si="240">SUM(H397:AA397)</f>
        <v>290131</v>
      </c>
      <c r="AC397" s="27" t="str">
        <f t="shared" ref="AC397:AC404" si="241">IF(ABS(AB397-F397)&lt;1,"ok","err")</f>
        <v>ok</v>
      </c>
    </row>
    <row r="398" spans="1:29" x14ac:dyDescent="0.2">
      <c r="A398" s="14">
        <v>592</v>
      </c>
      <c r="B398" s="14" t="s">
        <v>121</v>
      </c>
      <c r="C398" s="14" t="s">
        <v>494</v>
      </c>
      <c r="D398" s="14" t="s">
        <v>23</v>
      </c>
      <c r="F398" s="49">
        <v>0</v>
      </c>
      <c r="H398" s="49">
        <f t="shared" si="228"/>
        <v>0</v>
      </c>
      <c r="I398" s="49">
        <f t="shared" si="229"/>
        <v>0</v>
      </c>
      <c r="J398" s="49"/>
      <c r="K398" s="49">
        <f t="shared" si="230"/>
        <v>0</v>
      </c>
      <c r="L398" s="49"/>
      <c r="M398" s="49">
        <f t="shared" si="231"/>
        <v>0</v>
      </c>
      <c r="N398" s="49"/>
      <c r="O398" s="49">
        <f t="shared" si="232"/>
        <v>0</v>
      </c>
      <c r="P398" s="49">
        <f t="shared" si="233"/>
        <v>0</v>
      </c>
      <c r="Q398" s="49"/>
      <c r="R398" s="49">
        <f t="shared" si="234"/>
        <v>0</v>
      </c>
      <c r="S398" s="49">
        <f t="shared" si="235"/>
        <v>0</v>
      </c>
      <c r="T398" s="49"/>
      <c r="U398" s="49">
        <f t="shared" si="236"/>
        <v>0</v>
      </c>
      <c r="V398" s="49"/>
      <c r="W398" s="49">
        <f t="shared" si="237"/>
        <v>0</v>
      </c>
      <c r="X398" s="49"/>
      <c r="Y398" s="49">
        <f t="shared" si="238"/>
        <v>0</v>
      </c>
      <c r="Z398" s="49"/>
      <c r="AA398" s="49">
        <f t="shared" si="239"/>
        <v>0</v>
      </c>
      <c r="AB398" s="49">
        <f t="shared" si="240"/>
        <v>0</v>
      </c>
      <c r="AC398" s="27" t="str">
        <f t="shared" si="241"/>
        <v>ok</v>
      </c>
    </row>
    <row r="399" spans="1:29" x14ac:dyDescent="0.2">
      <c r="A399" s="14">
        <v>593</v>
      </c>
      <c r="B399" s="14" t="s">
        <v>123</v>
      </c>
      <c r="C399" s="14" t="s">
        <v>495</v>
      </c>
      <c r="D399" s="14" t="s">
        <v>29</v>
      </c>
      <c r="F399" s="49">
        <f>679572.65+131779.74+579859.42</f>
        <v>1391211.81</v>
      </c>
      <c r="H399" s="49">
        <f t="shared" si="228"/>
        <v>0</v>
      </c>
      <c r="I399" s="49">
        <f t="shared" si="229"/>
        <v>0</v>
      </c>
      <c r="J399" s="49"/>
      <c r="K399" s="49">
        <f t="shared" si="230"/>
        <v>0</v>
      </c>
      <c r="L399" s="49"/>
      <c r="M399" s="49">
        <f t="shared" si="231"/>
        <v>0</v>
      </c>
      <c r="N399" s="49"/>
      <c r="O399" s="49">
        <f t="shared" si="232"/>
        <v>928517.72611111146</v>
      </c>
      <c r="P399" s="49">
        <f t="shared" si="233"/>
        <v>462694.08388888848</v>
      </c>
      <c r="Q399" s="49"/>
      <c r="R399" s="49">
        <f t="shared" si="234"/>
        <v>0</v>
      </c>
      <c r="S399" s="49">
        <f t="shared" si="235"/>
        <v>0</v>
      </c>
      <c r="T399" s="49"/>
      <c r="U399" s="49">
        <f t="shared" si="236"/>
        <v>0</v>
      </c>
      <c r="V399" s="49"/>
      <c r="W399" s="49">
        <f t="shared" si="237"/>
        <v>0</v>
      </c>
      <c r="X399" s="49"/>
      <c r="Y399" s="49">
        <f t="shared" si="238"/>
        <v>0</v>
      </c>
      <c r="Z399" s="49"/>
      <c r="AA399" s="49">
        <f t="shared" si="239"/>
        <v>0</v>
      </c>
      <c r="AB399" s="49">
        <f t="shared" si="240"/>
        <v>1391211.81</v>
      </c>
      <c r="AC399" s="27" t="str">
        <f t="shared" si="241"/>
        <v>ok</v>
      </c>
    </row>
    <row r="400" spans="1:29" x14ac:dyDescent="0.2">
      <c r="A400" s="14">
        <v>594</v>
      </c>
      <c r="B400" s="14" t="s">
        <v>125</v>
      </c>
      <c r="C400" s="14" t="s">
        <v>496</v>
      </c>
      <c r="D400" s="14" t="s">
        <v>35</v>
      </c>
      <c r="F400" s="49">
        <f>120104.51+15841.1</f>
        <v>135945.60999999999</v>
      </c>
      <c r="H400" s="49">
        <f t="shared" si="228"/>
        <v>0</v>
      </c>
      <c r="I400" s="49">
        <f t="shared" si="229"/>
        <v>0</v>
      </c>
      <c r="J400" s="49"/>
      <c r="K400" s="49">
        <f t="shared" si="230"/>
        <v>0</v>
      </c>
      <c r="L400" s="49"/>
      <c r="M400" s="49">
        <f t="shared" si="231"/>
        <v>0</v>
      </c>
      <c r="N400" s="49"/>
      <c r="O400" s="49">
        <f t="shared" si="232"/>
        <v>66336.172235648832</v>
      </c>
      <c r="P400" s="49">
        <f t="shared" si="233"/>
        <v>69609.437764351154</v>
      </c>
      <c r="Q400" s="49"/>
      <c r="R400" s="49">
        <f t="shared" si="234"/>
        <v>0</v>
      </c>
      <c r="S400" s="49">
        <f t="shared" si="235"/>
        <v>0</v>
      </c>
      <c r="T400" s="49"/>
      <c r="U400" s="49">
        <f t="shared" si="236"/>
        <v>0</v>
      </c>
      <c r="V400" s="49"/>
      <c r="W400" s="49">
        <f t="shared" si="237"/>
        <v>0</v>
      </c>
      <c r="X400" s="49"/>
      <c r="Y400" s="49">
        <f t="shared" si="238"/>
        <v>0</v>
      </c>
      <c r="Z400" s="49"/>
      <c r="AA400" s="49">
        <f t="shared" si="239"/>
        <v>0</v>
      </c>
      <c r="AB400" s="49">
        <f t="shared" si="240"/>
        <v>135945.60999999999</v>
      </c>
      <c r="AC400" s="27" t="str">
        <f t="shared" si="241"/>
        <v>ok</v>
      </c>
    </row>
    <row r="401" spans="1:29" x14ac:dyDescent="0.2">
      <c r="A401" s="14">
        <v>595</v>
      </c>
      <c r="B401" s="14" t="s">
        <v>127</v>
      </c>
      <c r="C401" s="14" t="s">
        <v>497</v>
      </c>
      <c r="D401" s="14" t="s">
        <v>37</v>
      </c>
      <c r="F401" s="49">
        <v>296.36</v>
      </c>
      <c r="H401" s="49">
        <f t="shared" si="228"/>
        <v>0</v>
      </c>
      <c r="I401" s="49">
        <f t="shared" si="229"/>
        <v>0</v>
      </c>
      <c r="J401" s="49"/>
      <c r="K401" s="49">
        <f t="shared" si="230"/>
        <v>0</v>
      </c>
      <c r="L401" s="49"/>
      <c r="M401" s="49">
        <f t="shared" si="231"/>
        <v>0</v>
      </c>
      <c r="N401" s="49"/>
      <c r="O401" s="49">
        <f t="shared" si="232"/>
        <v>129.22379131503513</v>
      </c>
      <c r="P401" s="49">
        <f t="shared" si="233"/>
        <v>167.13620868496488</v>
      </c>
      <c r="Q401" s="49"/>
      <c r="R401" s="49">
        <f t="shared" si="234"/>
        <v>0</v>
      </c>
      <c r="S401" s="49">
        <f t="shared" si="235"/>
        <v>0</v>
      </c>
      <c r="T401" s="49"/>
      <c r="U401" s="49">
        <f t="shared" si="236"/>
        <v>0</v>
      </c>
      <c r="V401" s="49"/>
      <c r="W401" s="49">
        <f t="shared" si="237"/>
        <v>0</v>
      </c>
      <c r="X401" s="49"/>
      <c r="Y401" s="49">
        <f t="shared" si="238"/>
        <v>0</v>
      </c>
      <c r="Z401" s="49"/>
      <c r="AA401" s="49">
        <f t="shared" si="239"/>
        <v>0</v>
      </c>
      <c r="AB401" s="49">
        <f t="shared" si="240"/>
        <v>296.36</v>
      </c>
      <c r="AC401" s="27" t="str">
        <f t="shared" si="241"/>
        <v>ok</v>
      </c>
    </row>
    <row r="402" spans="1:29" x14ac:dyDescent="0.2">
      <c r="A402" s="14">
        <v>596</v>
      </c>
      <c r="B402" s="14" t="s">
        <v>378</v>
      </c>
      <c r="C402" s="14" t="s">
        <v>498</v>
      </c>
      <c r="D402" s="14" t="s">
        <v>48</v>
      </c>
      <c r="F402" s="49">
        <v>18703.71</v>
      </c>
      <c r="H402" s="49">
        <f t="shared" si="228"/>
        <v>0</v>
      </c>
      <c r="I402" s="49">
        <f t="shared" si="229"/>
        <v>0</v>
      </c>
      <c r="J402" s="49"/>
      <c r="K402" s="49">
        <f t="shared" si="230"/>
        <v>0</v>
      </c>
      <c r="L402" s="49"/>
      <c r="M402" s="49">
        <f t="shared" si="231"/>
        <v>0</v>
      </c>
      <c r="N402" s="49"/>
      <c r="O402" s="49">
        <f t="shared" si="232"/>
        <v>0</v>
      </c>
      <c r="P402" s="49">
        <f t="shared" si="233"/>
        <v>0</v>
      </c>
      <c r="Q402" s="49"/>
      <c r="R402" s="49">
        <f t="shared" si="234"/>
        <v>0</v>
      </c>
      <c r="S402" s="49">
        <f t="shared" si="235"/>
        <v>0</v>
      </c>
      <c r="T402" s="49"/>
      <c r="U402" s="49">
        <f t="shared" si="236"/>
        <v>0</v>
      </c>
      <c r="V402" s="49"/>
      <c r="W402" s="49">
        <f t="shared" si="237"/>
        <v>18703.71</v>
      </c>
      <c r="X402" s="49"/>
      <c r="Y402" s="49">
        <f t="shared" si="238"/>
        <v>0</v>
      </c>
      <c r="Z402" s="49"/>
      <c r="AA402" s="49">
        <f t="shared" si="239"/>
        <v>0</v>
      </c>
      <c r="AB402" s="49">
        <f t="shared" si="240"/>
        <v>18703.71</v>
      </c>
      <c r="AC402" s="27" t="str">
        <f t="shared" si="241"/>
        <v>ok</v>
      </c>
    </row>
    <row r="403" spans="1:29" x14ac:dyDescent="0.2">
      <c r="A403" s="14">
        <v>597</v>
      </c>
      <c r="B403" s="14" t="s">
        <v>129</v>
      </c>
      <c r="C403" s="14" t="s">
        <v>499</v>
      </c>
      <c r="D403" s="14" t="s">
        <v>43</v>
      </c>
      <c r="F403" s="49">
        <v>40451.08</v>
      </c>
      <c r="H403" s="49">
        <f t="shared" si="228"/>
        <v>0</v>
      </c>
      <c r="I403" s="49">
        <f t="shared" si="229"/>
        <v>0</v>
      </c>
      <c r="J403" s="49"/>
      <c r="K403" s="49">
        <f t="shared" si="230"/>
        <v>0</v>
      </c>
      <c r="L403" s="49"/>
      <c r="M403" s="49">
        <f t="shared" si="231"/>
        <v>0</v>
      </c>
      <c r="N403" s="49"/>
      <c r="O403" s="49">
        <f t="shared" si="232"/>
        <v>0</v>
      </c>
      <c r="P403" s="49">
        <f t="shared" si="233"/>
        <v>0</v>
      </c>
      <c r="Q403" s="49"/>
      <c r="R403" s="49">
        <f t="shared" si="234"/>
        <v>0</v>
      </c>
      <c r="S403" s="49">
        <f t="shared" si="235"/>
        <v>0</v>
      </c>
      <c r="T403" s="49"/>
      <c r="U403" s="49">
        <f t="shared" si="236"/>
        <v>40451.08</v>
      </c>
      <c r="V403" s="49"/>
      <c r="W403" s="49">
        <f t="shared" si="237"/>
        <v>0</v>
      </c>
      <c r="X403" s="49"/>
      <c r="Y403" s="49">
        <f t="shared" si="238"/>
        <v>0</v>
      </c>
      <c r="Z403" s="49"/>
      <c r="AA403" s="49">
        <f t="shared" si="239"/>
        <v>0</v>
      </c>
      <c r="AB403" s="49">
        <f t="shared" si="240"/>
        <v>40451.08</v>
      </c>
      <c r="AC403" s="27" t="str">
        <f t="shared" si="241"/>
        <v>ok</v>
      </c>
    </row>
    <row r="404" spans="1:29" x14ac:dyDescent="0.2">
      <c r="A404" s="14">
        <v>598</v>
      </c>
      <c r="B404" s="14" t="s">
        <v>382</v>
      </c>
      <c r="C404" s="14" t="s">
        <v>500</v>
      </c>
      <c r="D404" s="14" t="s">
        <v>16</v>
      </c>
      <c r="F404" s="49">
        <v>20414.53</v>
      </c>
      <c r="H404" s="49">
        <f t="shared" si="228"/>
        <v>0</v>
      </c>
      <c r="I404" s="49">
        <f t="shared" si="229"/>
        <v>0</v>
      </c>
      <c r="J404" s="49"/>
      <c r="K404" s="49">
        <f t="shared" si="230"/>
        <v>0</v>
      </c>
      <c r="L404" s="49"/>
      <c r="M404" s="49">
        <f t="shared" si="231"/>
        <v>143.23015177848299</v>
      </c>
      <c r="N404" s="49"/>
      <c r="O404" s="49">
        <f t="shared" si="232"/>
        <v>9336.0683641517844</v>
      </c>
      <c r="P404" s="49">
        <f t="shared" si="233"/>
        <v>6273.0394816778808</v>
      </c>
      <c r="Q404" s="49"/>
      <c r="R404" s="49">
        <f t="shared" si="234"/>
        <v>0</v>
      </c>
      <c r="S404" s="49">
        <f t="shared" si="235"/>
        <v>2616.6583950988593</v>
      </c>
      <c r="T404" s="49"/>
      <c r="U404" s="49">
        <f t="shared" si="236"/>
        <v>1017.0343801682071</v>
      </c>
      <c r="V404" s="49"/>
      <c r="W404" s="49">
        <f t="shared" si="237"/>
        <v>1028.4992271247854</v>
      </c>
      <c r="X404" s="49"/>
      <c r="Y404" s="49">
        <f t="shared" si="238"/>
        <v>0</v>
      </c>
      <c r="Z404" s="49"/>
      <c r="AA404" s="49">
        <f t="shared" si="239"/>
        <v>0</v>
      </c>
      <c r="AB404" s="49">
        <f t="shared" si="240"/>
        <v>20414.530000000002</v>
      </c>
      <c r="AC404" s="27" t="str">
        <f t="shared" si="241"/>
        <v>ok</v>
      </c>
    </row>
    <row r="405" spans="1:29" x14ac:dyDescent="0.2">
      <c r="F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27"/>
    </row>
    <row r="406" spans="1:29" x14ac:dyDescent="0.2">
      <c r="A406" s="14" t="s">
        <v>537</v>
      </c>
      <c r="C406" s="14" t="s">
        <v>501</v>
      </c>
      <c r="F406" s="66">
        <f>SUM(F397:F405)</f>
        <v>1897154.1</v>
      </c>
      <c r="G406" s="66"/>
      <c r="H406" s="66">
        <f>SUM(H397:H405)</f>
        <v>0</v>
      </c>
      <c r="I406" s="66">
        <f>SUM(I397:I405)</f>
        <v>0</v>
      </c>
      <c r="J406" s="66"/>
      <c r="K406" s="66">
        <f>SUM(K397:K405)</f>
        <v>0</v>
      </c>
      <c r="L406" s="66"/>
      <c r="M406" s="66">
        <f>SUM(M397:M405)</f>
        <v>2178.8149615019029</v>
      </c>
      <c r="N406" s="66"/>
      <c r="O406" s="66">
        <f>SUM(O397:O405)</f>
        <v>1137003.2567315118</v>
      </c>
      <c r="P406" s="66">
        <f>SUM(P397:P405)</f>
        <v>627896.04216166527</v>
      </c>
      <c r="Q406" s="66"/>
      <c r="R406" s="66">
        <f>SUM(R397:R405)</f>
        <v>0</v>
      </c>
      <c r="S406" s="66">
        <f>SUM(S397:S405)</f>
        <v>39804.569007218124</v>
      </c>
      <c r="T406" s="66"/>
      <c r="U406" s="66">
        <f>SUM(U397:U405)</f>
        <v>55922.192027441117</v>
      </c>
      <c r="V406" s="66"/>
      <c r="W406" s="66">
        <f>SUM(W397:W405)</f>
        <v>34349.225110661711</v>
      </c>
      <c r="X406" s="66"/>
      <c r="Y406" s="66">
        <f>SUM(Y397:Y405)</f>
        <v>0</v>
      </c>
      <c r="Z406" s="66"/>
      <c r="AA406" s="66">
        <f>SUM(AA397:AA405)</f>
        <v>0</v>
      </c>
      <c r="AB406" s="49">
        <f>SUM(H406:AA406)</f>
        <v>1897154.0999999999</v>
      </c>
      <c r="AC406" s="27" t="str">
        <f>IF(ABS(AB406-F406)&lt;1,"ok","err")</f>
        <v>ok</v>
      </c>
    </row>
    <row r="407" spans="1:29" x14ac:dyDescent="0.2">
      <c r="F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C407" s="27"/>
    </row>
    <row r="408" spans="1:29" x14ac:dyDescent="0.2">
      <c r="A408" s="14" t="s">
        <v>538</v>
      </c>
      <c r="F408" s="49">
        <f>F390+F406</f>
        <v>2199163.3200000003</v>
      </c>
      <c r="G408" s="49"/>
      <c r="H408" s="49">
        <f>H390+H406</f>
        <v>0</v>
      </c>
      <c r="I408" s="49">
        <f>I390+I406</f>
        <v>0</v>
      </c>
      <c r="J408" s="49"/>
      <c r="K408" s="49">
        <f>K390+K406</f>
        <v>0</v>
      </c>
      <c r="L408" s="49"/>
      <c r="M408" s="49">
        <f>M390+M406</f>
        <v>3176.9990825096897</v>
      </c>
      <c r="N408" s="49"/>
      <c r="O408" s="49">
        <f>O390+O406</f>
        <v>1205261.7729111307</v>
      </c>
      <c r="P408" s="49">
        <f>P390+P406</f>
        <v>673205.34635098418</v>
      </c>
      <c r="Q408" s="49"/>
      <c r="R408" s="49">
        <f>R390+R406</f>
        <v>0</v>
      </c>
      <c r="S408" s="49">
        <f>S390+S406</f>
        <v>58040.302389173383</v>
      </c>
      <c r="T408" s="49"/>
      <c r="U408" s="49">
        <f>U390+U406</f>
        <v>216622.99830424355</v>
      </c>
      <c r="V408" s="49"/>
      <c r="W408" s="49">
        <f>W390+W406</f>
        <v>42855.900961958381</v>
      </c>
      <c r="X408" s="49"/>
      <c r="Y408" s="49">
        <f>Y390+Y406</f>
        <v>0</v>
      </c>
      <c r="Z408" s="49"/>
      <c r="AA408" s="49">
        <f>AA390+AA406</f>
        <v>0</v>
      </c>
      <c r="AB408" s="49">
        <f>SUM(H408:AA408)</f>
        <v>2199163.3199999998</v>
      </c>
      <c r="AC408" s="27" t="str">
        <f>IF(ABS(AB408-F408)&lt;1,"ok","err")</f>
        <v>ok</v>
      </c>
    </row>
    <row r="409" spans="1:29" x14ac:dyDescent="0.2"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C409" s="27"/>
    </row>
    <row r="410" spans="1:29" x14ac:dyDescent="0.2">
      <c r="A410" s="14" t="s">
        <v>539</v>
      </c>
      <c r="F410" s="49">
        <f>F408+F375</f>
        <v>2199163.3200000003</v>
      </c>
      <c r="G410" s="49"/>
      <c r="H410" s="49">
        <f>H408+H375</f>
        <v>0</v>
      </c>
      <c r="I410" s="49">
        <f>I408+I375</f>
        <v>0</v>
      </c>
      <c r="J410" s="49"/>
      <c r="K410" s="49">
        <f>K408+K375</f>
        <v>0</v>
      </c>
      <c r="L410" s="49"/>
      <c r="M410" s="49">
        <f>M408+M375</f>
        <v>3176.9990825096897</v>
      </c>
      <c r="N410" s="49"/>
      <c r="O410" s="49">
        <f>O408+O375</f>
        <v>1205261.7729111307</v>
      </c>
      <c r="P410" s="49">
        <f>P408+P375</f>
        <v>673205.34635098418</v>
      </c>
      <c r="Q410" s="49"/>
      <c r="R410" s="49">
        <f>R408+R375</f>
        <v>0</v>
      </c>
      <c r="S410" s="49">
        <f>S408+S375</f>
        <v>58040.302389173383</v>
      </c>
      <c r="T410" s="49"/>
      <c r="U410" s="49">
        <f>U408+U375</f>
        <v>216622.99830424355</v>
      </c>
      <c r="V410" s="49"/>
      <c r="W410" s="49">
        <f>W408+W375</f>
        <v>42855.900961958381</v>
      </c>
      <c r="X410" s="49"/>
      <c r="Y410" s="49">
        <f>Y408+Y375</f>
        <v>0</v>
      </c>
      <c r="Z410" s="49"/>
      <c r="AA410" s="49">
        <f>AA408+AA375</f>
        <v>0</v>
      </c>
      <c r="AB410" s="49">
        <f>SUM(H410:AA410)</f>
        <v>2199163.3199999998</v>
      </c>
      <c r="AC410" s="27" t="str">
        <f>IF(ABS(AB410-F410)&lt;1,"ok","err")</f>
        <v>ok</v>
      </c>
    </row>
    <row r="411" spans="1:29" x14ac:dyDescent="0.2"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C411" s="27"/>
    </row>
    <row r="412" spans="1:29" x14ac:dyDescent="0.2">
      <c r="A412" s="14" t="s">
        <v>540</v>
      </c>
      <c r="C412" s="14" t="s">
        <v>502</v>
      </c>
      <c r="F412" s="66">
        <f>F410+F363</f>
        <v>2199163.3200000003</v>
      </c>
      <c r="G412" s="66"/>
      <c r="H412" s="66">
        <f>H410+H363</f>
        <v>0</v>
      </c>
      <c r="I412" s="66">
        <f>I410+I363</f>
        <v>0</v>
      </c>
      <c r="J412" s="66"/>
      <c r="K412" s="66">
        <f>K410+K363</f>
        <v>0</v>
      </c>
      <c r="L412" s="66"/>
      <c r="M412" s="66">
        <f>M410+M363</f>
        <v>3176.9990825096897</v>
      </c>
      <c r="N412" s="66"/>
      <c r="O412" s="66">
        <f>O410+O363</f>
        <v>1205261.7729111307</v>
      </c>
      <c r="P412" s="66">
        <f>P410+P363</f>
        <v>673205.34635098418</v>
      </c>
      <c r="Q412" s="66"/>
      <c r="R412" s="66">
        <f>R410+R363</f>
        <v>0</v>
      </c>
      <c r="S412" s="66">
        <f>S410+S363</f>
        <v>58040.302389173383</v>
      </c>
      <c r="T412" s="66"/>
      <c r="U412" s="66">
        <f>U410+U363</f>
        <v>216622.99830424355</v>
      </c>
      <c r="V412" s="66"/>
      <c r="W412" s="66">
        <f>W410+W363</f>
        <v>42855.900961958381</v>
      </c>
      <c r="X412" s="66"/>
      <c r="Y412" s="66">
        <f>Y410+Y363</f>
        <v>0</v>
      </c>
      <c r="Z412" s="66"/>
      <c r="AA412" s="66">
        <f>AA410+AA363</f>
        <v>0</v>
      </c>
      <c r="AB412" s="49">
        <f>SUM(H412:AA412)</f>
        <v>2199163.3199999998</v>
      </c>
      <c r="AC412" s="27" t="str">
        <f>IF(ABS(AB412-F412)&lt;1,"ok","err")</f>
        <v>ok</v>
      </c>
    </row>
    <row r="413" spans="1:29" x14ac:dyDescent="0.2">
      <c r="A413" s="13"/>
      <c r="F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C413" s="27"/>
    </row>
    <row r="414" spans="1:29" x14ac:dyDescent="0.2">
      <c r="A414" s="13" t="s">
        <v>136</v>
      </c>
      <c r="F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C414" s="27"/>
    </row>
    <row r="415" spans="1:29" x14ac:dyDescent="0.2">
      <c r="A415" s="14">
        <v>901</v>
      </c>
      <c r="B415" s="14" t="s">
        <v>137</v>
      </c>
      <c r="C415" s="14" t="s">
        <v>503</v>
      </c>
      <c r="D415" s="14" t="s">
        <v>139</v>
      </c>
      <c r="F415" s="66">
        <v>0</v>
      </c>
      <c r="H415" s="49">
        <f>IF(VLOOKUP($D415,$C$5:$AA$492,6,)=0,0,((VLOOKUP($D415,$C$5:$AA$492,6,)/VLOOKUP($D415,$C$5:$AA$492,4,))*$F415))</f>
        <v>0</v>
      </c>
      <c r="I415" s="49">
        <f>IF(VLOOKUP($D415,$C$5:$AA$492,7,)=0,0,((VLOOKUP($D415,$C$5:$AA$492,7,)/VLOOKUP($D415,$C$5:$AA$492,4,))*$F415))</f>
        <v>0</v>
      </c>
      <c r="J415" s="49"/>
      <c r="K415" s="49">
        <f>IF(VLOOKUP($D415,$C$5:$AA$492,9,)=0,0,((VLOOKUP($D415,$C$5:$AA$492,9,)/VLOOKUP($D415,$C$5:$AA$492,4,))*$F415))</f>
        <v>0</v>
      </c>
      <c r="L415" s="49"/>
      <c r="M415" s="49">
        <f>IF(VLOOKUP($D415,$C$5:$AA$492,11,)=0,0,((VLOOKUP($D415,$C$5:$AA$492,11,)/VLOOKUP($D415,$C$5:$AA$492,4,))*$F415))</f>
        <v>0</v>
      </c>
      <c r="N415" s="49"/>
      <c r="O415" s="49">
        <f>IF(VLOOKUP($D415,$C$5:$AA$492,13,)=0,0,((VLOOKUP($D415,$C$5:$AA$492,13,)/VLOOKUP($D415,$C$5:$AA$492,4,))*$F415))</f>
        <v>0</v>
      </c>
      <c r="P415" s="49">
        <f>IF(VLOOKUP($D415,$C$5:$AA$492,14,)=0,0,((VLOOKUP($D415,$C$5:$AA$492,14,)/VLOOKUP($D415,$C$5:$AA$492,4,))*$F415))</f>
        <v>0</v>
      </c>
      <c r="Q415" s="49"/>
      <c r="R415" s="49">
        <f>IF(VLOOKUP($D415,$C$5:$AA$492,16,)=0,0,((VLOOKUP($D415,$C$5:$AA$492,16,)/VLOOKUP($D415,$C$5:$AA$492,4,))*$F415))</f>
        <v>0</v>
      </c>
      <c r="S415" s="49">
        <f>IF(VLOOKUP($D415,$C$5:$AA$492,17,)=0,0,((VLOOKUP($D415,$C$5:$AA$492,17,)/VLOOKUP($D415,$C$5:$AA$492,4,))*$F415))</f>
        <v>0</v>
      </c>
      <c r="T415" s="49"/>
      <c r="U415" s="49">
        <f>IF(VLOOKUP($D415,$C$5:$AA$492,19,)=0,0,((VLOOKUP($D415,$C$5:$AA$492,19,)/VLOOKUP($D415,$C$5:$AA$492,4,))*$F415))</f>
        <v>0</v>
      </c>
      <c r="V415" s="49"/>
      <c r="W415" s="49">
        <f>IF(VLOOKUP($D415,$C$5:$AA$492,21,)=0,0,((VLOOKUP($D415,$C$5:$AA$492,21,)/VLOOKUP($D415,$C$5:$AA$492,4,))*$F415))</f>
        <v>0</v>
      </c>
      <c r="X415" s="49"/>
      <c r="Y415" s="49">
        <f>IF(VLOOKUP($D415,$C$5:$AA$492,23,)=0,0,((VLOOKUP($D415,$C$5:$AA$492,23,)/VLOOKUP($D415,$C$5:$AA$492,4,))*$F415))</f>
        <v>0</v>
      </c>
      <c r="Z415" s="49"/>
      <c r="AA415" s="49">
        <f>IF(VLOOKUP($D415,$C$5:$AA$492,25,)=0,0,((VLOOKUP($D415,$C$5:$AA$492,25,)/VLOOKUP($D415,$C$5:$AA$492,4,))*$F415))</f>
        <v>0</v>
      </c>
      <c r="AB415" s="49">
        <f>SUM(H415:AA415)</f>
        <v>0</v>
      </c>
      <c r="AC415" s="27" t="str">
        <f>IF(ABS(AB415-F415)&lt;1,"ok","err")</f>
        <v>ok</v>
      </c>
    </row>
    <row r="416" spans="1:29" x14ac:dyDescent="0.2">
      <c r="A416" s="14">
        <v>902</v>
      </c>
      <c r="B416" s="14" t="s">
        <v>140</v>
      </c>
      <c r="C416" s="14" t="s">
        <v>504</v>
      </c>
      <c r="D416" s="14" t="s">
        <v>139</v>
      </c>
      <c r="F416" s="49">
        <v>0</v>
      </c>
      <c r="H416" s="49">
        <f>IF(VLOOKUP($D416,$C$5:$AA$492,6,)=0,0,((VLOOKUP($D416,$C$5:$AA$492,6,)/VLOOKUP($D416,$C$5:$AA$492,4,))*$F416))</f>
        <v>0</v>
      </c>
      <c r="I416" s="49">
        <f>IF(VLOOKUP($D416,$C$5:$AA$492,7,)=0,0,((VLOOKUP($D416,$C$5:$AA$492,7,)/VLOOKUP($D416,$C$5:$AA$492,4,))*$F416))</f>
        <v>0</v>
      </c>
      <c r="J416" s="49"/>
      <c r="K416" s="49">
        <f>IF(VLOOKUP($D416,$C$5:$AA$492,9,)=0,0,((VLOOKUP($D416,$C$5:$AA$492,9,)/VLOOKUP($D416,$C$5:$AA$492,4,))*$F416))</f>
        <v>0</v>
      </c>
      <c r="L416" s="49"/>
      <c r="M416" s="49">
        <f>IF(VLOOKUP($D416,$C$5:$AA$492,11,)=0,0,((VLOOKUP($D416,$C$5:$AA$492,11,)/VLOOKUP($D416,$C$5:$AA$492,4,))*$F416))</f>
        <v>0</v>
      </c>
      <c r="N416" s="49"/>
      <c r="O416" s="49">
        <f>IF(VLOOKUP($D416,$C$5:$AA$492,13,)=0,0,((VLOOKUP($D416,$C$5:$AA$492,13,)/VLOOKUP($D416,$C$5:$AA$492,4,))*$F416))</f>
        <v>0</v>
      </c>
      <c r="P416" s="49">
        <f>IF(VLOOKUP($D416,$C$5:$AA$492,14,)=0,0,((VLOOKUP($D416,$C$5:$AA$492,14,)/VLOOKUP($D416,$C$5:$AA$492,4,))*$F416))</f>
        <v>0</v>
      </c>
      <c r="Q416" s="49"/>
      <c r="R416" s="49">
        <f>IF(VLOOKUP($D416,$C$5:$AA$492,16,)=0,0,((VLOOKUP($D416,$C$5:$AA$492,16,)/VLOOKUP($D416,$C$5:$AA$492,4,))*$F416))</f>
        <v>0</v>
      </c>
      <c r="S416" s="49">
        <f>IF(VLOOKUP($D416,$C$5:$AA$492,17,)=0,0,((VLOOKUP($D416,$C$5:$AA$492,17,)/VLOOKUP($D416,$C$5:$AA$492,4,))*$F416))</f>
        <v>0</v>
      </c>
      <c r="T416" s="49"/>
      <c r="U416" s="49">
        <f>IF(VLOOKUP($D416,$C$5:$AA$492,19,)=0,0,((VLOOKUP($D416,$C$5:$AA$492,19,)/VLOOKUP($D416,$C$5:$AA$492,4,))*$F416))</f>
        <v>0</v>
      </c>
      <c r="V416" s="49"/>
      <c r="W416" s="49">
        <f>IF(VLOOKUP($D416,$C$5:$AA$492,21,)=0,0,((VLOOKUP($D416,$C$5:$AA$492,21,)/VLOOKUP($D416,$C$5:$AA$492,4,))*$F416))</f>
        <v>0</v>
      </c>
      <c r="X416" s="49"/>
      <c r="Y416" s="49">
        <f>IF(VLOOKUP($D416,$C$5:$AA$492,23,)=0,0,((VLOOKUP($D416,$C$5:$AA$492,23,)/VLOOKUP($D416,$C$5:$AA$492,4,))*$F416))</f>
        <v>0</v>
      </c>
      <c r="Z416" s="49"/>
      <c r="AA416" s="49">
        <f>IF(VLOOKUP($D416,$C$5:$AA$492,25,)=0,0,((VLOOKUP($D416,$C$5:$AA$492,25,)/VLOOKUP($D416,$C$5:$AA$492,4,))*$F416))</f>
        <v>0</v>
      </c>
      <c r="AB416" s="49">
        <f>SUM(H416:AA416)</f>
        <v>0</v>
      </c>
      <c r="AC416" s="27" t="str">
        <f>IF(ABS(AB416-F416)&lt;1,"ok","err")</f>
        <v>ok</v>
      </c>
    </row>
    <row r="417" spans="1:29" x14ac:dyDescent="0.2">
      <c r="A417" s="14">
        <v>903</v>
      </c>
      <c r="B417" s="14" t="s">
        <v>451</v>
      </c>
      <c r="C417" s="14" t="s">
        <v>505</v>
      </c>
      <c r="D417" s="14" t="s">
        <v>139</v>
      </c>
      <c r="F417" s="49">
        <v>760708.59</v>
      </c>
      <c r="H417" s="49">
        <f>IF(VLOOKUP($D417,$C$5:$AA$492,6,)=0,0,((VLOOKUP($D417,$C$5:$AA$492,6,)/VLOOKUP($D417,$C$5:$AA$492,4,))*$F417))</f>
        <v>0</v>
      </c>
      <c r="I417" s="49">
        <f>IF(VLOOKUP($D417,$C$5:$AA$492,7,)=0,0,((VLOOKUP($D417,$C$5:$AA$492,7,)/VLOOKUP($D417,$C$5:$AA$492,4,))*$F417))</f>
        <v>0</v>
      </c>
      <c r="J417" s="49"/>
      <c r="K417" s="49">
        <f>IF(VLOOKUP($D417,$C$5:$AA$492,9,)=0,0,((VLOOKUP($D417,$C$5:$AA$492,9,)/VLOOKUP($D417,$C$5:$AA$492,4,))*$F417))</f>
        <v>0</v>
      </c>
      <c r="L417" s="49"/>
      <c r="M417" s="49">
        <f>IF(VLOOKUP($D417,$C$5:$AA$492,11,)=0,0,((VLOOKUP($D417,$C$5:$AA$492,11,)/VLOOKUP($D417,$C$5:$AA$492,4,))*$F417))</f>
        <v>0</v>
      </c>
      <c r="N417" s="49"/>
      <c r="O417" s="49">
        <f>IF(VLOOKUP($D417,$C$5:$AA$492,13,)=0,0,((VLOOKUP($D417,$C$5:$AA$492,13,)/VLOOKUP($D417,$C$5:$AA$492,4,))*$F417))</f>
        <v>0</v>
      </c>
      <c r="P417" s="49">
        <f>IF(VLOOKUP($D417,$C$5:$AA$492,14,)=0,0,((VLOOKUP($D417,$C$5:$AA$492,14,)/VLOOKUP($D417,$C$5:$AA$492,4,))*$F417))</f>
        <v>0</v>
      </c>
      <c r="Q417" s="49"/>
      <c r="R417" s="49">
        <f>IF(VLOOKUP($D417,$C$5:$AA$492,16,)=0,0,((VLOOKUP($D417,$C$5:$AA$492,16,)/VLOOKUP($D417,$C$5:$AA$492,4,))*$F417))</f>
        <v>0</v>
      </c>
      <c r="S417" s="49">
        <f>IF(VLOOKUP($D417,$C$5:$AA$492,17,)=0,0,((VLOOKUP($D417,$C$5:$AA$492,17,)/VLOOKUP($D417,$C$5:$AA$492,4,))*$F417))</f>
        <v>0</v>
      </c>
      <c r="T417" s="49"/>
      <c r="U417" s="49">
        <f>IF(VLOOKUP($D417,$C$5:$AA$492,19,)=0,0,((VLOOKUP($D417,$C$5:$AA$492,19,)/VLOOKUP($D417,$C$5:$AA$492,4,))*$F417))</f>
        <v>0</v>
      </c>
      <c r="V417" s="49"/>
      <c r="W417" s="49">
        <f>IF(VLOOKUP($D417,$C$5:$AA$492,21,)=0,0,((VLOOKUP($D417,$C$5:$AA$492,21,)/VLOOKUP($D417,$C$5:$AA$492,4,))*$F417))</f>
        <v>0</v>
      </c>
      <c r="X417" s="49"/>
      <c r="Y417" s="49">
        <f>IF(VLOOKUP($D417,$C$5:$AA$492,23,)=0,0,((VLOOKUP($D417,$C$5:$AA$492,23,)/VLOOKUP($D417,$C$5:$AA$492,4,))*$F417))</f>
        <v>760708.59</v>
      </c>
      <c r="Z417" s="49"/>
      <c r="AA417" s="49">
        <f>IF(VLOOKUP($D417,$C$5:$AA$492,25,)=0,0,((VLOOKUP($D417,$C$5:$AA$492,25,)/VLOOKUP($D417,$C$5:$AA$492,4,))*$F417))</f>
        <v>0</v>
      </c>
      <c r="AB417" s="49">
        <f>SUM(H417:AA417)</f>
        <v>760708.59</v>
      </c>
      <c r="AC417" s="27" t="str">
        <f>IF(ABS(AB417-F417)&lt;1,"ok","err")</f>
        <v>ok</v>
      </c>
    </row>
    <row r="418" spans="1:29" x14ac:dyDescent="0.2">
      <c r="A418" s="14">
        <v>904</v>
      </c>
      <c r="B418" s="14" t="s">
        <v>143</v>
      </c>
      <c r="C418" s="14" t="s">
        <v>506</v>
      </c>
      <c r="D418" s="14" t="s">
        <v>139</v>
      </c>
      <c r="F418" s="49"/>
      <c r="H418" s="49">
        <f>IF(VLOOKUP($D418,$C$5:$AA$492,6,)=0,0,((VLOOKUP($D418,$C$5:$AA$492,6,)/VLOOKUP($D418,$C$5:$AA$492,4,))*$F418))</f>
        <v>0</v>
      </c>
      <c r="I418" s="49">
        <f>IF(VLOOKUP($D418,$C$5:$AA$492,7,)=0,0,((VLOOKUP($D418,$C$5:$AA$492,7,)/VLOOKUP($D418,$C$5:$AA$492,4,))*$F418))</f>
        <v>0</v>
      </c>
      <c r="J418" s="49"/>
      <c r="K418" s="49">
        <f>IF(VLOOKUP($D418,$C$5:$AA$492,9,)=0,0,((VLOOKUP($D418,$C$5:$AA$492,9,)/VLOOKUP($D418,$C$5:$AA$492,4,))*$F418))</f>
        <v>0</v>
      </c>
      <c r="L418" s="49"/>
      <c r="M418" s="49">
        <f>IF(VLOOKUP($D418,$C$5:$AA$492,11,)=0,0,((VLOOKUP($D418,$C$5:$AA$492,11,)/VLOOKUP($D418,$C$5:$AA$492,4,))*$F418))</f>
        <v>0</v>
      </c>
      <c r="N418" s="49"/>
      <c r="O418" s="49">
        <f>IF(VLOOKUP($D418,$C$5:$AA$492,13,)=0,0,((VLOOKUP($D418,$C$5:$AA$492,13,)/VLOOKUP($D418,$C$5:$AA$492,4,))*$F418))</f>
        <v>0</v>
      </c>
      <c r="P418" s="49">
        <f>IF(VLOOKUP($D418,$C$5:$AA$492,14,)=0,0,((VLOOKUP($D418,$C$5:$AA$492,14,)/VLOOKUP($D418,$C$5:$AA$492,4,))*$F418))</f>
        <v>0</v>
      </c>
      <c r="Q418" s="49"/>
      <c r="R418" s="49">
        <f>IF(VLOOKUP($D418,$C$5:$AA$492,16,)=0,0,((VLOOKUP($D418,$C$5:$AA$492,16,)/VLOOKUP($D418,$C$5:$AA$492,4,))*$F418))</f>
        <v>0</v>
      </c>
      <c r="S418" s="49">
        <f>IF(VLOOKUP($D418,$C$5:$AA$492,17,)=0,0,((VLOOKUP($D418,$C$5:$AA$492,17,)/VLOOKUP($D418,$C$5:$AA$492,4,))*$F418))</f>
        <v>0</v>
      </c>
      <c r="T418" s="49"/>
      <c r="U418" s="49">
        <f>IF(VLOOKUP($D418,$C$5:$AA$492,19,)=0,0,((VLOOKUP($D418,$C$5:$AA$492,19,)/VLOOKUP($D418,$C$5:$AA$492,4,))*$F418))</f>
        <v>0</v>
      </c>
      <c r="V418" s="49"/>
      <c r="W418" s="49">
        <f>IF(VLOOKUP($D418,$C$5:$AA$492,21,)=0,0,((VLOOKUP($D418,$C$5:$AA$492,21,)/VLOOKUP($D418,$C$5:$AA$492,4,))*$F418))</f>
        <v>0</v>
      </c>
      <c r="X418" s="49"/>
      <c r="Y418" s="49">
        <f>IF(VLOOKUP($D418,$C$5:$AA$492,23,)=0,0,((VLOOKUP($D418,$C$5:$AA$492,23,)/VLOOKUP($D418,$C$5:$AA$492,4,))*$F418))</f>
        <v>0</v>
      </c>
      <c r="Z418" s="49"/>
      <c r="AA418" s="49">
        <f>IF(VLOOKUP($D418,$C$5:$AA$492,25,)=0,0,((VLOOKUP($D418,$C$5:$AA$492,25,)/VLOOKUP($D418,$C$5:$AA$492,4,))*$F418))</f>
        <v>0</v>
      </c>
      <c r="AB418" s="49">
        <f>SUM(H418:AA418)</f>
        <v>0</v>
      </c>
      <c r="AC418" s="27" t="str">
        <f>IF(ABS(AB418-F418)&lt;1,"ok","err")</f>
        <v>ok</v>
      </c>
    </row>
    <row r="419" spans="1:29" x14ac:dyDescent="0.2">
      <c r="A419" s="14">
        <v>905</v>
      </c>
      <c r="B419" s="14" t="s">
        <v>452</v>
      </c>
      <c r="C419" s="14" t="s">
        <v>505</v>
      </c>
      <c r="D419" s="14" t="s">
        <v>139</v>
      </c>
      <c r="F419" s="49">
        <v>0</v>
      </c>
      <c r="H419" s="49">
        <f>IF(VLOOKUP($D419,$C$5:$AA$492,6,)=0,0,((VLOOKUP($D419,$C$5:$AA$492,6,)/VLOOKUP($D419,$C$5:$AA$492,4,))*$F419))</f>
        <v>0</v>
      </c>
      <c r="I419" s="49">
        <f>IF(VLOOKUP($D419,$C$5:$AA$492,7,)=0,0,((VLOOKUP($D419,$C$5:$AA$492,7,)/VLOOKUP($D419,$C$5:$AA$492,4,))*$F419))</f>
        <v>0</v>
      </c>
      <c r="J419" s="49"/>
      <c r="K419" s="49">
        <f>IF(VLOOKUP($D419,$C$5:$AA$492,9,)=0,0,((VLOOKUP($D419,$C$5:$AA$492,9,)/VLOOKUP($D419,$C$5:$AA$492,4,))*$F419))</f>
        <v>0</v>
      </c>
      <c r="L419" s="49"/>
      <c r="M419" s="49">
        <f>IF(VLOOKUP($D419,$C$5:$AA$492,11,)=0,0,((VLOOKUP($D419,$C$5:$AA$492,11,)/VLOOKUP($D419,$C$5:$AA$492,4,))*$F419))</f>
        <v>0</v>
      </c>
      <c r="N419" s="49"/>
      <c r="O419" s="49">
        <f>IF(VLOOKUP($D419,$C$5:$AA$492,13,)=0,0,((VLOOKUP($D419,$C$5:$AA$492,13,)/VLOOKUP($D419,$C$5:$AA$492,4,))*$F419))</f>
        <v>0</v>
      </c>
      <c r="P419" s="49">
        <f>IF(VLOOKUP($D419,$C$5:$AA$492,14,)=0,0,((VLOOKUP($D419,$C$5:$AA$492,14,)/VLOOKUP($D419,$C$5:$AA$492,4,))*$F419))</f>
        <v>0</v>
      </c>
      <c r="Q419" s="49"/>
      <c r="R419" s="49">
        <f>IF(VLOOKUP($D419,$C$5:$AA$492,16,)=0,0,((VLOOKUP($D419,$C$5:$AA$492,16,)/VLOOKUP($D419,$C$5:$AA$492,4,))*$F419))</f>
        <v>0</v>
      </c>
      <c r="S419" s="49">
        <f>IF(VLOOKUP($D419,$C$5:$AA$492,17,)=0,0,((VLOOKUP($D419,$C$5:$AA$492,17,)/VLOOKUP($D419,$C$5:$AA$492,4,))*$F419))</f>
        <v>0</v>
      </c>
      <c r="T419" s="49"/>
      <c r="U419" s="49">
        <f>IF(VLOOKUP($D419,$C$5:$AA$492,19,)=0,0,((VLOOKUP($D419,$C$5:$AA$492,19,)/VLOOKUP($D419,$C$5:$AA$492,4,))*$F419))</f>
        <v>0</v>
      </c>
      <c r="V419" s="49"/>
      <c r="W419" s="49">
        <f>IF(VLOOKUP($D419,$C$5:$AA$492,21,)=0,0,((VLOOKUP($D419,$C$5:$AA$492,21,)/VLOOKUP($D419,$C$5:$AA$492,4,))*$F419))</f>
        <v>0</v>
      </c>
      <c r="X419" s="49"/>
      <c r="Y419" s="49">
        <f>IF(VLOOKUP($D419,$C$5:$AA$492,23,)=0,0,((VLOOKUP($D419,$C$5:$AA$492,23,)/VLOOKUP($D419,$C$5:$AA$492,4,))*$F419))</f>
        <v>0</v>
      </c>
      <c r="Z419" s="49"/>
      <c r="AA419" s="49">
        <f>IF(VLOOKUP($D419,$C$5:$AA$492,25,)=0,0,((VLOOKUP($D419,$C$5:$AA$492,25,)/VLOOKUP($D419,$C$5:$AA$492,4,))*$F419))</f>
        <v>0</v>
      </c>
      <c r="AB419" s="49">
        <f>SUM(H419:AA419)</f>
        <v>0</v>
      </c>
      <c r="AC419" s="27" t="str">
        <f>IF(ABS(AB419-F419)&lt;1,"ok","err")</f>
        <v>ok</v>
      </c>
    </row>
    <row r="420" spans="1:29" x14ac:dyDescent="0.2">
      <c r="A420" s="13"/>
      <c r="F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27"/>
    </row>
    <row r="421" spans="1:29" x14ac:dyDescent="0.2">
      <c r="A421" s="14" t="s">
        <v>541</v>
      </c>
      <c r="C421" s="14" t="s">
        <v>507</v>
      </c>
      <c r="F421" s="66">
        <f>SUM(F415:F420)</f>
        <v>760708.59</v>
      </c>
      <c r="G421" s="66"/>
      <c r="H421" s="66">
        <f>SUM(H415:H420)</f>
        <v>0</v>
      </c>
      <c r="I421" s="66">
        <f>SUM(I415:I420)</f>
        <v>0</v>
      </c>
      <c r="J421" s="66"/>
      <c r="K421" s="66">
        <f>SUM(K415:K420)</f>
        <v>0</v>
      </c>
      <c r="L421" s="66"/>
      <c r="M421" s="66">
        <f>SUM(M415:M420)</f>
        <v>0</v>
      </c>
      <c r="N421" s="66"/>
      <c r="O421" s="66">
        <f>SUM(O415:O420)</f>
        <v>0</v>
      </c>
      <c r="P421" s="66">
        <f>SUM(P415:P420)</f>
        <v>0</v>
      </c>
      <c r="Q421" s="66"/>
      <c r="R421" s="66">
        <f>SUM(R415:R420)</f>
        <v>0</v>
      </c>
      <c r="S421" s="66">
        <f>SUM(S415:S420)</f>
        <v>0</v>
      </c>
      <c r="T421" s="66"/>
      <c r="U421" s="66">
        <f>SUM(U415:U420)</f>
        <v>0</v>
      </c>
      <c r="V421" s="66"/>
      <c r="W421" s="66">
        <f>SUM(W415:W420)</f>
        <v>0</v>
      </c>
      <c r="X421" s="66"/>
      <c r="Y421" s="66">
        <f>SUM(Y415:Y420)</f>
        <v>760708.59</v>
      </c>
      <c r="Z421" s="66"/>
      <c r="AA421" s="66">
        <f>SUM(AA415:AA420)</f>
        <v>0</v>
      </c>
      <c r="AB421" s="49">
        <f>SUM(H421:AA421)</f>
        <v>760708.59</v>
      </c>
      <c r="AC421" s="27" t="str">
        <f>IF(ABS(AB421-F421)&lt;1,"ok","err")</f>
        <v>ok</v>
      </c>
    </row>
    <row r="422" spans="1:29" x14ac:dyDescent="0.2">
      <c r="F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C422" s="27"/>
    </row>
    <row r="423" spans="1:29" x14ac:dyDescent="0.2">
      <c r="A423" s="13" t="s">
        <v>147</v>
      </c>
      <c r="F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C423" s="27"/>
    </row>
    <row r="424" spans="1:29" x14ac:dyDescent="0.2">
      <c r="A424" s="14">
        <v>907</v>
      </c>
      <c r="B424" s="14" t="s">
        <v>383</v>
      </c>
      <c r="C424" s="14" t="s">
        <v>508</v>
      </c>
      <c r="D424" s="14" t="s">
        <v>149</v>
      </c>
      <c r="F424" s="66">
        <v>0</v>
      </c>
      <c r="H424" s="49">
        <f t="shared" ref="H424:H434" si="242">IF(VLOOKUP($D424,$C$5:$AA$492,6,)=0,0,((VLOOKUP($D424,$C$5:$AA$492,6,)/VLOOKUP($D424,$C$5:$AA$492,4,))*$F424))</f>
        <v>0</v>
      </c>
      <c r="I424" s="49">
        <f t="shared" ref="I424:I434" si="243">IF(VLOOKUP($D424,$C$5:$AA$492,7,)=0,0,((VLOOKUP($D424,$C$5:$AA$492,7,)/VLOOKUP($D424,$C$5:$AA$492,4,))*$F424))</f>
        <v>0</v>
      </c>
      <c r="J424" s="49"/>
      <c r="K424" s="49">
        <f t="shared" ref="K424:K434" si="244">IF(VLOOKUP($D424,$C$5:$AA$492,9,)=0,0,((VLOOKUP($D424,$C$5:$AA$492,9,)/VLOOKUP($D424,$C$5:$AA$492,4,))*$F424))</f>
        <v>0</v>
      </c>
      <c r="L424" s="49"/>
      <c r="M424" s="49">
        <f t="shared" ref="M424:M434" si="245">IF(VLOOKUP($D424,$C$5:$AA$492,11,)=0,0,((VLOOKUP($D424,$C$5:$AA$492,11,)/VLOOKUP($D424,$C$5:$AA$492,4,))*$F424))</f>
        <v>0</v>
      </c>
      <c r="N424" s="49"/>
      <c r="O424" s="49">
        <f t="shared" ref="O424:O434" si="246">IF(VLOOKUP($D424,$C$5:$AA$492,13,)=0,0,((VLOOKUP($D424,$C$5:$AA$492,13,)/VLOOKUP($D424,$C$5:$AA$492,4,))*$F424))</f>
        <v>0</v>
      </c>
      <c r="P424" s="49">
        <f t="shared" ref="P424:P434" si="247">IF(VLOOKUP($D424,$C$5:$AA$492,14,)=0,0,((VLOOKUP($D424,$C$5:$AA$492,14,)/VLOOKUP($D424,$C$5:$AA$492,4,))*$F424))</f>
        <v>0</v>
      </c>
      <c r="Q424" s="49"/>
      <c r="R424" s="49">
        <f t="shared" ref="R424:R434" si="248">IF(VLOOKUP($D424,$C$5:$AA$492,16,)=0,0,((VLOOKUP($D424,$C$5:$AA$492,16,)/VLOOKUP($D424,$C$5:$AA$492,4,))*$F424))</f>
        <v>0</v>
      </c>
      <c r="S424" s="49">
        <f t="shared" ref="S424:S434" si="249">IF(VLOOKUP($D424,$C$5:$AA$492,17,)=0,0,((VLOOKUP($D424,$C$5:$AA$492,17,)/VLOOKUP($D424,$C$5:$AA$492,4,))*$F424))</f>
        <v>0</v>
      </c>
      <c r="T424" s="49"/>
      <c r="U424" s="49">
        <f t="shared" ref="U424:U434" si="250">IF(VLOOKUP($D424,$C$5:$AA$492,19,)=0,0,((VLOOKUP($D424,$C$5:$AA$492,19,)/VLOOKUP($D424,$C$5:$AA$492,4,))*$F424))</f>
        <v>0</v>
      </c>
      <c r="V424" s="49"/>
      <c r="W424" s="49">
        <f t="shared" ref="W424:W434" si="251">IF(VLOOKUP($D424,$C$5:$AA$492,21,)=0,0,((VLOOKUP($D424,$C$5:$AA$492,21,)/VLOOKUP($D424,$C$5:$AA$492,4,))*$F424))</f>
        <v>0</v>
      </c>
      <c r="X424" s="49"/>
      <c r="Y424" s="49">
        <f t="shared" ref="Y424:Y434" si="252">IF(VLOOKUP($D424,$C$5:$AA$492,23,)=0,0,((VLOOKUP($D424,$C$5:$AA$492,23,)/VLOOKUP($D424,$C$5:$AA$492,4,))*$F424))</f>
        <v>0</v>
      </c>
      <c r="Z424" s="49"/>
      <c r="AA424" s="49">
        <f t="shared" ref="AA424:AA434" si="253">IF(VLOOKUP($D424,$C$5:$AA$492,25,)=0,0,((VLOOKUP($D424,$C$5:$AA$492,25,)/VLOOKUP($D424,$C$5:$AA$492,4,))*$F424))</f>
        <v>0</v>
      </c>
      <c r="AB424" s="49">
        <f t="shared" ref="AB424:AB434" si="254">SUM(H424:AA424)</f>
        <v>0</v>
      </c>
      <c r="AC424" s="27" t="str">
        <f t="shared" ref="AC424:AC434" si="255">IF(ABS(AB424-F424)&lt;1,"ok","err")</f>
        <v>ok</v>
      </c>
    </row>
    <row r="425" spans="1:29" x14ac:dyDescent="0.2">
      <c r="A425" s="14">
        <v>908</v>
      </c>
      <c r="B425" s="14" t="s">
        <v>150</v>
      </c>
      <c r="C425" s="14" t="s">
        <v>509</v>
      </c>
      <c r="D425" s="14" t="s">
        <v>149</v>
      </c>
      <c r="F425" s="49">
        <v>0</v>
      </c>
      <c r="H425" s="49">
        <f t="shared" si="242"/>
        <v>0</v>
      </c>
      <c r="I425" s="49">
        <f t="shared" si="243"/>
        <v>0</v>
      </c>
      <c r="J425" s="49"/>
      <c r="K425" s="49">
        <f t="shared" si="244"/>
        <v>0</v>
      </c>
      <c r="L425" s="49"/>
      <c r="M425" s="49">
        <f t="shared" si="245"/>
        <v>0</v>
      </c>
      <c r="N425" s="49"/>
      <c r="O425" s="49">
        <f t="shared" si="246"/>
        <v>0</v>
      </c>
      <c r="P425" s="49">
        <f t="shared" si="247"/>
        <v>0</v>
      </c>
      <c r="Q425" s="49"/>
      <c r="R425" s="49">
        <f t="shared" si="248"/>
        <v>0</v>
      </c>
      <c r="S425" s="49">
        <f t="shared" si="249"/>
        <v>0</v>
      </c>
      <c r="T425" s="49"/>
      <c r="U425" s="49">
        <f t="shared" si="250"/>
        <v>0</v>
      </c>
      <c r="V425" s="49"/>
      <c r="W425" s="49">
        <f t="shared" si="251"/>
        <v>0</v>
      </c>
      <c r="X425" s="49"/>
      <c r="Y425" s="49">
        <f t="shared" si="252"/>
        <v>0</v>
      </c>
      <c r="Z425" s="49"/>
      <c r="AA425" s="49">
        <f t="shared" si="253"/>
        <v>0</v>
      </c>
      <c r="AB425" s="49">
        <f t="shared" si="254"/>
        <v>0</v>
      </c>
      <c r="AC425" s="27" t="str">
        <f t="shared" si="255"/>
        <v>ok</v>
      </c>
    </row>
    <row r="426" spans="1:29" x14ac:dyDescent="0.2">
      <c r="A426" s="14">
        <v>908</v>
      </c>
      <c r="B426" s="14" t="s">
        <v>453</v>
      </c>
      <c r="C426" s="14" t="s">
        <v>510</v>
      </c>
      <c r="D426" s="14" t="s">
        <v>470</v>
      </c>
      <c r="F426" s="49"/>
      <c r="H426" s="49">
        <f t="shared" si="242"/>
        <v>0</v>
      </c>
      <c r="I426" s="49">
        <f t="shared" si="243"/>
        <v>0</v>
      </c>
      <c r="J426" s="49"/>
      <c r="K426" s="49">
        <f t="shared" si="244"/>
        <v>0</v>
      </c>
      <c r="L426" s="49"/>
      <c r="M426" s="49">
        <f t="shared" si="245"/>
        <v>0</v>
      </c>
      <c r="N426" s="49"/>
      <c r="O426" s="49">
        <f t="shared" si="246"/>
        <v>0</v>
      </c>
      <c r="P426" s="49">
        <f t="shared" si="247"/>
        <v>0</v>
      </c>
      <c r="Q426" s="49"/>
      <c r="R426" s="49">
        <f t="shared" si="248"/>
        <v>0</v>
      </c>
      <c r="S426" s="49">
        <f t="shared" si="249"/>
        <v>0</v>
      </c>
      <c r="T426" s="49"/>
      <c r="U426" s="49">
        <f t="shared" si="250"/>
        <v>0</v>
      </c>
      <c r="V426" s="49"/>
      <c r="W426" s="49">
        <f t="shared" si="251"/>
        <v>0</v>
      </c>
      <c r="X426" s="49"/>
      <c r="Y426" s="49">
        <f t="shared" si="252"/>
        <v>0</v>
      </c>
      <c r="Z426" s="49"/>
      <c r="AA426" s="49">
        <f t="shared" si="253"/>
        <v>0</v>
      </c>
      <c r="AB426" s="49">
        <f t="shared" si="254"/>
        <v>0</v>
      </c>
      <c r="AC426" s="27" t="str">
        <f t="shared" si="255"/>
        <v>ok</v>
      </c>
    </row>
    <row r="427" spans="1:29" x14ac:dyDescent="0.2">
      <c r="A427" s="14">
        <v>909</v>
      </c>
      <c r="B427" s="14" t="s">
        <v>152</v>
      </c>
      <c r="C427" s="14" t="s">
        <v>511</v>
      </c>
      <c r="D427" s="14" t="s">
        <v>149</v>
      </c>
      <c r="F427" s="49">
        <v>0</v>
      </c>
      <c r="H427" s="49">
        <f t="shared" si="242"/>
        <v>0</v>
      </c>
      <c r="I427" s="49">
        <f t="shared" si="243"/>
        <v>0</v>
      </c>
      <c r="J427" s="49"/>
      <c r="K427" s="49">
        <f t="shared" si="244"/>
        <v>0</v>
      </c>
      <c r="L427" s="49"/>
      <c r="M427" s="49">
        <f t="shared" si="245"/>
        <v>0</v>
      </c>
      <c r="N427" s="49"/>
      <c r="O427" s="49">
        <f t="shared" si="246"/>
        <v>0</v>
      </c>
      <c r="P427" s="49">
        <f t="shared" si="247"/>
        <v>0</v>
      </c>
      <c r="Q427" s="49"/>
      <c r="R427" s="49">
        <f t="shared" si="248"/>
        <v>0</v>
      </c>
      <c r="S427" s="49">
        <f t="shared" si="249"/>
        <v>0</v>
      </c>
      <c r="T427" s="49"/>
      <c r="U427" s="49">
        <f t="shared" si="250"/>
        <v>0</v>
      </c>
      <c r="V427" s="49"/>
      <c r="W427" s="49">
        <f t="shared" si="251"/>
        <v>0</v>
      </c>
      <c r="X427" s="49"/>
      <c r="Y427" s="49">
        <f t="shared" si="252"/>
        <v>0</v>
      </c>
      <c r="Z427" s="49"/>
      <c r="AA427" s="49">
        <f t="shared" si="253"/>
        <v>0</v>
      </c>
      <c r="AB427" s="49">
        <f t="shared" si="254"/>
        <v>0</v>
      </c>
      <c r="AC427" s="27" t="str">
        <f t="shared" si="255"/>
        <v>ok</v>
      </c>
    </row>
    <row r="428" spans="1:29" x14ac:dyDescent="0.2">
      <c r="A428" s="14">
        <v>909</v>
      </c>
      <c r="B428" s="14" t="s">
        <v>455</v>
      </c>
      <c r="C428" s="14" t="s">
        <v>512</v>
      </c>
      <c r="D428" s="14" t="s">
        <v>470</v>
      </c>
      <c r="F428" s="49">
        <v>0</v>
      </c>
      <c r="H428" s="49">
        <f t="shared" si="242"/>
        <v>0</v>
      </c>
      <c r="I428" s="49">
        <f t="shared" si="243"/>
        <v>0</v>
      </c>
      <c r="J428" s="49"/>
      <c r="K428" s="49">
        <f t="shared" si="244"/>
        <v>0</v>
      </c>
      <c r="L428" s="49"/>
      <c r="M428" s="49">
        <f t="shared" si="245"/>
        <v>0</v>
      </c>
      <c r="N428" s="49"/>
      <c r="O428" s="49">
        <f t="shared" si="246"/>
        <v>0</v>
      </c>
      <c r="P428" s="49">
        <f t="shared" si="247"/>
        <v>0</v>
      </c>
      <c r="Q428" s="49"/>
      <c r="R428" s="49">
        <f t="shared" si="248"/>
        <v>0</v>
      </c>
      <c r="S428" s="49">
        <f t="shared" si="249"/>
        <v>0</v>
      </c>
      <c r="T428" s="49"/>
      <c r="U428" s="49">
        <f t="shared" si="250"/>
        <v>0</v>
      </c>
      <c r="V428" s="49"/>
      <c r="W428" s="49">
        <f t="shared" si="251"/>
        <v>0</v>
      </c>
      <c r="X428" s="49"/>
      <c r="Y428" s="49">
        <f t="shared" si="252"/>
        <v>0</v>
      </c>
      <c r="Z428" s="49"/>
      <c r="AA428" s="49">
        <f t="shared" si="253"/>
        <v>0</v>
      </c>
      <c r="AB428" s="49">
        <f t="shared" si="254"/>
        <v>0</v>
      </c>
      <c r="AC428" s="27" t="str">
        <f t="shared" si="255"/>
        <v>ok</v>
      </c>
    </row>
    <row r="429" spans="1:29" x14ac:dyDescent="0.2">
      <c r="A429" s="14">
        <v>910</v>
      </c>
      <c r="B429" s="14" t="s">
        <v>154</v>
      </c>
      <c r="C429" s="14" t="s">
        <v>513</v>
      </c>
      <c r="D429" s="14" t="s">
        <v>149</v>
      </c>
      <c r="F429" s="49">
        <v>0</v>
      </c>
      <c r="H429" s="49">
        <f t="shared" si="242"/>
        <v>0</v>
      </c>
      <c r="I429" s="49">
        <f t="shared" si="243"/>
        <v>0</v>
      </c>
      <c r="J429" s="49"/>
      <c r="K429" s="49">
        <f t="shared" si="244"/>
        <v>0</v>
      </c>
      <c r="L429" s="49"/>
      <c r="M429" s="49">
        <f t="shared" si="245"/>
        <v>0</v>
      </c>
      <c r="N429" s="49"/>
      <c r="O429" s="49">
        <f t="shared" si="246"/>
        <v>0</v>
      </c>
      <c r="P429" s="49">
        <f t="shared" si="247"/>
        <v>0</v>
      </c>
      <c r="Q429" s="49"/>
      <c r="R429" s="49">
        <f t="shared" si="248"/>
        <v>0</v>
      </c>
      <c r="S429" s="49">
        <f t="shared" si="249"/>
        <v>0</v>
      </c>
      <c r="T429" s="49"/>
      <c r="U429" s="49">
        <f t="shared" si="250"/>
        <v>0</v>
      </c>
      <c r="V429" s="49"/>
      <c r="W429" s="49">
        <f t="shared" si="251"/>
        <v>0</v>
      </c>
      <c r="X429" s="49"/>
      <c r="Y429" s="49">
        <f t="shared" si="252"/>
        <v>0</v>
      </c>
      <c r="Z429" s="49"/>
      <c r="AA429" s="49">
        <f t="shared" si="253"/>
        <v>0</v>
      </c>
      <c r="AB429" s="49">
        <f t="shared" si="254"/>
        <v>0</v>
      </c>
      <c r="AC429" s="27" t="str">
        <f t="shared" si="255"/>
        <v>ok</v>
      </c>
    </row>
    <row r="430" spans="1:29" x14ac:dyDescent="0.2">
      <c r="A430" s="14">
        <v>911</v>
      </c>
      <c r="B430" s="14" t="s">
        <v>383</v>
      </c>
      <c r="C430" s="14" t="s">
        <v>711</v>
      </c>
      <c r="D430" s="14" t="s">
        <v>149</v>
      </c>
      <c r="F430" s="49">
        <v>0</v>
      </c>
      <c r="H430" s="49">
        <f t="shared" si="242"/>
        <v>0</v>
      </c>
      <c r="I430" s="49">
        <f t="shared" si="243"/>
        <v>0</v>
      </c>
      <c r="J430" s="49"/>
      <c r="K430" s="49">
        <f t="shared" si="244"/>
        <v>0</v>
      </c>
      <c r="L430" s="49"/>
      <c r="M430" s="49">
        <f t="shared" si="245"/>
        <v>0</v>
      </c>
      <c r="N430" s="49"/>
      <c r="O430" s="49">
        <f t="shared" si="246"/>
        <v>0</v>
      </c>
      <c r="P430" s="49">
        <f t="shared" si="247"/>
        <v>0</v>
      </c>
      <c r="Q430" s="49"/>
      <c r="R430" s="49">
        <f t="shared" si="248"/>
        <v>0</v>
      </c>
      <c r="S430" s="49">
        <f t="shared" si="249"/>
        <v>0</v>
      </c>
      <c r="T430" s="49"/>
      <c r="U430" s="49">
        <f t="shared" si="250"/>
        <v>0</v>
      </c>
      <c r="V430" s="49"/>
      <c r="W430" s="49">
        <f t="shared" si="251"/>
        <v>0</v>
      </c>
      <c r="X430" s="49"/>
      <c r="Y430" s="49">
        <f t="shared" si="252"/>
        <v>0</v>
      </c>
      <c r="Z430" s="49"/>
      <c r="AA430" s="49">
        <f t="shared" si="253"/>
        <v>0</v>
      </c>
      <c r="AB430" s="49">
        <f>SUM(H430:AA430)</f>
        <v>0</v>
      </c>
      <c r="AC430" s="27" t="str">
        <f>IF(ABS(AB430-F430)&lt;1,"ok","err")</f>
        <v>ok</v>
      </c>
    </row>
    <row r="431" spans="1:29" x14ac:dyDescent="0.2">
      <c r="A431" s="14">
        <v>912</v>
      </c>
      <c r="B431" s="14" t="s">
        <v>587</v>
      </c>
      <c r="C431" s="14" t="s">
        <v>590</v>
      </c>
      <c r="D431" s="14" t="s">
        <v>470</v>
      </c>
      <c r="F431" s="49">
        <f>89465.59+72064.61+43272.29</f>
        <v>204802.49000000002</v>
      </c>
      <c r="H431" s="49">
        <f t="shared" si="242"/>
        <v>0</v>
      </c>
      <c r="I431" s="49">
        <f t="shared" si="243"/>
        <v>0</v>
      </c>
      <c r="J431" s="49"/>
      <c r="K431" s="49">
        <f t="shared" si="244"/>
        <v>0</v>
      </c>
      <c r="L431" s="49"/>
      <c r="M431" s="49">
        <f t="shared" si="245"/>
        <v>0</v>
      </c>
      <c r="N431" s="49"/>
      <c r="O431" s="49">
        <f t="shared" si="246"/>
        <v>0</v>
      </c>
      <c r="P431" s="49">
        <f t="shared" si="247"/>
        <v>0</v>
      </c>
      <c r="Q431" s="49"/>
      <c r="R431" s="49">
        <f t="shared" si="248"/>
        <v>0</v>
      </c>
      <c r="S431" s="49">
        <f t="shared" si="249"/>
        <v>0</v>
      </c>
      <c r="T431" s="49"/>
      <c r="U431" s="49">
        <f t="shared" si="250"/>
        <v>0</v>
      </c>
      <c r="V431" s="49"/>
      <c r="W431" s="49">
        <f t="shared" si="251"/>
        <v>0</v>
      </c>
      <c r="X431" s="49"/>
      <c r="Y431" s="49">
        <f t="shared" si="252"/>
        <v>0</v>
      </c>
      <c r="Z431" s="49"/>
      <c r="AA431" s="49">
        <f t="shared" si="253"/>
        <v>204802.49000000002</v>
      </c>
      <c r="AB431" s="49">
        <f t="shared" si="254"/>
        <v>204802.49000000002</v>
      </c>
      <c r="AC431" s="27" t="str">
        <f t="shared" si="255"/>
        <v>ok</v>
      </c>
    </row>
    <row r="432" spans="1:29" x14ac:dyDescent="0.2">
      <c r="A432" s="14">
        <v>913</v>
      </c>
      <c r="B432" s="14" t="s">
        <v>575</v>
      </c>
      <c r="C432" s="14" t="s">
        <v>591</v>
      </c>
      <c r="D432" s="14" t="s">
        <v>470</v>
      </c>
      <c r="F432" s="49">
        <v>6831.52</v>
      </c>
      <c r="H432" s="49">
        <f t="shared" si="242"/>
        <v>0</v>
      </c>
      <c r="I432" s="49">
        <f t="shared" si="243"/>
        <v>0</v>
      </c>
      <c r="J432" s="49"/>
      <c r="K432" s="49">
        <f t="shared" si="244"/>
        <v>0</v>
      </c>
      <c r="L432" s="49"/>
      <c r="M432" s="49">
        <f t="shared" si="245"/>
        <v>0</v>
      </c>
      <c r="N432" s="49"/>
      <c r="O432" s="49">
        <f t="shared" si="246"/>
        <v>0</v>
      </c>
      <c r="P432" s="49">
        <f t="shared" si="247"/>
        <v>0</v>
      </c>
      <c r="Q432" s="49"/>
      <c r="R432" s="49">
        <f t="shared" si="248"/>
        <v>0</v>
      </c>
      <c r="S432" s="49">
        <f t="shared" si="249"/>
        <v>0</v>
      </c>
      <c r="T432" s="49"/>
      <c r="U432" s="49">
        <f t="shared" si="250"/>
        <v>0</v>
      </c>
      <c r="V432" s="49"/>
      <c r="W432" s="49">
        <f t="shared" si="251"/>
        <v>0</v>
      </c>
      <c r="X432" s="49"/>
      <c r="Y432" s="49">
        <f t="shared" si="252"/>
        <v>0</v>
      </c>
      <c r="Z432" s="49"/>
      <c r="AA432" s="49">
        <f t="shared" si="253"/>
        <v>6831.52</v>
      </c>
      <c r="AB432" s="49">
        <f t="shared" si="254"/>
        <v>6831.52</v>
      </c>
      <c r="AC432" s="27" t="str">
        <f t="shared" si="255"/>
        <v>ok</v>
      </c>
    </row>
    <row r="433" spans="1:29" x14ac:dyDescent="0.2">
      <c r="A433" s="14">
        <v>915</v>
      </c>
      <c r="B433" s="14" t="s">
        <v>638</v>
      </c>
      <c r="C433" s="14" t="s">
        <v>641</v>
      </c>
      <c r="D433" s="14" t="s">
        <v>470</v>
      </c>
      <c r="F433" s="49">
        <v>0</v>
      </c>
      <c r="H433" s="49">
        <f t="shared" si="242"/>
        <v>0</v>
      </c>
      <c r="I433" s="49">
        <f t="shared" si="243"/>
        <v>0</v>
      </c>
      <c r="J433" s="49"/>
      <c r="K433" s="49">
        <f t="shared" si="244"/>
        <v>0</v>
      </c>
      <c r="L433" s="49"/>
      <c r="M433" s="49">
        <f t="shared" si="245"/>
        <v>0</v>
      </c>
      <c r="N433" s="49"/>
      <c r="O433" s="49">
        <f t="shared" si="246"/>
        <v>0</v>
      </c>
      <c r="P433" s="49">
        <f t="shared" si="247"/>
        <v>0</v>
      </c>
      <c r="Q433" s="49"/>
      <c r="R433" s="49">
        <f t="shared" si="248"/>
        <v>0</v>
      </c>
      <c r="S433" s="49">
        <f t="shared" si="249"/>
        <v>0</v>
      </c>
      <c r="T433" s="49"/>
      <c r="U433" s="49">
        <f t="shared" si="250"/>
        <v>0</v>
      </c>
      <c r="V433" s="49"/>
      <c r="W433" s="49">
        <f t="shared" si="251"/>
        <v>0</v>
      </c>
      <c r="X433" s="49"/>
      <c r="Y433" s="49">
        <f t="shared" si="252"/>
        <v>0</v>
      </c>
      <c r="Z433" s="49"/>
      <c r="AA433" s="49">
        <f t="shared" si="253"/>
        <v>0</v>
      </c>
      <c r="AB433" s="49">
        <f t="shared" si="254"/>
        <v>0</v>
      </c>
      <c r="AC433" s="27" t="str">
        <f t="shared" si="255"/>
        <v>ok</v>
      </c>
    </row>
    <row r="434" spans="1:29" x14ac:dyDescent="0.2">
      <c r="A434" s="14">
        <v>916</v>
      </c>
      <c r="B434" s="14" t="s">
        <v>639</v>
      </c>
      <c r="C434" s="14" t="s">
        <v>642</v>
      </c>
      <c r="D434" s="14" t="s">
        <v>470</v>
      </c>
      <c r="F434" s="49">
        <v>0</v>
      </c>
      <c r="H434" s="49">
        <f t="shared" si="242"/>
        <v>0</v>
      </c>
      <c r="I434" s="49">
        <f t="shared" si="243"/>
        <v>0</v>
      </c>
      <c r="J434" s="49"/>
      <c r="K434" s="49">
        <f t="shared" si="244"/>
        <v>0</v>
      </c>
      <c r="L434" s="49"/>
      <c r="M434" s="49">
        <f t="shared" si="245"/>
        <v>0</v>
      </c>
      <c r="N434" s="49"/>
      <c r="O434" s="49">
        <f t="shared" si="246"/>
        <v>0</v>
      </c>
      <c r="P434" s="49">
        <f t="shared" si="247"/>
        <v>0</v>
      </c>
      <c r="Q434" s="49"/>
      <c r="R434" s="49">
        <f t="shared" si="248"/>
        <v>0</v>
      </c>
      <c r="S434" s="49">
        <f t="shared" si="249"/>
        <v>0</v>
      </c>
      <c r="T434" s="49"/>
      <c r="U434" s="49">
        <f t="shared" si="250"/>
        <v>0</v>
      </c>
      <c r="V434" s="49"/>
      <c r="W434" s="49">
        <f t="shared" si="251"/>
        <v>0</v>
      </c>
      <c r="X434" s="49"/>
      <c r="Y434" s="49">
        <f t="shared" si="252"/>
        <v>0</v>
      </c>
      <c r="Z434" s="49"/>
      <c r="AA434" s="49">
        <f t="shared" si="253"/>
        <v>0</v>
      </c>
      <c r="AB434" s="49">
        <f t="shared" si="254"/>
        <v>0</v>
      </c>
      <c r="AC434" s="27" t="str">
        <f t="shared" si="255"/>
        <v>ok</v>
      </c>
    </row>
    <row r="435" spans="1:29" x14ac:dyDescent="0.2">
      <c r="F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27"/>
    </row>
    <row r="436" spans="1:29" x14ac:dyDescent="0.2">
      <c r="A436" s="14" t="s">
        <v>542</v>
      </c>
      <c r="C436" s="14" t="s">
        <v>514</v>
      </c>
      <c r="F436" s="66">
        <f>SUM(F424:F435)</f>
        <v>211634.01</v>
      </c>
      <c r="G436" s="66"/>
      <c r="H436" s="66">
        <f>SUM(H424:H435)</f>
        <v>0</v>
      </c>
      <c r="I436" s="66">
        <f>SUM(I424:I435)</f>
        <v>0</v>
      </c>
      <c r="J436" s="66"/>
      <c r="K436" s="66">
        <f>SUM(K424:K435)</f>
        <v>0</v>
      </c>
      <c r="L436" s="66"/>
      <c r="M436" s="66">
        <f>SUM(M424:M435)</f>
        <v>0</v>
      </c>
      <c r="N436" s="66"/>
      <c r="O436" s="66">
        <f>SUM(O424:O435)</f>
        <v>0</v>
      </c>
      <c r="P436" s="66">
        <f>SUM(P424:P435)</f>
        <v>0</v>
      </c>
      <c r="Q436" s="66"/>
      <c r="R436" s="66">
        <f>SUM(R424:R435)</f>
        <v>0</v>
      </c>
      <c r="S436" s="66">
        <f>SUM(S424:S435)</f>
        <v>0</v>
      </c>
      <c r="T436" s="66"/>
      <c r="U436" s="66">
        <f>SUM(U424:U435)</f>
        <v>0</v>
      </c>
      <c r="V436" s="66"/>
      <c r="W436" s="66">
        <f>SUM(W424:W435)</f>
        <v>0</v>
      </c>
      <c r="X436" s="66"/>
      <c r="Y436" s="66">
        <f>SUM(Y424:Y435)</f>
        <v>0</v>
      </c>
      <c r="Z436" s="66"/>
      <c r="AA436" s="66">
        <f>SUM(AA424:AA435)</f>
        <v>211634.01</v>
      </c>
      <c r="AB436" s="49">
        <f>SUM(H436:AA436)</f>
        <v>211634.01</v>
      </c>
      <c r="AC436" s="27" t="str">
        <f>IF(ABS(AB436-F436)&lt;1,"ok","err")</f>
        <v>ok</v>
      </c>
    </row>
    <row r="437" spans="1:29" x14ac:dyDescent="0.2">
      <c r="F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C437" s="27"/>
    </row>
    <row r="438" spans="1:29" x14ac:dyDescent="0.2">
      <c r="A438" s="14" t="s">
        <v>543</v>
      </c>
      <c r="C438" s="14" t="s">
        <v>515</v>
      </c>
      <c r="F438" s="49">
        <f>F410+F421+F436</f>
        <v>3171505.92</v>
      </c>
      <c r="G438" s="49"/>
      <c r="H438" s="49">
        <f>H410+H421+H436</f>
        <v>0</v>
      </c>
      <c r="I438" s="49">
        <f>I410+I421+I436</f>
        <v>0</v>
      </c>
      <c r="J438" s="49"/>
      <c r="K438" s="49">
        <f>K410+K421+K436</f>
        <v>0</v>
      </c>
      <c r="L438" s="49"/>
      <c r="M438" s="49">
        <f>M410+M421+M436</f>
        <v>3176.9990825096897</v>
      </c>
      <c r="N438" s="49"/>
      <c r="O438" s="49">
        <f>O410+O421+O436</f>
        <v>1205261.7729111307</v>
      </c>
      <c r="P438" s="49">
        <f>P410+P421+P436</f>
        <v>673205.34635098418</v>
      </c>
      <c r="Q438" s="49"/>
      <c r="R438" s="49">
        <f>R410+R421+R436</f>
        <v>0</v>
      </c>
      <c r="S438" s="49">
        <f>S410+S421+S436</f>
        <v>58040.302389173383</v>
      </c>
      <c r="T438" s="49"/>
      <c r="U438" s="49">
        <f>U410+U421+U436</f>
        <v>216622.99830424355</v>
      </c>
      <c r="V438" s="49"/>
      <c r="W438" s="49">
        <f>W410+W421+W436</f>
        <v>42855.900961958381</v>
      </c>
      <c r="X438" s="49"/>
      <c r="Y438" s="49">
        <f>Y410+Y421+Y436</f>
        <v>760708.59</v>
      </c>
      <c r="Z438" s="49"/>
      <c r="AA438" s="49">
        <f>AA410+AA421+AA436</f>
        <v>211634.01</v>
      </c>
      <c r="AB438" s="49">
        <f>SUM(H438:AA438)</f>
        <v>3171505.92</v>
      </c>
      <c r="AC438" s="27" t="str">
        <f>IF(ABS(AB438-F438)&lt;1,"ok","err")</f>
        <v>ok</v>
      </c>
    </row>
    <row r="439" spans="1:29" x14ac:dyDescent="0.2">
      <c r="F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C439" s="27"/>
    </row>
    <row r="440" spans="1:29" x14ac:dyDescent="0.2">
      <c r="F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C440" s="27"/>
    </row>
    <row r="441" spans="1:29" x14ac:dyDescent="0.2">
      <c r="A441" s="25" t="s">
        <v>472</v>
      </c>
      <c r="F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C441" s="27"/>
    </row>
    <row r="442" spans="1:29" x14ac:dyDescent="0.2">
      <c r="C442" s="89"/>
      <c r="F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C442" s="27"/>
    </row>
    <row r="443" spans="1:29" x14ac:dyDescent="0.2">
      <c r="A443" s="13" t="s">
        <v>158</v>
      </c>
      <c r="F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C443" s="27"/>
    </row>
    <row r="444" spans="1:29" x14ac:dyDescent="0.2">
      <c r="A444" s="14">
        <v>920</v>
      </c>
      <c r="B444" s="14" t="s">
        <v>159</v>
      </c>
      <c r="C444" s="14" t="s">
        <v>516</v>
      </c>
      <c r="D444" s="14" t="s">
        <v>410</v>
      </c>
      <c r="F444" s="66">
        <v>1107476.8</v>
      </c>
      <c r="H444" s="49">
        <f t="shared" ref="H444:H455" si="256">IF(VLOOKUP($D444,$C$5:$AA$492,6,)=0,0,((VLOOKUP($D444,$C$5:$AA$492,6,)/VLOOKUP($D444,$C$5:$AA$492,4,))*$F444))</f>
        <v>0</v>
      </c>
      <c r="I444" s="49">
        <f t="shared" ref="I444:I455" si="257">IF(VLOOKUP($D444,$C$5:$AA$492,7,)=0,0,((VLOOKUP($D444,$C$5:$AA$492,7,)/VLOOKUP($D444,$C$5:$AA$492,4,))*$F444))</f>
        <v>0</v>
      </c>
      <c r="J444" s="49"/>
      <c r="K444" s="49">
        <f t="shared" ref="K444:K455" si="258">IF(VLOOKUP($D444,$C$5:$AA$492,9,)=0,0,((VLOOKUP($D444,$C$5:$AA$492,9,)/VLOOKUP($D444,$C$5:$AA$492,4,))*$F444))</f>
        <v>0</v>
      </c>
      <c r="L444" s="49"/>
      <c r="M444" s="49">
        <f t="shared" ref="M444:M455" si="259">IF(VLOOKUP($D444,$C$5:$AA$492,11,)=0,0,((VLOOKUP($D444,$C$5:$AA$492,11,)/VLOOKUP($D444,$C$5:$AA$492,4,))*$F444))</f>
        <v>2548.6246339263876</v>
      </c>
      <c r="N444" s="49"/>
      <c r="O444" s="49">
        <f t="shared" ref="O444:O455" si="260">IF(VLOOKUP($D444,$C$5:$AA$492,13,)=0,0,((VLOOKUP($D444,$C$5:$AA$492,13,)/VLOOKUP($D444,$C$5:$AA$492,4,))*$F444))</f>
        <v>507237.47412561323</v>
      </c>
      <c r="P444" s="49">
        <f t="shared" ref="P444:P455" si="261">IF(VLOOKUP($D444,$C$5:$AA$492,14,)=0,0,((VLOOKUP($D444,$C$5:$AA$492,14,)/VLOOKUP($D444,$C$5:$AA$492,4,))*$F444))</f>
        <v>270823.58099701646</v>
      </c>
      <c r="Q444" s="49"/>
      <c r="R444" s="49">
        <f t="shared" ref="R444:R455" si="262">IF(VLOOKUP($D444,$C$5:$AA$492,16,)=0,0,((VLOOKUP($D444,$C$5:$AA$492,16,)/VLOOKUP($D444,$C$5:$AA$492,4,))*$F444))</f>
        <v>0</v>
      </c>
      <c r="S444" s="49">
        <f t="shared" ref="S444:S455" si="263">IF(VLOOKUP($D444,$C$5:$AA$492,17,)=0,0,((VLOOKUP($D444,$C$5:$AA$492,17,)/VLOOKUP($D444,$C$5:$AA$492,4,))*$F444))</f>
        <v>35020.033015826084</v>
      </c>
      <c r="T444" s="49"/>
      <c r="U444" s="49">
        <f t="shared" ref="U444:U455" si="264">IF(VLOOKUP($D444,$C$5:$AA$492,19,)=0,0,((VLOOKUP($D444,$C$5:$AA$492,19,)/VLOOKUP($D444,$C$5:$AA$492,4,))*$F444))</f>
        <v>50433.251721652472</v>
      </c>
      <c r="V444" s="49"/>
      <c r="W444" s="49">
        <f t="shared" ref="W444:W455" si="265">IF(VLOOKUP($D444,$C$5:$AA$492,21,)=0,0,((VLOOKUP($D444,$C$5:$AA$492,21,)/VLOOKUP($D444,$C$5:$AA$492,4,))*$F444))</f>
        <v>8842.5644236550797</v>
      </c>
      <c r="X444" s="49"/>
      <c r="Y444" s="49">
        <f t="shared" ref="Y444:Y455" si="266">IF(VLOOKUP($D444,$C$5:$AA$492,23,)=0,0,((VLOOKUP($D444,$C$5:$AA$492,23,)/VLOOKUP($D444,$C$5:$AA$492,4,))*$F444))</f>
        <v>229225.42656463795</v>
      </c>
      <c r="Z444" s="49"/>
      <c r="AA444" s="49">
        <f t="shared" ref="AA444:AA455" si="267">IF(VLOOKUP($D444,$C$5:$AA$492,25,)=0,0,((VLOOKUP($D444,$C$5:$AA$492,25,)/VLOOKUP($D444,$C$5:$AA$492,4,))*$F444))</f>
        <v>3345.8445176723822</v>
      </c>
      <c r="AB444" s="49">
        <f t="shared" ref="AB444:AB455" si="268">SUM(H444:AA444)</f>
        <v>1107476.8</v>
      </c>
      <c r="AC444" s="27" t="str">
        <f t="shared" ref="AC444:AC455" si="269">IF(ABS(AB444-F444)&lt;1,"ok","err")</f>
        <v>ok</v>
      </c>
    </row>
    <row r="445" spans="1:29" x14ac:dyDescent="0.2">
      <c r="A445" s="14">
        <v>921</v>
      </c>
      <c r="B445" s="14" t="s">
        <v>161</v>
      </c>
      <c r="C445" s="14" t="s">
        <v>517</v>
      </c>
      <c r="D445" s="14" t="s">
        <v>515</v>
      </c>
      <c r="F445" s="49">
        <v>4940</v>
      </c>
      <c r="H445" s="49">
        <f t="shared" si="256"/>
        <v>0</v>
      </c>
      <c r="I445" s="49">
        <f t="shared" si="257"/>
        <v>0</v>
      </c>
      <c r="J445" s="49"/>
      <c r="K445" s="49">
        <f t="shared" si="258"/>
        <v>0</v>
      </c>
      <c r="L445" s="49"/>
      <c r="M445" s="49">
        <f t="shared" si="259"/>
        <v>4.9485562579677813</v>
      </c>
      <c r="N445" s="49"/>
      <c r="O445" s="49">
        <f t="shared" si="260"/>
        <v>1877.3394432702132</v>
      </c>
      <c r="P445" s="49">
        <f t="shared" si="261"/>
        <v>1048.5978884674009</v>
      </c>
      <c r="Q445" s="49"/>
      <c r="R445" s="49">
        <f t="shared" si="262"/>
        <v>0</v>
      </c>
      <c r="S445" s="49">
        <f t="shared" si="263"/>
        <v>90.404716571525896</v>
      </c>
      <c r="T445" s="49"/>
      <c r="U445" s="49">
        <f t="shared" si="264"/>
        <v>337.416242824785</v>
      </c>
      <c r="V445" s="49"/>
      <c r="W445" s="49">
        <f t="shared" si="265"/>
        <v>66.753194252929035</v>
      </c>
      <c r="X445" s="49"/>
      <c r="Y445" s="49">
        <f t="shared" si="266"/>
        <v>1184.8946618393825</v>
      </c>
      <c r="Z445" s="49"/>
      <c r="AA445" s="49">
        <f t="shared" si="267"/>
        <v>329.64529651579528</v>
      </c>
      <c r="AB445" s="49">
        <f t="shared" si="268"/>
        <v>4940</v>
      </c>
      <c r="AC445" s="27" t="str">
        <f t="shared" si="269"/>
        <v>ok</v>
      </c>
    </row>
    <row r="446" spans="1:29" x14ac:dyDescent="0.2">
      <c r="A446" s="14">
        <v>923</v>
      </c>
      <c r="B446" s="14" t="s">
        <v>163</v>
      </c>
      <c r="C446" s="14" t="s">
        <v>518</v>
      </c>
      <c r="D446" s="14" t="s">
        <v>410</v>
      </c>
      <c r="F446" s="49">
        <v>0</v>
      </c>
      <c r="H446" s="49">
        <f t="shared" si="256"/>
        <v>0</v>
      </c>
      <c r="I446" s="49">
        <f t="shared" si="257"/>
        <v>0</v>
      </c>
      <c r="J446" s="49"/>
      <c r="K446" s="49">
        <f t="shared" si="258"/>
        <v>0</v>
      </c>
      <c r="L446" s="49"/>
      <c r="M446" s="49">
        <f t="shared" si="259"/>
        <v>0</v>
      </c>
      <c r="N446" s="49"/>
      <c r="O446" s="49">
        <f t="shared" si="260"/>
        <v>0</v>
      </c>
      <c r="P446" s="49">
        <f t="shared" si="261"/>
        <v>0</v>
      </c>
      <c r="Q446" s="49"/>
      <c r="R446" s="49">
        <f t="shared" si="262"/>
        <v>0</v>
      </c>
      <c r="S446" s="49">
        <f t="shared" si="263"/>
        <v>0</v>
      </c>
      <c r="T446" s="49"/>
      <c r="U446" s="49">
        <f t="shared" si="264"/>
        <v>0</v>
      </c>
      <c r="V446" s="49"/>
      <c r="W446" s="49">
        <f t="shared" si="265"/>
        <v>0</v>
      </c>
      <c r="X446" s="49"/>
      <c r="Y446" s="49">
        <f t="shared" si="266"/>
        <v>0</v>
      </c>
      <c r="Z446" s="49"/>
      <c r="AA446" s="49">
        <f t="shared" si="267"/>
        <v>0</v>
      </c>
      <c r="AB446" s="49">
        <f t="shared" si="268"/>
        <v>0</v>
      </c>
      <c r="AC446" s="27" t="str">
        <f t="shared" si="269"/>
        <v>ok</v>
      </c>
    </row>
    <row r="447" spans="1:29" x14ac:dyDescent="0.2">
      <c r="A447" s="14">
        <v>924</v>
      </c>
      <c r="B447" s="14" t="s">
        <v>165</v>
      </c>
      <c r="C447" s="14" t="s">
        <v>519</v>
      </c>
      <c r="D447" s="14" t="s">
        <v>84</v>
      </c>
      <c r="F447" s="49">
        <v>0</v>
      </c>
      <c r="H447" s="49">
        <f t="shared" si="256"/>
        <v>0</v>
      </c>
      <c r="I447" s="49">
        <f t="shared" si="257"/>
        <v>0</v>
      </c>
      <c r="J447" s="49"/>
      <c r="K447" s="49">
        <f t="shared" si="258"/>
        <v>0</v>
      </c>
      <c r="L447" s="49"/>
      <c r="M447" s="49">
        <f t="shared" si="259"/>
        <v>0</v>
      </c>
      <c r="N447" s="49"/>
      <c r="O447" s="49">
        <f t="shared" si="260"/>
        <v>0</v>
      </c>
      <c r="P447" s="49">
        <f t="shared" si="261"/>
        <v>0</v>
      </c>
      <c r="Q447" s="49"/>
      <c r="R447" s="49">
        <f t="shared" si="262"/>
        <v>0</v>
      </c>
      <c r="S447" s="49">
        <f t="shared" si="263"/>
        <v>0</v>
      </c>
      <c r="T447" s="49"/>
      <c r="U447" s="49">
        <f t="shared" si="264"/>
        <v>0</v>
      </c>
      <c r="V447" s="49"/>
      <c r="W447" s="49">
        <f t="shared" si="265"/>
        <v>0</v>
      </c>
      <c r="X447" s="49"/>
      <c r="Y447" s="49">
        <f t="shared" si="266"/>
        <v>0</v>
      </c>
      <c r="Z447" s="49"/>
      <c r="AA447" s="49">
        <f t="shared" si="267"/>
        <v>0</v>
      </c>
      <c r="AB447" s="49">
        <f t="shared" si="268"/>
        <v>0</v>
      </c>
      <c r="AC447" s="27" t="str">
        <f t="shared" si="269"/>
        <v>ok</v>
      </c>
    </row>
    <row r="448" spans="1:29" x14ac:dyDescent="0.2">
      <c r="A448" s="14">
        <v>925</v>
      </c>
      <c r="B448" s="14" t="s">
        <v>167</v>
      </c>
      <c r="C448" s="14" t="s">
        <v>520</v>
      </c>
      <c r="D448" s="14" t="s">
        <v>515</v>
      </c>
      <c r="F448" s="49">
        <v>4862.99</v>
      </c>
      <c r="H448" s="49">
        <f t="shared" si="256"/>
        <v>0</v>
      </c>
      <c r="I448" s="49">
        <f t="shared" si="257"/>
        <v>0</v>
      </c>
      <c r="J448" s="49"/>
      <c r="K448" s="49">
        <f t="shared" si="258"/>
        <v>0</v>
      </c>
      <c r="L448" s="49"/>
      <c r="M448" s="49">
        <f t="shared" si="259"/>
        <v>4.871412873873429</v>
      </c>
      <c r="N448" s="49"/>
      <c r="O448" s="49">
        <f t="shared" si="260"/>
        <v>1848.0734694794764</v>
      </c>
      <c r="P448" s="49">
        <f t="shared" si="261"/>
        <v>1032.2512238133777</v>
      </c>
      <c r="Q448" s="49"/>
      <c r="R448" s="49">
        <f t="shared" si="262"/>
        <v>0</v>
      </c>
      <c r="S448" s="49">
        <f t="shared" si="263"/>
        <v>88.995391222705408</v>
      </c>
      <c r="T448" s="49"/>
      <c r="U448" s="49">
        <f t="shared" si="264"/>
        <v>332.15623779240912</v>
      </c>
      <c r="V448" s="49"/>
      <c r="W448" s="49">
        <f t="shared" si="265"/>
        <v>65.712574113370721</v>
      </c>
      <c r="X448" s="49"/>
      <c r="Y448" s="49">
        <f t="shared" si="266"/>
        <v>1166.4232574045138</v>
      </c>
      <c r="Z448" s="49"/>
      <c r="AA448" s="49">
        <f t="shared" si="267"/>
        <v>324.5064333002727</v>
      </c>
      <c r="AB448" s="49">
        <f t="shared" si="268"/>
        <v>4862.99</v>
      </c>
      <c r="AC448" s="27" t="str">
        <f t="shared" si="269"/>
        <v>ok</v>
      </c>
    </row>
    <row r="449" spans="1:29" x14ac:dyDescent="0.2">
      <c r="A449" s="14">
        <v>926</v>
      </c>
      <c r="B449" s="14" t="s">
        <v>169</v>
      </c>
      <c r="C449" s="14" t="s">
        <v>521</v>
      </c>
      <c r="D449" s="14" t="s">
        <v>515</v>
      </c>
      <c r="F449" s="49">
        <v>844833.22</v>
      </c>
      <c r="H449" s="49">
        <f t="shared" si="256"/>
        <v>0</v>
      </c>
      <c r="I449" s="49">
        <f t="shared" si="257"/>
        <v>0</v>
      </c>
      <c r="J449" s="49"/>
      <c r="K449" s="49">
        <f t="shared" si="258"/>
        <v>0</v>
      </c>
      <c r="L449" s="49"/>
      <c r="M449" s="49">
        <f t="shared" si="259"/>
        <v>846.29650157288893</v>
      </c>
      <c r="N449" s="49"/>
      <c r="O449" s="49">
        <f t="shared" si="260"/>
        <v>321060.47103056306</v>
      </c>
      <c r="P449" s="49">
        <f t="shared" si="261"/>
        <v>179330.02643706786</v>
      </c>
      <c r="Q449" s="49"/>
      <c r="R449" s="49">
        <f t="shared" si="262"/>
        <v>0</v>
      </c>
      <c r="S449" s="49">
        <f t="shared" si="263"/>
        <v>15460.912510993843</v>
      </c>
      <c r="T449" s="49"/>
      <c r="U449" s="49">
        <f t="shared" si="264"/>
        <v>57704.544717806682</v>
      </c>
      <c r="V449" s="49"/>
      <c r="W449" s="49">
        <f t="shared" si="265"/>
        <v>11416.05587975456</v>
      </c>
      <c r="X449" s="49"/>
      <c r="Y449" s="49">
        <f t="shared" si="266"/>
        <v>202639.34666448922</v>
      </c>
      <c r="Z449" s="49"/>
      <c r="AA449" s="49">
        <f t="shared" si="267"/>
        <v>56375.566257751845</v>
      </c>
      <c r="AB449" s="49">
        <f t="shared" si="268"/>
        <v>844833.22000000009</v>
      </c>
      <c r="AC449" s="27" t="str">
        <f t="shared" si="269"/>
        <v>ok</v>
      </c>
    </row>
    <row r="450" spans="1:29" x14ac:dyDescent="0.2">
      <c r="A450" s="14">
        <v>928</v>
      </c>
      <c r="B450" s="14" t="s">
        <v>171</v>
      </c>
      <c r="C450" s="14" t="s">
        <v>522</v>
      </c>
      <c r="D450" s="14" t="s">
        <v>410</v>
      </c>
      <c r="F450" s="49">
        <v>0</v>
      </c>
      <c r="H450" s="49">
        <f t="shared" si="256"/>
        <v>0</v>
      </c>
      <c r="I450" s="49">
        <f t="shared" si="257"/>
        <v>0</v>
      </c>
      <c r="J450" s="49"/>
      <c r="K450" s="49">
        <f t="shared" si="258"/>
        <v>0</v>
      </c>
      <c r="L450" s="49"/>
      <c r="M450" s="49">
        <f t="shared" si="259"/>
        <v>0</v>
      </c>
      <c r="N450" s="49"/>
      <c r="O450" s="49">
        <f t="shared" si="260"/>
        <v>0</v>
      </c>
      <c r="P450" s="49">
        <f t="shared" si="261"/>
        <v>0</v>
      </c>
      <c r="Q450" s="49"/>
      <c r="R450" s="49">
        <f t="shared" si="262"/>
        <v>0</v>
      </c>
      <c r="S450" s="49">
        <f t="shared" si="263"/>
        <v>0</v>
      </c>
      <c r="T450" s="49"/>
      <c r="U450" s="49">
        <f t="shared" si="264"/>
        <v>0</v>
      </c>
      <c r="V450" s="49"/>
      <c r="W450" s="49">
        <f t="shared" si="265"/>
        <v>0</v>
      </c>
      <c r="X450" s="49"/>
      <c r="Y450" s="49">
        <f t="shared" si="266"/>
        <v>0</v>
      </c>
      <c r="Z450" s="49"/>
      <c r="AA450" s="49">
        <f t="shared" si="267"/>
        <v>0</v>
      </c>
      <c r="AB450" s="49">
        <f t="shared" si="268"/>
        <v>0</v>
      </c>
      <c r="AC450" s="27" t="str">
        <f t="shared" si="269"/>
        <v>ok</v>
      </c>
    </row>
    <row r="451" spans="1:29" x14ac:dyDescent="0.2">
      <c r="A451" s="14">
        <v>929</v>
      </c>
      <c r="B451" s="14" t="s">
        <v>384</v>
      </c>
      <c r="C451" s="14" t="s">
        <v>523</v>
      </c>
      <c r="D451" s="14" t="s">
        <v>410</v>
      </c>
      <c r="F451" s="49">
        <v>0</v>
      </c>
      <c r="H451" s="49">
        <f t="shared" si="256"/>
        <v>0</v>
      </c>
      <c r="I451" s="49">
        <f t="shared" si="257"/>
        <v>0</v>
      </c>
      <c r="J451" s="49"/>
      <c r="K451" s="49">
        <f t="shared" si="258"/>
        <v>0</v>
      </c>
      <c r="L451" s="49"/>
      <c r="M451" s="49">
        <f t="shared" si="259"/>
        <v>0</v>
      </c>
      <c r="N451" s="49"/>
      <c r="O451" s="49">
        <f t="shared" si="260"/>
        <v>0</v>
      </c>
      <c r="P451" s="49">
        <f t="shared" si="261"/>
        <v>0</v>
      </c>
      <c r="Q451" s="49"/>
      <c r="R451" s="49">
        <f t="shared" si="262"/>
        <v>0</v>
      </c>
      <c r="S451" s="49">
        <f t="shared" si="263"/>
        <v>0</v>
      </c>
      <c r="T451" s="49"/>
      <c r="U451" s="49">
        <f t="shared" si="264"/>
        <v>0</v>
      </c>
      <c r="V451" s="49"/>
      <c r="W451" s="49">
        <f t="shared" si="265"/>
        <v>0</v>
      </c>
      <c r="X451" s="49"/>
      <c r="Y451" s="49">
        <f t="shared" si="266"/>
        <v>0</v>
      </c>
      <c r="Z451" s="49"/>
      <c r="AA451" s="49">
        <f t="shared" si="267"/>
        <v>0</v>
      </c>
      <c r="AB451" s="49">
        <f t="shared" si="268"/>
        <v>0</v>
      </c>
      <c r="AC451" s="27" t="str">
        <f t="shared" si="269"/>
        <v>ok</v>
      </c>
    </row>
    <row r="452" spans="1:29" x14ac:dyDescent="0.2">
      <c r="A452" s="14">
        <v>930</v>
      </c>
      <c r="B452" s="14" t="s">
        <v>173</v>
      </c>
      <c r="C452" s="14" t="s">
        <v>524</v>
      </c>
      <c r="D452" s="14" t="s">
        <v>410</v>
      </c>
      <c r="F452" s="49">
        <v>230.1</v>
      </c>
      <c r="H452" s="49">
        <f t="shared" si="256"/>
        <v>0</v>
      </c>
      <c r="I452" s="49">
        <f t="shared" si="257"/>
        <v>0</v>
      </c>
      <c r="J452" s="49"/>
      <c r="K452" s="49">
        <f t="shared" si="258"/>
        <v>0</v>
      </c>
      <c r="L452" s="49"/>
      <c r="M452" s="49">
        <f t="shared" si="259"/>
        <v>0.52952669371174343</v>
      </c>
      <c r="N452" s="49"/>
      <c r="O452" s="49">
        <f t="shared" si="260"/>
        <v>105.38852172461183</v>
      </c>
      <c r="P452" s="49">
        <f t="shared" si="261"/>
        <v>56.268904222114166</v>
      </c>
      <c r="Q452" s="49"/>
      <c r="R452" s="49">
        <f t="shared" si="262"/>
        <v>0</v>
      </c>
      <c r="S452" s="49">
        <f t="shared" si="263"/>
        <v>7.2760978802820802</v>
      </c>
      <c r="T452" s="49"/>
      <c r="U452" s="49">
        <f t="shared" si="264"/>
        <v>10.478496002040163</v>
      </c>
      <c r="V452" s="49"/>
      <c r="W452" s="49">
        <f t="shared" si="265"/>
        <v>1.8372159794977501</v>
      </c>
      <c r="X452" s="49"/>
      <c r="Y452" s="49">
        <f t="shared" si="266"/>
        <v>47.626072756127428</v>
      </c>
      <c r="Z452" s="49"/>
      <c r="AA452" s="49">
        <f t="shared" si="267"/>
        <v>0.69516474161482666</v>
      </c>
      <c r="AB452" s="49">
        <f t="shared" si="268"/>
        <v>230.10000000000002</v>
      </c>
      <c r="AC452" s="27" t="str">
        <f t="shared" si="269"/>
        <v>ok</v>
      </c>
    </row>
    <row r="453" spans="1:29" x14ac:dyDescent="0.2">
      <c r="A453" s="14">
        <v>931</v>
      </c>
      <c r="B453" s="14" t="s">
        <v>175</v>
      </c>
      <c r="C453" s="14" t="s">
        <v>525</v>
      </c>
      <c r="D453" s="14" t="s">
        <v>84</v>
      </c>
      <c r="F453" s="49">
        <v>0</v>
      </c>
      <c r="H453" s="49">
        <f t="shared" si="256"/>
        <v>0</v>
      </c>
      <c r="I453" s="49">
        <f t="shared" si="257"/>
        <v>0</v>
      </c>
      <c r="J453" s="49"/>
      <c r="K453" s="49">
        <f t="shared" si="258"/>
        <v>0</v>
      </c>
      <c r="L453" s="49"/>
      <c r="M453" s="49">
        <f t="shared" si="259"/>
        <v>0</v>
      </c>
      <c r="N453" s="49"/>
      <c r="O453" s="49">
        <f t="shared" si="260"/>
        <v>0</v>
      </c>
      <c r="P453" s="49">
        <f t="shared" si="261"/>
        <v>0</v>
      </c>
      <c r="Q453" s="49"/>
      <c r="R453" s="49">
        <f t="shared" si="262"/>
        <v>0</v>
      </c>
      <c r="S453" s="49">
        <f t="shared" si="263"/>
        <v>0</v>
      </c>
      <c r="T453" s="49"/>
      <c r="U453" s="49">
        <f t="shared" si="264"/>
        <v>0</v>
      </c>
      <c r="V453" s="49"/>
      <c r="W453" s="49">
        <f t="shared" si="265"/>
        <v>0</v>
      </c>
      <c r="X453" s="49"/>
      <c r="Y453" s="49">
        <f t="shared" si="266"/>
        <v>0</v>
      </c>
      <c r="Z453" s="49"/>
      <c r="AA453" s="49">
        <f t="shared" si="267"/>
        <v>0</v>
      </c>
      <c r="AB453" s="49">
        <f t="shared" si="268"/>
        <v>0</v>
      </c>
      <c r="AC453" s="27" t="str">
        <f t="shared" si="269"/>
        <v>ok</v>
      </c>
    </row>
    <row r="454" spans="1:29" x14ac:dyDescent="0.2">
      <c r="A454" s="14">
        <v>935</v>
      </c>
      <c r="B454" s="14" t="s">
        <v>177</v>
      </c>
      <c r="C454" s="14" t="s">
        <v>712</v>
      </c>
      <c r="D454" s="14" t="s">
        <v>70</v>
      </c>
      <c r="F454" s="49">
        <v>16467.84</v>
      </c>
      <c r="H454" s="49">
        <f t="shared" si="256"/>
        <v>0</v>
      </c>
      <c r="I454" s="49">
        <f t="shared" si="257"/>
        <v>0</v>
      </c>
      <c r="J454" s="49"/>
      <c r="K454" s="49">
        <f t="shared" si="258"/>
        <v>0</v>
      </c>
      <c r="L454" s="49"/>
      <c r="M454" s="49">
        <f t="shared" si="259"/>
        <v>115.53982495133482</v>
      </c>
      <c r="N454" s="49"/>
      <c r="O454" s="49">
        <f t="shared" si="260"/>
        <v>7531.1496296957775</v>
      </c>
      <c r="P454" s="49">
        <f t="shared" si="261"/>
        <v>5060.2884562100753</v>
      </c>
      <c r="Q454" s="49"/>
      <c r="R454" s="49">
        <f t="shared" si="262"/>
        <v>0</v>
      </c>
      <c r="S454" s="49">
        <f t="shared" si="263"/>
        <v>2110.7863754465475</v>
      </c>
      <c r="T454" s="49"/>
      <c r="U454" s="49">
        <f t="shared" si="264"/>
        <v>820.41366845620291</v>
      </c>
      <c r="V454" s="49"/>
      <c r="W454" s="49">
        <f t="shared" si="265"/>
        <v>829.66204524006321</v>
      </c>
      <c r="X454" s="49"/>
      <c r="Y454" s="49">
        <f t="shared" si="266"/>
        <v>0</v>
      </c>
      <c r="Z454" s="49"/>
      <c r="AA454" s="49">
        <f t="shared" si="267"/>
        <v>0</v>
      </c>
      <c r="AB454" s="49">
        <f t="shared" si="268"/>
        <v>16467.84</v>
      </c>
      <c r="AC454" s="27" t="str">
        <f t="shared" si="269"/>
        <v>ok</v>
      </c>
    </row>
    <row r="455" spans="1:29" x14ac:dyDescent="0.2">
      <c r="A455" s="14">
        <v>950</v>
      </c>
      <c r="B455" s="14" t="s">
        <v>592</v>
      </c>
      <c r="C455" s="14" t="s">
        <v>593</v>
      </c>
      <c r="D455" s="14" t="s">
        <v>70</v>
      </c>
      <c r="F455" s="49">
        <v>0</v>
      </c>
      <c r="H455" s="49">
        <f t="shared" si="256"/>
        <v>0</v>
      </c>
      <c r="I455" s="49">
        <f t="shared" si="257"/>
        <v>0</v>
      </c>
      <c r="J455" s="49"/>
      <c r="K455" s="49">
        <f t="shared" si="258"/>
        <v>0</v>
      </c>
      <c r="L455" s="49"/>
      <c r="M455" s="49">
        <f t="shared" si="259"/>
        <v>0</v>
      </c>
      <c r="N455" s="49"/>
      <c r="O455" s="49">
        <f t="shared" si="260"/>
        <v>0</v>
      </c>
      <c r="P455" s="49">
        <f t="shared" si="261"/>
        <v>0</v>
      </c>
      <c r="Q455" s="49"/>
      <c r="R455" s="49">
        <f t="shared" si="262"/>
        <v>0</v>
      </c>
      <c r="S455" s="49">
        <f t="shared" si="263"/>
        <v>0</v>
      </c>
      <c r="T455" s="49"/>
      <c r="U455" s="49">
        <f t="shared" si="264"/>
        <v>0</v>
      </c>
      <c r="V455" s="49"/>
      <c r="W455" s="49">
        <f t="shared" si="265"/>
        <v>0</v>
      </c>
      <c r="X455" s="49"/>
      <c r="Y455" s="49">
        <f t="shared" si="266"/>
        <v>0</v>
      </c>
      <c r="Z455" s="49"/>
      <c r="AA455" s="49">
        <f t="shared" si="267"/>
        <v>0</v>
      </c>
      <c r="AB455" s="49">
        <f t="shared" si="268"/>
        <v>0</v>
      </c>
      <c r="AC455" s="27" t="str">
        <f t="shared" si="269"/>
        <v>ok</v>
      </c>
    </row>
    <row r="456" spans="1:29" x14ac:dyDescent="0.2">
      <c r="F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27"/>
    </row>
    <row r="457" spans="1:29" x14ac:dyDescent="0.2">
      <c r="A457" s="14" t="s">
        <v>178</v>
      </c>
      <c r="C457" s="14" t="s">
        <v>526</v>
      </c>
      <c r="F457" s="66">
        <f>SUM(F444:F456)</f>
        <v>1978810.9500000002</v>
      </c>
      <c r="G457" s="66"/>
      <c r="H457" s="66">
        <f>SUM(H444:H456)</f>
        <v>0</v>
      </c>
      <c r="I457" s="66">
        <f>SUM(I444:I456)</f>
        <v>0</v>
      </c>
      <c r="J457" s="66"/>
      <c r="K457" s="66">
        <f>SUM(K444:K456)</f>
        <v>0</v>
      </c>
      <c r="L457" s="66"/>
      <c r="M457" s="66">
        <f>SUM(M444:M456)</f>
        <v>3520.8104562761646</v>
      </c>
      <c r="N457" s="66"/>
      <c r="O457" s="66">
        <f>SUM(O444:O456)</f>
        <v>839659.89622034645</v>
      </c>
      <c r="P457" s="66">
        <f>SUM(P444:P456)</f>
        <v>457351.01390679734</v>
      </c>
      <c r="Q457" s="66"/>
      <c r="R457" s="66">
        <f>SUM(R444:R456)</f>
        <v>0</v>
      </c>
      <c r="S457" s="66">
        <f>SUM(S444:S456)</f>
        <v>52778.408107940995</v>
      </c>
      <c r="T457" s="66"/>
      <c r="U457" s="66">
        <f>SUM(U444:U456)</f>
        <v>109638.26108453458</v>
      </c>
      <c r="V457" s="66"/>
      <c r="W457" s="66">
        <f>SUM(W444:W456)</f>
        <v>21222.585332995503</v>
      </c>
      <c r="X457" s="66"/>
      <c r="Y457" s="66">
        <f>SUM(Y444:Y456)</f>
        <v>434263.71722112718</v>
      </c>
      <c r="Z457" s="66"/>
      <c r="AA457" s="66">
        <f>SUM(AA444:AA456)</f>
        <v>60376.257669981911</v>
      </c>
      <c r="AB457" s="49">
        <f>SUM(H457:AA457)</f>
        <v>1978810.95</v>
      </c>
      <c r="AC457" s="27" t="str">
        <f>IF(ABS(AB457-F457)&lt;1,"ok","err")</f>
        <v>ok</v>
      </c>
    </row>
    <row r="458" spans="1:29" x14ac:dyDescent="0.2">
      <c r="F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27"/>
    </row>
    <row r="459" spans="1:29" x14ac:dyDescent="0.2">
      <c r="A459" s="14" t="s">
        <v>180</v>
      </c>
      <c r="C459" s="14" t="s">
        <v>527</v>
      </c>
      <c r="F459" s="66">
        <f>F354+F412+F421+F436+F457</f>
        <v>5150316.87</v>
      </c>
      <c r="G459" s="66"/>
      <c r="H459" s="66">
        <f>H354+H412+H421+H436+H457</f>
        <v>0</v>
      </c>
      <c r="I459" s="66">
        <f>I354+I412+I421+I436+I457</f>
        <v>0</v>
      </c>
      <c r="J459" s="66"/>
      <c r="K459" s="66">
        <f>K354+K412+K421+K436+K457</f>
        <v>0</v>
      </c>
      <c r="L459" s="66"/>
      <c r="M459" s="66">
        <f>M354+M412+M421+M436+M457</f>
        <v>6697.8095387858539</v>
      </c>
      <c r="N459" s="66"/>
      <c r="O459" s="66">
        <f>O354+O412+O421+O436+O457</f>
        <v>2044921.6691314771</v>
      </c>
      <c r="P459" s="66">
        <f>P354+P412+P421+P436+P457</f>
        <v>1130556.3602577816</v>
      </c>
      <c r="Q459" s="66"/>
      <c r="R459" s="66">
        <f>R354+R412+R421+R436+R457</f>
        <v>0</v>
      </c>
      <c r="S459" s="66">
        <f>S354+S412+S421+S436+S457</f>
        <v>110818.71049711437</v>
      </c>
      <c r="T459" s="66"/>
      <c r="U459" s="66">
        <f>U354+U412+U421+U436+U457</f>
        <v>326261.25938877813</v>
      </c>
      <c r="V459" s="66"/>
      <c r="W459" s="66">
        <f>W354+W412+W421+W436+W457</f>
        <v>64078.48629495388</v>
      </c>
      <c r="X459" s="66"/>
      <c r="Y459" s="66">
        <f>Y354+Y412+Y421+Y436+Y457</f>
        <v>1194972.3072211272</v>
      </c>
      <c r="Z459" s="66"/>
      <c r="AA459" s="66">
        <f>AA354+AA412+AA421+AA436+AA457</f>
        <v>272010.26766998193</v>
      </c>
      <c r="AB459" s="49">
        <f>SUM(H459:AA459)</f>
        <v>5150316.87</v>
      </c>
      <c r="AC459" s="27" t="str">
        <f>IF(ABS(AB459-F459)&lt;1,"ok","err")</f>
        <v>ok</v>
      </c>
    </row>
    <row r="460" spans="1:29" x14ac:dyDescent="0.2">
      <c r="F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27"/>
    </row>
    <row r="461" spans="1:29" x14ac:dyDescent="0.2">
      <c r="A461" s="14" t="s">
        <v>411</v>
      </c>
      <c r="C461" s="14" t="s">
        <v>528</v>
      </c>
      <c r="F461" s="89">
        <f>F459-F360</f>
        <v>5150316.87</v>
      </c>
      <c r="G461" s="89"/>
      <c r="H461" s="89">
        <f>H459-H360</f>
        <v>0</v>
      </c>
      <c r="I461" s="89">
        <f>I459-I360</f>
        <v>0</v>
      </c>
      <c r="J461" s="89"/>
      <c r="K461" s="89">
        <f>K459-K360</f>
        <v>0</v>
      </c>
      <c r="L461" s="89"/>
      <c r="M461" s="89">
        <f>M459-M360</f>
        <v>6697.8095387858539</v>
      </c>
      <c r="N461" s="89"/>
      <c r="O461" s="89">
        <f>O459-O360</f>
        <v>2044921.6691314771</v>
      </c>
      <c r="P461" s="89">
        <f>P459-P360</f>
        <v>1130556.3602577816</v>
      </c>
      <c r="Q461" s="89"/>
      <c r="R461" s="89">
        <f>R459-R360</f>
        <v>0</v>
      </c>
      <c r="S461" s="89">
        <f>S459-S360</f>
        <v>110818.71049711437</v>
      </c>
      <c r="T461" s="89"/>
      <c r="U461" s="89">
        <f>U459-U360</f>
        <v>326261.25938877813</v>
      </c>
      <c r="V461" s="89"/>
      <c r="W461" s="89">
        <f>W459-W360</f>
        <v>64078.48629495388</v>
      </c>
      <c r="X461" s="89"/>
      <c r="Y461" s="89">
        <f>Y459-Y360</f>
        <v>1194972.3072211272</v>
      </c>
      <c r="Z461" s="89"/>
      <c r="AA461" s="89">
        <f>AA459-AA360</f>
        <v>272010.26766998193</v>
      </c>
      <c r="AB461" s="49">
        <f>SUM(H461:AA461)</f>
        <v>5150316.87</v>
      </c>
      <c r="AC461" s="27" t="str">
        <f>IF(ABS(AB461-F461)&lt;1,"ok","err")</f>
        <v>ok</v>
      </c>
    </row>
    <row r="462" spans="1:29" x14ac:dyDescent="0.2"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49"/>
      <c r="AC462" s="27"/>
    </row>
    <row r="463" spans="1:29" x14ac:dyDescent="0.2">
      <c r="A463" s="25" t="s">
        <v>197</v>
      </c>
      <c r="AC463" s="27"/>
    </row>
    <row r="464" spans="1:29" x14ac:dyDescent="0.2">
      <c r="AC464" s="27"/>
    </row>
    <row r="465" spans="1:29" x14ac:dyDescent="0.2">
      <c r="A465" s="14" t="s">
        <v>1</v>
      </c>
      <c r="C465" s="14" t="s">
        <v>24</v>
      </c>
      <c r="F465" s="93">
        <v>1</v>
      </c>
      <c r="G465" s="93"/>
      <c r="H465" s="94">
        <v>0</v>
      </c>
      <c r="I465" s="94">
        <v>0</v>
      </c>
      <c r="J465" s="94"/>
      <c r="K465" s="94">
        <v>0</v>
      </c>
      <c r="L465" s="93"/>
      <c r="M465" s="94">
        <v>1</v>
      </c>
      <c r="N465" s="93"/>
      <c r="O465" s="94">
        <v>0</v>
      </c>
      <c r="P465" s="94">
        <v>0</v>
      </c>
      <c r="Q465" s="95"/>
      <c r="R465" s="93">
        <v>0</v>
      </c>
      <c r="S465" s="93">
        <v>0</v>
      </c>
      <c r="T465" s="93"/>
      <c r="U465" s="93">
        <v>0</v>
      </c>
      <c r="V465" s="93"/>
      <c r="W465" s="93">
        <v>0</v>
      </c>
      <c r="X465" s="93"/>
      <c r="Y465" s="93">
        <v>0</v>
      </c>
      <c r="Z465" s="93"/>
      <c r="AA465" s="93">
        <v>0</v>
      </c>
      <c r="AB465" s="94">
        <f>SUM(H465:AA465)</f>
        <v>1</v>
      </c>
      <c r="AC465" s="27" t="str">
        <f t="shared" ref="AC465:AC475" si="270">IF(ABS(AB465-F465)&lt;0.0000001,"ok","err")</f>
        <v>ok</v>
      </c>
    </row>
    <row r="466" spans="1:29" x14ac:dyDescent="0.2">
      <c r="A466" s="14" t="s">
        <v>198</v>
      </c>
      <c r="C466" s="14" t="s">
        <v>27</v>
      </c>
      <c r="F466" s="93">
        <v>1</v>
      </c>
      <c r="G466" s="93"/>
      <c r="H466" s="94">
        <v>0</v>
      </c>
      <c r="I466" s="94">
        <v>0</v>
      </c>
      <c r="J466" s="94"/>
      <c r="K466" s="94">
        <v>0</v>
      </c>
      <c r="L466" s="93"/>
      <c r="M466" s="94">
        <v>0</v>
      </c>
      <c r="N466" s="93"/>
      <c r="O466" s="94">
        <f>O467</f>
        <v>0.66741650655705076</v>
      </c>
      <c r="P466" s="94">
        <f>P467</f>
        <v>0.33258349344294919</v>
      </c>
      <c r="Q466" s="95"/>
      <c r="R466" s="93">
        <v>0</v>
      </c>
      <c r="S466" s="93">
        <v>0</v>
      </c>
      <c r="T466" s="93"/>
      <c r="U466" s="93">
        <v>0</v>
      </c>
      <c r="V466" s="93"/>
      <c r="W466" s="93">
        <v>0</v>
      </c>
      <c r="X466" s="93"/>
      <c r="Y466" s="93">
        <v>0</v>
      </c>
      <c r="Z466" s="93"/>
      <c r="AA466" s="93">
        <v>0</v>
      </c>
      <c r="AB466" s="94">
        <f t="shared" ref="AB466:AB474" si="271">SUM(H466:AA466)</f>
        <v>1</v>
      </c>
      <c r="AC466" s="27" t="str">
        <f t="shared" si="270"/>
        <v>ok</v>
      </c>
    </row>
    <row r="467" spans="1:29" x14ac:dyDescent="0.2">
      <c r="A467" s="14" t="s">
        <v>199</v>
      </c>
      <c r="C467" s="14" t="s">
        <v>30</v>
      </c>
      <c r="F467" s="93">
        <v>1</v>
      </c>
      <c r="G467" s="93"/>
      <c r="H467" s="94">
        <v>0</v>
      </c>
      <c r="I467" s="94">
        <v>0</v>
      </c>
      <c r="J467" s="94"/>
      <c r="K467" s="94">
        <v>0</v>
      </c>
      <c r="L467" s="93"/>
      <c r="M467" s="94">
        <v>0</v>
      </c>
      <c r="N467" s="93"/>
      <c r="O467" s="94">
        <f>ZeroInt!D128</f>
        <v>0.66741650655705076</v>
      </c>
      <c r="P467" s="94">
        <f>ZeroInt!E128</f>
        <v>0.33258349344294919</v>
      </c>
      <c r="Q467" s="95"/>
      <c r="R467" s="93">
        <v>0</v>
      </c>
      <c r="S467" s="93">
        <v>0</v>
      </c>
      <c r="T467" s="93"/>
      <c r="U467" s="93">
        <v>0</v>
      </c>
      <c r="V467" s="93"/>
      <c r="W467" s="93">
        <v>0</v>
      </c>
      <c r="X467" s="93"/>
      <c r="Y467" s="93">
        <v>0</v>
      </c>
      <c r="Z467" s="93"/>
      <c r="AA467" s="93">
        <v>0</v>
      </c>
      <c r="AB467" s="94">
        <f t="shared" si="271"/>
        <v>1</v>
      </c>
      <c r="AC467" s="27" t="str">
        <f t="shared" si="270"/>
        <v>ok</v>
      </c>
    </row>
    <row r="468" spans="1:29" x14ac:dyDescent="0.2">
      <c r="A468" s="14" t="s">
        <v>200</v>
      </c>
      <c r="C468" s="14" t="s">
        <v>33</v>
      </c>
      <c r="F468" s="93">
        <v>1</v>
      </c>
      <c r="G468" s="93"/>
      <c r="H468" s="94">
        <v>0</v>
      </c>
      <c r="I468" s="94">
        <v>0</v>
      </c>
      <c r="J468" s="94"/>
      <c r="K468" s="94">
        <v>0</v>
      </c>
      <c r="L468" s="93"/>
      <c r="M468" s="94">
        <v>0</v>
      </c>
      <c r="N468" s="93"/>
      <c r="O468" s="94">
        <f>ZeroInt!D129</f>
        <v>0.48796112088980903</v>
      </c>
      <c r="P468" s="94">
        <f>ZeroInt!E129</f>
        <v>0.51203887911019097</v>
      </c>
      <c r="Q468" s="95"/>
      <c r="R468" s="93">
        <v>0</v>
      </c>
      <c r="S468" s="93">
        <v>0</v>
      </c>
      <c r="T468" s="93"/>
      <c r="U468" s="93">
        <v>0</v>
      </c>
      <c r="V468" s="93"/>
      <c r="W468" s="93">
        <v>0</v>
      </c>
      <c r="X468" s="93"/>
      <c r="Y468" s="93">
        <v>0</v>
      </c>
      <c r="Z468" s="93"/>
      <c r="AA468" s="93">
        <v>0</v>
      </c>
      <c r="AB468" s="94">
        <f t="shared" si="271"/>
        <v>1</v>
      </c>
      <c r="AC468" s="27" t="str">
        <f t="shared" si="270"/>
        <v>ok</v>
      </c>
    </row>
    <row r="469" spans="1:29" x14ac:dyDescent="0.2">
      <c r="A469" s="14" t="s">
        <v>201</v>
      </c>
      <c r="C469" s="14" t="s">
        <v>38</v>
      </c>
      <c r="F469" s="93">
        <v>1</v>
      </c>
      <c r="G469" s="93"/>
      <c r="H469" s="94">
        <v>0</v>
      </c>
      <c r="I469" s="94">
        <v>0</v>
      </c>
      <c r="J469" s="94"/>
      <c r="K469" s="94">
        <v>0</v>
      </c>
      <c r="L469" s="93"/>
      <c r="M469" s="94">
        <v>0</v>
      </c>
      <c r="N469" s="93"/>
      <c r="O469" s="94">
        <f>ZeroInt!D130</f>
        <v>0.43603654783045998</v>
      </c>
      <c r="P469" s="94">
        <f>ZeroInt!E130</f>
        <v>0.56396345216954002</v>
      </c>
      <c r="Q469" s="95"/>
      <c r="R469" s="93">
        <v>0</v>
      </c>
      <c r="S469" s="93">
        <v>0</v>
      </c>
      <c r="T469" s="93"/>
      <c r="U469" s="93">
        <v>0</v>
      </c>
      <c r="V469" s="93"/>
      <c r="W469" s="93">
        <v>0</v>
      </c>
      <c r="X469" s="93"/>
      <c r="Y469" s="93">
        <v>0</v>
      </c>
      <c r="Z469" s="93"/>
      <c r="AA469" s="93">
        <v>0</v>
      </c>
      <c r="AB469" s="94">
        <f t="shared" si="271"/>
        <v>1</v>
      </c>
      <c r="AC469" s="27" t="str">
        <f t="shared" si="270"/>
        <v>ok</v>
      </c>
    </row>
    <row r="470" spans="1:29" x14ac:dyDescent="0.2">
      <c r="A470" s="14" t="s">
        <v>202</v>
      </c>
      <c r="C470" s="14" t="s">
        <v>41</v>
      </c>
      <c r="F470" s="93">
        <v>1</v>
      </c>
      <c r="G470" s="93"/>
      <c r="H470" s="94">
        <v>0</v>
      </c>
      <c r="I470" s="94">
        <v>0</v>
      </c>
      <c r="J470" s="94"/>
      <c r="K470" s="94">
        <v>0</v>
      </c>
      <c r="L470" s="93"/>
      <c r="M470" s="94">
        <v>0</v>
      </c>
      <c r="N470" s="93"/>
      <c r="O470" s="94">
        <v>0</v>
      </c>
      <c r="P470" s="94">
        <v>0</v>
      </c>
      <c r="Q470" s="95"/>
      <c r="R470" s="93">
        <v>0</v>
      </c>
      <c r="S470" s="93">
        <v>1</v>
      </c>
      <c r="T470" s="93"/>
      <c r="U470" s="93">
        <v>0</v>
      </c>
      <c r="V470" s="93"/>
      <c r="W470" s="93">
        <v>0</v>
      </c>
      <c r="X470" s="93"/>
      <c r="Y470" s="93">
        <v>0</v>
      </c>
      <c r="Z470" s="93"/>
      <c r="AA470" s="93">
        <v>0</v>
      </c>
      <c r="AB470" s="94">
        <f t="shared" si="271"/>
        <v>1</v>
      </c>
      <c r="AC470" s="27" t="str">
        <f t="shared" si="270"/>
        <v>ok</v>
      </c>
    </row>
    <row r="471" spans="1:29" x14ac:dyDescent="0.2">
      <c r="A471" s="14" t="s">
        <v>4</v>
      </c>
      <c r="C471" s="14" t="s">
        <v>44</v>
      </c>
      <c r="F471" s="93">
        <v>1</v>
      </c>
      <c r="G471" s="93"/>
      <c r="H471" s="94">
        <v>0</v>
      </c>
      <c r="I471" s="94">
        <v>0</v>
      </c>
      <c r="J471" s="94"/>
      <c r="K471" s="94">
        <v>0</v>
      </c>
      <c r="L471" s="93"/>
      <c r="M471" s="94">
        <v>0</v>
      </c>
      <c r="N471" s="93"/>
      <c r="O471" s="94">
        <v>0</v>
      </c>
      <c r="P471" s="94">
        <v>0</v>
      </c>
      <c r="Q471" s="95"/>
      <c r="R471" s="93">
        <v>0</v>
      </c>
      <c r="S471" s="93">
        <v>0</v>
      </c>
      <c r="T471" s="93"/>
      <c r="U471" s="93">
        <v>1</v>
      </c>
      <c r="V471" s="93"/>
      <c r="W471" s="93">
        <v>0</v>
      </c>
      <c r="X471" s="93"/>
      <c r="Y471" s="93">
        <v>0</v>
      </c>
      <c r="Z471" s="93"/>
      <c r="AA471" s="93">
        <v>0</v>
      </c>
      <c r="AB471" s="94">
        <f t="shared" si="271"/>
        <v>1</v>
      </c>
      <c r="AC471" s="27" t="str">
        <f t="shared" si="270"/>
        <v>ok</v>
      </c>
    </row>
    <row r="472" spans="1:29" x14ac:dyDescent="0.2">
      <c r="A472" s="14" t="s">
        <v>203</v>
      </c>
      <c r="C472" s="14" t="s">
        <v>49</v>
      </c>
      <c r="F472" s="93">
        <v>1</v>
      </c>
      <c r="G472" s="93"/>
      <c r="H472" s="94">
        <v>0</v>
      </c>
      <c r="I472" s="94">
        <v>0</v>
      </c>
      <c r="J472" s="94"/>
      <c r="K472" s="94">
        <v>0</v>
      </c>
      <c r="L472" s="93"/>
      <c r="M472" s="94">
        <v>0</v>
      </c>
      <c r="N472" s="93"/>
      <c r="O472" s="94">
        <v>0</v>
      </c>
      <c r="P472" s="94">
        <v>0</v>
      </c>
      <c r="Q472" s="95"/>
      <c r="R472" s="93">
        <v>0</v>
      </c>
      <c r="S472" s="93">
        <v>0</v>
      </c>
      <c r="T472" s="93"/>
      <c r="U472" s="93">
        <v>0</v>
      </c>
      <c r="V472" s="93"/>
      <c r="W472" s="93">
        <v>1</v>
      </c>
      <c r="X472" s="93"/>
      <c r="Y472" s="93">
        <v>0</v>
      </c>
      <c r="Z472" s="93"/>
      <c r="AA472" s="93">
        <v>0</v>
      </c>
      <c r="AB472" s="94">
        <f t="shared" si="271"/>
        <v>1</v>
      </c>
      <c r="AC472" s="27" t="str">
        <f t="shared" si="270"/>
        <v>ok</v>
      </c>
    </row>
    <row r="473" spans="1:29" x14ac:dyDescent="0.2">
      <c r="A473" s="14" t="s">
        <v>204</v>
      </c>
      <c r="C473" s="14" t="s">
        <v>139</v>
      </c>
      <c r="F473" s="93">
        <v>1</v>
      </c>
      <c r="G473" s="93"/>
      <c r="H473" s="94">
        <v>0</v>
      </c>
      <c r="I473" s="94">
        <v>0</v>
      </c>
      <c r="J473" s="94"/>
      <c r="K473" s="94">
        <v>0</v>
      </c>
      <c r="L473" s="93"/>
      <c r="M473" s="94">
        <v>0</v>
      </c>
      <c r="N473" s="93"/>
      <c r="O473" s="94">
        <v>0</v>
      </c>
      <c r="P473" s="94">
        <v>0</v>
      </c>
      <c r="Q473" s="95"/>
      <c r="R473" s="93">
        <v>0</v>
      </c>
      <c r="S473" s="93">
        <v>0</v>
      </c>
      <c r="T473" s="93"/>
      <c r="U473" s="93">
        <v>0</v>
      </c>
      <c r="V473" s="93"/>
      <c r="W473" s="93">
        <v>0</v>
      </c>
      <c r="X473" s="93"/>
      <c r="Y473" s="93">
        <v>1</v>
      </c>
      <c r="Z473" s="93"/>
      <c r="AA473" s="93">
        <v>0</v>
      </c>
      <c r="AB473" s="94">
        <f t="shared" si="271"/>
        <v>1</v>
      </c>
      <c r="AC473" s="27" t="str">
        <f t="shared" si="270"/>
        <v>ok</v>
      </c>
    </row>
    <row r="474" spans="1:29" x14ac:dyDescent="0.2">
      <c r="A474" s="14" t="s">
        <v>205</v>
      </c>
      <c r="C474" s="14" t="s">
        <v>149</v>
      </c>
      <c r="F474" s="93">
        <v>1</v>
      </c>
      <c r="G474" s="93"/>
      <c r="H474" s="94">
        <v>0</v>
      </c>
      <c r="I474" s="94">
        <v>0</v>
      </c>
      <c r="J474" s="94"/>
      <c r="K474" s="94">
        <v>0</v>
      </c>
      <c r="L474" s="93"/>
      <c r="M474" s="94">
        <v>0</v>
      </c>
      <c r="N474" s="93"/>
      <c r="O474" s="94">
        <v>0</v>
      </c>
      <c r="P474" s="94">
        <v>0</v>
      </c>
      <c r="Q474" s="95"/>
      <c r="R474" s="93">
        <v>0</v>
      </c>
      <c r="S474" s="93">
        <v>0</v>
      </c>
      <c r="T474" s="93"/>
      <c r="U474" s="93">
        <v>0</v>
      </c>
      <c r="V474" s="93"/>
      <c r="W474" s="93">
        <v>0</v>
      </c>
      <c r="X474" s="93"/>
      <c r="Y474" s="93">
        <v>1</v>
      </c>
      <c r="Z474" s="93"/>
      <c r="AA474" s="93">
        <v>0</v>
      </c>
      <c r="AB474" s="94">
        <f t="shared" si="271"/>
        <v>1</v>
      </c>
      <c r="AC474" s="27" t="str">
        <f t="shared" si="270"/>
        <v>ok</v>
      </c>
    </row>
    <row r="475" spans="1:29" x14ac:dyDescent="0.2">
      <c r="A475" s="14" t="s">
        <v>348</v>
      </c>
      <c r="C475" s="14" t="s">
        <v>390</v>
      </c>
      <c r="F475" s="93">
        <v>1</v>
      </c>
      <c r="G475" s="93"/>
      <c r="H475" s="94">
        <v>0</v>
      </c>
      <c r="I475" s="94">
        <v>0</v>
      </c>
      <c r="J475" s="94"/>
      <c r="K475" s="94">
        <v>1</v>
      </c>
      <c r="L475" s="93"/>
      <c r="M475" s="94">
        <v>0</v>
      </c>
      <c r="N475" s="93"/>
      <c r="O475" s="94">
        <v>0</v>
      </c>
      <c r="P475" s="94">
        <v>0</v>
      </c>
      <c r="Q475" s="95"/>
      <c r="R475" s="93">
        <v>0</v>
      </c>
      <c r="S475" s="93">
        <v>0</v>
      </c>
      <c r="T475" s="93"/>
      <c r="U475" s="93">
        <v>0</v>
      </c>
      <c r="V475" s="93"/>
      <c r="W475" s="93">
        <v>0</v>
      </c>
      <c r="X475" s="93"/>
      <c r="Y475" s="93">
        <v>0</v>
      </c>
      <c r="Z475" s="93"/>
      <c r="AA475" s="93">
        <v>0</v>
      </c>
      <c r="AB475" s="94">
        <f>SUM(H475:AA475)</f>
        <v>1</v>
      </c>
      <c r="AC475" s="27" t="str">
        <f t="shared" si="270"/>
        <v>ok</v>
      </c>
    </row>
    <row r="476" spans="1:29" x14ac:dyDescent="0.2">
      <c r="A476" s="14" t="s">
        <v>469</v>
      </c>
      <c r="C476" s="14" t="s">
        <v>470</v>
      </c>
      <c r="F476" s="93">
        <v>1</v>
      </c>
      <c r="G476" s="93"/>
      <c r="H476" s="94">
        <v>0</v>
      </c>
      <c r="I476" s="94">
        <v>0</v>
      </c>
      <c r="J476" s="94"/>
      <c r="K476" s="94">
        <v>0</v>
      </c>
      <c r="L476" s="93"/>
      <c r="M476" s="94">
        <v>0</v>
      </c>
      <c r="N476" s="93"/>
      <c r="O476" s="94">
        <v>0</v>
      </c>
      <c r="P476" s="94">
        <v>0</v>
      </c>
      <c r="Q476" s="95"/>
      <c r="R476" s="93">
        <v>0</v>
      </c>
      <c r="S476" s="93">
        <v>0</v>
      </c>
      <c r="T476" s="93"/>
      <c r="U476" s="93">
        <v>0</v>
      </c>
      <c r="V476" s="93"/>
      <c r="W476" s="93">
        <v>0</v>
      </c>
      <c r="X476" s="93"/>
      <c r="Y476" s="93">
        <v>0</v>
      </c>
      <c r="Z476" s="93"/>
      <c r="AA476" s="93">
        <v>1</v>
      </c>
      <c r="AB476" s="94">
        <f>SUM(H476:AA476)</f>
        <v>1</v>
      </c>
      <c r="AC476" s="27" t="str">
        <f>IF(ABS(AB476-F476)&lt;0.0000001,"ok","err")</f>
        <v>ok</v>
      </c>
    </row>
    <row r="477" spans="1:29" x14ac:dyDescent="0.2">
      <c r="F477" s="93"/>
      <c r="H477" s="94"/>
      <c r="I477" s="94"/>
      <c r="J477" s="94"/>
      <c r="K477" s="94"/>
      <c r="L477" s="94"/>
      <c r="M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27"/>
    </row>
    <row r="478" spans="1:29" x14ac:dyDescent="0.2">
      <c r="H478" s="145"/>
      <c r="I478" s="145"/>
      <c r="AC478" s="27"/>
    </row>
    <row r="479" spans="1:29" x14ac:dyDescent="0.2">
      <c r="A479" s="13" t="s">
        <v>401</v>
      </c>
      <c r="C479" s="14" t="s">
        <v>96</v>
      </c>
      <c r="F479" s="93">
        <v>1</v>
      </c>
      <c r="G479" s="49"/>
      <c r="H479" s="139">
        <f>'Purchased Power'!P35</f>
        <v>0.28655828349119267</v>
      </c>
      <c r="I479" s="139">
        <f>'Purchased Power'!P36</f>
        <v>0.71344171650880728</v>
      </c>
      <c r="J479" s="49"/>
      <c r="K479" s="49">
        <v>0</v>
      </c>
      <c r="L479" s="49"/>
      <c r="M479" s="49">
        <v>0</v>
      </c>
      <c r="N479" s="49"/>
      <c r="O479" s="49">
        <v>0</v>
      </c>
      <c r="P479" s="49">
        <v>0</v>
      </c>
      <c r="Q479" s="96"/>
      <c r="R479" s="49">
        <v>0</v>
      </c>
      <c r="S479" s="49">
        <v>0</v>
      </c>
      <c r="T479" s="49"/>
      <c r="U479" s="49">
        <v>0</v>
      </c>
      <c r="V479" s="49"/>
      <c r="W479" s="49">
        <v>0</v>
      </c>
      <c r="X479" s="49"/>
      <c r="Y479" s="49">
        <v>0</v>
      </c>
      <c r="Z479" s="49"/>
      <c r="AA479" s="49">
        <v>0</v>
      </c>
      <c r="AB479" s="48">
        <f>SUM(H479:AA479)</f>
        <v>1</v>
      </c>
      <c r="AC479" s="27" t="str">
        <f>IF(ABS(AB479-F479)&lt;1,"ok","err")</f>
        <v>ok</v>
      </c>
    </row>
    <row r="480" spans="1:29" x14ac:dyDescent="0.2">
      <c r="F480" s="93"/>
      <c r="AC480" s="27"/>
    </row>
    <row r="481" spans="1:29" x14ac:dyDescent="0.2">
      <c r="A481" s="14" t="s">
        <v>547</v>
      </c>
      <c r="C481" s="14" t="s">
        <v>545</v>
      </c>
      <c r="F481" s="93">
        <v>1</v>
      </c>
      <c r="H481" s="94">
        <v>0</v>
      </c>
      <c r="I481" s="94">
        <v>0</v>
      </c>
      <c r="J481" s="94"/>
      <c r="K481" s="94">
        <v>0</v>
      </c>
      <c r="L481" s="94"/>
      <c r="M481" s="94">
        <v>0</v>
      </c>
      <c r="N481" s="94"/>
      <c r="O481" s="94">
        <v>0</v>
      </c>
      <c r="P481" s="94">
        <v>0</v>
      </c>
      <c r="Q481" s="94"/>
      <c r="R481" s="94">
        <v>0</v>
      </c>
      <c r="S481" s="94">
        <v>0</v>
      </c>
      <c r="T481" s="94"/>
      <c r="U481" s="94">
        <v>0</v>
      </c>
      <c r="V481" s="94"/>
      <c r="W481" s="94">
        <v>1</v>
      </c>
      <c r="X481" s="94"/>
      <c r="Y481" s="94">
        <v>0</v>
      </c>
      <c r="Z481" s="94"/>
      <c r="AA481" s="94">
        <v>0</v>
      </c>
      <c r="AB481" s="94">
        <f>SUM(H481:AA481)</f>
        <v>1</v>
      </c>
      <c r="AC481" s="27" t="str">
        <f>IF(ABS(AB481-F481)&lt;1,"ok","err")</f>
        <v>ok</v>
      </c>
    </row>
    <row r="482" spans="1:29" x14ac:dyDescent="0.2">
      <c r="A482" s="14" t="s">
        <v>548</v>
      </c>
      <c r="C482" s="14" t="s">
        <v>546</v>
      </c>
      <c r="F482" s="93">
        <v>1</v>
      </c>
      <c r="H482" s="94">
        <v>0</v>
      </c>
      <c r="I482" s="94">
        <v>0</v>
      </c>
      <c r="J482" s="94"/>
      <c r="K482" s="94">
        <v>0</v>
      </c>
      <c r="L482" s="94"/>
      <c r="M482" s="94">
        <v>0</v>
      </c>
      <c r="N482" s="94"/>
      <c r="O482" s="94">
        <v>0</v>
      </c>
      <c r="P482" s="94">
        <v>0</v>
      </c>
      <c r="Q482" s="94"/>
      <c r="R482" s="94">
        <v>0</v>
      </c>
      <c r="S482" s="94">
        <v>0</v>
      </c>
      <c r="T482" s="94"/>
      <c r="U482" s="94">
        <v>0</v>
      </c>
      <c r="V482" s="94"/>
      <c r="W482" s="94">
        <v>1</v>
      </c>
      <c r="X482" s="94"/>
      <c r="Y482" s="94">
        <v>0</v>
      </c>
      <c r="Z482" s="94"/>
      <c r="AA482" s="94">
        <v>0</v>
      </c>
      <c r="AB482" s="94">
        <f>SUM(H482:AA482)</f>
        <v>1</v>
      </c>
      <c r="AC482" s="27" t="str">
        <f>IF(ABS(AB482-F482)&lt;1,"ok","err")</f>
        <v>ok</v>
      </c>
    </row>
    <row r="483" spans="1:29" x14ac:dyDescent="0.2">
      <c r="A483" s="14" t="s">
        <v>707</v>
      </c>
      <c r="C483" s="14" t="s">
        <v>550</v>
      </c>
      <c r="F483" s="93">
        <v>1</v>
      </c>
      <c r="G483" s="93"/>
      <c r="H483" s="94">
        <v>0</v>
      </c>
      <c r="I483" s="94">
        <v>0</v>
      </c>
      <c r="J483" s="94"/>
      <c r="K483" s="94">
        <v>0</v>
      </c>
      <c r="L483" s="93"/>
      <c r="M483" s="94">
        <v>0</v>
      </c>
      <c r="N483" s="93"/>
      <c r="O483" s="94">
        <v>0</v>
      </c>
      <c r="P483" s="94">
        <v>1</v>
      </c>
      <c r="Q483" s="95"/>
      <c r="R483" s="93">
        <v>0</v>
      </c>
      <c r="S483" s="93">
        <v>0</v>
      </c>
      <c r="T483" s="93"/>
      <c r="U483" s="93">
        <v>0</v>
      </c>
      <c r="V483" s="93"/>
      <c r="W483" s="93">
        <v>0</v>
      </c>
      <c r="X483" s="93"/>
      <c r="Y483" s="93">
        <v>0</v>
      </c>
      <c r="Z483" s="93"/>
      <c r="AA483" s="93">
        <v>0</v>
      </c>
      <c r="AB483" s="94">
        <f>SUM(H483:AA483)</f>
        <v>1</v>
      </c>
      <c r="AC483" s="27" t="str">
        <f>IF(ABS(AB483-F483)&lt;0.0000001,"ok","err")</f>
        <v>ok</v>
      </c>
    </row>
    <row r="484" spans="1:29" x14ac:dyDescent="0.2">
      <c r="A484" s="14" t="s">
        <v>821</v>
      </c>
      <c r="C484" s="14" t="s">
        <v>551</v>
      </c>
      <c r="F484" s="93">
        <v>1</v>
      </c>
      <c r="G484" s="93"/>
      <c r="H484" s="94">
        <v>1</v>
      </c>
      <c r="I484" s="94">
        <v>0</v>
      </c>
      <c r="J484" s="94"/>
      <c r="K484" s="94">
        <v>0</v>
      </c>
      <c r="L484" s="93"/>
      <c r="M484" s="94">
        <v>0</v>
      </c>
      <c r="N484" s="93"/>
      <c r="O484" s="94">
        <v>0</v>
      </c>
      <c r="P484" s="94">
        <v>0</v>
      </c>
      <c r="Q484" s="95"/>
      <c r="R484" s="93">
        <v>0</v>
      </c>
      <c r="S484" s="93">
        <v>0</v>
      </c>
      <c r="T484" s="93"/>
      <c r="U484" s="93">
        <v>0</v>
      </c>
      <c r="V484" s="93"/>
      <c r="W484" s="93">
        <v>0</v>
      </c>
      <c r="X484" s="93"/>
      <c r="Y484" s="93">
        <v>0</v>
      </c>
      <c r="Z484" s="93"/>
      <c r="AA484" s="93">
        <v>0</v>
      </c>
      <c r="AB484" s="94">
        <f>SUM(H484:AA484)</f>
        <v>1</v>
      </c>
      <c r="AC484" s="27" t="str">
        <f>IF(ABS(AB484-F484)&lt;0.0000001,"ok","err")</f>
        <v>ok</v>
      </c>
    </row>
    <row r="485" spans="1:29" x14ac:dyDescent="0.2">
      <c r="A485" s="14" t="s">
        <v>822</v>
      </c>
      <c r="C485" s="14" t="s">
        <v>785</v>
      </c>
      <c r="F485" s="93">
        <v>1</v>
      </c>
      <c r="G485" s="93"/>
      <c r="H485" s="94">
        <v>0</v>
      </c>
      <c r="I485" s="94">
        <v>1</v>
      </c>
      <c r="J485" s="94"/>
      <c r="K485" s="94">
        <v>0</v>
      </c>
      <c r="L485" s="93"/>
      <c r="M485" s="94">
        <v>0</v>
      </c>
      <c r="N485" s="93"/>
      <c r="O485" s="94">
        <v>0</v>
      </c>
      <c r="P485" s="94">
        <v>0</v>
      </c>
      <c r="Q485" s="95"/>
      <c r="R485" s="93">
        <v>0</v>
      </c>
      <c r="S485" s="93">
        <v>0</v>
      </c>
      <c r="T485" s="93"/>
      <c r="U485" s="93">
        <v>0</v>
      </c>
      <c r="V485" s="93"/>
      <c r="W485" s="93">
        <v>0</v>
      </c>
      <c r="X485" s="93"/>
      <c r="Y485" s="93">
        <v>0</v>
      </c>
      <c r="Z485" s="93"/>
      <c r="AA485" s="93">
        <v>0</v>
      </c>
      <c r="AB485" s="94">
        <f>SUM(H485:AA485)</f>
        <v>1</v>
      </c>
      <c r="AC485" s="27" t="str">
        <f>IF(ABS(AB485-F485)&lt;0.0000001,"ok","err")</f>
        <v>ok</v>
      </c>
    </row>
    <row r="486" spans="1:29" x14ac:dyDescent="0.2">
      <c r="F486" s="93"/>
      <c r="AC486" s="27"/>
    </row>
    <row r="487" spans="1:29" x14ac:dyDescent="0.2">
      <c r="AC487" s="27"/>
    </row>
    <row r="488" spans="1:29" x14ac:dyDescent="0.2"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49"/>
      <c r="AC488" s="27"/>
    </row>
    <row r="489" spans="1:29" x14ac:dyDescent="0.2"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49"/>
      <c r="AC489" s="27"/>
    </row>
    <row r="490" spans="1:29" x14ac:dyDescent="0.2">
      <c r="AC490" s="27"/>
    </row>
    <row r="491" spans="1:29" x14ac:dyDescent="0.2">
      <c r="F491" s="49"/>
      <c r="AC491" s="27"/>
    </row>
    <row r="492" spans="1:29" x14ac:dyDescent="0.2">
      <c r="F492" s="49"/>
      <c r="AC492" s="27"/>
    </row>
    <row r="493" spans="1:29" x14ac:dyDescent="0.2">
      <c r="F493" s="49"/>
      <c r="AC493" s="27"/>
    </row>
    <row r="494" spans="1:29" x14ac:dyDescent="0.2">
      <c r="F494" s="49"/>
      <c r="AC494" s="27"/>
    </row>
    <row r="495" spans="1:29" x14ac:dyDescent="0.2">
      <c r="F495" s="49"/>
      <c r="AC495" s="27"/>
    </row>
    <row r="496" spans="1:29" x14ac:dyDescent="0.2">
      <c r="F496" s="49"/>
      <c r="AC496" s="27"/>
    </row>
    <row r="497" spans="6:29" x14ac:dyDescent="0.2">
      <c r="F497" s="49"/>
      <c r="AC497" s="27"/>
    </row>
    <row r="498" spans="6:29" x14ac:dyDescent="0.2">
      <c r="F498" s="49"/>
      <c r="AC498" s="27"/>
    </row>
    <row r="499" spans="6:29" x14ac:dyDescent="0.2">
      <c r="F499" s="34"/>
      <c r="AC499" s="27"/>
    </row>
    <row r="500" spans="6:29" x14ac:dyDescent="0.2">
      <c r="AC500" s="27"/>
    </row>
    <row r="501" spans="6:29" x14ac:dyDescent="0.2">
      <c r="F501" s="66"/>
      <c r="AC501" s="27"/>
    </row>
    <row r="502" spans="6:29" x14ac:dyDescent="0.2">
      <c r="AC502" s="27"/>
    </row>
    <row r="503" spans="6:29" x14ac:dyDescent="0.2">
      <c r="AC503" s="27"/>
    </row>
    <row r="504" spans="6:29" x14ac:dyDescent="0.2">
      <c r="AC504" s="27"/>
    </row>
    <row r="514" spans="17:32" x14ac:dyDescent="0.2">
      <c r="Q514" s="14"/>
      <c r="AD514" s="14">
        <f t="shared" ref="AD514:AF514" si="272">AD505+AD375+(AD360+AD362+AD363+AD364+AD365+AD369+AD370+AD371)*$D$505</f>
        <v>0</v>
      </c>
      <c r="AE514" s="14">
        <f t="shared" si="272"/>
        <v>0</v>
      </c>
      <c r="AF514" s="14">
        <f t="shared" si="272"/>
        <v>0</v>
      </c>
    </row>
    <row r="515" spans="17:32" x14ac:dyDescent="0.2">
      <c r="Q515" s="14"/>
      <c r="AD515" s="14">
        <f t="shared" ref="AD515:AF515" si="273">AD506+(AD360+AD362+AD363+AD364+AD365+AD369+AD370+AD371)*$D$506</f>
        <v>0</v>
      </c>
      <c r="AE515" s="14">
        <f t="shared" si="273"/>
        <v>0</v>
      </c>
      <c r="AF515" s="14">
        <f t="shared" si="273"/>
        <v>0</v>
      </c>
    </row>
  </sheetData>
  <phoneticPr fontId="0" type="noConversion"/>
  <conditionalFormatting sqref="AC1:AC513">
    <cfRule type="cellIs" dxfId="7" priority="2" operator="equal">
      <formula>"err"</formula>
    </cfRule>
  </conditionalFormatting>
  <conditionalFormatting sqref="AC8:AC489">
    <cfRule type="containsText" dxfId="6" priority="1" operator="containsText" text="err">
      <formula>NOT(ISERROR(SEARCH("err",AC8)))</formula>
    </cfRule>
  </conditionalFormatting>
  <conditionalFormatting sqref="AC516:AC65532">
    <cfRule type="cellIs" dxfId="5" priority="29" operator="equal">
      <formula>"err"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Roman,Bold"BLUE GRASS ENERGY
Cost of Service Study
Functional Assignment and Classification
12 Months Ended December 31, 2024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29" max="16383" man="1"/>
    <brk id="356" max="26" man="1"/>
    <brk id="393" max="16383" man="1"/>
    <brk id="440" max="26" man="1"/>
    <brk id="462" max="16383" man="1"/>
  </rowBreaks>
  <colBreaks count="1" manualBreakCount="1">
    <brk id="14" max="497" man="1"/>
  </colBreaks>
  <ignoredErrors>
    <ignoredError sqref="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44"/>
  <sheetViews>
    <sheetView view="pageBreakPreview" zoomScale="75" zoomScaleNormal="100" zoomScaleSheetLayoutView="75" workbookViewId="0">
      <pane xSplit="2" ySplit="3" topLeftCell="C604" activePane="bottomRight" state="frozen"/>
      <selection activeCell="I144" sqref="I144"/>
      <selection pane="topRight" activeCell="I144" sqref="I144"/>
      <selection pane="bottomLeft" activeCell="I144" sqref="I144"/>
      <selection pane="bottomRight" activeCell="D511" sqref="D511"/>
    </sheetView>
  </sheetViews>
  <sheetFormatPr defaultColWidth="9.140625" defaultRowHeight="12.75" x14ac:dyDescent="0.2"/>
  <cols>
    <col min="1" max="1" width="7.7109375" style="14" customWidth="1"/>
    <col min="2" max="2" width="45.140625" style="14" customWidth="1"/>
    <col min="3" max="3" width="14" style="14" customWidth="1"/>
    <col min="4" max="4" width="14.5703125" style="14" bestFit="1" customWidth="1"/>
    <col min="5" max="5" width="19.28515625" style="14" bestFit="1" customWidth="1"/>
    <col min="6" max="6" width="17.140625" style="14" customWidth="1"/>
    <col min="7" max="7" width="17.7109375" style="14" customWidth="1"/>
    <col min="8" max="8" width="14.5703125" style="14" customWidth="1"/>
    <col min="9" max="9" width="14.42578125" style="14" customWidth="1"/>
    <col min="10" max="10" width="13.28515625" style="14" customWidth="1"/>
    <col min="11" max="12" width="14.85546875" style="14" customWidth="1"/>
    <col min="13" max="13" width="14.42578125" style="14" customWidth="1"/>
    <col min="14" max="14" width="14.5703125" style="14" bestFit="1" customWidth="1"/>
    <col min="15" max="15" width="14.42578125" style="14" customWidth="1"/>
    <col min="16" max="16" width="16.140625" style="14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18" style="14" hidden="1" customWidth="1"/>
    <col min="33" max="33" width="16.28515625" style="14" customWidth="1"/>
    <col min="34" max="34" width="10.7109375" style="14" customWidth="1"/>
    <col min="35" max="35" width="11.5703125" style="14" hidden="1" customWidth="1"/>
    <col min="36" max="36" width="0" style="14" hidden="1" customWidth="1"/>
    <col min="37" max="37" width="20.7109375" style="49" bestFit="1" customWidth="1"/>
    <col min="38" max="38" width="9.140625" style="14" customWidth="1"/>
    <col min="39" max="39" width="12.42578125" style="14" customWidth="1"/>
    <col min="40" max="41" width="9.140625" style="14"/>
    <col min="42" max="42" width="13.5703125" style="14" customWidth="1"/>
    <col min="43" max="43" width="11.7109375" style="14" bestFit="1" customWidth="1"/>
    <col min="44" max="45" width="9.28515625" style="14" bestFit="1" customWidth="1"/>
    <col min="46" max="46" width="10.7109375" style="14" bestFit="1" customWidth="1"/>
    <col min="47" max="47" width="9.28515625" style="14" bestFit="1" customWidth="1"/>
    <col min="48" max="48" width="12.7109375" style="14" bestFit="1" customWidth="1"/>
    <col min="49" max="49" width="11.7109375" style="14" bestFit="1" customWidth="1"/>
    <col min="50" max="52" width="9.28515625" style="14" bestFit="1" customWidth="1"/>
    <col min="53" max="16384" width="9.140625" style="14"/>
  </cols>
  <sheetData>
    <row r="1" spans="1:37" x14ac:dyDescent="0.2">
      <c r="A1" s="78"/>
      <c r="B1" s="78"/>
      <c r="C1" s="78"/>
      <c r="D1" s="78"/>
      <c r="AH1" s="27" t="str">
        <f>IF(COUNTIF(AH4:AH527,"err"),"err","ok")</f>
        <v>ok</v>
      </c>
    </row>
    <row r="2" spans="1:37" s="175" customFormat="1" ht="77.25" customHeight="1" x14ac:dyDescent="0.2">
      <c r="A2" s="173"/>
      <c r="B2" s="173"/>
      <c r="C2" s="81"/>
      <c r="D2" s="174" t="s">
        <v>206</v>
      </c>
      <c r="E2" s="81" t="s">
        <v>0</v>
      </c>
      <c r="F2" s="81" t="str">
        <f>'Summary of Returns'!B10</f>
        <v>Residential and Farm</v>
      </c>
      <c r="G2" s="81" t="str">
        <f>'Summary of Returns'!B11</f>
        <v>Residential and Farm Inclining Block</v>
      </c>
      <c r="H2" s="81" t="str">
        <f>'Summary of Returns'!B12</f>
        <v>Residential and Farm Time-of-Day Rate</v>
      </c>
      <c r="I2" s="81" t="str">
        <f>'Summary of Returns'!B13</f>
        <v>General Service (0-100 KW)</v>
      </c>
      <c r="J2" s="81" t="str">
        <f>'Summary of Returns'!B14</f>
        <v>General Service 0-100 KW Time of Day Rate</v>
      </c>
      <c r="K2" s="81" t="str">
        <f>'Summary of Returns'!B15</f>
        <v>Large Power (101 - 500 kW)</v>
      </c>
      <c r="L2" s="81" t="str">
        <f>'Summary of Returns'!B16</f>
        <v>Large Power (over 500 kW)</v>
      </c>
      <c r="M2" s="81" t="str">
        <f>'Summary of Returns'!B17</f>
        <v>Large Industrial (1,000 - 3,999 kW)</v>
      </c>
      <c r="N2" s="81" t="str">
        <f>'Summary of Returns'!B18</f>
        <v>Large Industrial (over 4,000 kW)</v>
      </c>
      <c r="O2" s="81" t="str">
        <f>'Summary of Returns'!B19</f>
        <v>Large Industrial Rate (15,000+ kW)</v>
      </c>
      <c r="P2" s="81" t="str">
        <f>'Summary of Returns'!B20</f>
        <v>Lighting</v>
      </c>
      <c r="Q2" s="81" t="s">
        <v>702</v>
      </c>
      <c r="R2" s="81" t="s">
        <v>702</v>
      </c>
      <c r="S2" s="81" t="s">
        <v>702</v>
      </c>
      <c r="T2" s="81" t="s">
        <v>702</v>
      </c>
      <c r="U2" s="81" t="s">
        <v>702</v>
      </c>
      <c r="V2" s="81" t="s">
        <v>702</v>
      </c>
      <c r="W2" s="81" t="s">
        <v>702</v>
      </c>
      <c r="X2" s="81" t="s">
        <v>702</v>
      </c>
      <c r="Y2" s="81" t="s">
        <v>702</v>
      </c>
      <c r="Z2" s="81" t="s">
        <v>702</v>
      </c>
      <c r="AA2" s="81" t="s">
        <v>702</v>
      </c>
      <c r="AB2" s="81" t="s">
        <v>702</v>
      </c>
      <c r="AC2" s="81" t="s">
        <v>702</v>
      </c>
      <c r="AD2" s="81" t="s">
        <v>702</v>
      </c>
      <c r="AE2" s="81" t="s">
        <v>702</v>
      </c>
      <c r="AF2" s="81" t="s">
        <v>702</v>
      </c>
      <c r="AG2" s="173"/>
      <c r="AH2" s="173"/>
      <c r="AK2" s="176"/>
    </row>
    <row r="3" spans="1:37" ht="13.5" thickBot="1" x14ac:dyDescent="0.25">
      <c r="A3" s="83" t="s">
        <v>6</v>
      </c>
      <c r="B3" s="83"/>
      <c r="C3" s="84" t="s">
        <v>7</v>
      </c>
      <c r="D3" s="84" t="s">
        <v>8</v>
      </c>
      <c r="E3" s="82" t="s">
        <v>9</v>
      </c>
      <c r="F3" s="82" t="str">
        <f>'Summary of Returns'!C10</f>
        <v>GS-1</v>
      </c>
      <c r="G3" s="82" t="str">
        <f>'Summary of Returns'!C11</f>
        <v>GS-2</v>
      </c>
      <c r="H3" s="82" t="str">
        <f>'Summary of Returns'!C12</f>
        <v>GS-3</v>
      </c>
      <c r="I3" s="82" t="str">
        <f>'Summary of Returns'!C13</f>
        <v>SC-1</v>
      </c>
      <c r="J3" s="82" t="str">
        <f>'Summary of Returns'!C14</f>
        <v>SC-2</v>
      </c>
      <c r="K3" s="82" t="str">
        <f>'Summary of Returns'!C15</f>
        <v>LP-1</v>
      </c>
      <c r="L3" s="82" t="str">
        <f>'Summary of Returns'!C16</f>
        <v>LP-2</v>
      </c>
      <c r="M3" s="82" t="str">
        <f>'Summary of Returns'!C17</f>
        <v>B-1</v>
      </c>
      <c r="N3" s="82" t="str">
        <f>'Summary of Returns'!C18</f>
        <v>B-2</v>
      </c>
      <c r="O3" s="82" t="str">
        <f>'Summary of Returns'!C19</f>
        <v>G1</v>
      </c>
      <c r="P3" s="82" t="str">
        <f>'Summary of Returns'!C20</f>
        <v>L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 t="s">
        <v>13</v>
      </c>
      <c r="AH3" s="82" t="s">
        <v>14</v>
      </c>
    </row>
    <row r="5" spans="1:37" x14ac:dyDescent="0.2">
      <c r="A5" s="25" t="s">
        <v>15</v>
      </c>
    </row>
    <row r="7" spans="1:37" x14ac:dyDescent="0.2">
      <c r="A7" s="13" t="s">
        <v>890</v>
      </c>
    </row>
    <row r="8" spans="1:37" x14ac:dyDescent="0.2">
      <c r="A8" s="92" t="s">
        <v>207</v>
      </c>
      <c r="C8" s="14" t="s">
        <v>208</v>
      </c>
      <c r="D8" s="14" t="s">
        <v>656</v>
      </c>
      <c r="E8" s="66">
        <f>'Func &amp; Classif'!H82</f>
        <v>0</v>
      </c>
      <c r="F8" s="66">
        <f>IF(VLOOKUP($D8,$C$5:$AU$493,3,)=0,0,(VLOOKUP($D8,$C$5:$AU$493,4,)/VLOOKUP($D8,$C$5:$AU$493,3,))*$E8)</f>
        <v>0</v>
      </c>
      <c r="G8" s="66">
        <f>IF(VLOOKUP($D8,$C$5:$AU$493,3,)=0,0,(VLOOKUP($D8,$C$5:$AU$493,5,)/VLOOKUP($D8,$C$5:$AU$493,3,))*$E8)</f>
        <v>0</v>
      </c>
      <c r="H8" s="66">
        <f>IF(VLOOKUP($D8,$C$5:$AU$493,3,)=0,0,(VLOOKUP($D8,$C$5:$AU$493,6,)/VLOOKUP($D8,$C$5:$AU$493,3,))*$E8)</f>
        <v>0</v>
      </c>
      <c r="I8" s="66">
        <f>IF(VLOOKUP($D8,$C$5:$AU$493,3,)=0,0,(VLOOKUP($D8,$C$5:$AU$493,7,)/VLOOKUP($D8,$C$5:$AU$493,3,))*$E8)</f>
        <v>0</v>
      </c>
      <c r="J8" s="66">
        <f>IF(VLOOKUP($D8,$C$5:$AU$493,3,)=0,0,(VLOOKUP($D8,$C$5:$AU$493,8,)/VLOOKUP($D8,$C$5:$AU$493,3,))*$E8)</f>
        <v>0</v>
      </c>
      <c r="K8" s="66">
        <f>IF(VLOOKUP($D8,$C$5:$AU$493,3,)=0,0,(VLOOKUP($D8,$C$5:$AU$493,9,)/VLOOKUP($D8,$C$5:$AU$493,3,))*$E8)</f>
        <v>0</v>
      </c>
      <c r="L8" s="66">
        <f>IF(VLOOKUP($D8,$C$5:$AU$493,3,)=0,0,(VLOOKUP($D8,$C$5:$AU$493,10,)/VLOOKUP($D8,$C$5:$AU$493,3,))*$E8)</f>
        <v>0</v>
      </c>
      <c r="M8" s="66">
        <f>IF(VLOOKUP($D8,$C$5:$AU$493,3,)=0,0,(VLOOKUP($D8,$C$5:$AU$493,11,)/VLOOKUP($D8,$C$5:$AU$493,3,))*$E8)</f>
        <v>0</v>
      </c>
      <c r="N8" s="66">
        <f>IF(VLOOKUP($D8,$C$5:$AU$493,3,)=0,0,(VLOOKUP($D8,$C$5:$AU$493,12,)/VLOOKUP($D8,$C$5:$AU$493,3,))*$E8)</f>
        <v>0</v>
      </c>
      <c r="O8" s="66">
        <f>IF(VLOOKUP($D8,$C$5:$AU$493,3,)=0,0,(VLOOKUP($D8,$C$5:$AU$493,13,)/VLOOKUP($D8,$C$5:$AU$493,3,))*$E8)</f>
        <v>0</v>
      </c>
      <c r="P8" s="66">
        <f>IF(VLOOKUP($D8,$C$5:$AU$493,3,)=0,0,(VLOOKUP($D8,$C$5:$AU$493,14,)/VLOOKUP($D8,$C$5:$AU$493,3,))*$E8)</f>
        <v>0</v>
      </c>
      <c r="Q8" s="66">
        <f>IF(VLOOKUP($D8,$C$5:$AU$493,3,)=0,0,(VLOOKUP($D8,$C$5:$AU$493,15,)/VLOOKUP($D8,$C$5:$AU$493,3,))*$E8)</f>
        <v>0</v>
      </c>
      <c r="R8" s="66">
        <f>IF(VLOOKUP($D8,$C$5:$AU$493,3,)=0,0,(VLOOKUP($D8,$C$5:$AU$493,16,)/VLOOKUP($D8,$C$5:$AU$493,3,))*$E8)</f>
        <v>0</v>
      </c>
      <c r="S8" s="66">
        <f>IF(VLOOKUP($D8,$C$5:$AU$493,3,)=0,0,(VLOOKUP($D8,$C$5:$AU$493,17,)/VLOOKUP($D8,$C$5:$AU$493,3,))*$E8)</f>
        <v>0</v>
      </c>
      <c r="T8" s="66">
        <f>IF(VLOOKUP($D8,$C$5:$AU$493,3,)=0,0,(VLOOKUP($D8,$C$5:$AU$493,18,)/VLOOKUP($D8,$C$5:$AU$493,3,))*$E8)</f>
        <v>0</v>
      </c>
      <c r="U8" s="66">
        <f>IF(VLOOKUP($D8,$C$5:$AU$493,3,)=0,0,(VLOOKUP($D8,$C$5:$AU$493,19,)/VLOOKUP($D8,$C$5:$AU$493,3,))*$E8)</f>
        <v>0</v>
      </c>
      <c r="V8" s="66">
        <f>IF(VLOOKUP($D8,$C$5:$AU$493,3,)=0,0,(VLOOKUP($D8,$C$5:$AU$493,20,)/VLOOKUP($D8,$C$5:$AU$493,3,))*$E8)</f>
        <v>0</v>
      </c>
      <c r="W8" s="66">
        <f>IF(VLOOKUP($D8,$C$5:$AU$493,3,)=0,0,(VLOOKUP($D8,$C$5:$AU$493,21,)/VLOOKUP($D8,$C$5:$AU$493,3,))*$E8)</f>
        <v>0</v>
      </c>
      <c r="X8" s="66">
        <f>IF(VLOOKUP($D8,$C$5:$AU$493,3,)=0,0,(VLOOKUP($D8,$C$5:$AU$493,22,)/VLOOKUP($D8,$C$5:$AU$493,3,))*$E8)</f>
        <v>0</v>
      </c>
      <c r="Y8" s="66">
        <f>IF(VLOOKUP($D8,$C$5:$AU$493,3,)=0,0,(VLOOKUP($D8,$C$5:$AU$493,23,)/VLOOKUP($D8,$C$5:$AU$493,3,))*$E8)</f>
        <v>0</v>
      </c>
      <c r="Z8" s="66">
        <f>IF(VLOOKUP($D8,$C$5:$AU$493,3,)=0,0,(VLOOKUP($D8,$C$5:$AU$493,24,)/VLOOKUP($D8,$C$5:$AU$493,3,))*$E8)</f>
        <v>0</v>
      </c>
      <c r="AA8" s="66">
        <f>IF(VLOOKUP($D8,$C$5:$AU$493,3,)=0,0,(VLOOKUP($D8,$C$5:$AU$493,25,)/VLOOKUP($D8,$C$5:$AU$493,3,))*$E8)</f>
        <v>0</v>
      </c>
      <c r="AB8" s="66">
        <f>IF(VLOOKUP($D8,$C$5:$AU$493,3,)=0,0,(VLOOKUP($D8,$C$5:$AU$493,26,)/VLOOKUP($D8,$C$5:$AU$493,3,))*$E8)</f>
        <v>0</v>
      </c>
      <c r="AC8" s="66">
        <f>IF(VLOOKUP($D8,$C$5:$AU$493,3,)=0,0,(VLOOKUP($D8,$C$5:$AU$493,27,)/VLOOKUP($D8,$C$5:$AU$493,3,))*$E8)</f>
        <v>0</v>
      </c>
      <c r="AD8" s="66">
        <f>IF(VLOOKUP($D8,$C$5:$AU$493,3,)=0,0,(VLOOKUP($D8,$C$5:$AU$493,28,)/VLOOKUP($D8,$C$5:$AU$493,3,))*$E8)</f>
        <v>0</v>
      </c>
      <c r="AE8" s="66">
        <f>IF(VLOOKUP($D8,$C$5:$AU$493,3,)=0,0,(VLOOKUP($D8,$C$5:$AU$493,29,)/VLOOKUP($D8,$C$5:$AU$493,3,))*$E8)</f>
        <v>0</v>
      </c>
      <c r="AF8" s="66">
        <f>IF(VLOOKUP($D8,$C$5:$AU$493,3,)=0,0,(VLOOKUP($D8,$C$5:$AU$493,30,)/VLOOKUP($D8,$C$5:$AU$493,3,))*$E8)</f>
        <v>0</v>
      </c>
      <c r="AG8" s="89">
        <f>SUM(F8:AF8)</f>
        <v>0</v>
      </c>
      <c r="AH8" s="27" t="str">
        <f>IF(ABS(E8-AG8)&lt;0.01,"ok","err")</f>
        <v>ok</v>
      </c>
    </row>
    <row r="9" spans="1:37" x14ac:dyDescent="0.2">
      <c r="A9" s="92" t="s">
        <v>210</v>
      </c>
      <c r="C9" s="14" t="s">
        <v>211</v>
      </c>
      <c r="D9" s="14" t="s">
        <v>665</v>
      </c>
      <c r="E9" s="49">
        <f>'Func &amp; Classif'!I82</f>
        <v>0</v>
      </c>
      <c r="F9" s="66">
        <f>IF(VLOOKUP($D9,$C$5:$AU$493,3,)=0,0,(VLOOKUP($D9,$C$5:$AU$493,4,)/VLOOKUP($D9,$C$5:$AU$493,3,))*$E9)</f>
        <v>0</v>
      </c>
      <c r="G9" s="66">
        <f>IF(VLOOKUP($D9,$C$5:$AU$493,3,)=0,0,(VLOOKUP($D9,$C$5:$AU$493,5,)/VLOOKUP($D9,$C$5:$AU$493,3,))*$E9)</f>
        <v>0</v>
      </c>
      <c r="H9" s="66">
        <f>IF(VLOOKUP($D9,$C$5:$AU$493,3,)=0,0,(VLOOKUP($D9,$C$5:$AU$493,6,)/VLOOKUP($D9,$C$5:$AU$493,3,))*$E9)</f>
        <v>0</v>
      </c>
      <c r="I9" s="66">
        <f>IF(VLOOKUP($D9,$C$5:$AU$493,3,)=0,0,(VLOOKUP($D9,$C$5:$AU$493,7,)/VLOOKUP($D9,$C$5:$AU$493,3,))*$E9)</f>
        <v>0</v>
      </c>
      <c r="J9" s="66">
        <f>IF(VLOOKUP($D9,$C$5:$AU$493,3,)=0,0,(VLOOKUP($D9,$C$5:$AU$493,8,)/VLOOKUP($D9,$C$5:$AU$493,3,))*$E9)</f>
        <v>0</v>
      </c>
      <c r="K9" s="66">
        <f>IF(VLOOKUP($D9,$C$5:$AU$493,3,)=0,0,(VLOOKUP($D9,$C$5:$AU$493,9,)/VLOOKUP($D9,$C$5:$AU$493,3,))*$E9)</f>
        <v>0</v>
      </c>
      <c r="L9" s="66">
        <f>IF(VLOOKUP($D9,$C$5:$AU$493,3,)=0,0,(VLOOKUP($D9,$C$5:$AU$493,10,)/VLOOKUP($D9,$C$5:$AU$493,3,))*$E9)</f>
        <v>0</v>
      </c>
      <c r="M9" s="66">
        <f>IF(VLOOKUP($D9,$C$5:$AU$493,3,)=0,0,(VLOOKUP($D9,$C$5:$AU$493,11,)/VLOOKUP($D9,$C$5:$AU$493,3,))*$E9)</f>
        <v>0</v>
      </c>
      <c r="N9" s="66">
        <f>IF(VLOOKUP($D9,$C$5:$AU$493,3,)=0,0,(VLOOKUP($D9,$C$5:$AU$493,12,)/VLOOKUP($D9,$C$5:$AU$493,3,))*$E9)</f>
        <v>0</v>
      </c>
      <c r="O9" s="66">
        <f>IF(VLOOKUP($D9,$C$5:$AU$493,3,)=0,0,(VLOOKUP($D9,$C$5:$AU$493,13,)/VLOOKUP($D9,$C$5:$AU$493,3,))*$E9)</f>
        <v>0</v>
      </c>
      <c r="P9" s="66">
        <f>IF(VLOOKUP($D9,$C$5:$AU$493,3,)=0,0,(VLOOKUP($D9,$C$5:$AU$493,14,)/VLOOKUP($D9,$C$5:$AU$493,3,))*$E9)</f>
        <v>0</v>
      </c>
      <c r="Q9" s="66">
        <f>IF(VLOOKUP($D9,$C$5:$AU$493,3,)=0,0,(VLOOKUP($D9,$C$5:$AU$493,15,)/VLOOKUP($D9,$C$5:$AU$493,3,))*$E9)</f>
        <v>0</v>
      </c>
      <c r="R9" s="66">
        <f>IF(VLOOKUP($D9,$C$5:$AU$493,3,)=0,0,(VLOOKUP($D9,$C$5:$AU$493,16,)/VLOOKUP($D9,$C$5:$AU$493,3,))*$E9)</f>
        <v>0</v>
      </c>
      <c r="S9" s="66">
        <f>IF(VLOOKUP($D9,$C$5:$AU$493,3,)=0,0,(VLOOKUP($D9,$C$5:$AU$493,17,)/VLOOKUP($D9,$C$5:$AU$493,3,))*$E9)</f>
        <v>0</v>
      </c>
      <c r="T9" s="66">
        <f>IF(VLOOKUP($D9,$C$5:$AU$493,3,)=0,0,(VLOOKUP($D9,$C$5:$AU$493,18,)/VLOOKUP($D9,$C$5:$AU$493,3,))*$E9)</f>
        <v>0</v>
      </c>
      <c r="U9" s="66">
        <f>IF(VLOOKUP($D9,$C$5:$AU$493,3,)=0,0,(VLOOKUP($D9,$C$5:$AU$493,19,)/VLOOKUP($D9,$C$5:$AU$493,3,))*$E9)</f>
        <v>0</v>
      </c>
      <c r="V9" s="66">
        <f>IF(VLOOKUP($D9,$C$5:$AU$493,3,)=0,0,(VLOOKUP($D9,$C$5:$AU$493,20,)/VLOOKUP($D9,$C$5:$AU$493,3,))*$E9)</f>
        <v>0</v>
      </c>
      <c r="W9" s="66">
        <f>IF(VLOOKUP($D9,$C$5:$AU$493,3,)=0,0,(VLOOKUP($D9,$C$5:$AU$493,21,)/VLOOKUP($D9,$C$5:$AU$493,3,))*$E9)</f>
        <v>0</v>
      </c>
      <c r="X9" s="66">
        <f>IF(VLOOKUP($D9,$C$5:$AU$493,3,)=0,0,(VLOOKUP($D9,$C$5:$AU$493,22,)/VLOOKUP($D9,$C$5:$AU$493,3,))*$E9)</f>
        <v>0</v>
      </c>
      <c r="Y9" s="66">
        <f>IF(VLOOKUP($D9,$C$5:$AU$493,3,)=0,0,(VLOOKUP($D9,$C$5:$AU$493,23,)/VLOOKUP($D9,$C$5:$AU$493,3,))*$E9)</f>
        <v>0</v>
      </c>
      <c r="Z9" s="66">
        <f>IF(VLOOKUP($D9,$C$5:$AU$493,3,)=0,0,(VLOOKUP($D9,$C$5:$AU$493,24,)/VLOOKUP($D9,$C$5:$AU$493,3,))*$E9)</f>
        <v>0</v>
      </c>
      <c r="AA9" s="66">
        <f>IF(VLOOKUP($D9,$C$5:$AU$493,3,)=0,0,(VLOOKUP($D9,$C$5:$AU$493,25,)/VLOOKUP($D9,$C$5:$AU$493,3,))*$E9)</f>
        <v>0</v>
      </c>
      <c r="AB9" s="66">
        <f>IF(VLOOKUP($D9,$C$5:$AU$493,3,)=0,0,(VLOOKUP($D9,$C$5:$AU$493,26,)/VLOOKUP($D9,$C$5:$AU$493,3,))*$E9)</f>
        <v>0</v>
      </c>
      <c r="AC9" s="66">
        <f>IF(VLOOKUP($D9,$C$5:$AU$493,3,)=0,0,(VLOOKUP($D9,$C$5:$AU$493,27,)/VLOOKUP($D9,$C$5:$AU$493,3,))*$E9)</f>
        <v>0</v>
      </c>
      <c r="AD9" s="66">
        <f>IF(VLOOKUP($D9,$C$5:$AU$493,3,)=0,0,(VLOOKUP($D9,$C$5:$AU$493,28,)/VLOOKUP($D9,$C$5:$AU$493,3,))*$E9)</f>
        <v>0</v>
      </c>
      <c r="AE9" s="66">
        <f>IF(VLOOKUP($D9,$C$5:$AU$493,3,)=0,0,(VLOOKUP($D9,$C$5:$AU$493,29,)/VLOOKUP($D9,$C$5:$AU$493,3,))*$E9)</f>
        <v>0</v>
      </c>
      <c r="AF9" s="66">
        <f>IF(VLOOKUP($D9,$C$5:$AU$493,3,)=0,0,(VLOOKUP($D9,$C$5:$AU$493,30,)/VLOOKUP($D9,$C$5:$AU$493,3,))*$E9)</f>
        <v>0</v>
      </c>
      <c r="AG9" s="89">
        <f>SUM(F9:AF9)</f>
        <v>0</v>
      </c>
      <c r="AH9" s="27" t="str">
        <f>IF(ABS(E9-AG9)&lt;0.01,"ok","err")</f>
        <v>ok</v>
      </c>
    </row>
    <row r="10" spans="1:37" x14ac:dyDescent="0.2">
      <c r="A10" s="14" t="s">
        <v>213</v>
      </c>
      <c r="C10" s="14" t="s">
        <v>214</v>
      </c>
      <c r="E10" s="66">
        <f t="shared" ref="E10:T10" si="0">E8+E9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S10" s="66">
        <f t="shared" si="0"/>
        <v>0</v>
      </c>
      <c r="T10" s="66">
        <f t="shared" si="0"/>
        <v>0</v>
      </c>
      <c r="U10" s="66">
        <f t="shared" ref="U10:AF10" si="1">U8+U9</f>
        <v>0</v>
      </c>
      <c r="V10" s="66">
        <f t="shared" si="1"/>
        <v>0</v>
      </c>
      <c r="W10" s="66">
        <f t="shared" si="1"/>
        <v>0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  <c r="AB10" s="66">
        <f t="shared" si="1"/>
        <v>0</v>
      </c>
      <c r="AC10" s="66">
        <f t="shared" si="1"/>
        <v>0</v>
      </c>
      <c r="AD10" s="66">
        <f t="shared" si="1"/>
        <v>0</v>
      </c>
      <c r="AE10" s="66">
        <f t="shared" si="1"/>
        <v>0</v>
      </c>
      <c r="AF10" s="66">
        <f t="shared" si="1"/>
        <v>0</v>
      </c>
      <c r="AG10" s="89">
        <f>SUM(F10:AF10)</f>
        <v>0</v>
      </c>
      <c r="AH10" s="27" t="str">
        <f>IF(ABS(E10-AG10)&lt;0.01,"ok","err")</f>
        <v>ok</v>
      </c>
    </row>
    <row r="11" spans="1:37" x14ac:dyDescent="0.2">
      <c r="E11" s="49"/>
      <c r="F11" s="49"/>
    </row>
    <row r="12" spans="1:37" x14ac:dyDescent="0.2">
      <c r="A12" s="13" t="s">
        <v>348</v>
      </c>
      <c r="E12" s="49"/>
      <c r="F12" s="49"/>
    </row>
    <row r="13" spans="1:37" x14ac:dyDescent="0.2">
      <c r="A13" s="92" t="s">
        <v>207</v>
      </c>
      <c r="C13" s="14" t="s">
        <v>880</v>
      </c>
      <c r="D13" s="14" t="s">
        <v>599</v>
      </c>
      <c r="E13" s="66">
        <f>'Func &amp; Classif'!K82</f>
        <v>0</v>
      </c>
      <c r="F13" s="66">
        <f>IF(VLOOKUP($D13,$C$5:$AU$493,3,)=0,0,(VLOOKUP($D13,$C$5:$AU$493,4,)/VLOOKUP($D13,$C$5:$AU$493,3,))*$E13)</f>
        <v>0</v>
      </c>
      <c r="G13" s="66">
        <f>IF(VLOOKUP($D13,$C$5:$AU$493,3,)=0,0,(VLOOKUP($D13,$C$5:$AU$493,5,)/VLOOKUP($D13,$C$5:$AU$493,3,))*$E13)</f>
        <v>0</v>
      </c>
      <c r="H13" s="66">
        <f>IF(VLOOKUP($D13,$C$5:$AU$493,3,)=0,0,(VLOOKUP($D13,$C$5:$AU$493,6,)/VLOOKUP($D13,$C$5:$AU$493,3,))*$E13)</f>
        <v>0</v>
      </c>
      <c r="I13" s="66">
        <f>IF(VLOOKUP($D13,$C$5:$AU$493,3,)=0,0,(VLOOKUP($D13,$C$5:$AU$493,7,)/VLOOKUP($D13,$C$5:$AU$493,3,))*$E13)</f>
        <v>0</v>
      </c>
      <c r="J13" s="66">
        <f>IF(VLOOKUP($D13,$C$5:$AU$493,3,)=0,0,(VLOOKUP($D13,$C$5:$AU$493,8,)/VLOOKUP($D13,$C$5:$AU$493,3,))*$E13)</f>
        <v>0</v>
      </c>
      <c r="K13" s="66">
        <f>IF(VLOOKUP($D13,$C$5:$AU$493,3,)=0,0,(VLOOKUP($D13,$C$5:$AU$493,9,)/VLOOKUP($D13,$C$5:$AU$493,3,))*$E13)</f>
        <v>0</v>
      </c>
      <c r="L13" s="66">
        <f>IF(VLOOKUP($D13,$C$5:$AU$493,3,)=0,0,(VLOOKUP($D13,$C$5:$AU$493,10,)/VLOOKUP($D13,$C$5:$AU$493,3,))*$E13)</f>
        <v>0</v>
      </c>
      <c r="M13" s="66">
        <f>IF(VLOOKUP($D13,$C$5:$AU$493,3,)=0,0,(VLOOKUP($D13,$C$5:$AU$493,11,)/VLOOKUP($D13,$C$5:$AU$493,3,))*$E13)</f>
        <v>0</v>
      </c>
      <c r="N13" s="66">
        <f>IF(VLOOKUP($D13,$C$5:$AU$493,3,)=0,0,(VLOOKUP($D13,$C$5:$AU$493,12,)/VLOOKUP($D13,$C$5:$AU$493,3,))*$E13)</f>
        <v>0</v>
      </c>
      <c r="O13" s="66">
        <f>IF(VLOOKUP($D13,$C$5:$AU$493,3,)=0,0,(VLOOKUP($D13,$C$5:$AU$493,13,)/VLOOKUP($D13,$C$5:$AU$493,3,))*$E13)</f>
        <v>0</v>
      </c>
      <c r="P13" s="66">
        <f>IF(VLOOKUP($D13,$C$5:$AU$493,3,)=0,0,(VLOOKUP($D13,$C$5:$AU$493,14,)/VLOOKUP($D13,$C$5:$AU$493,3,))*$E13)</f>
        <v>0</v>
      </c>
      <c r="Q13" s="66">
        <f>IF(VLOOKUP($D13,$C$5:$AU$493,3,)=0,0,(VLOOKUP($D13,$C$5:$AU$493,15,)/VLOOKUP($D13,$C$5:$AU$493,3,))*$E13)</f>
        <v>0</v>
      </c>
      <c r="R13" s="66">
        <f>IF(VLOOKUP($D13,$C$5:$AU$493,3,)=0,0,(VLOOKUP($D13,$C$5:$AU$493,16,)/VLOOKUP($D13,$C$5:$AU$493,3,))*$E13)</f>
        <v>0</v>
      </c>
      <c r="S13" s="66">
        <f>IF(VLOOKUP($D13,$C$5:$AU$493,3,)=0,0,(VLOOKUP($D13,$C$5:$AU$493,17,)/VLOOKUP($D13,$C$5:$AU$493,3,))*$E13)</f>
        <v>0</v>
      </c>
      <c r="T13" s="66">
        <f>IF(VLOOKUP($D13,$C$5:$AU$493,3,)=0,0,(VLOOKUP($D13,$C$5:$AU$493,18,)/VLOOKUP($D13,$C$5:$AU$493,3,))*$E13)</f>
        <v>0</v>
      </c>
      <c r="U13" s="66">
        <f>IF(VLOOKUP($D13,$C$5:$AU$493,3,)=0,0,(VLOOKUP($D13,$C$5:$AU$493,19,)/VLOOKUP($D13,$C$5:$AU$493,3,))*$E13)</f>
        <v>0</v>
      </c>
      <c r="V13" s="66">
        <f>IF(VLOOKUP($D13,$C$5:$AU$493,3,)=0,0,(VLOOKUP($D13,$C$5:$AU$493,20,)/VLOOKUP($D13,$C$5:$AU$493,3,))*$E13)</f>
        <v>0</v>
      </c>
      <c r="W13" s="66">
        <f>IF(VLOOKUP($D13,$C$5:$AU$493,3,)=0,0,(VLOOKUP($D13,$C$5:$AU$493,21,)/VLOOKUP($D13,$C$5:$AU$493,3,))*$E13)</f>
        <v>0</v>
      </c>
      <c r="X13" s="66">
        <f>IF(VLOOKUP($D13,$C$5:$AU$493,3,)=0,0,(VLOOKUP($D13,$C$5:$AU$493,22,)/VLOOKUP($D13,$C$5:$AU$493,3,))*$E13)</f>
        <v>0</v>
      </c>
      <c r="Y13" s="66">
        <f>IF(VLOOKUP($D13,$C$5:$AU$493,3,)=0,0,(VLOOKUP($D13,$C$5:$AU$493,23,)/VLOOKUP($D13,$C$5:$AU$493,3,))*$E13)</f>
        <v>0</v>
      </c>
      <c r="Z13" s="66">
        <f>IF(VLOOKUP($D13,$C$5:$AU$493,3,)=0,0,(VLOOKUP($D13,$C$5:$AU$493,24,)/VLOOKUP($D13,$C$5:$AU$493,3,))*$E13)</f>
        <v>0</v>
      </c>
      <c r="AA13" s="66">
        <f>IF(VLOOKUP($D13,$C$5:$AU$493,3,)=0,0,(VLOOKUP($D13,$C$5:$AU$493,25,)/VLOOKUP($D13,$C$5:$AU$493,3,))*$E13)</f>
        <v>0</v>
      </c>
      <c r="AB13" s="66">
        <f>IF(VLOOKUP($D13,$C$5:$AU$493,3,)=0,0,(VLOOKUP($D13,$C$5:$AU$493,26,)/VLOOKUP($D13,$C$5:$AU$493,3,))*$E13)</f>
        <v>0</v>
      </c>
      <c r="AC13" s="66">
        <f>IF(VLOOKUP($D13,$C$5:$AU$493,3,)=0,0,(VLOOKUP($D13,$C$5:$AU$493,27,)/VLOOKUP($D13,$C$5:$AU$493,3,))*$E13)</f>
        <v>0</v>
      </c>
      <c r="AD13" s="66">
        <f>IF(VLOOKUP($D13,$C$5:$AU$493,3,)=0,0,(VLOOKUP($D13,$C$5:$AU$493,28,)/VLOOKUP($D13,$C$5:$AU$493,3,))*$E13)</f>
        <v>0</v>
      </c>
      <c r="AE13" s="66">
        <f>IF(VLOOKUP($D13,$C$5:$AU$493,3,)=0,0,(VLOOKUP($D13,$C$5:$AU$493,29,)/VLOOKUP($D13,$C$5:$AU$493,3,))*$E13)</f>
        <v>0</v>
      </c>
      <c r="AF13" s="66">
        <f>IF(VLOOKUP($D13,$C$5:$AU$493,3,)=0,0,(VLOOKUP($D13,$C$5:$AU$493,30,)/VLOOKUP($D13,$C$5:$AU$493,3,))*$E13)</f>
        <v>0</v>
      </c>
      <c r="AG13" s="89">
        <f>SUM(F13:AF13)</f>
        <v>0</v>
      </c>
      <c r="AH13" s="27" t="str">
        <f>IF(ABS(E13-AG13)&lt;0.01,"ok","err")</f>
        <v>ok</v>
      </c>
    </row>
    <row r="14" spans="1:37" x14ac:dyDescent="0.2">
      <c r="E14" s="49"/>
    </row>
    <row r="15" spans="1:37" x14ac:dyDescent="0.2">
      <c r="A15" s="13" t="s">
        <v>1</v>
      </c>
      <c r="E15" s="49"/>
      <c r="F15" s="49"/>
    </row>
    <row r="16" spans="1:37" x14ac:dyDescent="0.2">
      <c r="A16" s="92" t="s">
        <v>207</v>
      </c>
      <c r="C16" s="14" t="s">
        <v>215</v>
      </c>
      <c r="D16" s="14" t="s">
        <v>615</v>
      </c>
      <c r="E16" s="66">
        <f>'Func &amp; Classif'!M82</f>
        <v>2419420.2464449974</v>
      </c>
      <c r="F16" s="66">
        <f>IF(VLOOKUP($D16,$C$5:$AU$493,3,)=0,0,(VLOOKUP($D16,$C$5:$AU$493,4,)/VLOOKUP($D16,$C$5:$AU$493,3,))*$E16)</f>
        <v>1804235.0493648048</v>
      </c>
      <c r="G16" s="66">
        <f>IF(VLOOKUP($D16,$C$5:$AU$493,3,)=0,0,(VLOOKUP($D16,$C$5:$AU$493,5,)/VLOOKUP($D16,$C$5:$AU$493,3,))*$E16)</f>
        <v>341.81230240196044</v>
      </c>
      <c r="H16" s="66">
        <f>IF(VLOOKUP($D16,$C$5:$AU$493,3,)=0,0,(VLOOKUP($D16,$C$5:$AU$493,6,)/VLOOKUP($D16,$C$5:$AU$493,3,))*$E16)</f>
        <v>76.608238608090872</v>
      </c>
      <c r="I16" s="66">
        <f>IF(VLOOKUP($D16,$C$5:$AU$493,3,)=0,0,(VLOOKUP($D16,$C$5:$AU$493,7,)/VLOOKUP($D16,$C$5:$AU$493,3,))*$E16)</f>
        <v>148291.23268317021</v>
      </c>
      <c r="J16" s="66">
        <f>IF(VLOOKUP($D16,$C$5:$AU$493,3,)=0,0,(VLOOKUP($D16,$C$5:$AU$493,8,)/VLOOKUP($D16,$C$5:$AU$493,3,))*$E16)</f>
        <v>502.62822317746065</v>
      </c>
      <c r="K16" s="66">
        <f>IF(VLOOKUP($D16,$C$5:$AU$493,3,)=0,0,(VLOOKUP($D16,$C$5:$AU$493,9,)/VLOOKUP($D16,$C$5:$AU$493,3,))*$E16)</f>
        <v>56861.284729653344</v>
      </c>
      <c r="L16" s="66">
        <f>IF(VLOOKUP($D16,$C$5:$AU$493,3,)=0,0,(VLOOKUP($D16,$C$5:$AU$493,10,)/VLOOKUP($D16,$C$5:$AU$493,3,))*$E16)</f>
        <v>161578.47498695442</v>
      </c>
      <c r="M16" s="66">
        <f>IF(VLOOKUP($D16,$C$5:$AU$493,3,)=0,0,(VLOOKUP($D16,$C$5:$AU$493,11,)/VLOOKUP($D16,$C$5:$AU$493,3,))*$E16)</f>
        <v>83004.914206316869</v>
      </c>
      <c r="N16" s="66">
        <f>IF(VLOOKUP($D16,$C$5:$AU$493,3,)=0,0,(VLOOKUP($D16,$C$5:$AU$493,12,)/VLOOKUP($D16,$C$5:$AU$493,3,))*$E16)</f>
        <v>158766.39954191438</v>
      </c>
      <c r="O16" s="66">
        <f>IF(VLOOKUP($D16,$C$5:$AU$493,3,)=0,0,(VLOOKUP($D16,$C$5:$AU$493,13,)/VLOOKUP($D16,$C$5:$AU$493,3,))*$E16)</f>
        <v>0</v>
      </c>
      <c r="P16" s="66">
        <f>IF(VLOOKUP($D16,$C$5:$AU$493,3,)=0,0,(VLOOKUP($D16,$C$5:$AU$493,14,)/VLOOKUP($D16,$C$5:$AU$493,3,))*$E16)</f>
        <v>5761.8421679964431</v>
      </c>
      <c r="Q16" s="66">
        <f>IF(VLOOKUP($D16,$C$5:$AU$493,3,)=0,0,(VLOOKUP($D16,$C$5:$AU$493,15,)/VLOOKUP($D16,$C$5:$AU$493,3,))*$E16)</f>
        <v>0</v>
      </c>
      <c r="R16" s="66">
        <f>IF(VLOOKUP($D16,$C$5:$AU$493,3,)=0,0,(VLOOKUP($D16,$C$5:$AU$493,16,)/VLOOKUP($D16,$C$5:$AU$493,3,))*$E16)</f>
        <v>0</v>
      </c>
      <c r="S16" s="66">
        <f>IF(VLOOKUP($D16,$C$5:$AU$493,3,)=0,0,(VLOOKUP($D16,$C$5:$AU$493,17,)/VLOOKUP($D16,$C$5:$AU$493,3,))*$E16)</f>
        <v>0</v>
      </c>
      <c r="T16" s="66">
        <f>IF(VLOOKUP($D16,$C$5:$AU$493,3,)=0,0,(VLOOKUP($D16,$C$5:$AU$493,18,)/VLOOKUP($D16,$C$5:$AU$493,3,))*$E16)</f>
        <v>0</v>
      </c>
      <c r="U16" s="66">
        <f>IF(VLOOKUP($D16,$C$5:$AU$493,3,)=0,0,(VLOOKUP($D16,$C$5:$AU$493,19,)/VLOOKUP($D16,$C$5:$AU$493,3,))*$E16)</f>
        <v>0</v>
      </c>
      <c r="V16" s="66">
        <f>IF(VLOOKUP($D16,$C$5:$AU$493,3,)=0,0,(VLOOKUP($D16,$C$5:$AU$493,20,)/VLOOKUP($D16,$C$5:$AU$493,3,))*$E16)</f>
        <v>0</v>
      </c>
      <c r="W16" s="66">
        <f>IF(VLOOKUP($D16,$C$5:$AU$493,3,)=0,0,(VLOOKUP($D16,$C$5:$AU$493,21,)/VLOOKUP($D16,$C$5:$AU$493,3,))*$E16)</f>
        <v>0</v>
      </c>
      <c r="X16" s="66">
        <f>IF(VLOOKUP($D16,$C$5:$AU$493,3,)=0,0,(VLOOKUP($D16,$C$5:$AU$493,22,)/VLOOKUP($D16,$C$5:$AU$493,3,))*$E16)</f>
        <v>0</v>
      </c>
      <c r="Y16" s="66">
        <f>IF(VLOOKUP($D16,$C$5:$AU$493,3,)=0,0,(VLOOKUP($D16,$C$5:$AU$493,23,)/VLOOKUP($D16,$C$5:$AU$493,3,))*$E16)</f>
        <v>0</v>
      </c>
      <c r="Z16" s="66">
        <f>IF(VLOOKUP($D16,$C$5:$AU$493,3,)=0,0,(VLOOKUP($D16,$C$5:$AU$493,24,)/VLOOKUP($D16,$C$5:$AU$493,3,))*$E16)</f>
        <v>0</v>
      </c>
      <c r="AA16" s="66">
        <f>IF(VLOOKUP($D16,$C$5:$AU$493,3,)=0,0,(VLOOKUP($D16,$C$5:$AU$493,25,)/VLOOKUP($D16,$C$5:$AU$493,3,))*$E16)</f>
        <v>0</v>
      </c>
      <c r="AB16" s="66">
        <f>IF(VLOOKUP($D16,$C$5:$AU$493,3,)=0,0,(VLOOKUP($D16,$C$5:$AU$493,26,)/VLOOKUP($D16,$C$5:$AU$493,3,))*$E16)</f>
        <v>0</v>
      </c>
      <c r="AC16" s="66">
        <f>IF(VLOOKUP($D16,$C$5:$AU$493,3,)=0,0,(VLOOKUP($D16,$C$5:$AU$493,27,)/VLOOKUP($D16,$C$5:$AU$493,3,))*$E16)</f>
        <v>0</v>
      </c>
      <c r="AD16" s="66">
        <f>IF(VLOOKUP($D16,$C$5:$AU$493,3,)=0,0,(VLOOKUP($D16,$C$5:$AU$493,28,)/VLOOKUP($D16,$C$5:$AU$493,3,))*$E16)</f>
        <v>0</v>
      </c>
      <c r="AE16" s="66">
        <f>IF(VLOOKUP($D16,$C$5:$AU$493,3,)=0,0,(VLOOKUP($D16,$C$5:$AU$493,29,)/VLOOKUP($D16,$C$5:$AU$493,3,))*$E16)</f>
        <v>0</v>
      </c>
      <c r="AF16" s="66">
        <f>IF(VLOOKUP($D16,$C$5:$AU$493,3,)=0,0,(VLOOKUP($D16,$C$5:$AU$493,30,)/VLOOKUP($D16,$C$5:$AU$493,3,))*$E16)</f>
        <v>0</v>
      </c>
      <c r="AG16" s="89">
        <f>SUM(F16:AF16)</f>
        <v>2419420.2464449978</v>
      </c>
      <c r="AH16" s="27" t="str">
        <f>IF(ABS(E16-AG16)&lt;0.01,"ok","err")</f>
        <v>ok</v>
      </c>
    </row>
    <row r="17" spans="1:35" x14ac:dyDescent="0.2">
      <c r="E17" s="49"/>
    </row>
    <row r="18" spans="1:35" x14ac:dyDescent="0.2">
      <c r="A18" s="13" t="s">
        <v>355</v>
      </c>
      <c r="E18" s="49"/>
    </row>
    <row r="19" spans="1:35" x14ac:dyDescent="0.2">
      <c r="A19" s="92" t="s">
        <v>207</v>
      </c>
      <c r="C19" s="14" t="s">
        <v>217</v>
      </c>
      <c r="D19" s="14" t="s">
        <v>607</v>
      </c>
      <c r="E19" s="66">
        <f>'Func &amp; Classif'!O82</f>
        <v>157703336.49689505</v>
      </c>
      <c r="F19" s="66">
        <f>IF(VLOOKUP($D19,$C$5:$AU$493,3,)=0,0,(VLOOKUP($D19,$C$5:$AU$493,4,)/VLOOKUP($D19,$C$5:$AU$493,3,))*$E19)</f>
        <v>131521202.97192878</v>
      </c>
      <c r="G19" s="66">
        <f>IF(VLOOKUP($D19,$C$5:$AU$493,3,)=0,0,(VLOOKUP($D19,$C$5:$AU$493,5,)/VLOOKUP($D19,$C$5:$AU$493,3,))*$E19)</f>
        <v>24581.883998605612</v>
      </c>
      <c r="H19" s="66">
        <f>IF(VLOOKUP($D19,$C$5:$AU$493,3,)=0,0,(VLOOKUP($D19,$C$5:$AU$493,6,)/VLOOKUP($D19,$C$5:$AU$493,3,))*$E19)</f>
        <v>905815.58876498521</v>
      </c>
      <c r="I19" s="66">
        <f>IF(VLOOKUP($D19,$C$5:$AU$493,3,)=0,0,(VLOOKUP($D19,$C$5:$AU$493,7,)/VLOOKUP($D19,$C$5:$AU$493,3,))*$E19)</f>
        <v>7067122.9212983083</v>
      </c>
      <c r="J19" s="66">
        <f>IF(VLOOKUP($D19,$C$5:$AU$493,3,)=0,0,(VLOOKUP($D19,$C$5:$AU$493,8,)/VLOOKUP($D19,$C$5:$AU$493,3,))*$E19)</f>
        <v>912838.50205054495</v>
      </c>
      <c r="K19" s="66">
        <f>IF(VLOOKUP($D19,$C$5:$AU$493,3,)=0,0,(VLOOKUP($D19,$C$5:$AU$493,9,)/VLOOKUP($D19,$C$5:$AU$493,3,))*$E19)</f>
        <v>2257862.8675766313</v>
      </c>
      <c r="L19" s="66">
        <f>IF(VLOOKUP($D19,$C$5:$AU$493,3,)=0,0,(VLOOKUP($D19,$C$5:$AU$493,10,)/VLOOKUP($D19,$C$5:$AU$493,3,))*$E19)</f>
        <v>6251819.3672204753</v>
      </c>
      <c r="M19" s="66">
        <f>IF(VLOOKUP($D19,$C$5:$AU$493,3,)=0,0,(VLOOKUP($D19,$C$5:$AU$493,11,)/VLOOKUP($D19,$C$5:$AU$493,3,))*$E19)</f>
        <v>2919437.0388850956</v>
      </c>
      <c r="N19" s="66">
        <f>IF(VLOOKUP($D19,$C$5:$AU$493,3,)=0,0,(VLOOKUP($D19,$C$5:$AU$493,12,)/VLOOKUP($D19,$C$5:$AU$493,3,))*$E19)</f>
        <v>5539551.6090334272</v>
      </c>
      <c r="O19" s="66">
        <f>IF(VLOOKUP($D19,$C$5:$AU$493,3,)=0,0,(VLOOKUP($D19,$C$5:$AU$493,13,)/VLOOKUP($D19,$C$5:$AU$493,3,))*$E19)</f>
        <v>0</v>
      </c>
      <c r="P19" s="66">
        <f>IF(VLOOKUP($D19,$C$5:$AU$493,3,)=0,0,(VLOOKUP($D19,$C$5:$AU$493,14,)/VLOOKUP($D19,$C$5:$AU$493,3,))*$E19)</f>
        <v>303103.74613818596</v>
      </c>
      <c r="Q19" s="66">
        <f>IF(VLOOKUP($D19,$C$5:$AU$493,3,)=0,0,(VLOOKUP($D19,$C$5:$AU$493,15,)/VLOOKUP($D19,$C$5:$AU$493,3,))*$E19)</f>
        <v>0</v>
      </c>
      <c r="R19" s="66">
        <f>IF(VLOOKUP($D19,$C$5:$AU$493,3,)=0,0,(VLOOKUP($D19,$C$5:$AU$493,16,)/VLOOKUP($D19,$C$5:$AU$493,3,))*$E19)</f>
        <v>0</v>
      </c>
      <c r="S19" s="66">
        <f>IF(VLOOKUP($D19,$C$5:$AU$493,3,)=0,0,(VLOOKUP($D19,$C$5:$AU$493,17,)/VLOOKUP($D19,$C$5:$AU$493,3,))*$E19)</f>
        <v>0</v>
      </c>
      <c r="T19" s="66">
        <f>IF(VLOOKUP($D19,$C$5:$AU$493,3,)=0,0,(VLOOKUP($D19,$C$5:$AU$493,18,)/VLOOKUP($D19,$C$5:$AU$493,3,))*$E19)</f>
        <v>0</v>
      </c>
      <c r="U19" s="66">
        <f>IF(VLOOKUP($D19,$C$5:$AU$493,3,)=0,0,(VLOOKUP($D19,$C$5:$AU$493,19,)/VLOOKUP($D19,$C$5:$AU$493,3,))*$E19)</f>
        <v>0</v>
      </c>
      <c r="V19" s="66">
        <f>IF(VLOOKUP($D19,$C$5:$AU$493,3,)=0,0,(VLOOKUP($D19,$C$5:$AU$493,20,)/VLOOKUP($D19,$C$5:$AU$493,3,))*$E19)</f>
        <v>0</v>
      </c>
      <c r="W19" s="66">
        <f>IF(VLOOKUP($D19,$C$5:$AU$493,3,)=0,0,(VLOOKUP($D19,$C$5:$AU$493,21,)/VLOOKUP($D19,$C$5:$AU$493,3,))*$E19)</f>
        <v>0</v>
      </c>
      <c r="X19" s="66">
        <f>IF(VLOOKUP($D19,$C$5:$AU$493,3,)=0,0,(VLOOKUP($D19,$C$5:$AU$493,22,)/VLOOKUP($D19,$C$5:$AU$493,3,))*$E19)</f>
        <v>0</v>
      </c>
      <c r="Y19" s="66">
        <f>IF(VLOOKUP($D19,$C$5:$AU$493,3,)=0,0,(VLOOKUP($D19,$C$5:$AU$493,23,)/VLOOKUP($D19,$C$5:$AU$493,3,))*$E19)</f>
        <v>0</v>
      </c>
      <c r="Z19" s="66">
        <f>IF(VLOOKUP($D19,$C$5:$AU$493,3,)=0,0,(VLOOKUP($D19,$C$5:$AU$493,24,)/VLOOKUP($D19,$C$5:$AU$493,3,))*$E19)</f>
        <v>0</v>
      </c>
      <c r="AA19" s="66">
        <f>IF(VLOOKUP($D19,$C$5:$AU$493,3,)=0,0,(VLOOKUP($D19,$C$5:$AU$493,25,)/VLOOKUP($D19,$C$5:$AU$493,3,))*$E19)</f>
        <v>0</v>
      </c>
      <c r="AB19" s="66">
        <f>IF(VLOOKUP($D19,$C$5:$AU$493,3,)=0,0,(VLOOKUP($D19,$C$5:$AU$493,26,)/VLOOKUP($D19,$C$5:$AU$493,3,))*$E19)</f>
        <v>0</v>
      </c>
      <c r="AC19" s="66">
        <f>IF(VLOOKUP($D19,$C$5:$AU$493,3,)=0,0,(VLOOKUP($D19,$C$5:$AU$493,27,)/VLOOKUP($D19,$C$5:$AU$493,3,))*$E19)</f>
        <v>0</v>
      </c>
      <c r="AD19" s="66">
        <f>IF(VLOOKUP($D19,$C$5:$AU$493,3,)=0,0,(VLOOKUP($D19,$C$5:$AU$493,28,)/VLOOKUP($D19,$C$5:$AU$493,3,))*$E19)</f>
        <v>0</v>
      </c>
      <c r="AE19" s="66">
        <f>IF(VLOOKUP($D19,$C$5:$AU$493,3,)=0,0,(VLOOKUP($D19,$C$5:$AU$493,29,)/VLOOKUP($D19,$C$5:$AU$493,3,))*$E19)</f>
        <v>0</v>
      </c>
      <c r="AF19" s="66">
        <f>IF(VLOOKUP($D19,$C$5:$AU$493,3,)=0,0,(VLOOKUP($D19,$C$5:$AU$493,30,)/VLOOKUP($D19,$C$5:$AU$493,3,))*$E19)</f>
        <v>0</v>
      </c>
      <c r="AG19" s="89">
        <f>SUM(F19:AF19)</f>
        <v>157703336.49689502</v>
      </c>
      <c r="AH19" s="27" t="str">
        <f>IF(ABS(E19-AG19)&lt;0.01,"ok","err")</f>
        <v>ok</v>
      </c>
      <c r="AI19" s="89"/>
    </row>
    <row r="20" spans="1:35" x14ac:dyDescent="0.2">
      <c r="A20" s="92" t="s">
        <v>219</v>
      </c>
      <c r="C20" s="14" t="s">
        <v>220</v>
      </c>
      <c r="D20" s="14" t="s">
        <v>221</v>
      </c>
      <c r="E20" s="49">
        <f>'Func &amp; Classif'!P82</f>
        <v>105963154.68682139</v>
      </c>
      <c r="F20" s="66">
        <f>IF(VLOOKUP($D20,$C$5:$AU$493,3,)=0,0,(VLOOKUP($D20,$C$5:$AU$493,4,)/VLOOKUP($D20,$C$5:$AU$493,3,))*$E20)</f>
        <v>80942324.627021849</v>
      </c>
      <c r="G20" s="66">
        <f>IF(VLOOKUP($D20,$C$5:$AU$493,3,)=0,0,(VLOOKUP($D20,$C$5:$AU$493,5,)/VLOOKUP($D20,$C$5:$AU$493,3,))*$E20)</f>
        <v>157420.62761445664</v>
      </c>
      <c r="H20" s="66">
        <f>IF(VLOOKUP($D20,$C$5:$AU$493,3,)=0,0,(VLOOKUP($D20,$C$5:$AU$493,6,)/VLOOKUP($D20,$C$5:$AU$493,3,))*$E20)</f>
        <v>25473.316604752385</v>
      </c>
      <c r="I20" s="66">
        <f>IF(VLOOKUP($D20,$C$5:$AU$493,3,)=0,0,(VLOOKUP($D20,$C$5:$AU$493,7,)/VLOOKUP($D20,$C$5:$AU$493,3,))*$E20)</f>
        <v>4071932.0042842343</v>
      </c>
      <c r="J20" s="66">
        <f>IF(VLOOKUP($D20,$C$5:$AU$493,3,)=0,0,(VLOOKUP($D20,$C$5:$AU$493,8,)/VLOOKUP($D20,$C$5:$AU$493,3,))*$E20)</f>
        <v>65247.442531471017</v>
      </c>
      <c r="K20" s="66">
        <f>IF(VLOOKUP($D20,$C$5:$AU$493,3,)=0,0,(VLOOKUP($D20,$C$5:$AU$493,9,)/VLOOKUP($D20,$C$5:$AU$493,3,))*$E20)</f>
        <v>83235.179256756703</v>
      </c>
      <c r="L20" s="66">
        <f>IF(VLOOKUP($D20,$C$5:$AU$493,3,)=0,0,(VLOOKUP($D20,$C$5:$AU$493,10,)/VLOOKUP($D20,$C$5:$AU$493,3,))*$E20)</f>
        <v>39774.12592671864</v>
      </c>
      <c r="M20" s="66">
        <f>IF(VLOOKUP($D20,$C$5:$AU$493,3,)=0,0,(VLOOKUP($D20,$C$5:$AU$493,11,)/VLOOKUP($D20,$C$5:$AU$493,3,))*$E20)</f>
        <v>4022.1026218030083</v>
      </c>
      <c r="N20" s="66">
        <f>IF(VLOOKUP($D20,$C$5:$AU$493,3,)=0,0,(VLOOKUP($D20,$C$5:$AU$493,12,)/VLOOKUP($D20,$C$5:$AU$493,3,))*$E20)</f>
        <v>4022.1026218030083</v>
      </c>
      <c r="O20" s="66">
        <f>IF(VLOOKUP($D20,$C$5:$AU$493,3,)=0,0,(VLOOKUP($D20,$C$5:$AU$493,13,)/VLOOKUP($D20,$C$5:$AU$493,3,))*$E20)</f>
        <v>1340.700873934336</v>
      </c>
      <c r="P20" s="66">
        <f>IF(VLOOKUP($D20,$C$5:$AU$493,3,)=0,0,(VLOOKUP($D20,$C$5:$AU$493,14,)/VLOOKUP($D20,$C$5:$AU$493,3,))*$E20)</f>
        <v>20568362.457463618</v>
      </c>
      <c r="Q20" s="66">
        <f>IF(VLOOKUP($D20,$C$5:$AU$493,3,)=0,0,(VLOOKUP($D20,$C$5:$AU$493,15,)/VLOOKUP($D20,$C$5:$AU$493,3,))*$E20)</f>
        <v>0</v>
      </c>
      <c r="R20" s="66">
        <f>IF(VLOOKUP($D20,$C$5:$AU$493,3,)=0,0,(VLOOKUP($D20,$C$5:$AU$493,16,)/VLOOKUP($D20,$C$5:$AU$493,3,))*$E20)</f>
        <v>0</v>
      </c>
      <c r="S20" s="66">
        <f>IF(VLOOKUP($D20,$C$5:$AU$493,3,)=0,0,(VLOOKUP($D20,$C$5:$AU$493,17,)/VLOOKUP($D20,$C$5:$AU$493,3,))*$E20)</f>
        <v>0</v>
      </c>
      <c r="T20" s="66">
        <f>IF(VLOOKUP($D20,$C$5:$AU$493,3,)=0,0,(VLOOKUP($D20,$C$5:$AU$493,18,)/VLOOKUP($D20,$C$5:$AU$493,3,))*$E20)</f>
        <v>0</v>
      </c>
      <c r="U20" s="66">
        <f>IF(VLOOKUP($D20,$C$5:$AU$493,3,)=0,0,(VLOOKUP($D20,$C$5:$AU$493,19,)/VLOOKUP($D20,$C$5:$AU$493,3,))*$E20)</f>
        <v>0</v>
      </c>
      <c r="V20" s="66">
        <f>IF(VLOOKUP($D20,$C$5:$AU$493,3,)=0,0,(VLOOKUP($D20,$C$5:$AU$493,20,)/VLOOKUP($D20,$C$5:$AU$493,3,))*$E20)</f>
        <v>0</v>
      </c>
      <c r="W20" s="66">
        <f>IF(VLOOKUP($D20,$C$5:$AU$493,3,)=0,0,(VLOOKUP($D20,$C$5:$AU$493,21,)/VLOOKUP($D20,$C$5:$AU$493,3,))*$E20)</f>
        <v>0</v>
      </c>
      <c r="X20" s="66">
        <f>IF(VLOOKUP($D20,$C$5:$AU$493,3,)=0,0,(VLOOKUP($D20,$C$5:$AU$493,22,)/VLOOKUP($D20,$C$5:$AU$493,3,))*$E20)</f>
        <v>0</v>
      </c>
      <c r="Y20" s="66">
        <f>IF(VLOOKUP($D20,$C$5:$AU$493,3,)=0,0,(VLOOKUP($D20,$C$5:$AU$493,23,)/VLOOKUP($D20,$C$5:$AU$493,3,))*$E20)</f>
        <v>0</v>
      </c>
      <c r="Z20" s="66">
        <f>IF(VLOOKUP($D20,$C$5:$AU$493,3,)=0,0,(VLOOKUP($D20,$C$5:$AU$493,24,)/VLOOKUP($D20,$C$5:$AU$493,3,))*$E20)</f>
        <v>0</v>
      </c>
      <c r="AA20" s="66">
        <f>IF(VLOOKUP($D20,$C$5:$AU$493,3,)=0,0,(VLOOKUP($D20,$C$5:$AU$493,25,)/VLOOKUP($D20,$C$5:$AU$493,3,))*$E20)</f>
        <v>0</v>
      </c>
      <c r="AB20" s="66">
        <f>IF(VLOOKUP($D20,$C$5:$AU$493,3,)=0,0,(VLOOKUP($D20,$C$5:$AU$493,26,)/VLOOKUP($D20,$C$5:$AU$493,3,))*$E20)</f>
        <v>0</v>
      </c>
      <c r="AC20" s="66">
        <f>IF(VLOOKUP($D20,$C$5:$AU$493,3,)=0,0,(VLOOKUP($D20,$C$5:$AU$493,27,)/VLOOKUP($D20,$C$5:$AU$493,3,))*$E20)</f>
        <v>0</v>
      </c>
      <c r="AD20" s="66">
        <f>IF(VLOOKUP($D20,$C$5:$AU$493,3,)=0,0,(VLOOKUP($D20,$C$5:$AU$493,28,)/VLOOKUP($D20,$C$5:$AU$493,3,))*$E20)</f>
        <v>0</v>
      </c>
      <c r="AE20" s="66">
        <f>IF(VLOOKUP($D20,$C$5:$AU$493,3,)=0,0,(VLOOKUP($D20,$C$5:$AU$493,29,)/VLOOKUP($D20,$C$5:$AU$493,3,))*$E20)</f>
        <v>0</v>
      </c>
      <c r="AF20" s="66">
        <f>IF(VLOOKUP($D20,$C$5:$AU$493,3,)=0,0,(VLOOKUP($D20,$C$5:$AU$493,30,)/VLOOKUP($D20,$C$5:$AU$493,3,))*$E20)</f>
        <v>0</v>
      </c>
      <c r="AG20" s="89">
        <f>SUM(F20:AF20)</f>
        <v>105963154.6868214</v>
      </c>
      <c r="AH20" s="27" t="str">
        <f>IF(ABS(E20-AG20)&lt;0.01,"ok","err")</f>
        <v>ok</v>
      </c>
    </row>
    <row r="21" spans="1:35" x14ac:dyDescent="0.2">
      <c r="A21" s="14" t="s">
        <v>222</v>
      </c>
      <c r="C21" s="14" t="s">
        <v>471</v>
      </c>
      <c r="E21" s="66">
        <f t="shared" ref="E21:T21" si="2">E19+E20</f>
        <v>263666491.18371642</v>
      </c>
      <c r="F21" s="66">
        <f t="shared" si="2"/>
        <v>212463527.59895062</v>
      </c>
      <c r="G21" s="66">
        <f t="shared" si="2"/>
        <v>182002.51161306223</v>
      </c>
      <c r="H21" s="66">
        <f t="shared" si="2"/>
        <v>931288.90536973765</v>
      </c>
      <c r="I21" s="66">
        <f t="shared" si="2"/>
        <v>11139054.925582543</v>
      </c>
      <c r="J21" s="66">
        <f t="shared" si="2"/>
        <v>978085.94458201597</v>
      </c>
      <c r="K21" s="66">
        <f t="shared" si="2"/>
        <v>2341098.046833388</v>
      </c>
      <c r="L21" s="66">
        <f t="shared" si="2"/>
        <v>6291593.4931471944</v>
      </c>
      <c r="M21" s="66">
        <f t="shared" si="2"/>
        <v>2923459.1415068987</v>
      </c>
      <c r="N21" s="66">
        <f t="shared" si="2"/>
        <v>5543573.7116552303</v>
      </c>
      <c r="O21" s="66">
        <f t="shared" si="2"/>
        <v>1340.700873934336</v>
      </c>
      <c r="P21" s="66">
        <f t="shared" si="2"/>
        <v>20871466.203601804</v>
      </c>
      <c r="Q21" s="66">
        <f t="shared" si="2"/>
        <v>0</v>
      </c>
      <c r="R21" s="66">
        <f t="shared" si="2"/>
        <v>0</v>
      </c>
      <c r="S21" s="66">
        <f t="shared" si="2"/>
        <v>0</v>
      </c>
      <c r="T21" s="66">
        <f t="shared" si="2"/>
        <v>0</v>
      </c>
      <c r="U21" s="66">
        <f t="shared" ref="U21:AF21" si="3">U19+U20</f>
        <v>0</v>
      </c>
      <c r="V21" s="66">
        <f t="shared" si="3"/>
        <v>0</v>
      </c>
      <c r="W21" s="66">
        <f t="shared" si="3"/>
        <v>0</v>
      </c>
      <c r="X21" s="66">
        <f t="shared" si="3"/>
        <v>0</v>
      </c>
      <c r="Y21" s="66">
        <f t="shared" si="3"/>
        <v>0</v>
      </c>
      <c r="Z21" s="66">
        <f t="shared" si="3"/>
        <v>0</v>
      </c>
      <c r="AA21" s="66">
        <f t="shared" si="3"/>
        <v>0</v>
      </c>
      <c r="AB21" s="66">
        <f t="shared" si="3"/>
        <v>0</v>
      </c>
      <c r="AC21" s="66">
        <f t="shared" si="3"/>
        <v>0</v>
      </c>
      <c r="AD21" s="66">
        <f t="shared" si="3"/>
        <v>0</v>
      </c>
      <c r="AE21" s="66">
        <f t="shared" si="3"/>
        <v>0</v>
      </c>
      <c r="AF21" s="66">
        <f t="shared" si="3"/>
        <v>0</v>
      </c>
      <c r="AG21" s="89">
        <f>SUM(F21:AF21)</f>
        <v>263666491.18371648</v>
      </c>
      <c r="AH21" s="27" t="str">
        <f>IF(ABS(E21-AG21)&lt;0.01,"ok","err")</f>
        <v>ok</v>
      </c>
    </row>
    <row r="22" spans="1:35" x14ac:dyDescent="0.2">
      <c r="E22" s="49"/>
    </row>
    <row r="23" spans="1:35" x14ac:dyDescent="0.2">
      <c r="A23" s="13" t="s">
        <v>3</v>
      </c>
      <c r="E23" s="49"/>
    </row>
    <row r="24" spans="1:35" x14ac:dyDescent="0.2">
      <c r="A24" s="92" t="s">
        <v>207</v>
      </c>
      <c r="C24" s="14" t="s">
        <v>223</v>
      </c>
      <c r="D24" s="14" t="s">
        <v>618</v>
      </c>
      <c r="E24" s="66">
        <f>'Func &amp; Classif'!R82</f>
        <v>0</v>
      </c>
      <c r="F24" s="66">
        <f>IF(VLOOKUP($D24,$C$5:$AU$493,3,)=0,0,(VLOOKUP($D24,$C$5:$AU$493,4,)/VLOOKUP($D24,$C$5:$AU$493,3,))*$E24)</f>
        <v>0</v>
      </c>
      <c r="G24" s="66">
        <f>IF(VLOOKUP($D24,$C$5:$AU$493,3,)=0,0,(VLOOKUP($D24,$C$5:$AU$493,5,)/VLOOKUP($D24,$C$5:$AU$493,3,))*$E24)</f>
        <v>0</v>
      </c>
      <c r="H24" s="66">
        <f>IF(VLOOKUP($D24,$C$5:$AU$493,3,)=0,0,(VLOOKUP($D24,$C$5:$AU$493,6,)/VLOOKUP($D24,$C$5:$AU$493,3,))*$E24)</f>
        <v>0</v>
      </c>
      <c r="I24" s="66">
        <f>IF(VLOOKUP($D24,$C$5:$AU$493,3,)=0,0,(VLOOKUP($D24,$C$5:$AU$493,7,)/VLOOKUP($D24,$C$5:$AU$493,3,))*$E24)</f>
        <v>0</v>
      </c>
      <c r="J24" s="66">
        <f>IF(VLOOKUP($D24,$C$5:$AU$493,3,)=0,0,(VLOOKUP($D24,$C$5:$AU$493,8,)/VLOOKUP($D24,$C$5:$AU$493,3,))*$E24)</f>
        <v>0</v>
      </c>
      <c r="K24" s="66">
        <f>IF(VLOOKUP($D24,$C$5:$AU$493,3,)=0,0,(VLOOKUP($D24,$C$5:$AU$493,9,)/VLOOKUP($D24,$C$5:$AU$493,3,))*$E24)</f>
        <v>0</v>
      </c>
      <c r="L24" s="66">
        <f>IF(VLOOKUP($D24,$C$5:$AU$493,3,)=0,0,(VLOOKUP($D24,$C$5:$AU$493,10,)/VLOOKUP($D24,$C$5:$AU$493,3,))*$E24)</f>
        <v>0</v>
      </c>
      <c r="M24" s="66">
        <f>IF(VLOOKUP($D24,$C$5:$AU$493,3,)=0,0,(VLOOKUP($D24,$C$5:$AU$493,11,)/VLOOKUP($D24,$C$5:$AU$493,3,))*$E24)</f>
        <v>0</v>
      </c>
      <c r="N24" s="66">
        <f>IF(VLOOKUP($D24,$C$5:$AU$493,3,)=0,0,(VLOOKUP($D24,$C$5:$AU$493,12,)/VLOOKUP($D24,$C$5:$AU$493,3,))*$E24)</f>
        <v>0</v>
      </c>
      <c r="O24" s="66">
        <f>IF(VLOOKUP($D24,$C$5:$AU$493,3,)=0,0,(VLOOKUP($D24,$C$5:$AU$493,13,)/VLOOKUP($D24,$C$5:$AU$493,3,))*$E24)</f>
        <v>0</v>
      </c>
      <c r="P24" s="66">
        <f>IF(VLOOKUP($D24,$C$5:$AU$493,3,)=0,0,(VLOOKUP($D24,$C$5:$AU$493,14,)/VLOOKUP($D24,$C$5:$AU$493,3,))*$E24)</f>
        <v>0</v>
      </c>
      <c r="Q24" s="66">
        <f>IF(VLOOKUP($D24,$C$5:$AU$493,3,)=0,0,(VLOOKUP($D24,$C$5:$AU$493,15,)/VLOOKUP($D24,$C$5:$AU$493,3,))*$E24)</f>
        <v>0</v>
      </c>
      <c r="R24" s="66">
        <f>IF(VLOOKUP($D24,$C$5:$AU$493,3,)=0,0,(VLOOKUP($D24,$C$5:$AU$493,16,)/VLOOKUP($D24,$C$5:$AU$493,3,))*$E24)</f>
        <v>0</v>
      </c>
      <c r="S24" s="66">
        <f>IF(VLOOKUP($D24,$C$5:$AU$493,3,)=0,0,(VLOOKUP($D24,$C$5:$AU$493,17,)/VLOOKUP($D24,$C$5:$AU$493,3,))*$E24)</f>
        <v>0</v>
      </c>
      <c r="T24" s="66">
        <f>IF(VLOOKUP($D24,$C$5:$AU$493,3,)=0,0,(VLOOKUP($D24,$C$5:$AU$493,18,)/VLOOKUP($D24,$C$5:$AU$493,3,))*$E24)</f>
        <v>0</v>
      </c>
      <c r="U24" s="66">
        <f>IF(VLOOKUP($D24,$C$5:$AU$493,3,)=0,0,(VLOOKUP($D24,$C$5:$AU$493,19,)/VLOOKUP($D24,$C$5:$AU$493,3,))*$E24)</f>
        <v>0</v>
      </c>
      <c r="V24" s="66">
        <f>IF(VLOOKUP($D24,$C$5:$AU$493,3,)=0,0,(VLOOKUP($D24,$C$5:$AU$493,20,)/VLOOKUP($D24,$C$5:$AU$493,3,))*$E24)</f>
        <v>0</v>
      </c>
      <c r="W24" s="66">
        <f>IF(VLOOKUP($D24,$C$5:$AU$493,3,)=0,0,(VLOOKUP($D24,$C$5:$AU$493,21,)/VLOOKUP($D24,$C$5:$AU$493,3,))*$E24)</f>
        <v>0</v>
      </c>
      <c r="X24" s="66">
        <f>IF(VLOOKUP($D24,$C$5:$AU$493,3,)=0,0,(VLOOKUP($D24,$C$5:$AU$493,22,)/VLOOKUP($D24,$C$5:$AU$493,3,))*$E24)</f>
        <v>0</v>
      </c>
      <c r="Y24" s="66">
        <f>IF(VLOOKUP($D24,$C$5:$AU$493,3,)=0,0,(VLOOKUP($D24,$C$5:$AU$493,23,)/VLOOKUP($D24,$C$5:$AU$493,3,))*$E24)</f>
        <v>0</v>
      </c>
      <c r="Z24" s="66">
        <f>IF(VLOOKUP($D24,$C$5:$AU$493,3,)=0,0,(VLOOKUP($D24,$C$5:$AU$493,24,)/VLOOKUP($D24,$C$5:$AU$493,3,))*$E24)</f>
        <v>0</v>
      </c>
      <c r="AA24" s="66">
        <f>IF(VLOOKUP($D24,$C$5:$AU$493,3,)=0,0,(VLOOKUP($D24,$C$5:$AU$493,25,)/VLOOKUP($D24,$C$5:$AU$493,3,))*$E24)</f>
        <v>0</v>
      </c>
      <c r="AB24" s="66">
        <f>IF(VLOOKUP($D24,$C$5:$AU$493,3,)=0,0,(VLOOKUP($D24,$C$5:$AU$493,26,)/VLOOKUP($D24,$C$5:$AU$493,3,))*$E24)</f>
        <v>0</v>
      </c>
      <c r="AC24" s="66">
        <f>IF(VLOOKUP($D24,$C$5:$AU$493,3,)=0,0,(VLOOKUP($D24,$C$5:$AU$493,27,)/VLOOKUP($D24,$C$5:$AU$493,3,))*$E24)</f>
        <v>0</v>
      </c>
      <c r="AD24" s="66">
        <f>IF(VLOOKUP($D24,$C$5:$AU$493,3,)=0,0,(VLOOKUP($D24,$C$5:$AU$493,28,)/VLOOKUP($D24,$C$5:$AU$493,3,))*$E24)</f>
        <v>0</v>
      </c>
      <c r="AE24" s="66">
        <f>IF(VLOOKUP($D24,$C$5:$AU$493,3,)=0,0,(VLOOKUP($D24,$C$5:$AU$493,29,)/VLOOKUP($D24,$C$5:$AU$493,3,))*$E24)</f>
        <v>0</v>
      </c>
      <c r="AF24" s="66">
        <f>IF(VLOOKUP($D24,$C$5:$AU$493,3,)=0,0,(VLOOKUP($D24,$C$5:$AU$493,30,)/VLOOKUP($D24,$C$5:$AU$493,3,))*$E24)</f>
        <v>0</v>
      </c>
      <c r="AG24" s="89">
        <f>SUM(F24:AF24)</f>
        <v>0</v>
      </c>
      <c r="AH24" s="27" t="str">
        <f>IF(ABS(E24-AG24)&lt;0.01,"ok","err")</f>
        <v>ok</v>
      </c>
    </row>
    <row r="25" spans="1:35" x14ac:dyDescent="0.2">
      <c r="A25" s="92" t="s">
        <v>219</v>
      </c>
      <c r="C25" s="14" t="s">
        <v>224</v>
      </c>
      <c r="D25" s="14" t="s">
        <v>700</v>
      </c>
      <c r="E25" s="49">
        <f>'Func &amp; Classif'!S82</f>
        <v>44200164.703613125</v>
      </c>
      <c r="F25" s="66">
        <f>IF(VLOOKUP($D25,$C$5:$AU$493,3,)=0,0,(VLOOKUP($D25,$C$5:$AU$493,4,)/VLOOKUP($D25,$C$5:$AU$493,3,))*$E25)</f>
        <v>40689771.931722566</v>
      </c>
      <c r="G25" s="66">
        <f>IF(VLOOKUP($D25,$C$5:$AU$493,3,)=0,0,(VLOOKUP($D25,$C$5:$AU$493,5,)/VLOOKUP($D25,$C$5:$AU$493,3,))*$E25)</f>
        <v>79135.476581586598</v>
      </c>
      <c r="H25" s="66">
        <f>IF(VLOOKUP($D25,$C$5:$AU$493,3,)=0,0,(VLOOKUP($D25,$C$5:$AU$493,6,)/VLOOKUP($D25,$C$5:$AU$493,3,))*$E25)</f>
        <v>12805.456820867099</v>
      </c>
      <c r="I25" s="66">
        <f>IF(VLOOKUP($D25,$C$5:$AU$493,3,)=0,0,(VLOOKUP($D25,$C$5:$AU$493,7,)/VLOOKUP($D25,$C$5:$AU$493,3,))*$E25)</f>
        <v>2451330.5027010329</v>
      </c>
      <c r="J25" s="66">
        <f>IF(VLOOKUP($D25,$C$5:$AU$493,3,)=0,0,(VLOOKUP($D25,$C$5:$AU$493,8,)/VLOOKUP($D25,$C$5:$AU$493,3,))*$E25)</f>
        <v>39279.400032305421</v>
      </c>
      <c r="K25" s="66">
        <f>IF(VLOOKUP($D25,$C$5:$AU$493,3,)=0,0,(VLOOKUP($D25,$C$5:$AU$493,9,)/VLOOKUP($D25,$C$5:$AU$493,3,))*$E25)</f>
        <v>321923.71845496958</v>
      </c>
      <c r="L25" s="66">
        <f>IF(VLOOKUP($D25,$C$5:$AU$493,3,)=0,0,(VLOOKUP($D25,$C$5:$AU$493,10,)/VLOOKUP($D25,$C$5:$AU$493,3,))*$E25)</f>
        <v>372690.54282645253</v>
      </c>
      <c r="M25" s="66">
        <f>IF(VLOOKUP($D25,$C$5:$AU$493,3,)=0,0,(VLOOKUP($D25,$C$5:$AU$493,11,)/VLOOKUP($D25,$C$5:$AU$493,3,))*$E25)</f>
        <v>40027.673235126953</v>
      </c>
      <c r="N25" s="66">
        <f>IF(VLOOKUP($D25,$C$5:$AU$493,3,)=0,0,(VLOOKUP($D25,$C$5:$AU$493,12,)/VLOOKUP($D25,$C$5:$AU$493,3,))*$E25)</f>
        <v>193200.00123822779</v>
      </c>
      <c r="O25" s="66">
        <f>IF(VLOOKUP($D25,$C$5:$AU$493,3,)=0,0,(VLOOKUP($D25,$C$5:$AU$493,13,)/VLOOKUP($D25,$C$5:$AU$493,3,))*$E25)</f>
        <v>0</v>
      </c>
      <c r="P25" s="66">
        <f>IF(VLOOKUP($D25,$C$5:$AU$493,3,)=0,0,(VLOOKUP($D25,$C$5:$AU$493,14,)/VLOOKUP($D25,$C$5:$AU$493,3,))*$E25)</f>
        <v>0</v>
      </c>
      <c r="Q25" s="66">
        <f>IF(VLOOKUP($D25,$C$5:$AU$493,3,)=0,0,(VLOOKUP($D25,$C$5:$AU$493,15,)/VLOOKUP($D25,$C$5:$AU$493,3,))*$E25)</f>
        <v>0</v>
      </c>
      <c r="R25" s="66">
        <f>IF(VLOOKUP($D25,$C$5:$AU$493,3,)=0,0,(VLOOKUP($D25,$C$5:$AU$493,16,)/VLOOKUP($D25,$C$5:$AU$493,3,))*$E25)</f>
        <v>0</v>
      </c>
      <c r="S25" s="66">
        <f>IF(VLOOKUP($D25,$C$5:$AU$493,3,)=0,0,(VLOOKUP($D25,$C$5:$AU$493,17,)/VLOOKUP($D25,$C$5:$AU$493,3,))*$E25)</f>
        <v>0</v>
      </c>
      <c r="T25" s="66">
        <f>IF(VLOOKUP($D25,$C$5:$AU$493,3,)=0,0,(VLOOKUP($D25,$C$5:$AU$493,18,)/VLOOKUP($D25,$C$5:$AU$493,3,))*$E25)</f>
        <v>0</v>
      </c>
      <c r="U25" s="66">
        <f>IF(VLOOKUP($D25,$C$5:$AU$493,3,)=0,0,(VLOOKUP($D25,$C$5:$AU$493,19,)/VLOOKUP($D25,$C$5:$AU$493,3,))*$E25)</f>
        <v>0</v>
      </c>
      <c r="V25" s="66">
        <f>IF(VLOOKUP($D25,$C$5:$AU$493,3,)=0,0,(VLOOKUP($D25,$C$5:$AU$493,20,)/VLOOKUP($D25,$C$5:$AU$493,3,))*$E25)</f>
        <v>0</v>
      </c>
      <c r="W25" s="66">
        <f>IF(VLOOKUP($D25,$C$5:$AU$493,3,)=0,0,(VLOOKUP($D25,$C$5:$AU$493,21,)/VLOOKUP($D25,$C$5:$AU$493,3,))*$E25)</f>
        <v>0</v>
      </c>
      <c r="X25" s="66">
        <f>IF(VLOOKUP($D25,$C$5:$AU$493,3,)=0,0,(VLOOKUP($D25,$C$5:$AU$493,22,)/VLOOKUP($D25,$C$5:$AU$493,3,))*$E25)</f>
        <v>0</v>
      </c>
      <c r="Y25" s="66">
        <f>IF(VLOOKUP($D25,$C$5:$AU$493,3,)=0,0,(VLOOKUP($D25,$C$5:$AU$493,23,)/VLOOKUP($D25,$C$5:$AU$493,3,))*$E25)</f>
        <v>0</v>
      </c>
      <c r="Z25" s="66">
        <f>IF(VLOOKUP($D25,$C$5:$AU$493,3,)=0,0,(VLOOKUP($D25,$C$5:$AU$493,24,)/VLOOKUP($D25,$C$5:$AU$493,3,))*$E25)</f>
        <v>0</v>
      </c>
      <c r="AA25" s="66">
        <f>IF(VLOOKUP($D25,$C$5:$AU$493,3,)=0,0,(VLOOKUP($D25,$C$5:$AU$493,25,)/VLOOKUP($D25,$C$5:$AU$493,3,))*$E25)</f>
        <v>0</v>
      </c>
      <c r="AB25" s="66">
        <f>IF(VLOOKUP($D25,$C$5:$AU$493,3,)=0,0,(VLOOKUP($D25,$C$5:$AU$493,26,)/VLOOKUP($D25,$C$5:$AU$493,3,))*$E25)</f>
        <v>0</v>
      </c>
      <c r="AC25" s="66">
        <f>IF(VLOOKUP($D25,$C$5:$AU$493,3,)=0,0,(VLOOKUP($D25,$C$5:$AU$493,27,)/VLOOKUP($D25,$C$5:$AU$493,3,))*$E25)</f>
        <v>0</v>
      </c>
      <c r="AD25" s="66">
        <f>IF(VLOOKUP($D25,$C$5:$AU$493,3,)=0,0,(VLOOKUP($D25,$C$5:$AU$493,28,)/VLOOKUP($D25,$C$5:$AU$493,3,))*$E25)</f>
        <v>0</v>
      </c>
      <c r="AE25" s="66">
        <f>IF(VLOOKUP($D25,$C$5:$AU$493,3,)=0,0,(VLOOKUP($D25,$C$5:$AU$493,29,)/VLOOKUP($D25,$C$5:$AU$493,3,))*$E25)</f>
        <v>0</v>
      </c>
      <c r="AF25" s="66">
        <f>IF(VLOOKUP($D25,$C$5:$AU$493,3,)=0,0,(VLOOKUP($D25,$C$5:$AU$493,30,)/VLOOKUP($D25,$C$5:$AU$493,3,))*$E25)</f>
        <v>0</v>
      </c>
      <c r="AG25" s="89">
        <f>SUM(F25:AF25)</f>
        <v>44200164.70361314</v>
      </c>
      <c r="AH25" s="27" t="str">
        <f>IF(ABS(E25-AG25)&lt;0.01,"ok","err")</f>
        <v>ok</v>
      </c>
    </row>
    <row r="26" spans="1:35" x14ac:dyDescent="0.2">
      <c r="A26" s="14" t="s">
        <v>226</v>
      </c>
      <c r="E26" s="66">
        <f t="shared" ref="E26:T26" si="4">E24+E25</f>
        <v>44200164.703613125</v>
      </c>
      <c r="F26" s="66">
        <f t="shared" si="4"/>
        <v>40689771.931722566</v>
      </c>
      <c r="G26" s="66">
        <f t="shared" si="4"/>
        <v>79135.476581586598</v>
      </c>
      <c r="H26" s="66">
        <f t="shared" si="4"/>
        <v>12805.456820867099</v>
      </c>
      <c r="I26" s="66">
        <f t="shared" si="4"/>
        <v>2451330.5027010329</v>
      </c>
      <c r="J26" s="66">
        <f t="shared" si="4"/>
        <v>39279.400032305421</v>
      </c>
      <c r="K26" s="66">
        <f t="shared" si="4"/>
        <v>321923.71845496958</v>
      </c>
      <c r="L26" s="66">
        <f t="shared" si="4"/>
        <v>372690.54282645253</v>
      </c>
      <c r="M26" s="66">
        <f t="shared" si="4"/>
        <v>40027.673235126953</v>
      </c>
      <c r="N26" s="66">
        <f t="shared" si="4"/>
        <v>193200.00123822779</v>
      </c>
      <c r="O26" s="66">
        <f t="shared" si="4"/>
        <v>0</v>
      </c>
      <c r="P26" s="66">
        <f t="shared" si="4"/>
        <v>0</v>
      </c>
      <c r="Q26" s="66">
        <f t="shared" si="4"/>
        <v>0</v>
      </c>
      <c r="R26" s="66">
        <f t="shared" si="4"/>
        <v>0</v>
      </c>
      <c r="S26" s="66">
        <f t="shared" si="4"/>
        <v>0</v>
      </c>
      <c r="T26" s="66">
        <f t="shared" si="4"/>
        <v>0</v>
      </c>
      <c r="U26" s="66">
        <f t="shared" ref="U26:AF26" si="5">U24+U25</f>
        <v>0</v>
      </c>
      <c r="V26" s="66">
        <f t="shared" si="5"/>
        <v>0</v>
      </c>
      <c r="W26" s="66">
        <f t="shared" si="5"/>
        <v>0</v>
      </c>
      <c r="X26" s="66">
        <f t="shared" si="5"/>
        <v>0</v>
      </c>
      <c r="Y26" s="66">
        <f t="shared" si="5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>
        <f t="shared" si="5"/>
        <v>0</v>
      </c>
      <c r="AD26" s="66">
        <f t="shared" si="5"/>
        <v>0</v>
      </c>
      <c r="AE26" s="66">
        <f t="shared" si="5"/>
        <v>0</v>
      </c>
      <c r="AF26" s="66">
        <f t="shared" si="5"/>
        <v>0</v>
      </c>
      <c r="AG26" s="89">
        <f>SUM(F26:AF26)</f>
        <v>44200164.70361314</v>
      </c>
      <c r="AH26" s="27" t="str">
        <f>IF(ABS(E26-AG26)&lt;0.01,"ok","err")</f>
        <v>ok</v>
      </c>
    </row>
    <row r="27" spans="1:35" x14ac:dyDescent="0.2">
      <c r="E27" s="49"/>
    </row>
    <row r="28" spans="1:35" x14ac:dyDescent="0.2">
      <c r="A28" s="13" t="s">
        <v>4</v>
      </c>
      <c r="E28" s="49"/>
    </row>
    <row r="29" spans="1:35" x14ac:dyDescent="0.2">
      <c r="A29" s="92" t="s">
        <v>219</v>
      </c>
      <c r="C29" s="14" t="s">
        <v>227</v>
      </c>
      <c r="D29" s="14" t="s">
        <v>228</v>
      </c>
      <c r="E29" s="66">
        <f>'Func &amp; Classif'!U82</f>
        <v>17179578.04384071</v>
      </c>
      <c r="F29" s="66">
        <f>IF(VLOOKUP($D29,$C$5:$AU$493,3,)=0,0,(VLOOKUP($D29,$C$5:$AU$493,4,)/VLOOKUP($D29,$C$5:$AU$493,3,))*$E29)</f>
        <v>16142287.12307105</v>
      </c>
      <c r="G29" s="66">
        <f>IF(VLOOKUP($D29,$C$5:$AU$493,3,)=0,0,(VLOOKUP($D29,$C$5:$AU$493,5,)/VLOOKUP($D29,$C$5:$AU$493,3,))*$E29)</f>
        <v>31394.31665393848</v>
      </c>
      <c r="H29" s="66">
        <f>IF(VLOOKUP($D29,$C$5:$AU$493,3,)=0,0,(VLOOKUP($D29,$C$5:$AU$493,6,)/VLOOKUP($D29,$C$5:$AU$493,3,))*$E29)</f>
        <v>6182.4232456153732</v>
      </c>
      <c r="I29" s="66">
        <f>IF(VLOOKUP($D29,$C$5:$AU$493,3,)=0,0,(VLOOKUP($D29,$C$5:$AU$493,7,)/VLOOKUP($D29,$C$5:$AU$493,3,))*$E29)</f>
        <v>730857.01795067242</v>
      </c>
      <c r="J29" s="66">
        <f>IF(VLOOKUP($D29,$C$5:$AU$493,3,)=0,0,(VLOOKUP($D29,$C$5:$AU$493,8,)/VLOOKUP($D29,$C$5:$AU$493,3,))*$E29)</f>
        <v>15835.680594032359</v>
      </c>
      <c r="K29" s="66">
        <f>IF(VLOOKUP($D29,$C$5:$AU$493,3,)=0,0,(VLOOKUP($D29,$C$5:$AU$493,9,)/VLOOKUP($D29,$C$5:$AU$493,3,))*$E29)</f>
        <v>119414.18709036082</v>
      </c>
      <c r="L29" s="66">
        <f>IF(VLOOKUP($D29,$C$5:$AU$493,3,)=0,0,(VLOOKUP($D29,$C$5:$AU$493,10,)/VLOOKUP($D29,$C$5:$AU$493,3,))*$E29)</f>
        <v>57062.349804252946</v>
      </c>
      <c r="M29" s="66">
        <f>IF(VLOOKUP($D29,$C$5:$AU$493,3,)=0,0,(VLOOKUP($D29,$C$5:$AU$493,11,)/VLOOKUP($D29,$C$5:$AU$493,3,))*$E29)</f>
        <v>9885.2558706591226</v>
      </c>
      <c r="N29" s="66">
        <f>IF(VLOOKUP($D29,$C$5:$AU$493,3,)=0,0,(VLOOKUP($D29,$C$5:$AU$493,12,)/VLOOKUP($D29,$C$5:$AU$493,3,))*$E29)</f>
        <v>66659.689560129525</v>
      </c>
      <c r="O29" s="66">
        <f>IF(VLOOKUP($D29,$C$5:$AU$493,3,)=0,0,(VLOOKUP($D29,$C$5:$AU$493,13,)/VLOOKUP($D29,$C$5:$AU$493,3,))*$E29)</f>
        <v>0</v>
      </c>
      <c r="P29" s="66">
        <f>IF(VLOOKUP($D29,$C$5:$AU$493,3,)=0,0,(VLOOKUP($D29,$C$5:$AU$493,14,)/VLOOKUP($D29,$C$5:$AU$493,3,))*$E29)</f>
        <v>0</v>
      </c>
      <c r="Q29" s="66">
        <f>IF(VLOOKUP($D29,$C$5:$AU$493,3,)=0,0,(VLOOKUP($D29,$C$5:$AU$493,15,)/VLOOKUP($D29,$C$5:$AU$493,3,))*$E29)</f>
        <v>0</v>
      </c>
      <c r="R29" s="66">
        <f>IF(VLOOKUP($D29,$C$5:$AU$493,3,)=0,0,(VLOOKUP($D29,$C$5:$AU$493,16,)/VLOOKUP($D29,$C$5:$AU$493,3,))*$E29)</f>
        <v>0</v>
      </c>
      <c r="S29" s="66">
        <f>IF(VLOOKUP($D29,$C$5:$AU$493,3,)=0,0,(VLOOKUP($D29,$C$5:$AU$493,17,)/VLOOKUP($D29,$C$5:$AU$493,3,))*$E29)</f>
        <v>0</v>
      </c>
      <c r="T29" s="66">
        <f>IF(VLOOKUP($D29,$C$5:$AU$493,3,)=0,0,(VLOOKUP($D29,$C$5:$AU$493,18,)/VLOOKUP($D29,$C$5:$AU$493,3,))*$E29)</f>
        <v>0</v>
      </c>
      <c r="U29" s="66">
        <f>IF(VLOOKUP($D29,$C$5:$AU$493,3,)=0,0,(VLOOKUP($D29,$C$5:$AU$493,19,)/VLOOKUP($D29,$C$5:$AU$493,3,))*$E29)</f>
        <v>0</v>
      </c>
      <c r="V29" s="66">
        <f>IF(VLOOKUP($D29,$C$5:$AU$493,3,)=0,0,(VLOOKUP($D29,$C$5:$AU$493,20,)/VLOOKUP($D29,$C$5:$AU$493,3,))*$E29)</f>
        <v>0</v>
      </c>
      <c r="W29" s="66">
        <f>IF(VLOOKUP($D29,$C$5:$AU$493,3,)=0,0,(VLOOKUP($D29,$C$5:$AU$493,21,)/VLOOKUP($D29,$C$5:$AU$493,3,))*$E29)</f>
        <v>0</v>
      </c>
      <c r="X29" s="66">
        <f>IF(VLOOKUP($D29,$C$5:$AU$493,3,)=0,0,(VLOOKUP($D29,$C$5:$AU$493,22,)/VLOOKUP($D29,$C$5:$AU$493,3,))*$E29)</f>
        <v>0</v>
      </c>
      <c r="Y29" s="66">
        <f>IF(VLOOKUP($D29,$C$5:$AU$493,3,)=0,0,(VLOOKUP($D29,$C$5:$AU$493,23,)/VLOOKUP($D29,$C$5:$AU$493,3,))*$E29)</f>
        <v>0</v>
      </c>
      <c r="Z29" s="66">
        <f>IF(VLOOKUP($D29,$C$5:$AU$493,3,)=0,0,(VLOOKUP($D29,$C$5:$AU$493,24,)/VLOOKUP($D29,$C$5:$AU$493,3,))*$E29)</f>
        <v>0</v>
      </c>
      <c r="AA29" s="66">
        <f>IF(VLOOKUP($D29,$C$5:$AU$493,3,)=0,0,(VLOOKUP($D29,$C$5:$AU$493,25,)/VLOOKUP($D29,$C$5:$AU$493,3,))*$E29)</f>
        <v>0</v>
      </c>
      <c r="AB29" s="66">
        <f>IF(VLOOKUP($D29,$C$5:$AU$493,3,)=0,0,(VLOOKUP($D29,$C$5:$AU$493,26,)/VLOOKUP($D29,$C$5:$AU$493,3,))*$E29)</f>
        <v>0</v>
      </c>
      <c r="AC29" s="66">
        <f>IF(VLOOKUP($D29,$C$5:$AU$493,3,)=0,0,(VLOOKUP($D29,$C$5:$AU$493,27,)/VLOOKUP($D29,$C$5:$AU$493,3,))*$E29)</f>
        <v>0</v>
      </c>
      <c r="AD29" s="66">
        <f>IF(VLOOKUP($D29,$C$5:$AU$493,3,)=0,0,(VLOOKUP($D29,$C$5:$AU$493,28,)/VLOOKUP($D29,$C$5:$AU$493,3,))*$E29)</f>
        <v>0</v>
      </c>
      <c r="AE29" s="66">
        <f>IF(VLOOKUP($D29,$C$5:$AU$493,3,)=0,0,(VLOOKUP($D29,$C$5:$AU$493,29,)/VLOOKUP($D29,$C$5:$AU$493,3,))*$E29)</f>
        <v>0</v>
      </c>
      <c r="AF29" s="66">
        <f>IF(VLOOKUP($D29,$C$5:$AU$493,3,)=0,0,(VLOOKUP($D29,$C$5:$AU$493,30,)/VLOOKUP($D29,$C$5:$AU$493,3,))*$E29)</f>
        <v>0</v>
      </c>
      <c r="AG29" s="89">
        <f>SUM(F29:AF29)</f>
        <v>17179578.04384071</v>
      </c>
      <c r="AH29" s="27" t="str">
        <f>IF(ABS(E29-AG29)&lt;0.01,"ok","err")</f>
        <v>ok</v>
      </c>
    </row>
    <row r="30" spans="1:35" x14ac:dyDescent="0.2">
      <c r="E30" s="49"/>
    </row>
    <row r="31" spans="1:35" x14ac:dyDescent="0.2">
      <c r="A31" s="13" t="s">
        <v>5</v>
      </c>
      <c r="E31" s="49"/>
    </row>
    <row r="32" spans="1:35" x14ac:dyDescent="0.2">
      <c r="A32" s="92" t="s">
        <v>219</v>
      </c>
      <c r="C32" s="14" t="s">
        <v>229</v>
      </c>
      <c r="D32" s="14" t="s">
        <v>230</v>
      </c>
      <c r="E32" s="66">
        <f>'Func &amp; Classif'!W82</f>
        <v>17373240.359384708</v>
      </c>
      <c r="F32" s="66">
        <f>IF(VLOOKUP($D32,$C$5:$AU$493,3,)=0,0,(VLOOKUP($D32,$C$5:$AU$493,4,)/VLOOKUP($D32,$C$5:$AU$493,3,))*$E32)</f>
        <v>0</v>
      </c>
      <c r="G32" s="66">
        <f>IF(VLOOKUP($D32,$C$5:$AU$493,3,)=0,0,(VLOOKUP($D32,$C$5:$AU$493,5,)/VLOOKUP($D32,$C$5:$AU$493,3,))*$E32)</f>
        <v>0</v>
      </c>
      <c r="H32" s="66">
        <f>IF(VLOOKUP($D32,$C$5:$AU$493,3,)=0,0,(VLOOKUP($D32,$C$5:$AU$493,6,)/VLOOKUP($D32,$C$5:$AU$493,3,))*$E32)</f>
        <v>0</v>
      </c>
      <c r="I32" s="66">
        <f>IF(VLOOKUP($D32,$C$5:$AU$493,3,)=0,0,(VLOOKUP($D32,$C$5:$AU$493,7,)/VLOOKUP($D32,$C$5:$AU$493,3,))*$E32)</f>
        <v>0</v>
      </c>
      <c r="J32" s="66">
        <f>IF(VLOOKUP($D32,$C$5:$AU$493,3,)=0,0,(VLOOKUP($D32,$C$5:$AU$493,8,)/VLOOKUP($D32,$C$5:$AU$493,3,))*$E32)</f>
        <v>0</v>
      </c>
      <c r="K32" s="66">
        <f>IF(VLOOKUP($D32,$C$5:$AU$493,3,)=0,0,(VLOOKUP($D32,$C$5:$AU$493,9,)/VLOOKUP($D32,$C$5:$AU$493,3,))*$E32)</f>
        <v>0</v>
      </c>
      <c r="L32" s="66">
        <f>IF(VLOOKUP($D32,$C$5:$AU$493,3,)=0,0,(VLOOKUP($D32,$C$5:$AU$493,10,)/VLOOKUP($D32,$C$5:$AU$493,3,))*$E32)</f>
        <v>0</v>
      </c>
      <c r="M32" s="66">
        <f>IF(VLOOKUP($D32,$C$5:$AU$493,3,)=0,0,(VLOOKUP($D32,$C$5:$AU$493,11,)/VLOOKUP($D32,$C$5:$AU$493,3,))*$E32)</f>
        <v>0</v>
      </c>
      <c r="N32" s="66">
        <f>IF(VLOOKUP($D32,$C$5:$AU$493,3,)=0,0,(VLOOKUP($D32,$C$5:$AU$493,12,)/VLOOKUP($D32,$C$5:$AU$493,3,))*$E32)</f>
        <v>0</v>
      </c>
      <c r="O32" s="66">
        <f>IF(VLOOKUP($D32,$C$5:$AU$493,3,)=0,0,(VLOOKUP($D32,$C$5:$AU$493,13,)/VLOOKUP($D32,$C$5:$AU$493,3,))*$E32)</f>
        <v>0</v>
      </c>
      <c r="P32" s="66">
        <f>IF(VLOOKUP($D32,$C$5:$AU$493,3,)=0,0,(VLOOKUP($D32,$C$5:$AU$493,14,)/VLOOKUP($D32,$C$5:$AU$493,3,))*$E32)</f>
        <v>17373240.359384708</v>
      </c>
      <c r="Q32" s="66">
        <f>IF(VLOOKUP($D32,$C$5:$AU$493,3,)=0,0,(VLOOKUP($D32,$C$5:$AU$493,15,)/VLOOKUP($D32,$C$5:$AU$493,3,))*$E32)</f>
        <v>0</v>
      </c>
      <c r="R32" s="66">
        <f>IF(VLOOKUP($D32,$C$5:$AU$493,3,)=0,0,(VLOOKUP($D32,$C$5:$AU$493,16,)/VLOOKUP($D32,$C$5:$AU$493,3,))*$E32)</f>
        <v>0</v>
      </c>
      <c r="S32" s="66">
        <f>IF(VLOOKUP($D32,$C$5:$AU$493,3,)=0,0,(VLOOKUP($D32,$C$5:$AU$493,17,)/VLOOKUP($D32,$C$5:$AU$493,3,))*$E32)</f>
        <v>0</v>
      </c>
      <c r="T32" s="66">
        <f>IF(VLOOKUP($D32,$C$5:$AU$493,3,)=0,0,(VLOOKUP($D32,$C$5:$AU$493,18,)/VLOOKUP($D32,$C$5:$AU$493,3,))*$E32)</f>
        <v>0</v>
      </c>
      <c r="U32" s="66">
        <f>IF(VLOOKUP($D32,$C$5:$AU$493,3,)=0,0,(VLOOKUP($D32,$C$5:$AU$493,19,)/VLOOKUP($D32,$C$5:$AU$493,3,))*$E32)</f>
        <v>0</v>
      </c>
      <c r="V32" s="66">
        <f>IF(VLOOKUP($D32,$C$5:$AU$493,3,)=0,0,(VLOOKUP($D32,$C$5:$AU$493,20,)/VLOOKUP($D32,$C$5:$AU$493,3,))*$E32)</f>
        <v>0</v>
      </c>
      <c r="W32" s="66">
        <f>IF(VLOOKUP($D32,$C$5:$AU$493,3,)=0,0,(VLOOKUP($D32,$C$5:$AU$493,21,)/VLOOKUP($D32,$C$5:$AU$493,3,))*$E32)</f>
        <v>0</v>
      </c>
      <c r="X32" s="66">
        <f>IF(VLOOKUP($D32,$C$5:$AU$493,3,)=0,0,(VLOOKUP($D32,$C$5:$AU$493,22,)/VLOOKUP($D32,$C$5:$AU$493,3,))*$E32)</f>
        <v>0</v>
      </c>
      <c r="Y32" s="66">
        <f>IF(VLOOKUP($D32,$C$5:$AU$493,3,)=0,0,(VLOOKUP($D32,$C$5:$AU$493,23,)/VLOOKUP($D32,$C$5:$AU$493,3,))*$E32)</f>
        <v>0</v>
      </c>
      <c r="Z32" s="66">
        <f>IF(VLOOKUP($D32,$C$5:$AU$493,3,)=0,0,(VLOOKUP($D32,$C$5:$AU$493,24,)/VLOOKUP($D32,$C$5:$AU$493,3,))*$E32)</f>
        <v>0</v>
      </c>
      <c r="AA32" s="66">
        <f>IF(VLOOKUP($D32,$C$5:$AU$493,3,)=0,0,(VLOOKUP($D32,$C$5:$AU$493,25,)/VLOOKUP($D32,$C$5:$AU$493,3,))*$E32)</f>
        <v>0</v>
      </c>
      <c r="AB32" s="66">
        <f>IF(VLOOKUP($D32,$C$5:$AU$493,3,)=0,0,(VLOOKUP($D32,$C$5:$AU$493,26,)/VLOOKUP($D32,$C$5:$AU$493,3,))*$E32)</f>
        <v>0</v>
      </c>
      <c r="AC32" s="66">
        <f>IF(VLOOKUP($D32,$C$5:$AU$493,3,)=0,0,(VLOOKUP($D32,$C$5:$AU$493,27,)/VLOOKUP($D32,$C$5:$AU$493,3,))*$E32)</f>
        <v>0</v>
      </c>
      <c r="AD32" s="66">
        <f>IF(VLOOKUP($D32,$C$5:$AU$493,3,)=0,0,(VLOOKUP($D32,$C$5:$AU$493,28,)/VLOOKUP($D32,$C$5:$AU$493,3,))*$E32)</f>
        <v>0</v>
      </c>
      <c r="AE32" s="66">
        <f>IF(VLOOKUP($D32,$C$5:$AU$493,3,)=0,0,(VLOOKUP($D32,$C$5:$AU$493,29,)/VLOOKUP($D32,$C$5:$AU$493,3,))*$E32)</f>
        <v>0</v>
      </c>
      <c r="AF32" s="66">
        <f>IF(VLOOKUP($D32,$C$5:$AU$493,3,)=0,0,(VLOOKUP($D32,$C$5:$AU$493,30,)/VLOOKUP($D32,$C$5:$AU$493,3,))*$E32)</f>
        <v>0</v>
      </c>
      <c r="AG32" s="89">
        <f>SUM(F32:AF32)</f>
        <v>17373240.359384708</v>
      </c>
      <c r="AH32" s="27" t="str">
        <f>IF(ABS(E32-AG32)&lt;0.01,"ok","err")</f>
        <v>ok</v>
      </c>
    </row>
    <row r="33" spans="1:35" x14ac:dyDescent="0.2">
      <c r="E33" s="49"/>
    </row>
    <row r="34" spans="1:35" x14ac:dyDescent="0.2">
      <c r="A34" s="13" t="s">
        <v>544</v>
      </c>
      <c r="E34" s="49"/>
    </row>
    <row r="35" spans="1:35" x14ac:dyDescent="0.2">
      <c r="A35" s="92" t="s">
        <v>219</v>
      </c>
      <c r="C35" s="14" t="s">
        <v>231</v>
      </c>
      <c r="D35" s="14" t="s">
        <v>232</v>
      </c>
      <c r="E35" s="66">
        <f>'Func &amp; Classif'!Y82</f>
        <v>0</v>
      </c>
      <c r="F35" s="66">
        <f>IF(VLOOKUP($D35,$C$5:$AU$493,3,)=0,0,(VLOOKUP($D35,$C$5:$AU$493,4,)/VLOOKUP($D35,$C$5:$AU$493,3,))*$E35)</f>
        <v>0</v>
      </c>
      <c r="G35" s="66">
        <f>IF(VLOOKUP($D35,$C$5:$AU$493,3,)=0,0,(VLOOKUP($D35,$C$5:$AU$493,5,)/VLOOKUP($D35,$C$5:$AU$493,3,))*$E35)</f>
        <v>0</v>
      </c>
      <c r="H35" s="66">
        <f>IF(VLOOKUP($D35,$C$5:$AU$493,3,)=0,0,(VLOOKUP($D35,$C$5:$AU$493,6,)/VLOOKUP($D35,$C$5:$AU$493,3,))*$E35)</f>
        <v>0</v>
      </c>
      <c r="I35" s="66">
        <f>IF(VLOOKUP($D35,$C$5:$AU$493,3,)=0,0,(VLOOKUP($D35,$C$5:$AU$493,7,)/VLOOKUP($D35,$C$5:$AU$493,3,))*$E35)</f>
        <v>0</v>
      </c>
      <c r="J35" s="66">
        <f>IF(VLOOKUP($D35,$C$5:$AU$493,3,)=0,0,(VLOOKUP($D35,$C$5:$AU$493,8,)/VLOOKUP($D35,$C$5:$AU$493,3,))*$E35)</f>
        <v>0</v>
      </c>
      <c r="K35" s="66">
        <f>IF(VLOOKUP($D35,$C$5:$AU$493,3,)=0,0,(VLOOKUP($D35,$C$5:$AU$493,9,)/VLOOKUP($D35,$C$5:$AU$493,3,))*$E35)</f>
        <v>0</v>
      </c>
      <c r="L35" s="66">
        <f>IF(VLOOKUP($D35,$C$5:$AU$493,3,)=0,0,(VLOOKUP($D35,$C$5:$AU$493,10,)/VLOOKUP($D35,$C$5:$AU$493,3,))*$E35)</f>
        <v>0</v>
      </c>
      <c r="M35" s="66">
        <f>IF(VLOOKUP($D35,$C$5:$AU$493,3,)=0,0,(VLOOKUP($D35,$C$5:$AU$493,11,)/VLOOKUP($D35,$C$5:$AU$493,3,))*$E35)</f>
        <v>0</v>
      </c>
      <c r="N35" s="66">
        <f>IF(VLOOKUP($D35,$C$5:$AU$493,3,)=0,0,(VLOOKUP($D35,$C$5:$AU$493,12,)/VLOOKUP($D35,$C$5:$AU$493,3,))*$E35)</f>
        <v>0</v>
      </c>
      <c r="O35" s="66">
        <f>IF(VLOOKUP($D35,$C$5:$AU$493,3,)=0,0,(VLOOKUP($D35,$C$5:$AU$493,13,)/VLOOKUP($D35,$C$5:$AU$493,3,))*$E35)</f>
        <v>0</v>
      </c>
      <c r="P35" s="66">
        <f>IF(VLOOKUP($D35,$C$5:$AU$493,3,)=0,0,(VLOOKUP($D35,$C$5:$AU$493,14,)/VLOOKUP($D35,$C$5:$AU$493,3,))*$E35)</f>
        <v>0</v>
      </c>
      <c r="Q35" s="66">
        <f>IF(VLOOKUP($D35,$C$5:$AU$493,3,)=0,0,(VLOOKUP($D35,$C$5:$AU$493,15,)/VLOOKUP($D35,$C$5:$AU$493,3,))*$E35)</f>
        <v>0</v>
      </c>
      <c r="R35" s="66">
        <f>IF(VLOOKUP($D35,$C$5:$AU$493,3,)=0,0,(VLOOKUP($D35,$C$5:$AU$493,16,)/VLOOKUP($D35,$C$5:$AU$493,3,))*$E35)</f>
        <v>0</v>
      </c>
      <c r="S35" s="66">
        <f>IF(VLOOKUP($D35,$C$5:$AU$493,3,)=0,0,(VLOOKUP($D35,$C$5:$AU$493,17,)/VLOOKUP($D35,$C$5:$AU$493,3,))*$E35)</f>
        <v>0</v>
      </c>
      <c r="T35" s="66">
        <f>IF(VLOOKUP($D35,$C$5:$AU$493,3,)=0,0,(VLOOKUP($D35,$C$5:$AU$493,18,)/VLOOKUP($D35,$C$5:$AU$493,3,))*$E35)</f>
        <v>0</v>
      </c>
      <c r="U35" s="66">
        <f>IF(VLOOKUP($D35,$C$5:$AU$493,3,)=0,0,(VLOOKUP($D35,$C$5:$AU$493,19,)/VLOOKUP($D35,$C$5:$AU$493,3,))*$E35)</f>
        <v>0</v>
      </c>
      <c r="V35" s="66">
        <f>IF(VLOOKUP($D35,$C$5:$AU$493,3,)=0,0,(VLOOKUP($D35,$C$5:$AU$493,20,)/VLOOKUP($D35,$C$5:$AU$493,3,))*$E35)</f>
        <v>0</v>
      </c>
      <c r="W35" s="66">
        <f>IF(VLOOKUP($D35,$C$5:$AU$493,3,)=0,0,(VLOOKUP($D35,$C$5:$AU$493,21,)/VLOOKUP($D35,$C$5:$AU$493,3,))*$E35)</f>
        <v>0</v>
      </c>
      <c r="X35" s="66">
        <f>IF(VLOOKUP($D35,$C$5:$AU$493,3,)=0,0,(VLOOKUP($D35,$C$5:$AU$493,22,)/VLOOKUP($D35,$C$5:$AU$493,3,))*$E35)</f>
        <v>0</v>
      </c>
      <c r="Y35" s="66">
        <f>IF(VLOOKUP($D35,$C$5:$AU$493,3,)=0,0,(VLOOKUP($D35,$C$5:$AU$493,23,)/VLOOKUP($D35,$C$5:$AU$493,3,))*$E35)</f>
        <v>0</v>
      </c>
      <c r="Z35" s="66">
        <f>IF(VLOOKUP($D35,$C$5:$AU$493,3,)=0,0,(VLOOKUP($D35,$C$5:$AU$493,24,)/VLOOKUP($D35,$C$5:$AU$493,3,))*$E35)</f>
        <v>0</v>
      </c>
      <c r="AA35" s="66">
        <f>IF(VLOOKUP($D35,$C$5:$AU$493,3,)=0,0,(VLOOKUP($D35,$C$5:$AU$493,25,)/VLOOKUP($D35,$C$5:$AU$493,3,))*$E35)</f>
        <v>0</v>
      </c>
      <c r="AB35" s="66">
        <f>IF(VLOOKUP($D35,$C$5:$AU$493,3,)=0,0,(VLOOKUP($D35,$C$5:$AU$493,26,)/VLOOKUP($D35,$C$5:$AU$493,3,))*$E35)</f>
        <v>0</v>
      </c>
      <c r="AC35" s="66">
        <f>IF(VLOOKUP($D35,$C$5:$AU$493,3,)=0,0,(VLOOKUP($D35,$C$5:$AU$493,27,)/VLOOKUP($D35,$C$5:$AU$493,3,))*$E35)</f>
        <v>0</v>
      </c>
      <c r="AD35" s="66">
        <f>IF(VLOOKUP($D35,$C$5:$AU$493,3,)=0,0,(VLOOKUP($D35,$C$5:$AU$493,28,)/VLOOKUP($D35,$C$5:$AU$493,3,))*$E35)</f>
        <v>0</v>
      </c>
      <c r="AE35" s="66">
        <f>IF(VLOOKUP($D35,$C$5:$AU$493,3,)=0,0,(VLOOKUP($D35,$C$5:$AU$493,29,)/VLOOKUP($D35,$C$5:$AU$493,3,))*$E35)</f>
        <v>0</v>
      </c>
      <c r="AF35" s="66">
        <f>IF(VLOOKUP($D35,$C$5:$AU$493,3,)=0,0,(VLOOKUP($D35,$C$5:$AU$493,30,)/VLOOKUP($D35,$C$5:$AU$493,3,))*$E35)</f>
        <v>0</v>
      </c>
      <c r="AG35" s="89">
        <f>SUM(F35:AF35)</f>
        <v>0</v>
      </c>
      <c r="AH35" s="27" t="str">
        <f>IF(ABS(E35-AG35)&lt;0.01,"ok","err")</f>
        <v>ok</v>
      </c>
    </row>
    <row r="36" spans="1:35" x14ac:dyDescent="0.2">
      <c r="E36" s="49"/>
    </row>
    <row r="37" spans="1:35" x14ac:dyDescent="0.2">
      <c r="A37" s="13" t="s">
        <v>469</v>
      </c>
      <c r="E37" s="49"/>
    </row>
    <row r="38" spans="1:35" x14ac:dyDescent="0.2">
      <c r="A38" s="92" t="s">
        <v>219</v>
      </c>
      <c r="C38" s="14" t="s">
        <v>224</v>
      </c>
      <c r="D38" s="14" t="s">
        <v>233</v>
      </c>
      <c r="E38" s="66">
        <f>'Func &amp; Classif'!AA82</f>
        <v>0</v>
      </c>
      <c r="F38" s="66">
        <f>IF(VLOOKUP($D38,$C$5:$AU$493,3,)=0,0,(VLOOKUP($D38,$C$5:$AU$493,4,)/VLOOKUP($D38,$C$5:$AU$493,3,))*$E38)</f>
        <v>0</v>
      </c>
      <c r="G38" s="66">
        <f>IF(VLOOKUP($D38,$C$5:$AU$493,3,)=0,0,(VLOOKUP($D38,$C$5:$AU$493,5,)/VLOOKUP($D38,$C$5:$AU$493,3,))*$E38)</f>
        <v>0</v>
      </c>
      <c r="H38" s="66">
        <f>IF(VLOOKUP($D38,$C$5:$AU$493,3,)=0,0,(VLOOKUP($D38,$C$5:$AU$493,6,)/VLOOKUP($D38,$C$5:$AU$493,3,))*$E38)</f>
        <v>0</v>
      </c>
      <c r="I38" s="66">
        <f>IF(VLOOKUP($D38,$C$5:$AU$493,3,)=0,0,(VLOOKUP($D38,$C$5:$AU$493,7,)/VLOOKUP($D38,$C$5:$AU$493,3,))*$E38)</f>
        <v>0</v>
      </c>
      <c r="J38" s="66">
        <f>IF(VLOOKUP($D38,$C$5:$AU$493,3,)=0,0,(VLOOKUP($D38,$C$5:$AU$493,8,)/VLOOKUP($D38,$C$5:$AU$493,3,))*$E38)</f>
        <v>0</v>
      </c>
      <c r="K38" s="66">
        <f>IF(VLOOKUP($D38,$C$5:$AU$493,3,)=0,0,(VLOOKUP($D38,$C$5:$AU$493,9,)/VLOOKUP($D38,$C$5:$AU$493,3,))*$E38)</f>
        <v>0</v>
      </c>
      <c r="L38" s="66">
        <f>IF(VLOOKUP($D38,$C$5:$AU$493,3,)=0,0,(VLOOKUP($D38,$C$5:$AU$493,10,)/VLOOKUP($D38,$C$5:$AU$493,3,))*$E38)</f>
        <v>0</v>
      </c>
      <c r="M38" s="66">
        <f>IF(VLOOKUP($D38,$C$5:$AU$493,3,)=0,0,(VLOOKUP($D38,$C$5:$AU$493,11,)/VLOOKUP($D38,$C$5:$AU$493,3,))*$E38)</f>
        <v>0</v>
      </c>
      <c r="N38" s="66">
        <f>IF(VLOOKUP($D38,$C$5:$AU$493,3,)=0,0,(VLOOKUP($D38,$C$5:$AU$493,12,)/VLOOKUP($D38,$C$5:$AU$493,3,))*$E38)</f>
        <v>0</v>
      </c>
      <c r="O38" s="66">
        <f>IF(VLOOKUP($D38,$C$5:$AU$493,3,)=0,0,(VLOOKUP($D38,$C$5:$AU$493,13,)/VLOOKUP($D38,$C$5:$AU$493,3,))*$E38)</f>
        <v>0</v>
      </c>
      <c r="P38" s="66">
        <f>IF(VLOOKUP($D38,$C$5:$AU$493,3,)=0,0,(VLOOKUP($D38,$C$5:$AU$493,14,)/VLOOKUP($D38,$C$5:$AU$493,3,))*$E38)</f>
        <v>0</v>
      </c>
      <c r="Q38" s="66">
        <f>IF(VLOOKUP($D38,$C$5:$AU$493,3,)=0,0,(VLOOKUP($D38,$C$5:$AU$493,15,)/VLOOKUP($D38,$C$5:$AU$493,3,))*$E38)</f>
        <v>0</v>
      </c>
      <c r="R38" s="66">
        <f>IF(VLOOKUP($D38,$C$5:$AU$493,3,)=0,0,(VLOOKUP($D38,$C$5:$AU$493,16,)/VLOOKUP($D38,$C$5:$AU$493,3,))*$E38)</f>
        <v>0</v>
      </c>
      <c r="S38" s="66">
        <f>IF(VLOOKUP($D38,$C$5:$AU$493,3,)=0,0,(VLOOKUP($D38,$C$5:$AU$493,17,)/VLOOKUP($D38,$C$5:$AU$493,3,))*$E38)</f>
        <v>0</v>
      </c>
      <c r="T38" s="66">
        <f>IF(VLOOKUP($D38,$C$5:$AU$493,3,)=0,0,(VLOOKUP($D38,$C$5:$AU$493,18,)/VLOOKUP($D38,$C$5:$AU$493,3,))*$E38)</f>
        <v>0</v>
      </c>
      <c r="U38" s="66">
        <f>IF(VLOOKUP($D38,$C$5:$AU$493,3,)=0,0,(VLOOKUP($D38,$C$5:$AU$493,19,)/VLOOKUP($D38,$C$5:$AU$493,3,))*$E38)</f>
        <v>0</v>
      </c>
      <c r="V38" s="66">
        <f>IF(VLOOKUP($D38,$C$5:$AU$493,3,)=0,0,(VLOOKUP($D38,$C$5:$AU$493,20,)/VLOOKUP($D38,$C$5:$AU$493,3,))*$E38)</f>
        <v>0</v>
      </c>
      <c r="W38" s="66">
        <f>IF(VLOOKUP($D38,$C$5:$AU$493,3,)=0,0,(VLOOKUP($D38,$C$5:$AU$493,21,)/VLOOKUP($D38,$C$5:$AU$493,3,))*$E38)</f>
        <v>0</v>
      </c>
      <c r="X38" s="66">
        <f>IF(VLOOKUP($D38,$C$5:$AU$493,3,)=0,0,(VLOOKUP($D38,$C$5:$AU$493,22,)/VLOOKUP($D38,$C$5:$AU$493,3,))*$E38)</f>
        <v>0</v>
      </c>
      <c r="Y38" s="66">
        <f>IF(VLOOKUP($D38,$C$5:$AU$493,3,)=0,0,(VLOOKUP($D38,$C$5:$AU$493,23,)/VLOOKUP($D38,$C$5:$AU$493,3,))*$E38)</f>
        <v>0</v>
      </c>
      <c r="Z38" s="66">
        <f>IF(VLOOKUP($D38,$C$5:$AU$493,3,)=0,0,(VLOOKUP($D38,$C$5:$AU$493,24,)/VLOOKUP($D38,$C$5:$AU$493,3,))*$E38)</f>
        <v>0</v>
      </c>
      <c r="AA38" s="66">
        <f>IF(VLOOKUP($D38,$C$5:$AU$493,3,)=0,0,(VLOOKUP($D38,$C$5:$AU$493,25,)/VLOOKUP($D38,$C$5:$AU$493,3,))*$E38)</f>
        <v>0</v>
      </c>
      <c r="AB38" s="66">
        <f>IF(VLOOKUP($D38,$C$5:$AU$493,3,)=0,0,(VLOOKUP($D38,$C$5:$AU$493,26,)/VLOOKUP($D38,$C$5:$AU$493,3,))*$E38)</f>
        <v>0</v>
      </c>
      <c r="AC38" s="66">
        <f>IF(VLOOKUP($D38,$C$5:$AU$493,3,)=0,0,(VLOOKUP($D38,$C$5:$AU$493,27,)/VLOOKUP($D38,$C$5:$AU$493,3,))*$E38)</f>
        <v>0</v>
      </c>
      <c r="AD38" s="66">
        <f>IF(VLOOKUP($D38,$C$5:$AU$493,3,)=0,0,(VLOOKUP($D38,$C$5:$AU$493,28,)/VLOOKUP($D38,$C$5:$AU$493,3,))*$E38)</f>
        <v>0</v>
      </c>
      <c r="AE38" s="66">
        <f>IF(VLOOKUP($D38,$C$5:$AU$493,3,)=0,0,(VLOOKUP($D38,$C$5:$AU$493,29,)/VLOOKUP($D38,$C$5:$AU$493,3,))*$E38)</f>
        <v>0</v>
      </c>
      <c r="AF38" s="66">
        <f>IF(VLOOKUP($D38,$C$5:$AU$493,3,)=0,0,(VLOOKUP($D38,$C$5:$AU$493,30,)/VLOOKUP($D38,$C$5:$AU$493,3,))*$E38)</f>
        <v>0</v>
      </c>
      <c r="AG38" s="89">
        <f>SUM(F38:AF38)</f>
        <v>0</v>
      </c>
      <c r="AH38" s="27" t="str">
        <f>IF(ABS(E38-AG38)&lt;0.01,"ok","err")</f>
        <v>ok</v>
      </c>
    </row>
    <row r="39" spans="1:35" x14ac:dyDescent="0.2">
      <c r="E39" s="49"/>
    </row>
    <row r="40" spans="1:35" x14ac:dyDescent="0.2">
      <c r="A40" s="14" t="s">
        <v>0</v>
      </c>
      <c r="C40" s="14" t="s">
        <v>234</v>
      </c>
      <c r="E40" s="66">
        <f>E10+E13+E16+E21+E26+E29+E32+E35+E38</f>
        <v>344838894.53699994</v>
      </c>
      <c r="F40" s="66">
        <f t="shared" ref="F40:R40" si="6">F10+F13+F16+F21+F26+F29+F32+F35+F38</f>
        <v>271099821.70310909</v>
      </c>
      <c r="G40" s="66">
        <f t="shared" si="6"/>
        <v>292874.1171509893</v>
      </c>
      <c r="H40" s="66">
        <f t="shared" si="6"/>
        <v>950353.39367482823</v>
      </c>
      <c r="I40" s="66">
        <f t="shared" si="6"/>
        <v>14469533.678917419</v>
      </c>
      <c r="J40" s="66">
        <f t="shared" si="6"/>
        <v>1033703.6534315313</v>
      </c>
      <c r="K40" s="66">
        <f t="shared" si="6"/>
        <v>2839297.2371083722</v>
      </c>
      <c r="L40" s="66">
        <f t="shared" si="6"/>
        <v>6882924.8607648546</v>
      </c>
      <c r="M40" s="66">
        <f t="shared" si="6"/>
        <v>3056376.9848190011</v>
      </c>
      <c r="N40" s="66">
        <f t="shared" si="6"/>
        <v>5962199.8019955019</v>
      </c>
      <c r="O40" s="66">
        <f t="shared" si="6"/>
        <v>1340.700873934336</v>
      </c>
      <c r="P40" s="66">
        <f t="shared" si="6"/>
        <v>38250468.405154511</v>
      </c>
      <c r="Q40" s="66">
        <f t="shared" si="6"/>
        <v>0</v>
      </c>
      <c r="R40" s="66">
        <f t="shared" si="6"/>
        <v>0</v>
      </c>
      <c r="S40" s="66">
        <f t="shared" ref="S40:AF40" si="7">S10+S16+S21+S26+S29+S32+S35+S38</f>
        <v>0</v>
      </c>
      <c r="T40" s="66">
        <f t="shared" si="7"/>
        <v>0</v>
      </c>
      <c r="U40" s="66">
        <f t="shared" si="7"/>
        <v>0</v>
      </c>
      <c r="V40" s="66">
        <f t="shared" si="7"/>
        <v>0</v>
      </c>
      <c r="W40" s="66">
        <f t="shared" si="7"/>
        <v>0</v>
      </c>
      <c r="X40" s="66">
        <f t="shared" si="7"/>
        <v>0</v>
      </c>
      <c r="Y40" s="66">
        <f t="shared" si="7"/>
        <v>0</v>
      </c>
      <c r="Z40" s="66">
        <f t="shared" si="7"/>
        <v>0</v>
      </c>
      <c r="AA40" s="66">
        <f t="shared" si="7"/>
        <v>0</v>
      </c>
      <c r="AB40" s="66">
        <f t="shared" si="7"/>
        <v>0</v>
      </c>
      <c r="AC40" s="66">
        <f t="shared" si="7"/>
        <v>0</v>
      </c>
      <c r="AD40" s="66">
        <f t="shared" si="7"/>
        <v>0</v>
      </c>
      <c r="AE40" s="66">
        <f t="shared" si="7"/>
        <v>0</v>
      </c>
      <c r="AF40" s="66">
        <f t="shared" si="7"/>
        <v>0</v>
      </c>
      <c r="AG40" s="89">
        <f>SUM(F40:AF40)</f>
        <v>344838894.537</v>
      </c>
      <c r="AH40" s="27" t="str">
        <f>IF(ABS(E40-AG40)&lt;0.01,"ok","err")</f>
        <v>ok</v>
      </c>
      <c r="AI40" s="89"/>
    </row>
    <row r="44" spans="1:35" x14ac:dyDescent="0.2">
      <c r="A44" s="25" t="s">
        <v>83</v>
      </c>
    </row>
    <row r="46" spans="1:35" x14ac:dyDescent="0.2">
      <c r="A46" s="13" t="s">
        <v>890</v>
      </c>
    </row>
    <row r="47" spans="1:35" x14ac:dyDescent="0.2">
      <c r="A47" s="92" t="s">
        <v>207</v>
      </c>
      <c r="C47" s="14" t="s">
        <v>235</v>
      </c>
      <c r="D47" s="14" t="s">
        <v>656</v>
      </c>
      <c r="E47" s="66">
        <f>'Func &amp; Classif'!H126</f>
        <v>0</v>
      </c>
      <c r="F47" s="66">
        <f>IF(VLOOKUP($D47,$C$5:$AU$493,3,)=0,0,(VLOOKUP($D47,$C$5:$AU$493,4,)/VLOOKUP($D47,$C$5:$AU$493,3,))*$E47)</f>
        <v>0</v>
      </c>
      <c r="G47" s="66">
        <f>IF(VLOOKUP($D47,$C$5:$AU$493,3,)=0,0,(VLOOKUP($D47,$C$5:$AU$493,5,)/VLOOKUP($D47,$C$5:$AU$493,3,))*$E47)</f>
        <v>0</v>
      </c>
      <c r="H47" s="66">
        <f>IF(VLOOKUP($D47,$C$5:$AU$493,3,)=0,0,(VLOOKUP($D47,$C$5:$AU$493,6,)/VLOOKUP($D47,$C$5:$AU$493,3,))*$E47)</f>
        <v>0</v>
      </c>
      <c r="I47" s="66">
        <f>IF(VLOOKUP($D47,$C$5:$AU$493,3,)=0,0,(VLOOKUP($D47,$C$5:$AU$493,7,)/VLOOKUP($D47,$C$5:$AU$493,3,))*$E47)</f>
        <v>0</v>
      </c>
      <c r="J47" s="66">
        <f>IF(VLOOKUP($D47,$C$5:$AU$493,3,)=0,0,(VLOOKUP($D47,$C$5:$AU$493,8,)/VLOOKUP($D47,$C$5:$AU$493,3,))*$E47)</f>
        <v>0</v>
      </c>
      <c r="K47" s="66">
        <f>IF(VLOOKUP($D47,$C$5:$AU$493,3,)=0,0,(VLOOKUP($D47,$C$5:$AU$493,9,)/VLOOKUP($D47,$C$5:$AU$493,3,))*$E47)</f>
        <v>0</v>
      </c>
      <c r="L47" s="66">
        <f>IF(VLOOKUP($D47,$C$5:$AU$493,3,)=0,0,(VLOOKUP($D47,$C$5:$AU$493,10,)/VLOOKUP($D47,$C$5:$AU$493,3,))*$E47)</f>
        <v>0</v>
      </c>
      <c r="M47" s="66">
        <f>IF(VLOOKUP($D47,$C$5:$AU$493,3,)=0,0,(VLOOKUP($D47,$C$5:$AU$493,11,)/VLOOKUP($D47,$C$5:$AU$493,3,))*$E47)</f>
        <v>0</v>
      </c>
      <c r="N47" s="66">
        <f>IF(VLOOKUP($D47,$C$5:$AU$493,3,)=0,0,(VLOOKUP($D47,$C$5:$AU$493,12,)/VLOOKUP($D47,$C$5:$AU$493,3,))*$E47)</f>
        <v>0</v>
      </c>
      <c r="O47" s="66">
        <f>IF(VLOOKUP($D47,$C$5:$AU$493,3,)=0,0,(VLOOKUP($D47,$C$5:$AU$493,13,)/VLOOKUP($D47,$C$5:$AU$493,3,))*$E47)</f>
        <v>0</v>
      </c>
      <c r="P47" s="66">
        <f>IF(VLOOKUP($D47,$C$5:$AU$493,3,)=0,0,(VLOOKUP($D47,$C$5:$AU$493,14,)/VLOOKUP($D47,$C$5:$AU$493,3,))*$E47)</f>
        <v>0</v>
      </c>
      <c r="Q47" s="66">
        <f>IF(VLOOKUP($D47,$C$5:$AU$493,3,)=0,0,(VLOOKUP($D47,$C$5:$AU$493,15,)/VLOOKUP($D47,$C$5:$AU$493,3,))*$E47)</f>
        <v>0</v>
      </c>
      <c r="R47" s="66">
        <f>IF(VLOOKUP($D47,$C$5:$AU$493,3,)=0,0,(VLOOKUP($D47,$C$5:$AU$493,16,)/VLOOKUP($D47,$C$5:$AU$493,3,))*$E47)</f>
        <v>0</v>
      </c>
      <c r="S47" s="66">
        <f>IF(VLOOKUP($D47,$C$5:$AU$493,3,)=0,0,(VLOOKUP($D47,$C$5:$AU$493,17,)/VLOOKUP($D47,$C$5:$AU$493,3,))*$E47)</f>
        <v>0</v>
      </c>
      <c r="T47" s="66">
        <f>IF(VLOOKUP($D47,$C$5:$AU$493,3,)=0,0,(VLOOKUP($D47,$C$5:$AU$493,18,)/VLOOKUP($D47,$C$5:$AU$493,3,))*$E47)</f>
        <v>0</v>
      </c>
      <c r="U47" s="66">
        <f>IF(VLOOKUP($D47,$C$5:$AU$493,3,)=0,0,(VLOOKUP($D47,$C$5:$AU$493,19,)/VLOOKUP($D47,$C$5:$AU$493,3,))*$E47)</f>
        <v>0</v>
      </c>
      <c r="V47" s="66">
        <f>IF(VLOOKUP($D47,$C$5:$AU$493,3,)=0,0,(VLOOKUP($D47,$C$5:$AU$493,20,)/VLOOKUP($D47,$C$5:$AU$493,3,))*$E47)</f>
        <v>0</v>
      </c>
      <c r="W47" s="66">
        <f>IF(VLOOKUP($D47,$C$5:$AU$493,3,)=0,0,(VLOOKUP($D47,$C$5:$AU$493,21,)/VLOOKUP($D47,$C$5:$AU$493,3,))*$E47)</f>
        <v>0</v>
      </c>
      <c r="X47" s="66">
        <f>IF(VLOOKUP($D47,$C$5:$AU$493,3,)=0,0,(VLOOKUP($D47,$C$5:$AU$493,22,)/VLOOKUP($D47,$C$5:$AU$493,3,))*$E47)</f>
        <v>0</v>
      </c>
      <c r="Y47" s="66">
        <f>IF(VLOOKUP($D47,$C$5:$AU$493,3,)=0,0,(VLOOKUP($D47,$C$5:$AU$493,23,)/VLOOKUP($D47,$C$5:$AU$493,3,))*$E47)</f>
        <v>0</v>
      </c>
      <c r="Z47" s="66">
        <f>IF(VLOOKUP($D47,$C$5:$AU$493,3,)=0,0,(VLOOKUP($D47,$C$5:$AU$493,24,)/VLOOKUP($D47,$C$5:$AU$493,3,))*$E47)</f>
        <v>0</v>
      </c>
      <c r="AA47" s="66">
        <f>IF(VLOOKUP($D47,$C$5:$AU$493,3,)=0,0,(VLOOKUP($D47,$C$5:$AU$493,25,)/VLOOKUP($D47,$C$5:$AU$493,3,))*$E47)</f>
        <v>0</v>
      </c>
      <c r="AB47" s="66">
        <f>IF(VLOOKUP($D47,$C$5:$AU$493,3,)=0,0,(VLOOKUP($D47,$C$5:$AU$493,26,)/VLOOKUP($D47,$C$5:$AU$493,3,))*$E47)</f>
        <v>0</v>
      </c>
      <c r="AC47" s="66">
        <f>IF(VLOOKUP($D47,$C$5:$AU$493,3,)=0,0,(VLOOKUP($D47,$C$5:$AU$493,27,)/VLOOKUP($D47,$C$5:$AU$493,3,))*$E47)</f>
        <v>0</v>
      </c>
      <c r="AD47" s="66">
        <f>IF(VLOOKUP($D47,$C$5:$AU$493,3,)=0,0,(VLOOKUP($D47,$C$5:$AU$493,28,)/VLOOKUP($D47,$C$5:$AU$493,3,))*$E47)</f>
        <v>0</v>
      </c>
      <c r="AE47" s="66">
        <f>IF(VLOOKUP($D47,$C$5:$AU$493,3,)=0,0,(VLOOKUP($D47,$C$5:$AU$493,29,)/VLOOKUP($D47,$C$5:$AU$493,3,))*$E47)</f>
        <v>0</v>
      </c>
      <c r="AF47" s="66">
        <f>IF(VLOOKUP($D47,$C$5:$AU$493,3,)=0,0,(VLOOKUP($D47,$C$5:$AU$493,30,)/VLOOKUP($D47,$C$5:$AU$493,3,))*$E47)</f>
        <v>0</v>
      </c>
      <c r="AG47" s="89">
        <f>SUM(F47:AF47)</f>
        <v>0</v>
      </c>
      <c r="AH47" s="27" t="str">
        <f>IF(ABS(E47-AG47)&lt;0.01,"ok","err")</f>
        <v>ok</v>
      </c>
    </row>
    <row r="48" spans="1:35" x14ac:dyDescent="0.2">
      <c r="A48" s="92" t="s">
        <v>210</v>
      </c>
      <c r="C48" s="14" t="s">
        <v>236</v>
      </c>
      <c r="D48" s="14" t="s">
        <v>665</v>
      </c>
      <c r="E48" s="49">
        <f>'Func &amp; Classif'!I126</f>
        <v>0</v>
      </c>
      <c r="F48" s="66">
        <f>IF(VLOOKUP($D48,$C$5:$AU$493,3,)=0,0,(VLOOKUP($D48,$C$5:$AU$493,4,)/VLOOKUP($D48,$C$5:$AU$493,3,))*$E48)</f>
        <v>0</v>
      </c>
      <c r="G48" s="66">
        <f>IF(VLOOKUP($D48,$C$5:$AU$493,3,)=0,0,(VLOOKUP($D48,$C$5:$AU$493,5,)/VLOOKUP($D48,$C$5:$AU$493,3,))*$E48)</f>
        <v>0</v>
      </c>
      <c r="H48" s="66">
        <f>IF(VLOOKUP($D48,$C$5:$AU$493,3,)=0,0,(VLOOKUP($D48,$C$5:$AU$493,6,)/VLOOKUP($D48,$C$5:$AU$493,3,))*$E48)</f>
        <v>0</v>
      </c>
      <c r="I48" s="66">
        <f>IF(VLOOKUP($D48,$C$5:$AU$493,3,)=0,0,(VLOOKUP($D48,$C$5:$AU$493,7,)/VLOOKUP($D48,$C$5:$AU$493,3,))*$E48)</f>
        <v>0</v>
      </c>
      <c r="J48" s="66">
        <f>IF(VLOOKUP($D48,$C$5:$AU$493,3,)=0,0,(VLOOKUP($D48,$C$5:$AU$493,8,)/VLOOKUP($D48,$C$5:$AU$493,3,))*$E48)</f>
        <v>0</v>
      </c>
      <c r="K48" s="66">
        <f>IF(VLOOKUP($D48,$C$5:$AU$493,3,)=0,0,(VLOOKUP($D48,$C$5:$AU$493,9,)/VLOOKUP($D48,$C$5:$AU$493,3,))*$E48)</f>
        <v>0</v>
      </c>
      <c r="L48" s="66">
        <f>IF(VLOOKUP($D48,$C$5:$AU$493,3,)=0,0,(VLOOKUP($D48,$C$5:$AU$493,10,)/VLOOKUP($D48,$C$5:$AU$493,3,))*$E48)</f>
        <v>0</v>
      </c>
      <c r="M48" s="66">
        <f>IF(VLOOKUP($D48,$C$5:$AU$493,3,)=0,0,(VLOOKUP($D48,$C$5:$AU$493,11,)/VLOOKUP($D48,$C$5:$AU$493,3,))*$E48)</f>
        <v>0</v>
      </c>
      <c r="N48" s="66">
        <f>IF(VLOOKUP($D48,$C$5:$AU$493,3,)=0,0,(VLOOKUP($D48,$C$5:$AU$493,12,)/VLOOKUP($D48,$C$5:$AU$493,3,))*$E48)</f>
        <v>0</v>
      </c>
      <c r="O48" s="66">
        <f>IF(VLOOKUP($D48,$C$5:$AU$493,3,)=0,0,(VLOOKUP($D48,$C$5:$AU$493,13,)/VLOOKUP($D48,$C$5:$AU$493,3,))*$E48)</f>
        <v>0</v>
      </c>
      <c r="P48" s="66">
        <f>IF(VLOOKUP($D48,$C$5:$AU$493,3,)=0,0,(VLOOKUP($D48,$C$5:$AU$493,14,)/VLOOKUP($D48,$C$5:$AU$493,3,))*$E48)</f>
        <v>0</v>
      </c>
      <c r="Q48" s="66">
        <f>IF(VLOOKUP($D48,$C$5:$AU$493,3,)=0,0,(VLOOKUP($D48,$C$5:$AU$493,15,)/VLOOKUP($D48,$C$5:$AU$493,3,))*$E48)</f>
        <v>0</v>
      </c>
      <c r="R48" s="66">
        <f>IF(VLOOKUP($D48,$C$5:$AU$493,3,)=0,0,(VLOOKUP($D48,$C$5:$AU$493,16,)/VLOOKUP($D48,$C$5:$AU$493,3,))*$E48)</f>
        <v>0</v>
      </c>
      <c r="S48" s="66">
        <f>IF(VLOOKUP($D48,$C$5:$AU$493,3,)=0,0,(VLOOKUP($D48,$C$5:$AU$493,17,)/VLOOKUP($D48,$C$5:$AU$493,3,))*$E48)</f>
        <v>0</v>
      </c>
      <c r="T48" s="66">
        <f>IF(VLOOKUP($D48,$C$5:$AU$493,3,)=0,0,(VLOOKUP($D48,$C$5:$AU$493,18,)/VLOOKUP($D48,$C$5:$AU$493,3,))*$E48)</f>
        <v>0</v>
      </c>
      <c r="U48" s="66">
        <f>IF(VLOOKUP($D48,$C$5:$AU$493,3,)=0,0,(VLOOKUP($D48,$C$5:$AU$493,19,)/VLOOKUP($D48,$C$5:$AU$493,3,))*$E48)</f>
        <v>0</v>
      </c>
      <c r="V48" s="66">
        <f>IF(VLOOKUP($D48,$C$5:$AU$493,3,)=0,0,(VLOOKUP($D48,$C$5:$AU$493,20,)/VLOOKUP($D48,$C$5:$AU$493,3,))*$E48)</f>
        <v>0</v>
      </c>
      <c r="W48" s="66">
        <f>IF(VLOOKUP($D48,$C$5:$AU$493,3,)=0,0,(VLOOKUP($D48,$C$5:$AU$493,21,)/VLOOKUP($D48,$C$5:$AU$493,3,))*$E48)</f>
        <v>0</v>
      </c>
      <c r="X48" s="66">
        <f>IF(VLOOKUP($D48,$C$5:$AU$493,3,)=0,0,(VLOOKUP($D48,$C$5:$AU$493,22,)/VLOOKUP($D48,$C$5:$AU$493,3,))*$E48)</f>
        <v>0</v>
      </c>
      <c r="Y48" s="66">
        <f>IF(VLOOKUP($D48,$C$5:$AU$493,3,)=0,0,(VLOOKUP($D48,$C$5:$AU$493,23,)/VLOOKUP($D48,$C$5:$AU$493,3,))*$E48)</f>
        <v>0</v>
      </c>
      <c r="Z48" s="66">
        <f>IF(VLOOKUP($D48,$C$5:$AU$493,3,)=0,0,(VLOOKUP($D48,$C$5:$AU$493,24,)/VLOOKUP($D48,$C$5:$AU$493,3,))*$E48)</f>
        <v>0</v>
      </c>
      <c r="AA48" s="66">
        <f>IF(VLOOKUP($D48,$C$5:$AU$493,3,)=0,0,(VLOOKUP($D48,$C$5:$AU$493,25,)/VLOOKUP($D48,$C$5:$AU$493,3,))*$E48)</f>
        <v>0</v>
      </c>
      <c r="AB48" s="66">
        <f>IF(VLOOKUP($D48,$C$5:$AU$493,3,)=0,0,(VLOOKUP($D48,$C$5:$AU$493,26,)/VLOOKUP($D48,$C$5:$AU$493,3,))*$E48)</f>
        <v>0</v>
      </c>
      <c r="AC48" s="66">
        <f>IF(VLOOKUP($D48,$C$5:$AU$493,3,)=0,0,(VLOOKUP($D48,$C$5:$AU$493,27,)/VLOOKUP($D48,$C$5:$AU$493,3,))*$E48)</f>
        <v>0</v>
      </c>
      <c r="AD48" s="66">
        <f>IF(VLOOKUP($D48,$C$5:$AU$493,3,)=0,0,(VLOOKUP($D48,$C$5:$AU$493,28,)/VLOOKUP($D48,$C$5:$AU$493,3,))*$E48)</f>
        <v>0</v>
      </c>
      <c r="AE48" s="66">
        <f>IF(VLOOKUP($D48,$C$5:$AU$493,3,)=0,0,(VLOOKUP($D48,$C$5:$AU$493,29,)/VLOOKUP($D48,$C$5:$AU$493,3,))*$E48)</f>
        <v>0</v>
      </c>
      <c r="AF48" s="66">
        <f>IF(VLOOKUP($D48,$C$5:$AU$493,3,)=0,0,(VLOOKUP($D48,$C$5:$AU$493,30,)/VLOOKUP($D48,$C$5:$AU$493,3,))*$E48)</f>
        <v>0</v>
      </c>
      <c r="AG48" s="89">
        <f>SUM(F48:AF48)</f>
        <v>0</v>
      </c>
      <c r="AH48" s="27" t="str">
        <f>IF(ABS(E48-AG48)&lt;0.01,"ok","err")</f>
        <v>ok</v>
      </c>
    </row>
    <row r="49" spans="1:34" x14ac:dyDescent="0.2">
      <c r="A49" s="14" t="s">
        <v>213</v>
      </c>
      <c r="C49" s="14" t="s">
        <v>237</v>
      </c>
      <c r="E49" s="49">
        <f t="shared" ref="E49:T49" si="8">E47+E48</f>
        <v>0</v>
      </c>
      <c r="F49" s="66">
        <f t="shared" si="8"/>
        <v>0</v>
      </c>
      <c r="G49" s="66">
        <f t="shared" si="8"/>
        <v>0</v>
      </c>
      <c r="H49" s="66">
        <f t="shared" si="8"/>
        <v>0</v>
      </c>
      <c r="I49" s="66">
        <f t="shared" si="8"/>
        <v>0</v>
      </c>
      <c r="J49" s="66">
        <f t="shared" si="8"/>
        <v>0</v>
      </c>
      <c r="K49" s="66">
        <f t="shared" si="8"/>
        <v>0</v>
      </c>
      <c r="L49" s="66">
        <f t="shared" si="8"/>
        <v>0</v>
      </c>
      <c r="M49" s="66">
        <f t="shared" si="8"/>
        <v>0</v>
      </c>
      <c r="N49" s="66">
        <f t="shared" si="8"/>
        <v>0</v>
      </c>
      <c r="O49" s="66">
        <f t="shared" si="8"/>
        <v>0</v>
      </c>
      <c r="P49" s="66">
        <f t="shared" si="8"/>
        <v>0</v>
      </c>
      <c r="Q49" s="66">
        <f t="shared" si="8"/>
        <v>0</v>
      </c>
      <c r="R49" s="66">
        <f t="shared" si="8"/>
        <v>0</v>
      </c>
      <c r="S49" s="66">
        <f t="shared" si="8"/>
        <v>0</v>
      </c>
      <c r="T49" s="66">
        <f t="shared" si="8"/>
        <v>0</v>
      </c>
      <c r="U49" s="66">
        <f t="shared" ref="U49:AF49" si="9">U47+U48</f>
        <v>0</v>
      </c>
      <c r="V49" s="66">
        <f t="shared" si="9"/>
        <v>0</v>
      </c>
      <c r="W49" s="66">
        <f t="shared" si="9"/>
        <v>0</v>
      </c>
      <c r="X49" s="66">
        <f t="shared" si="9"/>
        <v>0</v>
      </c>
      <c r="Y49" s="66">
        <f t="shared" si="9"/>
        <v>0</v>
      </c>
      <c r="Z49" s="66">
        <f t="shared" si="9"/>
        <v>0</v>
      </c>
      <c r="AA49" s="66">
        <f t="shared" si="9"/>
        <v>0</v>
      </c>
      <c r="AB49" s="66">
        <f t="shared" si="9"/>
        <v>0</v>
      </c>
      <c r="AC49" s="66">
        <f t="shared" si="9"/>
        <v>0</v>
      </c>
      <c r="AD49" s="66">
        <f t="shared" si="9"/>
        <v>0</v>
      </c>
      <c r="AE49" s="66">
        <f t="shared" si="9"/>
        <v>0</v>
      </c>
      <c r="AF49" s="66">
        <f t="shared" si="9"/>
        <v>0</v>
      </c>
      <c r="AG49" s="89">
        <f>SUM(F49:AF49)</f>
        <v>0</v>
      </c>
      <c r="AH49" s="27" t="str">
        <f>IF(ABS(E49-AG49)&lt;0.01,"ok","err")</f>
        <v>ok</v>
      </c>
    </row>
    <row r="50" spans="1:34" x14ac:dyDescent="0.2">
      <c r="E50" s="49"/>
      <c r="F50" s="49"/>
    </row>
    <row r="51" spans="1:34" x14ac:dyDescent="0.2">
      <c r="A51" s="13" t="s">
        <v>348</v>
      </c>
      <c r="E51" s="49"/>
      <c r="F51" s="49"/>
    </row>
    <row r="52" spans="1:34" x14ac:dyDescent="0.2">
      <c r="A52" s="92" t="s">
        <v>207</v>
      </c>
      <c r="C52" s="14" t="s">
        <v>879</v>
      </c>
      <c r="D52" s="14" t="s">
        <v>599</v>
      </c>
      <c r="E52" s="66">
        <f>'Func &amp; Classif'!K126</f>
        <v>0</v>
      </c>
      <c r="F52" s="66">
        <f>IF(VLOOKUP($D52,$C$5:$AU$493,3,)=0,0,(VLOOKUP($D52,$C$5:$AU$493,4,)/VLOOKUP($D52,$C$5:$AU$493,3,))*$E52)</f>
        <v>0</v>
      </c>
      <c r="G52" s="66">
        <f>IF(VLOOKUP($D52,$C$5:$AU$493,3,)=0,0,(VLOOKUP($D52,$C$5:$AU$493,5,)/VLOOKUP($D52,$C$5:$AU$493,3,))*$E52)</f>
        <v>0</v>
      </c>
      <c r="H52" s="66">
        <f>IF(VLOOKUP($D52,$C$5:$AU$493,3,)=0,0,(VLOOKUP($D52,$C$5:$AU$493,6,)/VLOOKUP($D52,$C$5:$AU$493,3,))*$E52)</f>
        <v>0</v>
      </c>
      <c r="I52" s="66">
        <f>IF(VLOOKUP($D52,$C$5:$AU$493,3,)=0,0,(VLOOKUP($D52,$C$5:$AU$493,7,)/VLOOKUP($D52,$C$5:$AU$493,3,))*$E52)</f>
        <v>0</v>
      </c>
      <c r="J52" s="66">
        <f>IF(VLOOKUP($D52,$C$5:$AU$493,3,)=0,0,(VLOOKUP($D52,$C$5:$AU$493,8,)/VLOOKUP($D52,$C$5:$AU$493,3,))*$E52)</f>
        <v>0</v>
      </c>
      <c r="K52" s="66">
        <f>IF(VLOOKUP($D52,$C$5:$AU$493,3,)=0,0,(VLOOKUP($D52,$C$5:$AU$493,9,)/VLOOKUP($D52,$C$5:$AU$493,3,))*$E52)</f>
        <v>0</v>
      </c>
      <c r="L52" s="66">
        <f>IF(VLOOKUP($D52,$C$5:$AU$493,3,)=0,0,(VLOOKUP($D52,$C$5:$AU$493,10,)/VLOOKUP($D52,$C$5:$AU$493,3,))*$E52)</f>
        <v>0</v>
      </c>
      <c r="M52" s="66">
        <f>IF(VLOOKUP($D52,$C$5:$AU$493,3,)=0,0,(VLOOKUP($D52,$C$5:$AU$493,11,)/VLOOKUP($D52,$C$5:$AU$493,3,))*$E52)</f>
        <v>0</v>
      </c>
      <c r="N52" s="66">
        <f>IF(VLOOKUP($D52,$C$5:$AU$493,3,)=0,0,(VLOOKUP($D52,$C$5:$AU$493,12,)/VLOOKUP($D52,$C$5:$AU$493,3,))*$E52)</f>
        <v>0</v>
      </c>
      <c r="O52" s="66">
        <f>IF(VLOOKUP($D52,$C$5:$AU$493,3,)=0,0,(VLOOKUP($D52,$C$5:$AU$493,13,)/VLOOKUP($D52,$C$5:$AU$493,3,))*$E52)</f>
        <v>0</v>
      </c>
      <c r="P52" s="66">
        <f>IF(VLOOKUP($D52,$C$5:$AU$493,3,)=0,0,(VLOOKUP($D52,$C$5:$AU$493,14,)/VLOOKUP($D52,$C$5:$AU$493,3,))*$E52)</f>
        <v>0</v>
      </c>
      <c r="Q52" s="66">
        <f>IF(VLOOKUP($D52,$C$5:$AU$493,3,)=0,0,(VLOOKUP($D52,$C$5:$AU$493,15,)/VLOOKUP($D52,$C$5:$AU$493,3,))*$E52)</f>
        <v>0</v>
      </c>
      <c r="R52" s="66">
        <f>IF(VLOOKUP($D52,$C$5:$AU$493,3,)=0,0,(VLOOKUP($D52,$C$5:$AU$493,16,)/VLOOKUP($D52,$C$5:$AU$493,3,))*$E52)</f>
        <v>0</v>
      </c>
      <c r="S52" s="66">
        <f>IF(VLOOKUP($D52,$C$5:$AU$493,3,)=0,0,(VLOOKUP($D52,$C$5:$AU$493,17,)/VLOOKUP($D52,$C$5:$AU$493,3,))*$E52)</f>
        <v>0</v>
      </c>
      <c r="T52" s="66">
        <f>IF(VLOOKUP($D52,$C$5:$AU$493,3,)=0,0,(VLOOKUP($D52,$C$5:$AU$493,18,)/VLOOKUP($D52,$C$5:$AU$493,3,))*$E52)</f>
        <v>0</v>
      </c>
      <c r="U52" s="66">
        <f>IF(VLOOKUP($D52,$C$5:$AU$493,3,)=0,0,(VLOOKUP($D52,$C$5:$AU$493,19,)/VLOOKUP($D52,$C$5:$AU$493,3,))*$E52)</f>
        <v>0</v>
      </c>
      <c r="V52" s="66">
        <f>IF(VLOOKUP($D52,$C$5:$AU$493,3,)=0,0,(VLOOKUP($D52,$C$5:$AU$493,20,)/VLOOKUP($D52,$C$5:$AU$493,3,))*$E52)</f>
        <v>0</v>
      </c>
      <c r="W52" s="66">
        <f>IF(VLOOKUP($D52,$C$5:$AU$493,3,)=0,0,(VLOOKUP($D52,$C$5:$AU$493,21,)/VLOOKUP($D52,$C$5:$AU$493,3,))*$E52)</f>
        <v>0</v>
      </c>
      <c r="X52" s="66">
        <f>IF(VLOOKUP($D52,$C$5:$AU$493,3,)=0,0,(VLOOKUP($D52,$C$5:$AU$493,22,)/VLOOKUP($D52,$C$5:$AU$493,3,))*$E52)</f>
        <v>0</v>
      </c>
      <c r="Y52" s="66">
        <f>IF(VLOOKUP($D52,$C$5:$AU$493,3,)=0,0,(VLOOKUP($D52,$C$5:$AU$493,23,)/VLOOKUP($D52,$C$5:$AU$493,3,))*$E52)</f>
        <v>0</v>
      </c>
      <c r="Z52" s="66">
        <f>IF(VLOOKUP($D52,$C$5:$AU$493,3,)=0,0,(VLOOKUP($D52,$C$5:$AU$493,24,)/VLOOKUP($D52,$C$5:$AU$493,3,))*$E52)</f>
        <v>0</v>
      </c>
      <c r="AA52" s="66">
        <f>IF(VLOOKUP($D52,$C$5:$AU$493,3,)=0,0,(VLOOKUP($D52,$C$5:$AU$493,25,)/VLOOKUP($D52,$C$5:$AU$493,3,))*$E52)</f>
        <v>0</v>
      </c>
      <c r="AB52" s="66">
        <f>IF(VLOOKUP($D52,$C$5:$AU$493,3,)=0,0,(VLOOKUP($D52,$C$5:$AU$493,26,)/VLOOKUP($D52,$C$5:$AU$493,3,))*$E52)</f>
        <v>0</v>
      </c>
      <c r="AC52" s="66">
        <f>IF(VLOOKUP($D52,$C$5:$AU$493,3,)=0,0,(VLOOKUP($D52,$C$5:$AU$493,27,)/VLOOKUP($D52,$C$5:$AU$493,3,))*$E52)</f>
        <v>0</v>
      </c>
      <c r="AD52" s="66">
        <f>IF(VLOOKUP($D52,$C$5:$AU$493,3,)=0,0,(VLOOKUP($D52,$C$5:$AU$493,28,)/VLOOKUP($D52,$C$5:$AU$493,3,))*$E52)</f>
        <v>0</v>
      </c>
      <c r="AE52" s="66">
        <f>IF(VLOOKUP($D52,$C$5:$AU$493,3,)=0,0,(VLOOKUP($D52,$C$5:$AU$493,29,)/VLOOKUP($D52,$C$5:$AU$493,3,))*$E52)</f>
        <v>0</v>
      </c>
      <c r="AF52" s="66">
        <f>IF(VLOOKUP($D52,$C$5:$AU$493,3,)=0,0,(VLOOKUP($D52,$C$5:$AU$493,30,)/VLOOKUP($D52,$C$5:$AU$493,3,))*$E52)</f>
        <v>0</v>
      </c>
      <c r="AG52" s="89">
        <f>SUM(F52:AF52)</f>
        <v>0</v>
      </c>
      <c r="AH52" s="27" t="str">
        <f>IF(ABS(E52-AG52)&lt;0.01,"ok","err")</f>
        <v>ok</v>
      </c>
    </row>
    <row r="53" spans="1:34" x14ac:dyDescent="0.2">
      <c r="E53" s="49"/>
    </row>
    <row r="54" spans="1:34" x14ac:dyDescent="0.2">
      <c r="A54" s="13" t="s">
        <v>1</v>
      </c>
      <c r="E54" s="49"/>
      <c r="F54" s="49"/>
    </row>
    <row r="55" spans="1:34" x14ac:dyDescent="0.2">
      <c r="A55" s="92" t="s">
        <v>207</v>
      </c>
      <c r="C55" s="14" t="s">
        <v>238</v>
      </c>
      <c r="D55" s="14" t="s">
        <v>615</v>
      </c>
      <c r="E55" s="66">
        <f>'Func &amp; Classif'!M126</f>
        <v>1441347.7100927231</v>
      </c>
      <c r="F55" s="66">
        <f>IF(VLOOKUP($D55,$C$5:$AU$493,3,)=0,0,(VLOOKUP($D55,$C$5:$AU$493,4,)/VLOOKUP($D55,$C$5:$AU$493,3,))*$E55)</f>
        <v>1074856.697877151</v>
      </c>
      <c r="G55" s="66">
        <f>IF(VLOOKUP($D55,$C$5:$AU$493,3,)=0,0,(VLOOKUP($D55,$C$5:$AU$493,5,)/VLOOKUP($D55,$C$5:$AU$493,3,))*$E55)</f>
        <v>203.63158491068177</v>
      </c>
      <c r="H55" s="66">
        <f>IF(VLOOKUP($D55,$C$5:$AU$493,3,)=0,0,(VLOOKUP($D55,$C$5:$AU$493,6,)/VLOOKUP($D55,$C$5:$AU$493,3,))*$E55)</f>
        <v>45.638664657061661</v>
      </c>
      <c r="I55" s="66">
        <f>IF(VLOOKUP($D55,$C$5:$AU$493,3,)=0,0,(VLOOKUP($D55,$C$5:$AU$493,7,)/VLOOKUP($D55,$C$5:$AU$493,3,))*$E55)</f>
        <v>88343.159469205362</v>
      </c>
      <c r="J55" s="66">
        <f>IF(VLOOKUP($D55,$C$5:$AU$493,3,)=0,0,(VLOOKUP($D55,$C$5:$AU$493,8,)/VLOOKUP($D55,$C$5:$AU$493,3,))*$E55)</f>
        <v>299.43621393154149</v>
      </c>
      <c r="K55" s="66">
        <f>IF(VLOOKUP($D55,$C$5:$AU$493,3,)=0,0,(VLOOKUP($D55,$C$5:$AU$493,9,)/VLOOKUP($D55,$C$5:$AU$493,3,))*$E55)</f>
        <v>33874.595642671193</v>
      </c>
      <c r="L55" s="66">
        <f>IF(VLOOKUP($D55,$C$5:$AU$493,3,)=0,0,(VLOOKUP($D55,$C$5:$AU$493,10,)/VLOOKUP($D55,$C$5:$AU$493,3,))*$E55)</f>
        <v>96258.913789335187</v>
      </c>
      <c r="M55" s="66">
        <f>IF(VLOOKUP($D55,$C$5:$AU$493,3,)=0,0,(VLOOKUP($D55,$C$5:$AU$493,11,)/VLOOKUP($D55,$C$5:$AU$493,3,))*$E55)</f>
        <v>49449.426238996966</v>
      </c>
      <c r="N55" s="66">
        <f>IF(VLOOKUP($D55,$C$5:$AU$493,3,)=0,0,(VLOOKUP($D55,$C$5:$AU$493,12,)/VLOOKUP($D55,$C$5:$AU$493,3,))*$E55)</f>
        <v>94583.64529917849</v>
      </c>
      <c r="O55" s="66">
        <f>IF(VLOOKUP($D55,$C$5:$AU$493,3,)=0,0,(VLOOKUP($D55,$C$5:$AU$493,13,)/VLOOKUP($D55,$C$5:$AU$493,3,))*$E55)</f>
        <v>0</v>
      </c>
      <c r="P55" s="66">
        <f>IF(VLOOKUP($D55,$C$5:$AU$493,3,)=0,0,(VLOOKUP($D55,$C$5:$AU$493,14,)/VLOOKUP($D55,$C$5:$AU$493,3,))*$E55)</f>
        <v>3432.565312686022</v>
      </c>
      <c r="Q55" s="66">
        <f>IF(VLOOKUP($D55,$C$5:$AU$493,3,)=0,0,(VLOOKUP($D55,$C$5:$AU$493,15,)/VLOOKUP($D55,$C$5:$AU$493,3,))*$E55)</f>
        <v>0</v>
      </c>
      <c r="R55" s="66">
        <f>IF(VLOOKUP($D55,$C$5:$AU$493,3,)=0,0,(VLOOKUP($D55,$C$5:$AU$493,16,)/VLOOKUP($D55,$C$5:$AU$493,3,))*$E55)</f>
        <v>0</v>
      </c>
      <c r="S55" s="66">
        <f>IF(VLOOKUP($D55,$C$5:$AU$493,3,)=0,0,(VLOOKUP($D55,$C$5:$AU$493,17,)/VLOOKUP($D55,$C$5:$AU$493,3,))*$E55)</f>
        <v>0</v>
      </c>
      <c r="T55" s="66">
        <f>IF(VLOOKUP($D55,$C$5:$AU$493,3,)=0,0,(VLOOKUP($D55,$C$5:$AU$493,18,)/VLOOKUP($D55,$C$5:$AU$493,3,))*$E55)</f>
        <v>0</v>
      </c>
      <c r="U55" s="66">
        <f>IF(VLOOKUP($D55,$C$5:$AU$493,3,)=0,0,(VLOOKUP($D55,$C$5:$AU$493,19,)/VLOOKUP($D55,$C$5:$AU$493,3,))*$E55)</f>
        <v>0</v>
      </c>
      <c r="V55" s="66">
        <f>IF(VLOOKUP($D55,$C$5:$AU$493,3,)=0,0,(VLOOKUP($D55,$C$5:$AU$493,20,)/VLOOKUP($D55,$C$5:$AU$493,3,))*$E55)</f>
        <v>0</v>
      </c>
      <c r="W55" s="66">
        <f>IF(VLOOKUP($D55,$C$5:$AU$493,3,)=0,0,(VLOOKUP($D55,$C$5:$AU$493,21,)/VLOOKUP($D55,$C$5:$AU$493,3,))*$E55)</f>
        <v>0</v>
      </c>
      <c r="X55" s="66">
        <f>IF(VLOOKUP($D55,$C$5:$AU$493,3,)=0,0,(VLOOKUP($D55,$C$5:$AU$493,22,)/VLOOKUP($D55,$C$5:$AU$493,3,))*$E55)</f>
        <v>0</v>
      </c>
      <c r="Y55" s="66">
        <f>IF(VLOOKUP($D55,$C$5:$AU$493,3,)=0,0,(VLOOKUP($D55,$C$5:$AU$493,23,)/VLOOKUP($D55,$C$5:$AU$493,3,))*$E55)</f>
        <v>0</v>
      </c>
      <c r="Z55" s="66">
        <f>IF(VLOOKUP($D55,$C$5:$AU$493,3,)=0,0,(VLOOKUP($D55,$C$5:$AU$493,24,)/VLOOKUP($D55,$C$5:$AU$493,3,))*$E55)</f>
        <v>0</v>
      </c>
      <c r="AA55" s="66">
        <f>IF(VLOOKUP($D55,$C$5:$AU$493,3,)=0,0,(VLOOKUP($D55,$C$5:$AU$493,25,)/VLOOKUP($D55,$C$5:$AU$493,3,))*$E55)</f>
        <v>0</v>
      </c>
      <c r="AB55" s="66">
        <f>IF(VLOOKUP($D55,$C$5:$AU$493,3,)=0,0,(VLOOKUP($D55,$C$5:$AU$493,26,)/VLOOKUP($D55,$C$5:$AU$493,3,))*$E55)</f>
        <v>0</v>
      </c>
      <c r="AC55" s="66">
        <f>IF(VLOOKUP($D55,$C$5:$AU$493,3,)=0,0,(VLOOKUP($D55,$C$5:$AU$493,27,)/VLOOKUP($D55,$C$5:$AU$493,3,))*$E55)</f>
        <v>0</v>
      </c>
      <c r="AD55" s="66">
        <f>IF(VLOOKUP($D55,$C$5:$AU$493,3,)=0,0,(VLOOKUP($D55,$C$5:$AU$493,28,)/VLOOKUP($D55,$C$5:$AU$493,3,))*$E55)</f>
        <v>0</v>
      </c>
      <c r="AE55" s="66">
        <f>IF(VLOOKUP($D55,$C$5:$AU$493,3,)=0,0,(VLOOKUP($D55,$C$5:$AU$493,29,)/VLOOKUP($D55,$C$5:$AU$493,3,))*$E55)</f>
        <v>0</v>
      </c>
      <c r="AF55" s="66">
        <f>IF(VLOOKUP($D55,$C$5:$AU$493,3,)=0,0,(VLOOKUP($D55,$C$5:$AU$493,30,)/VLOOKUP($D55,$C$5:$AU$493,3,))*$E55)</f>
        <v>0</v>
      </c>
      <c r="AG55" s="89">
        <f>SUM(F55:AF55)</f>
        <v>1441347.7100927234</v>
      </c>
      <c r="AH55" s="27" t="str">
        <f>IF(ABS(E55-AG55)&lt;0.01,"ok","err")</f>
        <v>ok</v>
      </c>
    </row>
    <row r="56" spans="1:34" x14ac:dyDescent="0.2">
      <c r="E56" s="49"/>
    </row>
    <row r="57" spans="1:34" x14ac:dyDescent="0.2">
      <c r="A57" s="13" t="s">
        <v>2</v>
      </c>
      <c r="E57" s="49"/>
    </row>
    <row r="58" spans="1:34" x14ac:dyDescent="0.2">
      <c r="A58" s="92" t="s">
        <v>207</v>
      </c>
      <c r="C58" s="14" t="s">
        <v>239</v>
      </c>
      <c r="D58" s="14" t="s">
        <v>607</v>
      </c>
      <c r="E58" s="66">
        <f>'Func &amp; Classif'!O126</f>
        <v>93950335.113453537</v>
      </c>
      <c r="F58" s="66">
        <f>IF(VLOOKUP($D58,$C$5:$AU$493,3,)=0,0,(VLOOKUP($D58,$C$5:$AU$493,4,)/VLOOKUP($D58,$C$5:$AU$493,3,))*$E58)</f>
        <v>78352566.078908116</v>
      </c>
      <c r="G58" s="66">
        <f>IF(VLOOKUP($D58,$C$5:$AU$493,3,)=0,0,(VLOOKUP($D58,$C$5:$AU$493,5,)/VLOOKUP($D58,$C$5:$AU$493,3,))*$E58)</f>
        <v>14644.434865425366</v>
      </c>
      <c r="H58" s="66">
        <f>IF(VLOOKUP($D58,$C$5:$AU$493,3,)=0,0,(VLOOKUP($D58,$C$5:$AU$493,6,)/VLOOKUP($D58,$C$5:$AU$493,3,))*$E58)</f>
        <v>539631.43713916361</v>
      </c>
      <c r="I58" s="66">
        <f>IF(VLOOKUP($D58,$C$5:$AU$493,3,)=0,0,(VLOOKUP($D58,$C$5:$AU$493,7,)/VLOOKUP($D58,$C$5:$AU$493,3,))*$E58)</f>
        <v>4210174.5054519959</v>
      </c>
      <c r="J58" s="66">
        <f>IF(VLOOKUP($D58,$C$5:$AU$493,3,)=0,0,(VLOOKUP($D58,$C$5:$AU$493,8,)/VLOOKUP($D58,$C$5:$AU$493,3,))*$E58)</f>
        <v>543815.27415433072</v>
      </c>
      <c r="K58" s="66">
        <f>IF(VLOOKUP($D58,$C$5:$AU$493,3,)=0,0,(VLOOKUP($D58,$C$5:$AU$493,9,)/VLOOKUP($D58,$C$5:$AU$493,3,))*$E58)</f>
        <v>1345101.364125065</v>
      </c>
      <c r="L58" s="66">
        <f>IF(VLOOKUP($D58,$C$5:$AU$493,3,)=0,0,(VLOOKUP($D58,$C$5:$AU$493,10,)/VLOOKUP($D58,$C$5:$AU$493,3,))*$E58)</f>
        <v>3724464.7936203112</v>
      </c>
      <c r="M58" s="66">
        <f>IF(VLOOKUP($D58,$C$5:$AU$493,3,)=0,0,(VLOOKUP($D58,$C$5:$AU$493,11,)/VLOOKUP($D58,$C$5:$AU$493,3,))*$E58)</f>
        <v>1739228.1878023769</v>
      </c>
      <c r="N58" s="66">
        <f>IF(VLOOKUP($D58,$C$5:$AU$493,3,)=0,0,(VLOOKUP($D58,$C$5:$AU$493,12,)/VLOOKUP($D58,$C$5:$AU$493,3,))*$E58)</f>
        <v>3300137.7244622088</v>
      </c>
      <c r="O58" s="66">
        <f>IF(VLOOKUP($D58,$C$5:$AU$493,3,)=0,0,(VLOOKUP($D58,$C$5:$AU$493,13,)/VLOOKUP($D58,$C$5:$AU$493,3,))*$E58)</f>
        <v>0</v>
      </c>
      <c r="P58" s="66">
        <f>IF(VLOOKUP($D58,$C$5:$AU$493,3,)=0,0,(VLOOKUP($D58,$C$5:$AU$493,14,)/VLOOKUP($D58,$C$5:$AU$493,3,))*$E58)</f>
        <v>180571.31292454543</v>
      </c>
      <c r="Q58" s="66">
        <f>IF(VLOOKUP($D58,$C$5:$AU$493,3,)=0,0,(VLOOKUP($D58,$C$5:$AU$493,15,)/VLOOKUP($D58,$C$5:$AU$493,3,))*$E58)</f>
        <v>0</v>
      </c>
      <c r="R58" s="66">
        <f>IF(VLOOKUP($D58,$C$5:$AU$493,3,)=0,0,(VLOOKUP($D58,$C$5:$AU$493,16,)/VLOOKUP($D58,$C$5:$AU$493,3,))*$E58)</f>
        <v>0</v>
      </c>
      <c r="S58" s="66">
        <f>IF(VLOOKUP($D58,$C$5:$AU$493,3,)=0,0,(VLOOKUP($D58,$C$5:$AU$493,17,)/VLOOKUP($D58,$C$5:$AU$493,3,))*$E58)</f>
        <v>0</v>
      </c>
      <c r="T58" s="66">
        <f>IF(VLOOKUP($D58,$C$5:$AU$493,3,)=0,0,(VLOOKUP($D58,$C$5:$AU$493,18,)/VLOOKUP($D58,$C$5:$AU$493,3,))*$E58)</f>
        <v>0</v>
      </c>
      <c r="U58" s="66">
        <f>IF(VLOOKUP($D58,$C$5:$AU$493,3,)=0,0,(VLOOKUP($D58,$C$5:$AU$493,19,)/VLOOKUP($D58,$C$5:$AU$493,3,))*$E58)</f>
        <v>0</v>
      </c>
      <c r="V58" s="66">
        <f>IF(VLOOKUP($D58,$C$5:$AU$493,3,)=0,0,(VLOOKUP($D58,$C$5:$AU$493,20,)/VLOOKUP($D58,$C$5:$AU$493,3,))*$E58)</f>
        <v>0</v>
      </c>
      <c r="W58" s="66">
        <f>IF(VLOOKUP($D58,$C$5:$AU$493,3,)=0,0,(VLOOKUP($D58,$C$5:$AU$493,21,)/VLOOKUP($D58,$C$5:$AU$493,3,))*$E58)</f>
        <v>0</v>
      </c>
      <c r="X58" s="66">
        <f>IF(VLOOKUP($D58,$C$5:$AU$493,3,)=0,0,(VLOOKUP($D58,$C$5:$AU$493,22,)/VLOOKUP($D58,$C$5:$AU$493,3,))*$E58)</f>
        <v>0</v>
      </c>
      <c r="Y58" s="66">
        <f>IF(VLOOKUP($D58,$C$5:$AU$493,3,)=0,0,(VLOOKUP($D58,$C$5:$AU$493,23,)/VLOOKUP($D58,$C$5:$AU$493,3,))*$E58)</f>
        <v>0</v>
      </c>
      <c r="Z58" s="66">
        <f>IF(VLOOKUP($D58,$C$5:$AU$493,3,)=0,0,(VLOOKUP($D58,$C$5:$AU$493,24,)/VLOOKUP($D58,$C$5:$AU$493,3,))*$E58)</f>
        <v>0</v>
      </c>
      <c r="AA58" s="66">
        <f>IF(VLOOKUP($D58,$C$5:$AU$493,3,)=0,0,(VLOOKUP($D58,$C$5:$AU$493,25,)/VLOOKUP($D58,$C$5:$AU$493,3,))*$E58)</f>
        <v>0</v>
      </c>
      <c r="AB58" s="66">
        <f>IF(VLOOKUP($D58,$C$5:$AU$493,3,)=0,0,(VLOOKUP($D58,$C$5:$AU$493,26,)/VLOOKUP($D58,$C$5:$AU$493,3,))*$E58)</f>
        <v>0</v>
      </c>
      <c r="AC58" s="66">
        <f>IF(VLOOKUP($D58,$C$5:$AU$493,3,)=0,0,(VLOOKUP($D58,$C$5:$AU$493,27,)/VLOOKUP($D58,$C$5:$AU$493,3,))*$E58)</f>
        <v>0</v>
      </c>
      <c r="AD58" s="66">
        <f>IF(VLOOKUP($D58,$C$5:$AU$493,3,)=0,0,(VLOOKUP($D58,$C$5:$AU$493,28,)/VLOOKUP($D58,$C$5:$AU$493,3,))*$E58)</f>
        <v>0</v>
      </c>
      <c r="AE58" s="66">
        <f>IF(VLOOKUP($D58,$C$5:$AU$493,3,)=0,0,(VLOOKUP($D58,$C$5:$AU$493,29,)/VLOOKUP($D58,$C$5:$AU$493,3,))*$E58)</f>
        <v>0</v>
      </c>
      <c r="AF58" s="66">
        <f>IF(VLOOKUP($D58,$C$5:$AU$493,3,)=0,0,(VLOOKUP($D58,$C$5:$AU$493,30,)/VLOOKUP($D58,$C$5:$AU$493,3,))*$E58)</f>
        <v>0</v>
      </c>
      <c r="AG58" s="89">
        <f>SUM(F58:AF58)</f>
        <v>93950335.113453552</v>
      </c>
      <c r="AH58" s="27" t="str">
        <f>IF(ABS(E58-AG58)&lt;0.01,"ok","err")</f>
        <v>ok</v>
      </c>
    </row>
    <row r="59" spans="1:34" x14ac:dyDescent="0.2">
      <c r="A59" s="92" t="s">
        <v>219</v>
      </c>
      <c r="C59" s="14" t="s">
        <v>240</v>
      </c>
      <c r="D59" s="14" t="s">
        <v>221</v>
      </c>
      <c r="E59" s="49">
        <f>'Func &amp; Classif'!P126</f>
        <v>63126590.176496282</v>
      </c>
      <c r="F59" s="66">
        <f>IF(VLOOKUP($D59,$C$5:$AU$493,3,)=0,0,(VLOOKUP($D59,$C$5:$AU$493,4,)/VLOOKUP($D59,$C$5:$AU$493,3,))*$E59)</f>
        <v>48220657.168660268</v>
      </c>
      <c r="G59" s="66">
        <f>IF(VLOOKUP($D59,$C$5:$AU$493,3,)=0,0,(VLOOKUP($D59,$C$5:$AU$493,5,)/VLOOKUP($D59,$C$5:$AU$493,3,))*$E59)</f>
        <v>93781.913855954248</v>
      </c>
      <c r="H59" s="66">
        <f>IF(VLOOKUP($D59,$C$5:$AU$493,3,)=0,0,(VLOOKUP($D59,$C$5:$AU$493,6,)/VLOOKUP($D59,$C$5:$AU$493,3,))*$E59)</f>
        <v>15175.497770871232</v>
      </c>
      <c r="I59" s="66">
        <f>IF(VLOOKUP($D59,$C$5:$AU$493,3,)=0,0,(VLOOKUP($D59,$C$5:$AU$493,7,)/VLOOKUP($D59,$C$5:$AU$493,3,))*$E59)</f>
        <v>2425816.6305139163</v>
      </c>
      <c r="J59" s="66">
        <f>IF(VLOOKUP($D59,$C$5:$AU$493,3,)=0,0,(VLOOKUP($D59,$C$5:$AU$493,8,)/VLOOKUP($D59,$C$5:$AU$493,3,))*$E59)</f>
        <v>38870.573237670171</v>
      </c>
      <c r="K59" s="66">
        <f>IF(VLOOKUP($D59,$C$5:$AU$493,3,)=0,0,(VLOOKUP($D59,$C$5:$AU$493,9,)/VLOOKUP($D59,$C$5:$AU$493,3,))*$E59)</f>
        <v>49586.604558329251</v>
      </c>
      <c r="L59" s="66">
        <f>IF(VLOOKUP($D59,$C$5:$AU$493,3,)=0,0,(VLOOKUP($D59,$C$5:$AU$493,10,)/VLOOKUP($D59,$C$5:$AU$493,3,))*$E59)</f>
        <v>23695.075466798942</v>
      </c>
      <c r="M59" s="66">
        <f>IF(VLOOKUP($D59,$C$5:$AU$493,3,)=0,0,(VLOOKUP($D59,$C$5:$AU$493,11,)/VLOOKUP($D59,$C$5:$AU$493,3,))*$E59)</f>
        <v>2396.1312269796681</v>
      </c>
      <c r="N59" s="66">
        <f>IF(VLOOKUP($D59,$C$5:$AU$493,3,)=0,0,(VLOOKUP($D59,$C$5:$AU$493,12,)/VLOOKUP($D59,$C$5:$AU$493,3,))*$E59)</f>
        <v>2396.1312269796681</v>
      </c>
      <c r="O59" s="66">
        <f>IF(VLOOKUP($D59,$C$5:$AU$493,3,)=0,0,(VLOOKUP($D59,$C$5:$AU$493,13,)/VLOOKUP($D59,$C$5:$AU$493,3,))*$E59)</f>
        <v>798.71040899322281</v>
      </c>
      <c r="P59" s="66">
        <f>IF(VLOOKUP($D59,$C$5:$AU$493,3,)=0,0,(VLOOKUP($D59,$C$5:$AU$493,14,)/VLOOKUP($D59,$C$5:$AU$493,3,))*$E59)</f>
        <v>12253415.739569528</v>
      </c>
      <c r="Q59" s="66">
        <f>IF(VLOOKUP($D59,$C$5:$AU$493,3,)=0,0,(VLOOKUP($D59,$C$5:$AU$493,15,)/VLOOKUP($D59,$C$5:$AU$493,3,))*$E59)</f>
        <v>0</v>
      </c>
      <c r="R59" s="66">
        <f>IF(VLOOKUP($D59,$C$5:$AU$493,3,)=0,0,(VLOOKUP($D59,$C$5:$AU$493,16,)/VLOOKUP($D59,$C$5:$AU$493,3,))*$E59)</f>
        <v>0</v>
      </c>
      <c r="S59" s="66">
        <f>IF(VLOOKUP($D59,$C$5:$AU$493,3,)=0,0,(VLOOKUP($D59,$C$5:$AU$493,17,)/VLOOKUP($D59,$C$5:$AU$493,3,))*$E59)</f>
        <v>0</v>
      </c>
      <c r="T59" s="66">
        <f>IF(VLOOKUP($D59,$C$5:$AU$493,3,)=0,0,(VLOOKUP($D59,$C$5:$AU$493,18,)/VLOOKUP($D59,$C$5:$AU$493,3,))*$E59)</f>
        <v>0</v>
      </c>
      <c r="U59" s="66">
        <f>IF(VLOOKUP($D59,$C$5:$AU$493,3,)=0,0,(VLOOKUP($D59,$C$5:$AU$493,19,)/VLOOKUP($D59,$C$5:$AU$493,3,))*$E59)</f>
        <v>0</v>
      </c>
      <c r="V59" s="66">
        <f>IF(VLOOKUP($D59,$C$5:$AU$493,3,)=0,0,(VLOOKUP($D59,$C$5:$AU$493,20,)/VLOOKUP($D59,$C$5:$AU$493,3,))*$E59)</f>
        <v>0</v>
      </c>
      <c r="W59" s="66">
        <f>IF(VLOOKUP($D59,$C$5:$AU$493,3,)=0,0,(VLOOKUP($D59,$C$5:$AU$493,21,)/VLOOKUP($D59,$C$5:$AU$493,3,))*$E59)</f>
        <v>0</v>
      </c>
      <c r="X59" s="66">
        <f>IF(VLOOKUP($D59,$C$5:$AU$493,3,)=0,0,(VLOOKUP($D59,$C$5:$AU$493,22,)/VLOOKUP($D59,$C$5:$AU$493,3,))*$E59)</f>
        <v>0</v>
      </c>
      <c r="Y59" s="66">
        <f>IF(VLOOKUP($D59,$C$5:$AU$493,3,)=0,0,(VLOOKUP($D59,$C$5:$AU$493,23,)/VLOOKUP($D59,$C$5:$AU$493,3,))*$E59)</f>
        <v>0</v>
      </c>
      <c r="Z59" s="66">
        <f>IF(VLOOKUP($D59,$C$5:$AU$493,3,)=0,0,(VLOOKUP($D59,$C$5:$AU$493,24,)/VLOOKUP($D59,$C$5:$AU$493,3,))*$E59)</f>
        <v>0</v>
      </c>
      <c r="AA59" s="66">
        <f>IF(VLOOKUP($D59,$C$5:$AU$493,3,)=0,0,(VLOOKUP($D59,$C$5:$AU$493,25,)/VLOOKUP($D59,$C$5:$AU$493,3,))*$E59)</f>
        <v>0</v>
      </c>
      <c r="AB59" s="66">
        <f>IF(VLOOKUP($D59,$C$5:$AU$493,3,)=0,0,(VLOOKUP($D59,$C$5:$AU$493,26,)/VLOOKUP($D59,$C$5:$AU$493,3,))*$E59)</f>
        <v>0</v>
      </c>
      <c r="AC59" s="66">
        <f>IF(VLOOKUP($D59,$C$5:$AU$493,3,)=0,0,(VLOOKUP($D59,$C$5:$AU$493,27,)/VLOOKUP($D59,$C$5:$AU$493,3,))*$E59)</f>
        <v>0</v>
      </c>
      <c r="AD59" s="66">
        <f>IF(VLOOKUP($D59,$C$5:$AU$493,3,)=0,0,(VLOOKUP($D59,$C$5:$AU$493,28,)/VLOOKUP($D59,$C$5:$AU$493,3,))*$E59)</f>
        <v>0</v>
      </c>
      <c r="AE59" s="66">
        <f>IF(VLOOKUP($D59,$C$5:$AU$493,3,)=0,0,(VLOOKUP($D59,$C$5:$AU$493,29,)/VLOOKUP($D59,$C$5:$AU$493,3,))*$E59)</f>
        <v>0</v>
      </c>
      <c r="AF59" s="66">
        <f>IF(VLOOKUP($D59,$C$5:$AU$493,3,)=0,0,(VLOOKUP($D59,$C$5:$AU$493,30,)/VLOOKUP($D59,$C$5:$AU$493,3,))*$E59)</f>
        <v>0</v>
      </c>
      <c r="AG59" s="89">
        <f>SUM(F59:AF59)</f>
        <v>63126590.176496282</v>
      </c>
      <c r="AH59" s="27" t="str">
        <f>IF(ABS(E59-AG59)&lt;0.01,"ok","err")</f>
        <v>ok</v>
      </c>
    </row>
    <row r="60" spans="1:34" x14ac:dyDescent="0.2">
      <c r="A60" s="14" t="s">
        <v>222</v>
      </c>
      <c r="E60" s="66">
        <f t="shared" ref="E60:T60" si="10">E58+E59</f>
        <v>157076925.28994983</v>
      </c>
      <c r="F60" s="66">
        <f t="shared" si="10"/>
        <v>126573223.24756838</v>
      </c>
      <c r="G60" s="66">
        <f t="shared" si="10"/>
        <v>108426.34872137962</v>
      </c>
      <c r="H60" s="66">
        <f t="shared" si="10"/>
        <v>554806.93491003488</v>
      </c>
      <c r="I60" s="66">
        <f t="shared" si="10"/>
        <v>6635991.1359659117</v>
      </c>
      <c r="J60" s="66">
        <f t="shared" si="10"/>
        <v>582685.84739200084</v>
      </c>
      <c r="K60" s="66">
        <f t="shared" si="10"/>
        <v>1394687.9686833944</v>
      </c>
      <c r="L60" s="66">
        <f t="shared" si="10"/>
        <v>3748159.8690871103</v>
      </c>
      <c r="M60" s="66">
        <f t="shared" si="10"/>
        <v>1741624.3190293566</v>
      </c>
      <c r="N60" s="66">
        <f t="shared" si="10"/>
        <v>3302533.8556891885</v>
      </c>
      <c r="O60" s="66">
        <f t="shared" si="10"/>
        <v>798.71040899322281</v>
      </c>
      <c r="P60" s="66">
        <f t="shared" si="10"/>
        <v>12433987.052494073</v>
      </c>
      <c r="Q60" s="66">
        <f t="shared" si="10"/>
        <v>0</v>
      </c>
      <c r="R60" s="66">
        <f t="shared" si="10"/>
        <v>0</v>
      </c>
      <c r="S60" s="66">
        <f t="shared" si="10"/>
        <v>0</v>
      </c>
      <c r="T60" s="66">
        <f t="shared" si="10"/>
        <v>0</v>
      </c>
      <c r="U60" s="66">
        <f t="shared" ref="U60:AF60" si="11">U58+U59</f>
        <v>0</v>
      </c>
      <c r="V60" s="66">
        <f t="shared" si="11"/>
        <v>0</v>
      </c>
      <c r="W60" s="66">
        <f t="shared" si="11"/>
        <v>0</v>
      </c>
      <c r="X60" s="66">
        <f t="shared" si="11"/>
        <v>0</v>
      </c>
      <c r="Y60" s="66">
        <f t="shared" si="11"/>
        <v>0</v>
      </c>
      <c r="Z60" s="66">
        <f t="shared" si="11"/>
        <v>0</v>
      </c>
      <c r="AA60" s="66">
        <f t="shared" si="11"/>
        <v>0</v>
      </c>
      <c r="AB60" s="66">
        <f t="shared" si="11"/>
        <v>0</v>
      </c>
      <c r="AC60" s="66">
        <f t="shared" si="11"/>
        <v>0</v>
      </c>
      <c r="AD60" s="66">
        <f t="shared" si="11"/>
        <v>0</v>
      </c>
      <c r="AE60" s="66">
        <f t="shared" si="11"/>
        <v>0</v>
      </c>
      <c r="AF60" s="66">
        <f t="shared" si="11"/>
        <v>0</v>
      </c>
      <c r="AG60" s="89">
        <f>SUM(F60:AF60)</f>
        <v>157076925.28994983</v>
      </c>
      <c r="AH60" s="27" t="str">
        <f>IF(ABS(E60-AG60)&lt;0.01,"ok","err")</f>
        <v>ok</v>
      </c>
    </row>
    <row r="61" spans="1:34" x14ac:dyDescent="0.2">
      <c r="E61" s="49"/>
    </row>
    <row r="62" spans="1:34" x14ac:dyDescent="0.2">
      <c r="A62" s="13" t="s">
        <v>3</v>
      </c>
      <c r="E62" s="49"/>
    </row>
    <row r="63" spans="1:34" x14ac:dyDescent="0.2">
      <c r="A63" s="92" t="s">
        <v>207</v>
      </c>
      <c r="C63" s="14" t="s">
        <v>241</v>
      </c>
      <c r="D63" s="14" t="s">
        <v>618</v>
      </c>
      <c r="E63" s="66">
        <f>'Func &amp; Classif'!R126</f>
        <v>0</v>
      </c>
      <c r="F63" s="66">
        <f>IF(VLOOKUP($D63,$C$5:$AU$493,3,)=0,0,(VLOOKUP($D63,$C$5:$AU$493,4,)/VLOOKUP($D63,$C$5:$AU$493,3,))*$E63)</f>
        <v>0</v>
      </c>
      <c r="G63" s="66">
        <f>IF(VLOOKUP($D63,$C$5:$AU$493,3,)=0,0,(VLOOKUP($D63,$C$5:$AU$493,5,)/VLOOKUP($D63,$C$5:$AU$493,3,))*$E63)</f>
        <v>0</v>
      </c>
      <c r="H63" s="66">
        <f>IF(VLOOKUP($D63,$C$5:$AU$493,3,)=0,0,(VLOOKUP($D63,$C$5:$AU$493,6,)/VLOOKUP($D63,$C$5:$AU$493,3,))*$E63)</f>
        <v>0</v>
      </c>
      <c r="I63" s="66">
        <f>IF(VLOOKUP($D63,$C$5:$AU$493,3,)=0,0,(VLOOKUP($D63,$C$5:$AU$493,7,)/VLOOKUP($D63,$C$5:$AU$493,3,))*$E63)</f>
        <v>0</v>
      </c>
      <c r="J63" s="66">
        <f>IF(VLOOKUP($D63,$C$5:$AU$493,3,)=0,0,(VLOOKUP($D63,$C$5:$AU$493,8,)/VLOOKUP($D63,$C$5:$AU$493,3,))*$E63)</f>
        <v>0</v>
      </c>
      <c r="K63" s="66">
        <f>IF(VLOOKUP($D63,$C$5:$AU$493,3,)=0,0,(VLOOKUP($D63,$C$5:$AU$493,9,)/VLOOKUP($D63,$C$5:$AU$493,3,))*$E63)</f>
        <v>0</v>
      </c>
      <c r="L63" s="66">
        <f>IF(VLOOKUP($D63,$C$5:$AU$493,3,)=0,0,(VLOOKUP($D63,$C$5:$AU$493,10,)/VLOOKUP($D63,$C$5:$AU$493,3,))*$E63)</f>
        <v>0</v>
      </c>
      <c r="M63" s="66">
        <f>IF(VLOOKUP($D63,$C$5:$AU$493,3,)=0,0,(VLOOKUP($D63,$C$5:$AU$493,11,)/VLOOKUP($D63,$C$5:$AU$493,3,))*$E63)</f>
        <v>0</v>
      </c>
      <c r="N63" s="66">
        <f>IF(VLOOKUP($D63,$C$5:$AU$493,3,)=0,0,(VLOOKUP($D63,$C$5:$AU$493,12,)/VLOOKUP($D63,$C$5:$AU$493,3,))*$E63)</f>
        <v>0</v>
      </c>
      <c r="O63" s="66">
        <f>IF(VLOOKUP($D63,$C$5:$AU$493,3,)=0,0,(VLOOKUP($D63,$C$5:$AU$493,13,)/VLOOKUP($D63,$C$5:$AU$493,3,))*$E63)</f>
        <v>0</v>
      </c>
      <c r="P63" s="66">
        <f>IF(VLOOKUP($D63,$C$5:$AU$493,3,)=0,0,(VLOOKUP($D63,$C$5:$AU$493,14,)/VLOOKUP($D63,$C$5:$AU$493,3,))*$E63)</f>
        <v>0</v>
      </c>
      <c r="Q63" s="66">
        <f>IF(VLOOKUP($D63,$C$5:$AU$493,3,)=0,0,(VLOOKUP($D63,$C$5:$AU$493,15,)/VLOOKUP($D63,$C$5:$AU$493,3,))*$E63)</f>
        <v>0</v>
      </c>
      <c r="R63" s="66">
        <f>IF(VLOOKUP($D63,$C$5:$AU$493,3,)=0,0,(VLOOKUP($D63,$C$5:$AU$493,16,)/VLOOKUP($D63,$C$5:$AU$493,3,))*$E63)</f>
        <v>0</v>
      </c>
      <c r="S63" s="66">
        <f>IF(VLOOKUP($D63,$C$5:$AU$493,3,)=0,0,(VLOOKUP($D63,$C$5:$AU$493,17,)/VLOOKUP($D63,$C$5:$AU$493,3,))*$E63)</f>
        <v>0</v>
      </c>
      <c r="T63" s="66">
        <f>IF(VLOOKUP($D63,$C$5:$AU$493,3,)=0,0,(VLOOKUP($D63,$C$5:$AU$493,18,)/VLOOKUP($D63,$C$5:$AU$493,3,))*$E63)</f>
        <v>0</v>
      </c>
      <c r="U63" s="66">
        <f>IF(VLOOKUP($D63,$C$5:$AU$493,3,)=0,0,(VLOOKUP($D63,$C$5:$AU$493,19,)/VLOOKUP($D63,$C$5:$AU$493,3,))*$E63)</f>
        <v>0</v>
      </c>
      <c r="V63" s="66">
        <f>IF(VLOOKUP($D63,$C$5:$AU$493,3,)=0,0,(VLOOKUP($D63,$C$5:$AU$493,20,)/VLOOKUP($D63,$C$5:$AU$493,3,))*$E63)</f>
        <v>0</v>
      </c>
      <c r="W63" s="66">
        <f>IF(VLOOKUP($D63,$C$5:$AU$493,3,)=0,0,(VLOOKUP($D63,$C$5:$AU$493,21,)/VLOOKUP($D63,$C$5:$AU$493,3,))*$E63)</f>
        <v>0</v>
      </c>
      <c r="X63" s="66">
        <f>IF(VLOOKUP($D63,$C$5:$AU$493,3,)=0,0,(VLOOKUP($D63,$C$5:$AU$493,22,)/VLOOKUP($D63,$C$5:$AU$493,3,))*$E63)</f>
        <v>0</v>
      </c>
      <c r="Y63" s="66">
        <f>IF(VLOOKUP($D63,$C$5:$AU$493,3,)=0,0,(VLOOKUP($D63,$C$5:$AU$493,23,)/VLOOKUP($D63,$C$5:$AU$493,3,))*$E63)</f>
        <v>0</v>
      </c>
      <c r="Z63" s="66">
        <f>IF(VLOOKUP($D63,$C$5:$AU$493,3,)=0,0,(VLOOKUP($D63,$C$5:$AU$493,24,)/VLOOKUP($D63,$C$5:$AU$493,3,))*$E63)</f>
        <v>0</v>
      </c>
      <c r="AA63" s="66">
        <f>IF(VLOOKUP($D63,$C$5:$AU$493,3,)=0,0,(VLOOKUP($D63,$C$5:$AU$493,25,)/VLOOKUP($D63,$C$5:$AU$493,3,))*$E63)</f>
        <v>0</v>
      </c>
      <c r="AB63" s="66">
        <f>IF(VLOOKUP($D63,$C$5:$AU$493,3,)=0,0,(VLOOKUP($D63,$C$5:$AU$493,26,)/VLOOKUP($D63,$C$5:$AU$493,3,))*$E63)</f>
        <v>0</v>
      </c>
      <c r="AC63" s="66">
        <f>IF(VLOOKUP($D63,$C$5:$AU$493,3,)=0,0,(VLOOKUP($D63,$C$5:$AU$493,27,)/VLOOKUP($D63,$C$5:$AU$493,3,))*$E63)</f>
        <v>0</v>
      </c>
      <c r="AD63" s="66">
        <f>IF(VLOOKUP($D63,$C$5:$AU$493,3,)=0,0,(VLOOKUP($D63,$C$5:$AU$493,28,)/VLOOKUP($D63,$C$5:$AU$493,3,))*$E63)</f>
        <v>0</v>
      </c>
      <c r="AE63" s="66">
        <f>IF(VLOOKUP($D63,$C$5:$AU$493,3,)=0,0,(VLOOKUP($D63,$C$5:$AU$493,29,)/VLOOKUP($D63,$C$5:$AU$493,3,))*$E63)</f>
        <v>0</v>
      </c>
      <c r="AF63" s="66">
        <f>IF(VLOOKUP($D63,$C$5:$AU$493,3,)=0,0,(VLOOKUP($D63,$C$5:$AU$493,30,)/VLOOKUP($D63,$C$5:$AU$493,3,))*$E63)</f>
        <v>0</v>
      </c>
      <c r="AG63" s="89">
        <f>SUM(F63:AF63)</f>
        <v>0</v>
      </c>
      <c r="AH63" s="27" t="str">
        <f>IF(ABS(E63-AG63)&lt;0.01,"ok","err")</f>
        <v>ok</v>
      </c>
    </row>
    <row r="64" spans="1:34" x14ac:dyDescent="0.2">
      <c r="A64" s="92" t="s">
        <v>219</v>
      </c>
      <c r="C64" s="14" t="s">
        <v>242</v>
      </c>
      <c r="D64" s="14" t="s">
        <v>700</v>
      </c>
      <c r="E64" s="49">
        <f>'Func &amp; Classif'!S126</f>
        <v>26331848.001554828</v>
      </c>
      <c r="F64" s="66">
        <f>IF(VLOOKUP($D64,$C$5:$AU$493,3,)=0,0,(VLOOKUP($D64,$C$5:$AU$493,4,)/VLOOKUP($D64,$C$5:$AU$493,3,))*$E64)</f>
        <v>24240563.285422925</v>
      </c>
      <c r="G64" s="66">
        <f>IF(VLOOKUP($D64,$C$5:$AU$493,3,)=0,0,(VLOOKUP($D64,$C$5:$AU$493,5,)/VLOOKUP($D64,$C$5:$AU$493,3,))*$E64)</f>
        <v>47144.243802028228</v>
      </c>
      <c r="H64" s="66">
        <f>IF(VLOOKUP($D64,$C$5:$AU$493,3,)=0,0,(VLOOKUP($D64,$C$5:$AU$493,6,)/VLOOKUP($D64,$C$5:$AU$493,3,))*$E64)</f>
        <v>7628.7349800301181</v>
      </c>
      <c r="I64" s="66">
        <f>IF(VLOOKUP($D64,$C$5:$AU$493,3,)=0,0,(VLOOKUP($D64,$C$5:$AU$493,7,)/VLOOKUP($D64,$C$5:$AU$493,3,))*$E64)</f>
        <v>1460357.9563906498</v>
      </c>
      <c r="J64" s="66">
        <f>IF(VLOOKUP($D64,$C$5:$AU$493,3,)=0,0,(VLOOKUP($D64,$C$5:$AU$493,8,)/VLOOKUP($D64,$C$5:$AU$493,3,))*$E64)</f>
        <v>23400.346993693121</v>
      </c>
      <c r="K64" s="66">
        <f>IF(VLOOKUP($D64,$C$5:$AU$493,3,)=0,0,(VLOOKUP($D64,$C$5:$AU$493,9,)/VLOOKUP($D64,$C$5:$AU$493,3,))*$E64)</f>
        <v>191783.14106505251</v>
      </c>
      <c r="L64" s="66">
        <f>IF(VLOOKUP($D64,$C$5:$AU$493,3,)=0,0,(VLOOKUP($D64,$C$5:$AU$493,10,)/VLOOKUP($D64,$C$5:$AU$493,3,))*$E64)</f>
        <v>222027.01711925739</v>
      </c>
      <c r="M64" s="66">
        <f>IF(VLOOKUP($D64,$C$5:$AU$493,3,)=0,0,(VLOOKUP($D64,$C$5:$AU$493,11,)/VLOOKUP($D64,$C$5:$AU$493,3,))*$E64)</f>
        <v>23846.123980554043</v>
      </c>
      <c r="N64" s="66">
        <f>IF(VLOOKUP($D64,$C$5:$AU$493,3,)=0,0,(VLOOKUP($D64,$C$5:$AU$493,12,)/VLOOKUP($D64,$C$5:$AU$493,3,))*$E64)</f>
        <v>115097.15180064383</v>
      </c>
      <c r="O64" s="66">
        <f>IF(VLOOKUP($D64,$C$5:$AU$493,3,)=0,0,(VLOOKUP($D64,$C$5:$AU$493,13,)/VLOOKUP($D64,$C$5:$AU$493,3,))*$E64)</f>
        <v>0</v>
      </c>
      <c r="P64" s="66">
        <f>IF(VLOOKUP($D64,$C$5:$AU$493,3,)=0,0,(VLOOKUP($D64,$C$5:$AU$493,14,)/VLOOKUP($D64,$C$5:$AU$493,3,))*$E64)</f>
        <v>0</v>
      </c>
      <c r="Q64" s="66">
        <f>IF(VLOOKUP($D64,$C$5:$AU$493,3,)=0,0,(VLOOKUP($D64,$C$5:$AU$493,15,)/VLOOKUP($D64,$C$5:$AU$493,3,))*$E64)</f>
        <v>0</v>
      </c>
      <c r="R64" s="66">
        <f>IF(VLOOKUP($D64,$C$5:$AU$493,3,)=0,0,(VLOOKUP($D64,$C$5:$AU$493,16,)/VLOOKUP($D64,$C$5:$AU$493,3,))*$E64)</f>
        <v>0</v>
      </c>
      <c r="S64" s="66">
        <f>IF(VLOOKUP($D64,$C$5:$AU$493,3,)=0,0,(VLOOKUP($D64,$C$5:$AU$493,17,)/VLOOKUP($D64,$C$5:$AU$493,3,))*$E64)</f>
        <v>0</v>
      </c>
      <c r="T64" s="66">
        <f>IF(VLOOKUP($D64,$C$5:$AU$493,3,)=0,0,(VLOOKUP($D64,$C$5:$AU$493,18,)/VLOOKUP($D64,$C$5:$AU$493,3,))*$E64)</f>
        <v>0</v>
      </c>
      <c r="U64" s="66">
        <f>IF(VLOOKUP($D64,$C$5:$AU$493,3,)=0,0,(VLOOKUP($D64,$C$5:$AU$493,19,)/VLOOKUP($D64,$C$5:$AU$493,3,))*$E64)</f>
        <v>0</v>
      </c>
      <c r="V64" s="66">
        <f>IF(VLOOKUP($D64,$C$5:$AU$493,3,)=0,0,(VLOOKUP($D64,$C$5:$AU$493,20,)/VLOOKUP($D64,$C$5:$AU$493,3,))*$E64)</f>
        <v>0</v>
      </c>
      <c r="W64" s="66">
        <f>IF(VLOOKUP($D64,$C$5:$AU$493,3,)=0,0,(VLOOKUP($D64,$C$5:$AU$493,21,)/VLOOKUP($D64,$C$5:$AU$493,3,))*$E64)</f>
        <v>0</v>
      </c>
      <c r="X64" s="66">
        <f>IF(VLOOKUP($D64,$C$5:$AU$493,3,)=0,0,(VLOOKUP($D64,$C$5:$AU$493,22,)/VLOOKUP($D64,$C$5:$AU$493,3,))*$E64)</f>
        <v>0</v>
      </c>
      <c r="Y64" s="66">
        <f>IF(VLOOKUP($D64,$C$5:$AU$493,3,)=0,0,(VLOOKUP($D64,$C$5:$AU$493,23,)/VLOOKUP($D64,$C$5:$AU$493,3,))*$E64)</f>
        <v>0</v>
      </c>
      <c r="Z64" s="66">
        <f>IF(VLOOKUP($D64,$C$5:$AU$493,3,)=0,0,(VLOOKUP($D64,$C$5:$AU$493,24,)/VLOOKUP($D64,$C$5:$AU$493,3,))*$E64)</f>
        <v>0</v>
      </c>
      <c r="AA64" s="66">
        <f>IF(VLOOKUP($D64,$C$5:$AU$493,3,)=0,0,(VLOOKUP($D64,$C$5:$AU$493,25,)/VLOOKUP($D64,$C$5:$AU$493,3,))*$E64)</f>
        <v>0</v>
      </c>
      <c r="AB64" s="66">
        <f>IF(VLOOKUP($D64,$C$5:$AU$493,3,)=0,0,(VLOOKUP($D64,$C$5:$AU$493,26,)/VLOOKUP($D64,$C$5:$AU$493,3,))*$E64)</f>
        <v>0</v>
      </c>
      <c r="AC64" s="66">
        <f>IF(VLOOKUP($D64,$C$5:$AU$493,3,)=0,0,(VLOOKUP($D64,$C$5:$AU$493,27,)/VLOOKUP($D64,$C$5:$AU$493,3,))*$E64)</f>
        <v>0</v>
      </c>
      <c r="AD64" s="66">
        <f>IF(VLOOKUP($D64,$C$5:$AU$493,3,)=0,0,(VLOOKUP($D64,$C$5:$AU$493,28,)/VLOOKUP($D64,$C$5:$AU$493,3,))*$E64)</f>
        <v>0</v>
      </c>
      <c r="AE64" s="66">
        <f>IF(VLOOKUP($D64,$C$5:$AU$493,3,)=0,0,(VLOOKUP($D64,$C$5:$AU$493,29,)/VLOOKUP($D64,$C$5:$AU$493,3,))*$E64)</f>
        <v>0</v>
      </c>
      <c r="AF64" s="66">
        <f>IF(VLOOKUP($D64,$C$5:$AU$493,3,)=0,0,(VLOOKUP($D64,$C$5:$AU$493,30,)/VLOOKUP($D64,$C$5:$AU$493,3,))*$E64)</f>
        <v>0</v>
      </c>
      <c r="AG64" s="89">
        <f>SUM(F64:AF64)</f>
        <v>26331848.001554839</v>
      </c>
      <c r="AH64" s="27" t="str">
        <f>IF(ABS(E64-AG64)&lt;0.01,"ok","err")</f>
        <v>ok</v>
      </c>
    </row>
    <row r="65" spans="1:34" x14ac:dyDescent="0.2">
      <c r="A65" s="14" t="s">
        <v>226</v>
      </c>
      <c r="E65" s="66">
        <f t="shared" ref="E65:T65" si="12">E63+E64</f>
        <v>26331848.001554828</v>
      </c>
      <c r="F65" s="66">
        <f t="shared" si="12"/>
        <v>24240563.285422925</v>
      </c>
      <c r="G65" s="66">
        <f t="shared" si="12"/>
        <v>47144.243802028228</v>
      </c>
      <c r="H65" s="66">
        <f t="shared" si="12"/>
        <v>7628.7349800301181</v>
      </c>
      <c r="I65" s="66">
        <f t="shared" si="12"/>
        <v>1460357.9563906498</v>
      </c>
      <c r="J65" s="66">
        <f t="shared" si="12"/>
        <v>23400.346993693121</v>
      </c>
      <c r="K65" s="66">
        <f t="shared" si="12"/>
        <v>191783.14106505251</v>
      </c>
      <c r="L65" s="66">
        <f t="shared" si="12"/>
        <v>222027.01711925739</v>
      </c>
      <c r="M65" s="66">
        <f t="shared" si="12"/>
        <v>23846.123980554043</v>
      </c>
      <c r="N65" s="66">
        <f t="shared" si="12"/>
        <v>115097.15180064383</v>
      </c>
      <c r="O65" s="66">
        <f t="shared" si="12"/>
        <v>0</v>
      </c>
      <c r="P65" s="66">
        <f t="shared" si="12"/>
        <v>0</v>
      </c>
      <c r="Q65" s="66">
        <f t="shared" si="12"/>
        <v>0</v>
      </c>
      <c r="R65" s="66">
        <f t="shared" si="12"/>
        <v>0</v>
      </c>
      <c r="S65" s="66">
        <f t="shared" si="12"/>
        <v>0</v>
      </c>
      <c r="T65" s="66">
        <f t="shared" si="12"/>
        <v>0</v>
      </c>
      <c r="U65" s="66">
        <f t="shared" ref="U65:AF65" si="13">U63+U64</f>
        <v>0</v>
      </c>
      <c r="V65" s="66">
        <f t="shared" si="13"/>
        <v>0</v>
      </c>
      <c r="W65" s="66">
        <f t="shared" si="13"/>
        <v>0</v>
      </c>
      <c r="X65" s="66">
        <f t="shared" si="13"/>
        <v>0</v>
      </c>
      <c r="Y65" s="66">
        <f t="shared" si="13"/>
        <v>0</v>
      </c>
      <c r="Z65" s="66">
        <f t="shared" si="13"/>
        <v>0</v>
      </c>
      <c r="AA65" s="66">
        <f t="shared" si="13"/>
        <v>0</v>
      </c>
      <c r="AB65" s="66">
        <f t="shared" si="13"/>
        <v>0</v>
      </c>
      <c r="AC65" s="66">
        <f t="shared" si="13"/>
        <v>0</v>
      </c>
      <c r="AD65" s="66">
        <f t="shared" si="13"/>
        <v>0</v>
      </c>
      <c r="AE65" s="66">
        <f t="shared" si="13"/>
        <v>0</v>
      </c>
      <c r="AF65" s="66">
        <f t="shared" si="13"/>
        <v>0</v>
      </c>
      <c r="AG65" s="89">
        <f>SUM(F65:AF65)</f>
        <v>26331848.001554839</v>
      </c>
      <c r="AH65" s="27" t="str">
        <f>IF(ABS(E65-AG65)&lt;0.01,"ok","err")</f>
        <v>ok</v>
      </c>
    </row>
    <row r="66" spans="1:34" x14ac:dyDescent="0.2">
      <c r="E66" s="49"/>
    </row>
    <row r="67" spans="1:34" x14ac:dyDescent="0.2">
      <c r="A67" s="13" t="s">
        <v>4</v>
      </c>
      <c r="E67" s="49"/>
    </row>
    <row r="68" spans="1:34" x14ac:dyDescent="0.2">
      <c r="A68" s="92" t="s">
        <v>219</v>
      </c>
      <c r="C68" s="14" t="s">
        <v>243</v>
      </c>
      <c r="D68" s="14" t="s">
        <v>228</v>
      </c>
      <c r="E68" s="66">
        <f>'Func &amp; Classif'!U126</f>
        <v>10234578.102019679</v>
      </c>
      <c r="F68" s="66">
        <f>IF(VLOOKUP($D68,$C$5:$AU$493,3,)=0,0,(VLOOKUP($D68,$C$5:$AU$493,4,)/VLOOKUP($D68,$C$5:$AU$493,3,))*$E68)</f>
        <v>9616621.4260151032</v>
      </c>
      <c r="G68" s="66">
        <f>IF(VLOOKUP($D68,$C$5:$AU$493,3,)=0,0,(VLOOKUP($D68,$C$5:$AU$493,5,)/VLOOKUP($D68,$C$5:$AU$493,3,))*$E68)</f>
        <v>18702.879950504193</v>
      </c>
      <c r="H68" s="66">
        <f>IF(VLOOKUP($D68,$C$5:$AU$493,3,)=0,0,(VLOOKUP($D68,$C$5:$AU$493,6,)/VLOOKUP($D68,$C$5:$AU$493,3,))*$E68)</f>
        <v>3683.1226823803131</v>
      </c>
      <c r="I68" s="66">
        <f>IF(VLOOKUP($D68,$C$5:$AU$493,3,)=0,0,(VLOOKUP($D68,$C$5:$AU$493,7,)/VLOOKUP($D68,$C$5:$AU$493,3,))*$E68)</f>
        <v>435401.45238358277</v>
      </c>
      <c r="J68" s="66">
        <f>IF(VLOOKUP($D68,$C$5:$AU$493,3,)=0,0,(VLOOKUP($D68,$C$5:$AU$493,8,)/VLOOKUP($D68,$C$5:$AU$493,3,))*$E68)</f>
        <v>9433.9633618864154</v>
      </c>
      <c r="K68" s="66">
        <f>IF(VLOOKUP($D68,$C$5:$AU$493,3,)=0,0,(VLOOKUP($D68,$C$5:$AU$493,9,)/VLOOKUP($D68,$C$5:$AU$493,3,))*$E68)</f>
        <v>71139.920965850455</v>
      </c>
      <c r="L68" s="66">
        <f>IF(VLOOKUP($D68,$C$5:$AU$493,3,)=0,0,(VLOOKUP($D68,$C$5:$AU$493,10,)/VLOOKUP($D68,$C$5:$AU$493,3,))*$E68)</f>
        <v>33994.378340728537</v>
      </c>
      <c r="M68" s="66">
        <f>IF(VLOOKUP($D68,$C$5:$AU$493,3,)=0,0,(VLOOKUP($D68,$C$5:$AU$493,11,)/VLOOKUP($D68,$C$5:$AU$493,3,))*$E68)</f>
        <v>5889.0516989724147</v>
      </c>
      <c r="N68" s="66">
        <f>IF(VLOOKUP($D68,$C$5:$AU$493,3,)=0,0,(VLOOKUP($D68,$C$5:$AU$493,12,)/VLOOKUP($D68,$C$5:$AU$493,3,))*$E68)</f>
        <v>39711.906620670961</v>
      </c>
      <c r="O68" s="66">
        <f>IF(VLOOKUP($D68,$C$5:$AU$493,3,)=0,0,(VLOOKUP($D68,$C$5:$AU$493,13,)/VLOOKUP($D68,$C$5:$AU$493,3,))*$E68)</f>
        <v>0</v>
      </c>
      <c r="P68" s="66">
        <f>IF(VLOOKUP($D68,$C$5:$AU$493,3,)=0,0,(VLOOKUP($D68,$C$5:$AU$493,14,)/VLOOKUP($D68,$C$5:$AU$493,3,))*$E68)</f>
        <v>0</v>
      </c>
      <c r="Q68" s="66">
        <f>IF(VLOOKUP($D68,$C$5:$AU$493,3,)=0,0,(VLOOKUP($D68,$C$5:$AU$493,15,)/VLOOKUP($D68,$C$5:$AU$493,3,))*$E68)</f>
        <v>0</v>
      </c>
      <c r="R68" s="66">
        <f>IF(VLOOKUP($D68,$C$5:$AU$493,3,)=0,0,(VLOOKUP($D68,$C$5:$AU$493,16,)/VLOOKUP($D68,$C$5:$AU$493,3,))*$E68)</f>
        <v>0</v>
      </c>
      <c r="S68" s="66">
        <f>IF(VLOOKUP($D68,$C$5:$AU$493,3,)=0,0,(VLOOKUP($D68,$C$5:$AU$493,17,)/VLOOKUP($D68,$C$5:$AU$493,3,))*$E68)</f>
        <v>0</v>
      </c>
      <c r="T68" s="66">
        <f>IF(VLOOKUP($D68,$C$5:$AU$493,3,)=0,0,(VLOOKUP($D68,$C$5:$AU$493,18,)/VLOOKUP($D68,$C$5:$AU$493,3,))*$E68)</f>
        <v>0</v>
      </c>
      <c r="U68" s="66">
        <f>IF(VLOOKUP($D68,$C$5:$AU$493,3,)=0,0,(VLOOKUP($D68,$C$5:$AU$493,19,)/VLOOKUP($D68,$C$5:$AU$493,3,))*$E68)</f>
        <v>0</v>
      </c>
      <c r="V68" s="66">
        <f>IF(VLOOKUP($D68,$C$5:$AU$493,3,)=0,0,(VLOOKUP($D68,$C$5:$AU$493,20,)/VLOOKUP($D68,$C$5:$AU$493,3,))*$E68)</f>
        <v>0</v>
      </c>
      <c r="W68" s="66">
        <f>IF(VLOOKUP($D68,$C$5:$AU$493,3,)=0,0,(VLOOKUP($D68,$C$5:$AU$493,21,)/VLOOKUP($D68,$C$5:$AU$493,3,))*$E68)</f>
        <v>0</v>
      </c>
      <c r="X68" s="66">
        <f>IF(VLOOKUP($D68,$C$5:$AU$493,3,)=0,0,(VLOOKUP($D68,$C$5:$AU$493,22,)/VLOOKUP($D68,$C$5:$AU$493,3,))*$E68)</f>
        <v>0</v>
      </c>
      <c r="Y68" s="66">
        <f>IF(VLOOKUP($D68,$C$5:$AU$493,3,)=0,0,(VLOOKUP($D68,$C$5:$AU$493,23,)/VLOOKUP($D68,$C$5:$AU$493,3,))*$E68)</f>
        <v>0</v>
      </c>
      <c r="Z68" s="66">
        <f>IF(VLOOKUP($D68,$C$5:$AU$493,3,)=0,0,(VLOOKUP($D68,$C$5:$AU$493,24,)/VLOOKUP($D68,$C$5:$AU$493,3,))*$E68)</f>
        <v>0</v>
      </c>
      <c r="AA68" s="66">
        <f>IF(VLOOKUP($D68,$C$5:$AU$493,3,)=0,0,(VLOOKUP($D68,$C$5:$AU$493,25,)/VLOOKUP($D68,$C$5:$AU$493,3,))*$E68)</f>
        <v>0</v>
      </c>
      <c r="AB68" s="66">
        <f>IF(VLOOKUP($D68,$C$5:$AU$493,3,)=0,0,(VLOOKUP($D68,$C$5:$AU$493,26,)/VLOOKUP($D68,$C$5:$AU$493,3,))*$E68)</f>
        <v>0</v>
      </c>
      <c r="AC68" s="66">
        <f>IF(VLOOKUP($D68,$C$5:$AU$493,3,)=0,0,(VLOOKUP($D68,$C$5:$AU$493,27,)/VLOOKUP($D68,$C$5:$AU$493,3,))*$E68)</f>
        <v>0</v>
      </c>
      <c r="AD68" s="66">
        <f>IF(VLOOKUP($D68,$C$5:$AU$493,3,)=0,0,(VLOOKUP($D68,$C$5:$AU$493,28,)/VLOOKUP($D68,$C$5:$AU$493,3,))*$E68)</f>
        <v>0</v>
      </c>
      <c r="AE68" s="66">
        <f>IF(VLOOKUP($D68,$C$5:$AU$493,3,)=0,0,(VLOOKUP($D68,$C$5:$AU$493,29,)/VLOOKUP($D68,$C$5:$AU$493,3,))*$E68)</f>
        <v>0</v>
      </c>
      <c r="AF68" s="66">
        <f>IF(VLOOKUP($D68,$C$5:$AU$493,3,)=0,0,(VLOOKUP($D68,$C$5:$AU$493,30,)/VLOOKUP($D68,$C$5:$AU$493,3,))*$E68)</f>
        <v>0</v>
      </c>
      <c r="AG68" s="89">
        <f>SUM(F68:AF68)</f>
        <v>10234578.102019679</v>
      </c>
      <c r="AH68" s="27" t="str">
        <f>IF(ABS(E68-AG68)&lt;0.01,"ok","err")</f>
        <v>ok</v>
      </c>
    </row>
    <row r="69" spans="1:34" x14ac:dyDescent="0.2">
      <c r="E69" s="49"/>
    </row>
    <row r="70" spans="1:34" x14ac:dyDescent="0.2">
      <c r="A70" s="13" t="s">
        <v>5</v>
      </c>
      <c r="E70" s="49"/>
    </row>
    <row r="71" spans="1:34" x14ac:dyDescent="0.2">
      <c r="A71" s="92" t="s">
        <v>219</v>
      </c>
      <c r="C71" s="14" t="s">
        <v>244</v>
      </c>
      <c r="D71" s="14" t="s">
        <v>230</v>
      </c>
      <c r="E71" s="66">
        <f>'Func &amp; Classif'!W126</f>
        <v>10349950.673382901</v>
      </c>
      <c r="F71" s="66">
        <f>IF(VLOOKUP($D71,$C$5:$AU$493,3,)=0,0,(VLOOKUP($D71,$C$5:$AU$493,4,)/VLOOKUP($D71,$C$5:$AU$493,3,))*$E71)</f>
        <v>0</v>
      </c>
      <c r="G71" s="66">
        <f>IF(VLOOKUP($D71,$C$5:$AU$493,3,)=0,0,(VLOOKUP($D71,$C$5:$AU$493,5,)/VLOOKUP($D71,$C$5:$AU$493,3,))*$E71)</f>
        <v>0</v>
      </c>
      <c r="H71" s="66">
        <f>IF(VLOOKUP($D71,$C$5:$AU$493,3,)=0,0,(VLOOKUP($D71,$C$5:$AU$493,6,)/VLOOKUP($D71,$C$5:$AU$493,3,))*$E71)</f>
        <v>0</v>
      </c>
      <c r="I71" s="66">
        <f>IF(VLOOKUP($D71,$C$5:$AU$493,3,)=0,0,(VLOOKUP($D71,$C$5:$AU$493,7,)/VLOOKUP($D71,$C$5:$AU$493,3,))*$E71)</f>
        <v>0</v>
      </c>
      <c r="J71" s="66">
        <f>IF(VLOOKUP($D71,$C$5:$AU$493,3,)=0,0,(VLOOKUP($D71,$C$5:$AU$493,8,)/VLOOKUP($D71,$C$5:$AU$493,3,))*$E71)</f>
        <v>0</v>
      </c>
      <c r="K71" s="66">
        <f>IF(VLOOKUP($D71,$C$5:$AU$493,3,)=0,0,(VLOOKUP($D71,$C$5:$AU$493,9,)/VLOOKUP($D71,$C$5:$AU$493,3,))*$E71)</f>
        <v>0</v>
      </c>
      <c r="L71" s="66">
        <f>IF(VLOOKUP($D71,$C$5:$AU$493,3,)=0,0,(VLOOKUP($D71,$C$5:$AU$493,10,)/VLOOKUP($D71,$C$5:$AU$493,3,))*$E71)</f>
        <v>0</v>
      </c>
      <c r="M71" s="66">
        <f>IF(VLOOKUP($D71,$C$5:$AU$493,3,)=0,0,(VLOOKUP($D71,$C$5:$AU$493,11,)/VLOOKUP($D71,$C$5:$AU$493,3,))*$E71)</f>
        <v>0</v>
      </c>
      <c r="N71" s="66">
        <f>IF(VLOOKUP($D71,$C$5:$AU$493,3,)=0,0,(VLOOKUP($D71,$C$5:$AU$493,12,)/VLOOKUP($D71,$C$5:$AU$493,3,))*$E71)</f>
        <v>0</v>
      </c>
      <c r="O71" s="66">
        <f>IF(VLOOKUP($D71,$C$5:$AU$493,3,)=0,0,(VLOOKUP($D71,$C$5:$AU$493,13,)/VLOOKUP($D71,$C$5:$AU$493,3,))*$E71)</f>
        <v>0</v>
      </c>
      <c r="P71" s="66">
        <f>IF(VLOOKUP($D71,$C$5:$AU$493,3,)=0,0,(VLOOKUP($D71,$C$5:$AU$493,14,)/VLOOKUP($D71,$C$5:$AU$493,3,))*$E71)</f>
        <v>10349950.673382901</v>
      </c>
      <c r="Q71" s="66">
        <f>IF(VLOOKUP($D71,$C$5:$AU$493,3,)=0,0,(VLOOKUP($D71,$C$5:$AU$493,15,)/VLOOKUP($D71,$C$5:$AU$493,3,))*$E71)</f>
        <v>0</v>
      </c>
      <c r="R71" s="66">
        <f>IF(VLOOKUP($D71,$C$5:$AU$493,3,)=0,0,(VLOOKUP($D71,$C$5:$AU$493,16,)/VLOOKUP($D71,$C$5:$AU$493,3,))*$E71)</f>
        <v>0</v>
      </c>
      <c r="S71" s="66">
        <f>IF(VLOOKUP($D71,$C$5:$AU$493,3,)=0,0,(VLOOKUP($D71,$C$5:$AU$493,17,)/VLOOKUP($D71,$C$5:$AU$493,3,))*$E71)</f>
        <v>0</v>
      </c>
      <c r="T71" s="66">
        <f>IF(VLOOKUP($D71,$C$5:$AU$493,3,)=0,0,(VLOOKUP($D71,$C$5:$AU$493,18,)/VLOOKUP($D71,$C$5:$AU$493,3,))*$E71)</f>
        <v>0</v>
      </c>
      <c r="U71" s="66">
        <f>IF(VLOOKUP($D71,$C$5:$AU$493,3,)=0,0,(VLOOKUP($D71,$C$5:$AU$493,19,)/VLOOKUP($D71,$C$5:$AU$493,3,))*$E71)</f>
        <v>0</v>
      </c>
      <c r="V71" s="66">
        <f>IF(VLOOKUP($D71,$C$5:$AU$493,3,)=0,0,(VLOOKUP($D71,$C$5:$AU$493,20,)/VLOOKUP($D71,$C$5:$AU$493,3,))*$E71)</f>
        <v>0</v>
      </c>
      <c r="W71" s="66">
        <f>IF(VLOOKUP($D71,$C$5:$AU$493,3,)=0,0,(VLOOKUP($D71,$C$5:$AU$493,21,)/VLOOKUP($D71,$C$5:$AU$493,3,))*$E71)</f>
        <v>0</v>
      </c>
      <c r="X71" s="66">
        <f>IF(VLOOKUP($D71,$C$5:$AU$493,3,)=0,0,(VLOOKUP($D71,$C$5:$AU$493,22,)/VLOOKUP($D71,$C$5:$AU$493,3,))*$E71)</f>
        <v>0</v>
      </c>
      <c r="Y71" s="66">
        <f>IF(VLOOKUP($D71,$C$5:$AU$493,3,)=0,0,(VLOOKUP($D71,$C$5:$AU$493,23,)/VLOOKUP($D71,$C$5:$AU$493,3,))*$E71)</f>
        <v>0</v>
      </c>
      <c r="Z71" s="66">
        <f>IF(VLOOKUP($D71,$C$5:$AU$493,3,)=0,0,(VLOOKUP($D71,$C$5:$AU$493,24,)/VLOOKUP($D71,$C$5:$AU$493,3,))*$E71)</f>
        <v>0</v>
      </c>
      <c r="AA71" s="66">
        <f>IF(VLOOKUP($D71,$C$5:$AU$493,3,)=0,0,(VLOOKUP($D71,$C$5:$AU$493,25,)/VLOOKUP($D71,$C$5:$AU$493,3,))*$E71)</f>
        <v>0</v>
      </c>
      <c r="AB71" s="66">
        <f>IF(VLOOKUP($D71,$C$5:$AU$493,3,)=0,0,(VLOOKUP($D71,$C$5:$AU$493,26,)/VLOOKUP($D71,$C$5:$AU$493,3,))*$E71)</f>
        <v>0</v>
      </c>
      <c r="AC71" s="66">
        <f>IF(VLOOKUP($D71,$C$5:$AU$493,3,)=0,0,(VLOOKUP($D71,$C$5:$AU$493,27,)/VLOOKUP($D71,$C$5:$AU$493,3,))*$E71)</f>
        <v>0</v>
      </c>
      <c r="AD71" s="66">
        <f>IF(VLOOKUP($D71,$C$5:$AU$493,3,)=0,0,(VLOOKUP($D71,$C$5:$AU$493,28,)/VLOOKUP($D71,$C$5:$AU$493,3,))*$E71)</f>
        <v>0</v>
      </c>
      <c r="AE71" s="66">
        <f>IF(VLOOKUP($D71,$C$5:$AU$493,3,)=0,0,(VLOOKUP($D71,$C$5:$AU$493,29,)/VLOOKUP($D71,$C$5:$AU$493,3,))*$E71)</f>
        <v>0</v>
      </c>
      <c r="AF71" s="66">
        <f>IF(VLOOKUP($D71,$C$5:$AU$493,3,)=0,0,(VLOOKUP($D71,$C$5:$AU$493,30,)/VLOOKUP($D71,$C$5:$AU$493,3,))*$E71)</f>
        <v>0</v>
      </c>
      <c r="AG71" s="89">
        <f>SUM(F71:AF71)</f>
        <v>10349950.673382901</v>
      </c>
      <c r="AH71" s="27" t="str">
        <f>IF(ABS(E71-AG71)&lt;0.01,"ok","err")</f>
        <v>ok</v>
      </c>
    </row>
    <row r="72" spans="1:34" x14ac:dyDescent="0.2">
      <c r="E72" s="49"/>
    </row>
    <row r="73" spans="1:34" x14ac:dyDescent="0.2">
      <c r="A73" s="13" t="s">
        <v>544</v>
      </c>
      <c r="E73" s="49"/>
    </row>
    <row r="74" spans="1:34" x14ac:dyDescent="0.2">
      <c r="A74" s="92" t="s">
        <v>219</v>
      </c>
      <c r="C74" s="14" t="s">
        <v>245</v>
      </c>
      <c r="D74" s="14" t="s">
        <v>232</v>
      </c>
      <c r="E74" s="66">
        <f>'Func &amp; Classif'!Y126</f>
        <v>0</v>
      </c>
      <c r="F74" s="66">
        <f>IF(VLOOKUP($D74,$C$5:$AU$493,3,)=0,0,(VLOOKUP($D74,$C$5:$AU$493,4,)/VLOOKUP($D74,$C$5:$AU$493,3,))*$E74)</f>
        <v>0</v>
      </c>
      <c r="G74" s="66">
        <f>IF(VLOOKUP($D74,$C$5:$AU$493,3,)=0,0,(VLOOKUP($D74,$C$5:$AU$493,5,)/VLOOKUP($D74,$C$5:$AU$493,3,))*$E74)</f>
        <v>0</v>
      </c>
      <c r="H74" s="66">
        <f>IF(VLOOKUP($D74,$C$5:$AU$493,3,)=0,0,(VLOOKUP($D74,$C$5:$AU$493,6,)/VLOOKUP($D74,$C$5:$AU$493,3,))*$E74)</f>
        <v>0</v>
      </c>
      <c r="I74" s="66">
        <f>IF(VLOOKUP($D74,$C$5:$AU$493,3,)=0,0,(VLOOKUP($D74,$C$5:$AU$493,7,)/VLOOKUP($D74,$C$5:$AU$493,3,))*$E74)</f>
        <v>0</v>
      </c>
      <c r="J74" s="66">
        <f>IF(VLOOKUP($D74,$C$5:$AU$493,3,)=0,0,(VLOOKUP($D74,$C$5:$AU$493,8,)/VLOOKUP($D74,$C$5:$AU$493,3,))*$E74)</f>
        <v>0</v>
      </c>
      <c r="K74" s="66">
        <f>IF(VLOOKUP($D74,$C$5:$AU$493,3,)=0,0,(VLOOKUP($D74,$C$5:$AU$493,9,)/VLOOKUP($D74,$C$5:$AU$493,3,))*$E74)</f>
        <v>0</v>
      </c>
      <c r="L74" s="66">
        <f>IF(VLOOKUP($D74,$C$5:$AU$493,3,)=0,0,(VLOOKUP($D74,$C$5:$AU$493,10,)/VLOOKUP($D74,$C$5:$AU$493,3,))*$E74)</f>
        <v>0</v>
      </c>
      <c r="M74" s="66">
        <f>IF(VLOOKUP($D74,$C$5:$AU$493,3,)=0,0,(VLOOKUP($D74,$C$5:$AU$493,11,)/VLOOKUP($D74,$C$5:$AU$493,3,))*$E74)</f>
        <v>0</v>
      </c>
      <c r="N74" s="66">
        <f>IF(VLOOKUP($D74,$C$5:$AU$493,3,)=0,0,(VLOOKUP($D74,$C$5:$AU$493,12,)/VLOOKUP($D74,$C$5:$AU$493,3,))*$E74)</f>
        <v>0</v>
      </c>
      <c r="O74" s="66">
        <f>IF(VLOOKUP($D74,$C$5:$AU$493,3,)=0,0,(VLOOKUP($D74,$C$5:$AU$493,13,)/VLOOKUP($D74,$C$5:$AU$493,3,))*$E74)</f>
        <v>0</v>
      </c>
      <c r="P74" s="66">
        <f>IF(VLOOKUP($D74,$C$5:$AU$493,3,)=0,0,(VLOOKUP($D74,$C$5:$AU$493,14,)/VLOOKUP($D74,$C$5:$AU$493,3,))*$E74)</f>
        <v>0</v>
      </c>
      <c r="Q74" s="66">
        <f>IF(VLOOKUP($D74,$C$5:$AU$493,3,)=0,0,(VLOOKUP($D74,$C$5:$AU$493,15,)/VLOOKUP($D74,$C$5:$AU$493,3,))*$E74)</f>
        <v>0</v>
      </c>
      <c r="R74" s="66">
        <f>IF(VLOOKUP($D74,$C$5:$AU$493,3,)=0,0,(VLOOKUP($D74,$C$5:$AU$493,16,)/VLOOKUP($D74,$C$5:$AU$493,3,))*$E74)</f>
        <v>0</v>
      </c>
      <c r="S74" s="66">
        <f>IF(VLOOKUP($D74,$C$5:$AU$493,3,)=0,0,(VLOOKUP($D74,$C$5:$AU$493,17,)/VLOOKUP($D74,$C$5:$AU$493,3,))*$E74)</f>
        <v>0</v>
      </c>
      <c r="T74" s="66">
        <f>IF(VLOOKUP($D74,$C$5:$AU$493,3,)=0,0,(VLOOKUP($D74,$C$5:$AU$493,18,)/VLOOKUP($D74,$C$5:$AU$493,3,))*$E74)</f>
        <v>0</v>
      </c>
      <c r="U74" s="66">
        <f>IF(VLOOKUP($D74,$C$5:$AU$493,3,)=0,0,(VLOOKUP($D74,$C$5:$AU$493,19,)/VLOOKUP($D74,$C$5:$AU$493,3,))*$E74)</f>
        <v>0</v>
      </c>
      <c r="V74" s="66">
        <f>IF(VLOOKUP($D74,$C$5:$AU$493,3,)=0,0,(VLOOKUP($D74,$C$5:$AU$493,20,)/VLOOKUP($D74,$C$5:$AU$493,3,))*$E74)</f>
        <v>0</v>
      </c>
      <c r="W74" s="66">
        <f>IF(VLOOKUP($D74,$C$5:$AU$493,3,)=0,0,(VLOOKUP($D74,$C$5:$AU$493,21,)/VLOOKUP($D74,$C$5:$AU$493,3,))*$E74)</f>
        <v>0</v>
      </c>
      <c r="X74" s="66">
        <f>IF(VLOOKUP($D74,$C$5:$AU$493,3,)=0,0,(VLOOKUP($D74,$C$5:$AU$493,22,)/VLOOKUP($D74,$C$5:$AU$493,3,))*$E74)</f>
        <v>0</v>
      </c>
      <c r="Y74" s="66">
        <f>IF(VLOOKUP($D74,$C$5:$AU$493,3,)=0,0,(VLOOKUP($D74,$C$5:$AU$493,23,)/VLOOKUP($D74,$C$5:$AU$493,3,))*$E74)</f>
        <v>0</v>
      </c>
      <c r="Z74" s="66">
        <f>IF(VLOOKUP($D74,$C$5:$AU$493,3,)=0,0,(VLOOKUP($D74,$C$5:$AU$493,24,)/VLOOKUP($D74,$C$5:$AU$493,3,))*$E74)</f>
        <v>0</v>
      </c>
      <c r="AA74" s="66">
        <f>IF(VLOOKUP($D74,$C$5:$AU$493,3,)=0,0,(VLOOKUP($D74,$C$5:$AU$493,25,)/VLOOKUP($D74,$C$5:$AU$493,3,))*$E74)</f>
        <v>0</v>
      </c>
      <c r="AB74" s="66">
        <f>IF(VLOOKUP($D74,$C$5:$AU$493,3,)=0,0,(VLOOKUP($D74,$C$5:$AU$493,26,)/VLOOKUP($D74,$C$5:$AU$493,3,))*$E74)</f>
        <v>0</v>
      </c>
      <c r="AC74" s="66">
        <f>IF(VLOOKUP($D74,$C$5:$AU$493,3,)=0,0,(VLOOKUP($D74,$C$5:$AU$493,27,)/VLOOKUP($D74,$C$5:$AU$493,3,))*$E74)</f>
        <v>0</v>
      </c>
      <c r="AD74" s="66">
        <f>IF(VLOOKUP($D74,$C$5:$AU$493,3,)=0,0,(VLOOKUP($D74,$C$5:$AU$493,28,)/VLOOKUP($D74,$C$5:$AU$493,3,))*$E74)</f>
        <v>0</v>
      </c>
      <c r="AE74" s="66">
        <f>IF(VLOOKUP($D74,$C$5:$AU$493,3,)=0,0,(VLOOKUP($D74,$C$5:$AU$493,29,)/VLOOKUP($D74,$C$5:$AU$493,3,))*$E74)</f>
        <v>0</v>
      </c>
      <c r="AF74" s="66">
        <f>IF(VLOOKUP($D74,$C$5:$AU$493,3,)=0,0,(VLOOKUP($D74,$C$5:$AU$493,30,)/VLOOKUP($D74,$C$5:$AU$493,3,))*$E74)</f>
        <v>0</v>
      </c>
      <c r="AG74" s="89">
        <f>SUM(F74:AF74)</f>
        <v>0</v>
      </c>
      <c r="AH74" s="27" t="str">
        <f>IF(ABS(E74-AG74)&lt;0.01,"ok","err")</f>
        <v>ok</v>
      </c>
    </row>
    <row r="75" spans="1:34" x14ac:dyDescent="0.2">
      <c r="E75" s="49"/>
    </row>
    <row r="76" spans="1:34" x14ac:dyDescent="0.2">
      <c r="A76" s="13" t="s">
        <v>469</v>
      </c>
      <c r="E76" s="49"/>
    </row>
    <row r="77" spans="1:34" x14ac:dyDescent="0.2">
      <c r="A77" s="92" t="s">
        <v>219</v>
      </c>
      <c r="C77" s="14" t="s">
        <v>242</v>
      </c>
      <c r="D77" s="14" t="s">
        <v>233</v>
      </c>
      <c r="E77" s="66">
        <f>'Func &amp; Classif'!AA126</f>
        <v>0</v>
      </c>
      <c r="F77" s="66">
        <f>IF(VLOOKUP($D77,$C$5:$AU$493,3,)=0,0,(VLOOKUP($D77,$C$5:$AU$493,4,)/VLOOKUP($D77,$C$5:$AU$493,3,))*$E77)</f>
        <v>0</v>
      </c>
      <c r="G77" s="66">
        <f>IF(VLOOKUP($D77,$C$5:$AU$493,3,)=0,0,(VLOOKUP($D77,$C$5:$AU$493,5,)/VLOOKUP($D77,$C$5:$AU$493,3,))*$E77)</f>
        <v>0</v>
      </c>
      <c r="H77" s="66">
        <f>IF(VLOOKUP($D77,$C$5:$AU$493,3,)=0,0,(VLOOKUP($D77,$C$5:$AU$493,6,)/VLOOKUP($D77,$C$5:$AU$493,3,))*$E77)</f>
        <v>0</v>
      </c>
      <c r="I77" s="66">
        <f>IF(VLOOKUP($D77,$C$5:$AU$493,3,)=0,0,(VLOOKUP($D77,$C$5:$AU$493,7,)/VLOOKUP($D77,$C$5:$AU$493,3,))*$E77)</f>
        <v>0</v>
      </c>
      <c r="J77" s="66">
        <f>IF(VLOOKUP($D77,$C$5:$AU$493,3,)=0,0,(VLOOKUP($D77,$C$5:$AU$493,8,)/VLOOKUP($D77,$C$5:$AU$493,3,))*$E77)</f>
        <v>0</v>
      </c>
      <c r="K77" s="66">
        <f>IF(VLOOKUP($D77,$C$5:$AU$493,3,)=0,0,(VLOOKUP($D77,$C$5:$AU$493,9,)/VLOOKUP($D77,$C$5:$AU$493,3,))*$E77)</f>
        <v>0</v>
      </c>
      <c r="L77" s="66">
        <f>IF(VLOOKUP($D77,$C$5:$AU$493,3,)=0,0,(VLOOKUP($D77,$C$5:$AU$493,10,)/VLOOKUP($D77,$C$5:$AU$493,3,))*$E77)</f>
        <v>0</v>
      </c>
      <c r="M77" s="66">
        <f>IF(VLOOKUP($D77,$C$5:$AU$493,3,)=0,0,(VLOOKUP($D77,$C$5:$AU$493,11,)/VLOOKUP($D77,$C$5:$AU$493,3,))*$E77)</f>
        <v>0</v>
      </c>
      <c r="N77" s="66">
        <f>IF(VLOOKUP($D77,$C$5:$AU$493,3,)=0,0,(VLOOKUP($D77,$C$5:$AU$493,12,)/VLOOKUP($D77,$C$5:$AU$493,3,))*$E77)</f>
        <v>0</v>
      </c>
      <c r="O77" s="66">
        <f>IF(VLOOKUP($D77,$C$5:$AU$493,3,)=0,0,(VLOOKUP($D77,$C$5:$AU$493,13,)/VLOOKUP($D77,$C$5:$AU$493,3,))*$E77)</f>
        <v>0</v>
      </c>
      <c r="P77" s="66">
        <f>IF(VLOOKUP($D77,$C$5:$AU$493,3,)=0,0,(VLOOKUP($D77,$C$5:$AU$493,14,)/VLOOKUP($D77,$C$5:$AU$493,3,))*$E77)</f>
        <v>0</v>
      </c>
      <c r="Q77" s="66">
        <f>IF(VLOOKUP($D77,$C$5:$AU$493,3,)=0,0,(VLOOKUP($D77,$C$5:$AU$493,15,)/VLOOKUP($D77,$C$5:$AU$493,3,))*$E77)</f>
        <v>0</v>
      </c>
      <c r="R77" s="66">
        <f>IF(VLOOKUP($D77,$C$5:$AU$493,3,)=0,0,(VLOOKUP($D77,$C$5:$AU$493,16,)/VLOOKUP($D77,$C$5:$AU$493,3,))*$E77)</f>
        <v>0</v>
      </c>
      <c r="S77" s="66">
        <f>IF(VLOOKUP($D77,$C$5:$AU$493,3,)=0,0,(VLOOKUP($D77,$C$5:$AU$493,17,)/VLOOKUP($D77,$C$5:$AU$493,3,))*$E77)</f>
        <v>0</v>
      </c>
      <c r="T77" s="66">
        <f>IF(VLOOKUP($D77,$C$5:$AU$493,3,)=0,0,(VLOOKUP($D77,$C$5:$AU$493,18,)/VLOOKUP($D77,$C$5:$AU$493,3,))*$E77)</f>
        <v>0</v>
      </c>
      <c r="U77" s="66">
        <f>IF(VLOOKUP($D77,$C$5:$AU$493,3,)=0,0,(VLOOKUP($D77,$C$5:$AU$493,19,)/VLOOKUP($D77,$C$5:$AU$493,3,))*$E77)</f>
        <v>0</v>
      </c>
      <c r="V77" s="66">
        <f>IF(VLOOKUP($D77,$C$5:$AU$493,3,)=0,0,(VLOOKUP($D77,$C$5:$AU$493,20,)/VLOOKUP($D77,$C$5:$AU$493,3,))*$E77)</f>
        <v>0</v>
      </c>
      <c r="W77" s="66">
        <f>IF(VLOOKUP($D77,$C$5:$AU$493,3,)=0,0,(VLOOKUP($D77,$C$5:$AU$493,21,)/VLOOKUP($D77,$C$5:$AU$493,3,))*$E77)</f>
        <v>0</v>
      </c>
      <c r="X77" s="66">
        <f>IF(VLOOKUP($D77,$C$5:$AU$493,3,)=0,0,(VLOOKUP($D77,$C$5:$AU$493,22,)/VLOOKUP($D77,$C$5:$AU$493,3,))*$E77)</f>
        <v>0</v>
      </c>
      <c r="Y77" s="66">
        <f>IF(VLOOKUP($D77,$C$5:$AU$493,3,)=0,0,(VLOOKUP($D77,$C$5:$AU$493,23,)/VLOOKUP($D77,$C$5:$AU$493,3,))*$E77)</f>
        <v>0</v>
      </c>
      <c r="Z77" s="66">
        <f>IF(VLOOKUP($D77,$C$5:$AU$493,3,)=0,0,(VLOOKUP($D77,$C$5:$AU$493,24,)/VLOOKUP($D77,$C$5:$AU$493,3,))*$E77)</f>
        <v>0</v>
      </c>
      <c r="AA77" s="66">
        <f>IF(VLOOKUP($D77,$C$5:$AU$493,3,)=0,0,(VLOOKUP($D77,$C$5:$AU$493,25,)/VLOOKUP($D77,$C$5:$AU$493,3,))*$E77)</f>
        <v>0</v>
      </c>
      <c r="AB77" s="66">
        <f>IF(VLOOKUP($D77,$C$5:$AU$493,3,)=0,0,(VLOOKUP($D77,$C$5:$AU$493,26,)/VLOOKUP($D77,$C$5:$AU$493,3,))*$E77)</f>
        <v>0</v>
      </c>
      <c r="AC77" s="66">
        <f>IF(VLOOKUP($D77,$C$5:$AU$493,3,)=0,0,(VLOOKUP($D77,$C$5:$AU$493,27,)/VLOOKUP($D77,$C$5:$AU$493,3,))*$E77)</f>
        <v>0</v>
      </c>
      <c r="AD77" s="66">
        <f>IF(VLOOKUP($D77,$C$5:$AU$493,3,)=0,0,(VLOOKUP($D77,$C$5:$AU$493,28,)/VLOOKUP($D77,$C$5:$AU$493,3,))*$E77)</f>
        <v>0</v>
      </c>
      <c r="AE77" s="66">
        <f>IF(VLOOKUP($D77,$C$5:$AU$493,3,)=0,0,(VLOOKUP($D77,$C$5:$AU$493,29,)/VLOOKUP($D77,$C$5:$AU$493,3,))*$E77)</f>
        <v>0</v>
      </c>
      <c r="AF77" s="66">
        <f>IF(VLOOKUP($D77,$C$5:$AU$493,3,)=0,0,(VLOOKUP($D77,$C$5:$AU$493,30,)/VLOOKUP($D77,$C$5:$AU$493,3,))*$E77)</f>
        <v>0</v>
      </c>
      <c r="AG77" s="89">
        <f>SUM(F77:AF77)</f>
        <v>0</v>
      </c>
      <c r="AH77" s="27" t="str">
        <f>IF(ABS(E77-AG77)&lt;0.01,"ok","err")</f>
        <v>ok</v>
      </c>
    </row>
    <row r="78" spans="1:34" x14ac:dyDescent="0.2">
      <c r="E78" s="49"/>
    </row>
    <row r="79" spans="1:34" x14ac:dyDescent="0.2">
      <c r="A79" s="14" t="s">
        <v>0</v>
      </c>
      <c r="C79" s="14" t="s">
        <v>246</v>
      </c>
      <c r="E79" s="66">
        <f>E49+E52+E55+E60+E65+E68+E71+E74+E77</f>
        <v>205434649.77699995</v>
      </c>
      <c r="F79" s="66">
        <f t="shared" ref="F79:R79" si="14">F49+F52+F55+F60+F65+F68+F71+F74+F77</f>
        <v>161505264.65688357</v>
      </c>
      <c r="G79" s="66">
        <f t="shared" si="14"/>
        <v>174477.1040588227</v>
      </c>
      <c r="H79" s="66">
        <f t="shared" si="14"/>
        <v>566164.43123710225</v>
      </c>
      <c r="I79" s="66">
        <f t="shared" si="14"/>
        <v>8620093.70420935</v>
      </c>
      <c r="J79" s="66">
        <f t="shared" si="14"/>
        <v>615819.59396151197</v>
      </c>
      <c r="K79" s="66">
        <f t="shared" si="14"/>
        <v>1691485.6263569684</v>
      </c>
      <c r="L79" s="66">
        <f t="shared" si="14"/>
        <v>4100440.1783364313</v>
      </c>
      <c r="M79" s="66">
        <f t="shared" si="14"/>
        <v>1820808.92094788</v>
      </c>
      <c r="N79" s="66">
        <f t="shared" si="14"/>
        <v>3551926.5594096817</v>
      </c>
      <c r="O79" s="66">
        <f t="shared" si="14"/>
        <v>798.71040899322281</v>
      </c>
      <c r="P79" s="66">
        <f t="shared" si="14"/>
        <v>22787370.291189659</v>
      </c>
      <c r="Q79" s="66">
        <f t="shared" si="14"/>
        <v>0</v>
      </c>
      <c r="R79" s="66">
        <f t="shared" si="14"/>
        <v>0</v>
      </c>
      <c r="S79" s="66">
        <f t="shared" ref="S79:AF79" si="15">S49+S55+S60+S65+S68+S71+S74+S77</f>
        <v>0</v>
      </c>
      <c r="T79" s="66">
        <f t="shared" si="15"/>
        <v>0</v>
      </c>
      <c r="U79" s="66">
        <f t="shared" si="15"/>
        <v>0</v>
      </c>
      <c r="V79" s="66">
        <f t="shared" si="15"/>
        <v>0</v>
      </c>
      <c r="W79" s="66">
        <f t="shared" si="15"/>
        <v>0</v>
      </c>
      <c r="X79" s="66">
        <f t="shared" si="15"/>
        <v>0</v>
      </c>
      <c r="Y79" s="66">
        <f t="shared" si="15"/>
        <v>0</v>
      </c>
      <c r="Z79" s="66">
        <f t="shared" si="15"/>
        <v>0</v>
      </c>
      <c r="AA79" s="66">
        <f t="shared" si="15"/>
        <v>0</v>
      </c>
      <c r="AB79" s="66">
        <f t="shared" si="15"/>
        <v>0</v>
      </c>
      <c r="AC79" s="66">
        <f t="shared" si="15"/>
        <v>0</v>
      </c>
      <c r="AD79" s="66">
        <f t="shared" si="15"/>
        <v>0</v>
      </c>
      <c r="AE79" s="66">
        <f t="shared" si="15"/>
        <v>0</v>
      </c>
      <c r="AF79" s="66">
        <f t="shared" si="15"/>
        <v>0</v>
      </c>
      <c r="AG79" s="89">
        <f>SUM(F79:AF79)</f>
        <v>205434649.77699998</v>
      </c>
      <c r="AH79" s="27" t="str">
        <f>IF(ABS(E79-AG79)&lt;0.01,"ok","err")</f>
        <v>ok</v>
      </c>
    </row>
    <row r="80" spans="1:34" x14ac:dyDescent="0.2">
      <c r="F80" s="47"/>
    </row>
    <row r="82" spans="1:34" x14ac:dyDescent="0.2">
      <c r="A82" s="25" t="s">
        <v>247</v>
      </c>
    </row>
    <row r="84" spans="1:34" x14ac:dyDescent="0.2">
      <c r="A84" s="13" t="s">
        <v>890</v>
      </c>
    </row>
    <row r="85" spans="1:34" x14ac:dyDescent="0.2">
      <c r="A85" s="92" t="s">
        <v>207</v>
      </c>
      <c r="C85" s="14" t="s">
        <v>248</v>
      </c>
      <c r="D85" s="14" t="s">
        <v>656</v>
      </c>
      <c r="E85" s="66">
        <f>'Func &amp; Classif'!H144</f>
        <v>0</v>
      </c>
      <c r="F85" s="66">
        <f>IF(VLOOKUP($D85,$C$5:$AU$493,3,)=0,0,(VLOOKUP($D85,$C$5:$AU$493,4,)/VLOOKUP($D85,$C$5:$AU$493,3,))*$E85)</f>
        <v>0</v>
      </c>
      <c r="G85" s="66">
        <f>IF(VLOOKUP($D85,$C$5:$AU$493,3,)=0,0,(VLOOKUP($D85,$C$5:$AU$493,5,)/VLOOKUP($D85,$C$5:$AU$493,3,))*$E85)</f>
        <v>0</v>
      </c>
      <c r="H85" s="66">
        <f>IF(VLOOKUP($D85,$C$5:$AU$493,3,)=0,0,(VLOOKUP($D85,$C$5:$AU$493,6,)/VLOOKUP($D85,$C$5:$AU$493,3,))*$E85)</f>
        <v>0</v>
      </c>
      <c r="I85" s="66">
        <f>IF(VLOOKUP($D85,$C$5:$AU$493,3,)=0,0,(VLOOKUP($D85,$C$5:$AU$493,7,)/VLOOKUP($D85,$C$5:$AU$493,3,))*$E85)</f>
        <v>0</v>
      </c>
      <c r="J85" s="66">
        <f>IF(VLOOKUP($D85,$C$5:$AU$493,3,)=0,0,(VLOOKUP($D85,$C$5:$AU$493,8,)/VLOOKUP($D85,$C$5:$AU$493,3,))*$E85)</f>
        <v>0</v>
      </c>
      <c r="K85" s="66">
        <f>IF(VLOOKUP($D85,$C$5:$AU$493,3,)=0,0,(VLOOKUP($D85,$C$5:$AU$493,9,)/VLOOKUP($D85,$C$5:$AU$493,3,))*$E85)</f>
        <v>0</v>
      </c>
      <c r="L85" s="66">
        <f>IF(VLOOKUP($D85,$C$5:$AU$493,3,)=0,0,(VLOOKUP($D85,$C$5:$AU$493,10,)/VLOOKUP($D85,$C$5:$AU$493,3,))*$E85)</f>
        <v>0</v>
      </c>
      <c r="M85" s="66">
        <f>IF(VLOOKUP($D85,$C$5:$AU$493,3,)=0,0,(VLOOKUP($D85,$C$5:$AU$493,11,)/VLOOKUP($D85,$C$5:$AU$493,3,))*$E85)</f>
        <v>0</v>
      </c>
      <c r="N85" s="66">
        <f>IF(VLOOKUP($D85,$C$5:$AU$493,3,)=0,0,(VLOOKUP($D85,$C$5:$AU$493,12,)/VLOOKUP($D85,$C$5:$AU$493,3,))*$E85)</f>
        <v>0</v>
      </c>
      <c r="O85" s="66">
        <f>IF(VLOOKUP($D85,$C$5:$AU$493,3,)=0,0,(VLOOKUP($D85,$C$5:$AU$493,13,)/VLOOKUP($D85,$C$5:$AU$493,3,))*$E85)</f>
        <v>0</v>
      </c>
      <c r="P85" s="66">
        <f>IF(VLOOKUP($D85,$C$5:$AU$493,3,)=0,0,(VLOOKUP($D85,$C$5:$AU$493,14,)/VLOOKUP($D85,$C$5:$AU$493,3,))*$E85)</f>
        <v>0</v>
      </c>
      <c r="Q85" s="66">
        <f>IF(VLOOKUP($D85,$C$5:$AU$493,3,)=0,0,(VLOOKUP($D85,$C$5:$AU$493,15,)/VLOOKUP($D85,$C$5:$AU$493,3,))*$E85)</f>
        <v>0</v>
      </c>
      <c r="R85" s="66">
        <f>IF(VLOOKUP($D85,$C$5:$AU$493,3,)=0,0,(VLOOKUP($D85,$C$5:$AU$493,16,)/VLOOKUP($D85,$C$5:$AU$493,3,))*$E85)</f>
        <v>0</v>
      </c>
      <c r="S85" s="66">
        <f>IF(VLOOKUP($D85,$C$5:$AU$493,3,)=0,0,(VLOOKUP($D85,$C$5:$AU$493,17,)/VLOOKUP($D85,$C$5:$AU$493,3,))*$E85)</f>
        <v>0</v>
      </c>
      <c r="T85" s="66">
        <f>IF(VLOOKUP($D85,$C$5:$AU$493,3,)=0,0,(VLOOKUP($D85,$C$5:$AU$493,18,)/VLOOKUP($D85,$C$5:$AU$493,3,))*$E85)</f>
        <v>0</v>
      </c>
      <c r="U85" s="66">
        <f>IF(VLOOKUP($D85,$C$5:$AU$493,3,)=0,0,(VLOOKUP($D85,$C$5:$AU$493,19,)/VLOOKUP($D85,$C$5:$AU$493,3,))*$E85)</f>
        <v>0</v>
      </c>
      <c r="V85" s="66">
        <f>IF(VLOOKUP($D85,$C$5:$AU$493,3,)=0,0,(VLOOKUP($D85,$C$5:$AU$493,20,)/VLOOKUP($D85,$C$5:$AU$493,3,))*$E85)</f>
        <v>0</v>
      </c>
      <c r="W85" s="66">
        <f>IF(VLOOKUP($D85,$C$5:$AU$493,3,)=0,0,(VLOOKUP($D85,$C$5:$AU$493,21,)/VLOOKUP($D85,$C$5:$AU$493,3,))*$E85)</f>
        <v>0</v>
      </c>
      <c r="X85" s="66">
        <f>IF(VLOOKUP($D85,$C$5:$AU$493,3,)=0,0,(VLOOKUP($D85,$C$5:$AU$493,22,)/VLOOKUP($D85,$C$5:$AU$493,3,))*$E85)</f>
        <v>0</v>
      </c>
      <c r="Y85" s="66">
        <f>IF(VLOOKUP($D85,$C$5:$AU$493,3,)=0,0,(VLOOKUP($D85,$C$5:$AU$493,23,)/VLOOKUP($D85,$C$5:$AU$493,3,))*$E85)</f>
        <v>0</v>
      </c>
      <c r="Z85" s="66">
        <f>IF(VLOOKUP($D85,$C$5:$AU$493,3,)=0,0,(VLOOKUP($D85,$C$5:$AU$493,24,)/VLOOKUP($D85,$C$5:$AU$493,3,))*$E85)</f>
        <v>0</v>
      </c>
      <c r="AA85" s="66">
        <f>IF(VLOOKUP($D85,$C$5:$AU$493,3,)=0,0,(VLOOKUP($D85,$C$5:$AU$493,25,)/VLOOKUP($D85,$C$5:$AU$493,3,))*$E85)</f>
        <v>0</v>
      </c>
      <c r="AB85" s="66">
        <f>IF(VLOOKUP($D85,$C$5:$AU$493,3,)=0,0,(VLOOKUP($D85,$C$5:$AU$493,26,)/VLOOKUP($D85,$C$5:$AU$493,3,))*$E85)</f>
        <v>0</v>
      </c>
      <c r="AC85" s="66">
        <f>IF(VLOOKUP($D85,$C$5:$AU$493,3,)=0,0,(VLOOKUP($D85,$C$5:$AU$493,27,)/VLOOKUP($D85,$C$5:$AU$493,3,))*$E85)</f>
        <v>0</v>
      </c>
      <c r="AD85" s="66">
        <f>IF(VLOOKUP($D85,$C$5:$AU$493,3,)=0,0,(VLOOKUP($D85,$C$5:$AU$493,28,)/VLOOKUP($D85,$C$5:$AU$493,3,))*$E85)</f>
        <v>0</v>
      </c>
      <c r="AE85" s="66">
        <f>IF(VLOOKUP($D85,$C$5:$AU$493,3,)=0,0,(VLOOKUP($D85,$C$5:$AU$493,29,)/VLOOKUP($D85,$C$5:$AU$493,3,))*$E85)</f>
        <v>0</v>
      </c>
      <c r="AF85" s="66">
        <f>IF(VLOOKUP($D85,$C$5:$AU$493,3,)=0,0,(VLOOKUP($D85,$C$5:$AU$493,30,)/VLOOKUP($D85,$C$5:$AU$493,3,))*$E85)</f>
        <v>0</v>
      </c>
      <c r="AG85" s="89">
        <f>SUM(F85:AF85)</f>
        <v>0</v>
      </c>
      <c r="AH85" s="27" t="str">
        <f>IF(ABS(E85-AG85)&lt;0.01,"ok","err")</f>
        <v>ok</v>
      </c>
    </row>
    <row r="86" spans="1:34" x14ac:dyDescent="0.2">
      <c r="A86" s="92" t="s">
        <v>210</v>
      </c>
      <c r="C86" s="14" t="s">
        <v>249</v>
      </c>
      <c r="D86" s="14" t="s">
        <v>665</v>
      </c>
      <c r="E86" s="49">
        <f>'Func &amp; Classif'!I144</f>
        <v>0</v>
      </c>
      <c r="F86" s="66">
        <f>IF(VLOOKUP($D86,$C$5:$AU$493,3,)=0,0,(VLOOKUP($D86,$C$5:$AU$493,4,)/VLOOKUP($D86,$C$5:$AU$493,3,))*$E86)</f>
        <v>0</v>
      </c>
      <c r="G86" s="66">
        <f>IF(VLOOKUP($D86,$C$5:$AU$493,3,)=0,0,(VLOOKUP($D86,$C$5:$AU$493,5,)/VLOOKUP($D86,$C$5:$AU$493,3,))*$E86)</f>
        <v>0</v>
      </c>
      <c r="H86" s="66">
        <f>IF(VLOOKUP($D86,$C$5:$AU$493,3,)=0,0,(VLOOKUP($D86,$C$5:$AU$493,6,)/VLOOKUP($D86,$C$5:$AU$493,3,))*$E86)</f>
        <v>0</v>
      </c>
      <c r="I86" s="66">
        <f>IF(VLOOKUP($D86,$C$5:$AU$493,3,)=0,0,(VLOOKUP($D86,$C$5:$AU$493,7,)/VLOOKUP($D86,$C$5:$AU$493,3,))*$E86)</f>
        <v>0</v>
      </c>
      <c r="J86" s="66">
        <f>IF(VLOOKUP($D86,$C$5:$AU$493,3,)=0,0,(VLOOKUP($D86,$C$5:$AU$493,8,)/VLOOKUP($D86,$C$5:$AU$493,3,))*$E86)</f>
        <v>0</v>
      </c>
      <c r="K86" s="66">
        <f>IF(VLOOKUP($D86,$C$5:$AU$493,3,)=0,0,(VLOOKUP($D86,$C$5:$AU$493,9,)/VLOOKUP($D86,$C$5:$AU$493,3,))*$E86)</f>
        <v>0</v>
      </c>
      <c r="L86" s="66">
        <f>IF(VLOOKUP($D86,$C$5:$AU$493,3,)=0,0,(VLOOKUP($D86,$C$5:$AU$493,10,)/VLOOKUP($D86,$C$5:$AU$493,3,))*$E86)</f>
        <v>0</v>
      </c>
      <c r="M86" s="66">
        <f>IF(VLOOKUP($D86,$C$5:$AU$493,3,)=0,0,(VLOOKUP($D86,$C$5:$AU$493,11,)/VLOOKUP($D86,$C$5:$AU$493,3,))*$E86)</f>
        <v>0</v>
      </c>
      <c r="N86" s="66">
        <f>IF(VLOOKUP($D86,$C$5:$AU$493,3,)=0,0,(VLOOKUP($D86,$C$5:$AU$493,12,)/VLOOKUP($D86,$C$5:$AU$493,3,))*$E86)</f>
        <v>0</v>
      </c>
      <c r="O86" s="66">
        <f>IF(VLOOKUP($D86,$C$5:$AU$493,3,)=0,0,(VLOOKUP($D86,$C$5:$AU$493,13,)/VLOOKUP($D86,$C$5:$AU$493,3,))*$E86)</f>
        <v>0</v>
      </c>
      <c r="P86" s="66">
        <f>IF(VLOOKUP($D86,$C$5:$AU$493,3,)=0,0,(VLOOKUP($D86,$C$5:$AU$493,14,)/VLOOKUP($D86,$C$5:$AU$493,3,))*$E86)</f>
        <v>0</v>
      </c>
      <c r="Q86" s="66">
        <f>IF(VLOOKUP($D86,$C$5:$AU$493,3,)=0,0,(VLOOKUP($D86,$C$5:$AU$493,15,)/VLOOKUP($D86,$C$5:$AU$493,3,))*$E86)</f>
        <v>0</v>
      </c>
      <c r="R86" s="66">
        <f>IF(VLOOKUP($D86,$C$5:$AU$493,3,)=0,0,(VLOOKUP($D86,$C$5:$AU$493,16,)/VLOOKUP($D86,$C$5:$AU$493,3,))*$E86)</f>
        <v>0</v>
      </c>
      <c r="S86" s="66">
        <f>IF(VLOOKUP($D86,$C$5:$AU$493,3,)=0,0,(VLOOKUP($D86,$C$5:$AU$493,17,)/VLOOKUP($D86,$C$5:$AU$493,3,))*$E86)</f>
        <v>0</v>
      </c>
      <c r="T86" s="66">
        <f>IF(VLOOKUP($D86,$C$5:$AU$493,3,)=0,0,(VLOOKUP($D86,$C$5:$AU$493,18,)/VLOOKUP($D86,$C$5:$AU$493,3,))*$E86)</f>
        <v>0</v>
      </c>
      <c r="U86" s="66">
        <f>IF(VLOOKUP($D86,$C$5:$AU$493,3,)=0,0,(VLOOKUP($D86,$C$5:$AU$493,19,)/VLOOKUP($D86,$C$5:$AU$493,3,))*$E86)</f>
        <v>0</v>
      </c>
      <c r="V86" s="66">
        <f>IF(VLOOKUP($D86,$C$5:$AU$493,3,)=0,0,(VLOOKUP($D86,$C$5:$AU$493,20,)/VLOOKUP($D86,$C$5:$AU$493,3,))*$E86)</f>
        <v>0</v>
      </c>
      <c r="W86" s="66">
        <f>IF(VLOOKUP($D86,$C$5:$AU$493,3,)=0,0,(VLOOKUP($D86,$C$5:$AU$493,21,)/VLOOKUP($D86,$C$5:$AU$493,3,))*$E86)</f>
        <v>0</v>
      </c>
      <c r="X86" s="66">
        <f>IF(VLOOKUP($D86,$C$5:$AU$493,3,)=0,0,(VLOOKUP($D86,$C$5:$AU$493,22,)/VLOOKUP($D86,$C$5:$AU$493,3,))*$E86)</f>
        <v>0</v>
      </c>
      <c r="Y86" s="66">
        <f>IF(VLOOKUP($D86,$C$5:$AU$493,3,)=0,0,(VLOOKUP($D86,$C$5:$AU$493,23,)/VLOOKUP($D86,$C$5:$AU$493,3,))*$E86)</f>
        <v>0</v>
      </c>
      <c r="Z86" s="66">
        <f>IF(VLOOKUP($D86,$C$5:$AU$493,3,)=0,0,(VLOOKUP($D86,$C$5:$AU$493,24,)/VLOOKUP($D86,$C$5:$AU$493,3,))*$E86)</f>
        <v>0</v>
      </c>
      <c r="AA86" s="66">
        <f>IF(VLOOKUP($D86,$C$5:$AU$493,3,)=0,0,(VLOOKUP($D86,$C$5:$AU$493,25,)/VLOOKUP($D86,$C$5:$AU$493,3,))*$E86)</f>
        <v>0</v>
      </c>
      <c r="AB86" s="66">
        <f>IF(VLOOKUP($D86,$C$5:$AU$493,3,)=0,0,(VLOOKUP($D86,$C$5:$AU$493,26,)/VLOOKUP($D86,$C$5:$AU$493,3,))*$E86)</f>
        <v>0</v>
      </c>
      <c r="AC86" s="66">
        <f>IF(VLOOKUP($D86,$C$5:$AU$493,3,)=0,0,(VLOOKUP($D86,$C$5:$AU$493,27,)/VLOOKUP($D86,$C$5:$AU$493,3,))*$E86)</f>
        <v>0</v>
      </c>
      <c r="AD86" s="66">
        <f>IF(VLOOKUP($D86,$C$5:$AU$493,3,)=0,0,(VLOOKUP($D86,$C$5:$AU$493,28,)/VLOOKUP($D86,$C$5:$AU$493,3,))*$E86)</f>
        <v>0</v>
      </c>
      <c r="AE86" s="66">
        <f>IF(VLOOKUP($D86,$C$5:$AU$493,3,)=0,0,(VLOOKUP($D86,$C$5:$AU$493,29,)/VLOOKUP($D86,$C$5:$AU$493,3,))*$E86)</f>
        <v>0</v>
      </c>
      <c r="AF86" s="66">
        <f>IF(VLOOKUP($D86,$C$5:$AU$493,3,)=0,0,(VLOOKUP($D86,$C$5:$AU$493,30,)/VLOOKUP($D86,$C$5:$AU$493,3,))*$E86)</f>
        <v>0</v>
      </c>
      <c r="AG86" s="89">
        <f>SUM(F86:AF86)</f>
        <v>0</v>
      </c>
      <c r="AH86" s="27" t="str">
        <f>IF(ABS(E86-AG86)&lt;0.01,"ok","err")</f>
        <v>ok</v>
      </c>
    </row>
    <row r="87" spans="1:34" x14ac:dyDescent="0.2">
      <c r="A87" s="14" t="s">
        <v>213</v>
      </c>
      <c r="C87" s="14" t="s">
        <v>250</v>
      </c>
      <c r="E87" s="49">
        <f t="shared" ref="E87:T87" si="16">E85+E86</f>
        <v>0</v>
      </c>
      <c r="F87" s="66">
        <f t="shared" si="16"/>
        <v>0</v>
      </c>
      <c r="G87" s="66">
        <f t="shared" si="16"/>
        <v>0</v>
      </c>
      <c r="H87" s="66">
        <f t="shared" si="16"/>
        <v>0</v>
      </c>
      <c r="I87" s="66">
        <f t="shared" si="16"/>
        <v>0</v>
      </c>
      <c r="J87" s="66">
        <f t="shared" si="16"/>
        <v>0</v>
      </c>
      <c r="K87" s="66">
        <f t="shared" si="16"/>
        <v>0</v>
      </c>
      <c r="L87" s="66">
        <f t="shared" si="16"/>
        <v>0</v>
      </c>
      <c r="M87" s="66">
        <f t="shared" si="16"/>
        <v>0</v>
      </c>
      <c r="N87" s="66">
        <f t="shared" si="16"/>
        <v>0</v>
      </c>
      <c r="O87" s="66">
        <f t="shared" si="16"/>
        <v>0</v>
      </c>
      <c r="P87" s="66">
        <f t="shared" si="16"/>
        <v>0</v>
      </c>
      <c r="Q87" s="66">
        <f t="shared" si="16"/>
        <v>0</v>
      </c>
      <c r="R87" s="66">
        <f t="shared" si="16"/>
        <v>0</v>
      </c>
      <c r="S87" s="66">
        <f t="shared" si="16"/>
        <v>0</v>
      </c>
      <c r="T87" s="66">
        <f t="shared" si="16"/>
        <v>0</v>
      </c>
      <c r="U87" s="66">
        <f t="shared" ref="U87:AF87" si="17">U85+U86</f>
        <v>0</v>
      </c>
      <c r="V87" s="66">
        <f t="shared" si="17"/>
        <v>0</v>
      </c>
      <c r="W87" s="66">
        <f t="shared" si="17"/>
        <v>0</v>
      </c>
      <c r="X87" s="66">
        <f t="shared" si="17"/>
        <v>0</v>
      </c>
      <c r="Y87" s="66">
        <f t="shared" si="17"/>
        <v>0</v>
      </c>
      <c r="Z87" s="66">
        <f t="shared" si="17"/>
        <v>0</v>
      </c>
      <c r="AA87" s="66">
        <f t="shared" si="17"/>
        <v>0</v>
      </c>
      <c r="AB87" s="66">
        <f t="shared" si="17"/>
        <v>0</v>
      </c>
      <c r="AC87" s="66">
        <f t="shared" si="17"/>
        <v>0</v>
      </c>
      <c r="AD87" s="66">
        <f t="shared" si="17"/>
        <v>0</v>
      </c>
      <c r="AE87" s="66">
        <f t="shared" si="17"/>
        <v>0</v>
      </c>
      <c r="AF87" s="66">
        <f t="shared" si="17"/>
        <v>0</v>
      </c>
      <c r="AG87" s="89">
        <f>SUM(F87:AF87)</f>
        <v>0</v>
      </c>
      <c r="AH87" s="27" t="str">
        <f>IF(ABS(E87-AG87)&lt;0.01,"ok","err")</f>
        <v>ok</v>
      </c>
    </row>
    <row r="88" spans="1:34" x14ac:dyDescent="0.2">
      <c r="E88" s="49"/>
      <c r="F88" s="49"/>
    </row>
    <row r="89" spans="1:34" x14ac:dyDescent="0.2">
      <c r="A89" s="13" t="s">
        <v>348</v>
      </c>
      <c r="E89" s="49"/>
      <c r="F89" s="49"/>
    </row>
    <row r="90" spans="1:34" x14ac:dyDescent="0.2">
      <c r="A90" s="92" t="s">
        <v>207</v>
      </c>
      <c r="C90" s="14" t="s">
        <v>881</v>
      </c>
      <c r="D90" s="14" t="s">
        <v>599</v>
      </c>
      <c r="E90" s="66">
        <f>'Func &amp; Classif'!K144</f>
        <v>0</v>
      </c>
      <c r="F90" s="66">
        <f>IF(VLOOKUP($D90,$C$5:$AU$493,3,)=0,0,(VLOOKUP($D90,$C$5:$AU$493,4,)/VLOOKUP($D90,$C$5:$AU$493,3,))*$E90)</f>
        <v>0</v>
      </c>
      <c r="G90" s="66">
        <f>IF(VLOOKUP($D90,$C$5:$AU$493,3,)=0,0,(VLOOKUP($D90,$C$5:$AU$493,5,)/VLOOKUP($D90,$C$5:$AU$493,3,))*$E90)</f>
        <v>0</v>
      </c>
      <c r="H90" s="66">
        <f>IF(VLOOKUP($D90,$C$5:$AU$493,3,)=0,0,(VLOOKUP($D90,$C$5:$AU$493,6,)/VLOOKUP($D90,$C$5:$AU$493,3,))*$E90)</f>
        <v>0</v>
      </c>
      <c r="I90" s="66">
        <f>IF(VLOOKUP($D90,$C$5:$AU$493,3,)=0,0,(VLOOKUP($D90,$C$5:$AU$493,7,)/VLOOKUP($D90,$C$5:$AU$493,3,))*$E90)</f>
        <v>0</v>
      </c>
      <c r="J90" s="66">
        <f>IF(VLOOKUP($D90,$C$5:$AU$493,3,)=0,0,(VLOOKUP($D90,$C$5:$AU$493,8,)/VLOOKUP($D90,$C$5:$AU$493,3,))*$E90)</f>
        <v>0</v>
      </c>
      <c r="K90" s="66">
        <f>IF(VLOOKUP($D90,$C$5:$AU$493,3,)=0,0,(VLOOKUP($D90,$C$5:$AU$493,9,)/VLOOKUP($D90,$C$5:$AU$493,3,))*$E90)</f>
        <v>0</v>
      </c>
      <c r="L90" s="66">
        <f>IF(VLOOKUP($D90,$C$5:$AU$493,3,)=0,0,(VLOOKUP($D90,$C$5:$AU$493,10,)/VLOOKUP($D90,$C$5:$AU$493,3,))*$E90)</f>
        <v>0</v>
      </c>
      <c r="M90" s="66">
        <f>IF(VLOOKUP($D90,$C$5:$AU$493,3,)=0,0,(VLOOKUP($D90,$C$5:$AU$493,11,)/VLOOKUP($D90,$C$5:$AU$493,3,))*$E90)</f>
        <v>0</v>
      </c>
      <c r="N90" s="66">
        <f>IF(VLOOKUP($D90,$C$5:$AU$493,3,)=0,0,(VLOOKUP($D90,$C$5:$AU$493,12,)/VLOOKUP($D90,$C$5:$AU$493,3,))*$E90)</f>
        <v>0</v>
      </c>
      <c r="O90" s="66">
        <f>IF(VLOOKUP($D90,$C$5:$AU$493,3,)=0,0,(VLOOKUP($D90,$C$5:$AU$493,13,)/VLOOKUP($D90,$C$5:$AU$493,3,))*$E90)</f>
        <v>0</v>
      </c>
      <c r="P90" s="66">
        <f>IF(VLOOKUP($D90,$C$5:$AU$493,3,)=0,0,(VLOOKUP($D90,$C$5:$AU$493,14,)/VLOOKUP($D90,$C$5:$AU$493,3,))*$E90)</f>
        <v>0</v>
      </c>
      <c r="Q90" s="66">
        <f>IF(VLOOKUP($D90,$C$5:$AU$493,3,)=0,0,(VLOOKUP($D90,$C$5:$AU$493,15,)/VLOOKUP($D90,$C$5:$AU$493,3,))*$E90)</f>
        <v>0</v>
      </c>
      <c r="R90" s="66">
        <f>IF(VLOOKUP($D90,$C$5:$AU$493,3,)=0,0,(VLOOKUP($D90,$C$5:$AU$493,16,)/VLOOKUP($D90,$C$5:$AU$493,3,))*$E90)</f>
        <v>0</v>
      </c>
      <c r="S90" s="66">
        <f>IF(VLOOKUP($D90,$C$5:$AU$493,3,)=0,0,(VLOOKUP($D90,$C$5:$AU$493,17,)/VLOOKUP($D90,$C$5:$AU$493,3,))*$E90)</f>
        <v>0</v>
      </c>
      <c r="T90" s="66">
        <f>IF(VLOOKUP($D90,$C$5:$AU$493,3,)=0,0,(VLOOKUP($D90,$C$5:$AU$493,18,)/VLOOKUP($D90,$C$5:$AU$493,3,))*$E90)</f>
        <v>0</v>
      </c>
      <c r="U90" s="66">
        <f>IF(VLOOKUP($D90,$C$5:$AU$493,3,)=0,0,(VLOOKUP($D90,$C$5:$AU$493,19,)/VLOOKUP($D90,$C$5:$AU$493,3,))*$E90)</f>
        <v>0</v>
      </c>
      <c r="V90" s="66">
        <f>IF(VLOOKUP($D90,$C$5:$AU$493,3,)=0,0,(VLOOKUP($D90,$C$5:$AU$493,20,)/VLOOKUP($D90,$C$5:$AU$493,3,))*$E90)</f>
        <v>0</v>
      </c>
      <c r="W90" s="66">
        <f>IF(VLOOKUP($D90,$C$5:$AU$493,3,)=0,0,(VLOOKUP($D90,$C$5:$AU$493,21,)/VLOOKUP($D90,$C$5:$AU$493,3,))*$E90)</f>
        <v>0</v>
      </c>
      <c r="X90" s="66">
        <f>IF(VLOOKUP($D90,$C$5:$AU$493,3,)=0,0,(VLOOKUP($D90,$C$5:$AU$493,22,)/VLOOKUP($D90,$C$5:$AU$493,3,))*$E90)</f>
        <v>0</v>
      </c>
      <c r="Y90" s="66">
        <f>IF(VLOOKUP($D90,$C$5:$AU$493,3,)=0,0,(VLOOKUP($D90,$C$5:$AU$493,23,)/VLOOKUP($D90,$C$5:$AU$493,3,))*$E90)</f>
        <v>0</v>
      </c>
      <c r="Z90" s="66">
        <f>IF(VLOOKUP($D90,$C$5:$AU$493,3,)=0,0,(VLOOKUP($D90,$C$5:$AU$493,24,)/VLOOKUP($D90,$C$5:$AU$493,3,))*$E90)</f>
        <v>0</v>
      </c>
      <c r="AA90" s="66">
        <f>IF(VLOOKUP($D90,$C$5:$AU$493,3,)=0,0,(VLOOKUP($D90,$C$5:$AU$493,25,)/VLOOKUP($D90,$C$5:$AU$493,3,))*$E90)</f>
        <v>0</v>
      </c>
      <c r="AB90" s="66">
        <f>IF(VLOOKUP($D90,$C$5:$AU$493,3,)=0,0,(VLOOKUP($D90,$C$5:$AU$493,26,)/VLOOKUP($D90,$C$5:$AU$493,3,))*$E90)</f>
        <v>0</v>
      </c>
      <c r="AC90" s="66">
        <f>IF(VLOOKUP($D90,$C$5:$AU$493,3,)=0,0,(VLOOKUP($D90,$C$5:$AU$493,27,)/VLOOKUP($D90,$C$5:$AU$493,3,))*$E90)</f>
        <v>0</v>
      </c>
      <c r="AD90" s="66">
        <f>IF(VLOOKUP($D90,$C$5:$AU$493,3,)=0,0,(VLOOKUP($D90,$C$5:$AU$493,28,)/VLOOKUP($D90,$C$5:$AU$493,3,))*$E90)</f>
        <v>0</v>
      </c>
      <c r="AE90" s="66">
        <f>IF(VLOOKUP($D90,$C$5:$AU$493,3,)=0,0,(VLOOKUP($D90,$C$5:$AU$493,29,)/VLOOKUP($D90,$C$5:$AU$493,3,))*$E90)</f>
        <v>0</v>
      </c>
      <c r="AF90" s="66">
        <f>IF(VLOOKUP($D90,$C$5:$AU$493,3,)=0,0,(VLOOKUP($D90,$C$5:$AU$493,30,)/VLOOKUP($D90,$C$5:$AU$493,3,))*$E90)</f>
        <v>0</v>
      </c>
      <c r="AG90" s="89">
        <f>SUM(F90:AF90)</f>
        <v>0</v>
      </c>
      <c r="AH90" s="27" t="str">
        <f>IF(ABS(E90-AG90)&lt;0.01,"ok","err")</f>
        <v>ok</v>
      </c>
    </row>
    <row r="91" spans="1:34" x14ac:dyDescent="0.2">
      <c r="E91" s="49"/>
    </row>
    <row r="92" spans="1:34" x14ac:dyDescent="0.2">
      <c r="A92" s="13" t="s">
        <v>1</v>
      </c>
      <c r="E92" s="49"/>
      <c r="F92" s="49"/>
    </row>
    <row r="93" spans="1:34" x14ac:dyDescent="0.2">
      <c r="A93" s="92" t="s">
        <v>207</v>
      </c>
      <c r="C93" s="14" t="s">
        <v>251</v>
      </c>
      <c r="D93" s="14" t="s">
        <v>615</v>
      </c>
      <c r="E93" s="66">
        <f>'Func &amp; Classif'!M144</f>
        <v>1448941.833374362</v>
      </c>
      <c r="F93" s="66">
        <f>IF(VLOOKUP($D93,$C$5:$AU$493,3,)=0,0,(VLOOKUP($D93,$C$5:$AU$493,4,)/VLOOKUP($D93,$C$5:$AU$493,3,))*$E93)</f>
        <v>1080519.8659084437</v>
      </c>
      <c r="G93" s="66">
        <f>IF(VLOOKUP($D93,$C$5:$AU$493,3,)=0,0,(VLOOKUP($D93,$C$5:$AU$493,5,)/VLOOKUP($D93,$C$5:$AU$493,3,))*$E93)</f>
        <v>204.70447200726426</v>
      </c>
      <c r="H93" s="66">
        <f>IF(VLOOKUP($D93,$C$5:$AU$493,3,)=0,0,(VLOOKUP($D93,$C$5:$AU$493,6,)/VLOOKUP($D93,$C$5:$AU$493,3,))*$E93)</f>
        <v>45.879124084990266</v>
      </c>
      <c r="I93" s="66">
        <f>IF(VLOOKUP($D93,$C$5:$AU$493,3,)=0,0,(VLOOKUP($D93,$C$5:$AU$493,7,)/VLOOKUP($D93,$C$5:$AU$493,3,))*$E93)</f>
        <v>88808.618871819242</v>
      </c>
      <c r="J93" s="66">
        <f>IF(VLOOKUP($D93,$C$5:$AU$493,3,)=0,0,(VLOOKUP($D93,$C$5:$AU$493,8,)/VLOOKUP($D93,$C$5:$AU$493,3,))*$E93)</f>
        <v>301.01387316509107</v>
      </c>
      <c r="K93" s="66">
        <f>IF(VLOOKUP($D93,$C$5:$AU$493,3,)=0,0,(VLOOKUP($D93,$C$5:$AU$493,9,)/VLOOKUP($D93,$C$5:$AU$493,3,))*$E93)</f>
        <v>34053.072948060304</v>
      </c>
      <c r="L93" s="66">
        <f>IF(VLOOKUP($D93,$C$5:$AU$493,3,)=0,0,(VLOOKUP($D93,$C$5:$AU$493,10,)/VLOOKUP($D93,$C$5:$AU$493,3,))*$E93)</f>
        <v>96766.079446278454</v>
      </c>
      <c r="M93" s="66">
        <f>IF(VLOOKUP($D93,$C$5:$AU$493,3,)=0,0,(VLOOKUP($D93,$C$5:$AU$493,11,)/VLOOKUP($D93,$C$5:$AU$493,3,))*$E93)</f>
        <v>49709.963676587991</v>
      </c>
      <c r="N93" s="66">
        <f>IF(VLOOKUP($D93,$C$5:$AU$493,3,)=0,0,(VLOOKUP($D93,$C$5:$AU$493,12,)/VLOOKUP($D93,$C$5:$AU$493,3,))*$E93)</f>
        <v>95081.984359073045</v>
      </c>
      <c r="O93" s="66">
        <f>IF(VLOOKUP($D93,$C$5:$AU$493,3,)=0,0,(VLOOKUP($D93,$C$5:$AU$493,13,)/VLOOKUP($D93,$C$5:$AU$493,3,))*$E93)</f>
        <v>0</v>
      </c>
      <c r="P93" s="66">
        <f>IF(VLOOKUP($D93,$C$5:$AU$493,3,)=0,0,(VLOOKUP($D93,$C$5:$AU$493,14,)/VLOOKUP($D93,$C$5:$AU$493,3,))*$E93)</f>
        <v>3450.6506948421002</v>
      </c>
      <c r="Q93" s="66">
        <f>IF(VLOOKUP($D93,$C$5:$AU$493,3,)=0,0,(VLOOKUP($D93,$C$5:$AU$493,15,)/VLOOKUP($D93,$C$5:$AU$493,3,))*$E93)</f>
        <v>0</v>
      </c>
      <c r="R93" s="66">
        <f>IF(VLOOKUP($D93,$C$5:$AU$493,3,)=0,0,(VLOOKUP($D93,$C$5:$AU$493,16,)/VLOOKUP($D93,$C$5:$AU$493,3,))*$E93)</f>
        <v>0</v>
      </c>
      <c r="S93" s="66">
        <f>IF(VLOOKUP($D93,$C$5:$AU$493,3,)=0,0,(VLOOKUP($D93,$C$5:$AU$493,17,)/VLOOKUP($D93,$C$5:$AU$493,3,))*$E93)</f>
        <v>0</v>
      </c>
      <c r="T93" s="66">
        <f>IF(VLOOKUP($D93,$C$5:$AU$493,3,)=0,0,(VLOOKUP($D93,$C$5:$AU$493,18,)/VLOOKUP($D93,$C$5:$AU$493,3,))*$E93)</f>
        <v>0</v>
      </c>
      <c r="U93" s="66">
        <f>IF(VLOOKUP($D93,$C$5:$AU$493,3,)=0,0,(VLOOKUP($D93,$C$5:$AU$493,19,)/VLOOKUP($D93,$C$5:$AU$493,3,))*$E93)</f>
        <v>0</v>
      </c>
      <c r="V93" s="66">
        <f>IF(VLOOKUP($D93,$C$5:$AU$493,3,)=0,0,(VLOOKUP($D93,$C$5:$AU$493,20,)/VLOOKUP($D93,$C$5:$AU$493,3,))*$E93)</f>
        <v>0</v>
      </c>
      <c r="W93" s="66">
        <f>IF(VLOOKUP($D93,$C$5:$AU$493,3,)=0,0,(VLOOKUP($D93,$C$5:$AU$493,21,)/VLOOKUP($D93,$C$5:$AU$493,3,))*$E93)</f>
        <v>0</v>
      </c>
      <c r="X93" s="66">
        <f>IF(VLOOKUP($D93,$C$5:$AU$493,3,)=0,0,(VLOOKUP($D93,$C$5:$AU$493,22,)/VLOOKUP($D93,$C$5:$AU$493,3,))*$E93)</f>
        <v>0</v>
      </c>
      <c r="Y93" s="66">
        <f>IF(VLOOKUP($D93,$C$5:$AU$493,3,)=0,0,(VLOOKUP($D93,$C$5:$AU$493,23,)/VLOOKUP($D93,$C$5:$AU$493,3,))*$E93)</f>
        <v>0</v>
      </c>
      <c r="Z93" s="66">
        <f>IF(VLOOKUP($D93,$C$5:$AU$493,3,)=0,0,(VLOOKUP($D93,$C$5:$AU$493,24,)/VLOOKUP($D93,$C$5:$AU$493,3,))*$E93)</f>
        <v>0</v>
      </c>
      <c r="AA93" s="66">
        <f>IF(VLOOKUP($D93,$C$5:$AU$493,3,)=0,0,(VLOOKUP($D93,$C$5:$AU$493,25,)/VLOOKUP($D93,$C$5:$AU$493,3,))*$E93)</f>
        <v>0</v>
      </c>
      <c r="AB93" s="66">
        <f>IF(VLOOKUP($D93,$C$5:$AU$493,3,)=0,0,(VLOOKUP($D93,$C$5:$AU$493,26,)/VLOOKUP($D93,$C$5:$AU$493,3,))*$E93)</f>
        <v>0</v>
      </c>
      <c r="AC93" s="66">
        <f>IF(VLOOKUP($D93,$C$5:$AU$493,3,)=0,0,(VLOOKUP($D93,$C$5:$AU$493,27,)/VLOOKUP($D93,$C$5:$AU$493,3,))*$E93)</f>
        <v>0</v>
      </c>
      <c r="AD93" s="66">
        <f>IF(VLOOKUP($D93,$C$5:$AU$493,3,)=0,0,(VLOOKUP($D93,$C$5:$AU$493,28,)/VLOOKUP($D93,$C$5:$AU$493,3,))*$E93)</f>
        <v>0</v>
      </c>
      <c r="AE93" s="66">
        <f>IF(VLOOKUP($D93,$C$5:$AU$493,3,)=0,0,(VLOOKUP($D93,$C$5:$AU$493,29,)/VLOOKUP($D93,$C$5:$AU$493,3,))*$E93)</f>
        <v>0</v>
      </c>
      <c r="AF93" s="66">
        <f>IF(VLOOKUP($D93,$C$5:$AU$493,3,)=0,0,(VLOOKUP($D93,$C$5:$AU$493,30,)/VLOOKUP($D93,$C$5:$AU$493,3,))*$E93)</f>
        <v>0</v>
      </c>
      <c r="AG93" s="89">
        <f>SUM(F93:AF93)</f>
        <v>1448941.8333743617</v>
      </c>
      <c r="AH93" s="27" t="str">
        <f>IF(ABS(E93-AG93)&lt;0.01,"ok","err")</f>
        <v>ok</v>
      </c>
    </row>
    <row r="94" spans="1:34" x14ac:dyDescent="0.2">
      <c r="E94" s="49"/>
    </row>
    <row r="95" spans="1:34" x14ac:dyDescent="0.2">
      <c r="A95" s="13" t="s">
        <v>2</v>
      </c>
      <c r="E95" s="49"/>
    </row>
    <row r="96" spans="1:34" x14ac:dyDescent="0.2">
      <c r="A96" s="92" t="s">
        <v>207</v>
      </c>
      <c r="C96" s="14" t="s">
        <v>252</v>
      </c>
      <c r="D96" s="14" t="s">
        <v>607</v>
      </c>
      <c r="E96" s="66">
        <f>'Func &amp; Classif'!O144</f>
        <v>95241050.299314886</v>
      </c>
      <c r="F96" s="66">
        <f>IF(VLOOKUP($D96,$C$5:$AU$493,3,)=0,0,(VLOOKUP($D96,$C$5:$AU$493,4,)/VLOOKUP($D96,$C$5:$AU$493,3,))*$E96)</f>
        <v>79428994.883202717</v>
      </c>
      <c r="G96" s="66">
        <f>IF(VLOOKUP($D96,$C$5:$AU$493,3,)=0,0,(VLOOKUP($D96,$C$5:$AU$493,5,)/VLOOKUP($D96,$C$5:$AU$493,3,))*$E96)</f>
        <v>14845.624083604696</v>
      </c>
      <c r="H96" s="66">
        <f>IF(VLOOKUP($D96,$C$5:$AU$493,3,)=0,0,(VLOOKUP($D96,$C$5:$AU$493,6,)/VLOOKUP($D96,$C$5:$AU$493,3,))*$E96)</f>
        <v>547045.04018637573</v>
      </c>
      <c r="I96" s="66">
        <f>IF(VLOOKUP($D96,$C$5:$AU$493,3,)=0,0,(VLOOKUP($D96,$C$5:$AU$493,7,)/VLOOKUP($D96,$C$5:$AU$493,3,))*$E96)</f>
        <v>4268015.024730091</v>
      </c>
      <c r="J96" s="66">
        <f>IF(VLOOKUP($D96,$C$5:$AU$493,3,)=0,0,(VLOOKUP($D96,$C$5:$AU$493,8,)/VLOOKUP($D96,$C$5:$AU$493,3,))*$E96)</f>
        <v>551286.35588923586</v>
      </c>
      <c r="K96" s="66">
        <f>IF(VLOOKUP($D96,$C$5:$AU$493,3,)=0,0,(VLOOKUP($D96,$C$5:$AU$493,9,)/VLOOKUP($D96,$C$5:$AU$493,3,))*$E96)</f>
        <v>1363580.7314961606</v>
      </c>
      <c r="L96" s="66">
        <f>IF(VLOOKUP($D96,$C$5:$AU$493,3,)=0,0,(VLOOKUP($D96,$C$5:$AU$493,10,)/VLOOKUP($D96,$C$5:$AU$493,3,))*$E96)</f>
        <v>3775632.501138614</v>
      </c>
      <c r="M96" s="66">
        <f>IF(VLOOKUP($D96,$C$5:$AU$493,3,)=0,0,(VLOOKUP($D96,$C$5:$AU$493,11,)/VLOOKUP($D96,$C$5:$AU$493,3,))*$E96)</f>
        <v>1763122.176375848</v>
      </c>
      <c r="N96" s="66">
        <f>IF(VLOOKUP($D96,$C$5:$AU$493,3,)=0,0,(VLOOKUP($D96,$C$5:$AU$493,12,)/VLOOKUP($D96,$C$5:$AU$493,3,))*$E96)</f>
        <v>3345475.9116145326</v>
      </c>
      <c r="O96" s="66">
        <f>IF(VLOOKUP($D96,$C$5:$AU$493,3,)=0,0,(VLOOKUP($D96,$C$5:$AU$493,13,)/VLOOKUP($D96,$C$5:$AU$493,3,))*$E96)</f>
        <v>0</v>
      </c>
      <c r="P96" s="66">
        <f>IF(VLOOKUP($D96,$C$5:$AU$493,3,)=0,0,(VLOOKUP($D96,$C$5:$AU$493,14,)/VLOOKUP($D96,$C$5:$AU$493,3,))*$E96)</f>
        <v>183052.05059771269</v>
      </c>
      <c r="Q96" s="66">
        <f>IF(VLOOKUP($D96,$C$5:$AU$493,3,)=0,0,(VLOOKUP($D96,$C$5:$AU$493,15,)/VLOOKUP($D96,$C$5:$AU$493,3,))*$E96)</f>
        <v>0</v>
      </c>
      <c r="R96" s="66">
        <f>IF(VLOOKUP($D96,$C$5:$AU$493,3,)=0,0,(VLOOKUP($D96,$C$5:$AU$493,16,)/VLOOKUP($D96,$C$5:$AU$493,3,))*$E96)</f>
        <v>0</v>
      </c>
      <c r="S96" s="66">
        <f>IF(VLOOKUP($D96,$C$5:$AU$493,3,)=0,0,(VLOOKUP($D96,$C$5:$AU$493,17,)/VLOOKUP($D96,$C$5:$AU$493,3,))*$E96)</f>
        <v>0</v>
      </c>
      <c r="T96" s="66">
        <f>IF(VLOOKUP($D96,$C$5:$AU$493,3,)=0,0,(VLOOKUP($D96,$C$5:$AU$493,18,)/VLOOKUP($D96,$C$5:$AU$493,3,))*$E96)</f>
        <v>0</v>
      </c>
      <c r="U96" s="66">
        <f>IF(VLOOKUP($D96,$C$5:$AU$493,3,)=0,0,(VLOOKUP($D96,$C$5:$AU$493,19,)/VLOOKUP($D96,$C$5:$AU$493,3,))*$E96)</f>
        <v>0</v>
      </c>
      <c r="V96" s="66">
        <f>IF(VLOOKUP($D96,$C$5:$AU$493,3,)=0,0,(VLOOKUP($D96,$C$5:$AU$493,20,)/VLOOKUP($D96,$C$5:$AU$493,3,))*$E96)</f>
        <v>0</v>
      </c>
      <c r="W96" s="66">
        <f>IF(VLOOKUP($D96,$C$5:$AU$493,3,)=0,0,(VLOOKUP($D96,$C$5:$AU$493,21,)/VLOOKUP($D96,$C$5:$AU$493,3,))*$E96)</f>
        <v>0</v>
      </c>
      <c r="X96" s="66">
        <f>IF(VLOOKUP($D96,$C$5:$AU$493,3,)=0,0,(VLOOKUP($D96,$C$5:$AU$493,22,)/VLOOKUP($D96,$C$5:$AU$493,3,))*$E96)</f>
        <v>0</v>
      </c>
      <c r="Y96" s="66">
        <f>IF(VLOOKUP($D96,$C$5:$AU$493,3,)=0,0,(VLOOKUP($D96,$C$5:$AU$493,23,)/VLOOKUP($D96,$C$5:$AU$493,3,))*$E96)</f>
        <v>0</v>
      </c>
      <c r="Z96" s="66">
        <f>IF(VLOOKUP($D96,$C$5:$AU$493,3,)=0,0,(VLOOKUP($D96,$C$5:$AU$493,24,)/VLOOKUP($D96,$C$5:$AU$493,3,))*$E96)</f>
        <v>0</v>
      </c>
      <c r="AA96" s="66">
        <f>IF(VLOOKUP($D96,$C$5:$AU$493,3,)=0,0,(VLOOKUP($D96,$C$5:$AU$493,25,)/VLOOKUP($D96,$C$5:$AU$493,3,))*$E96)</f>
        <v>0</v>
      </c>
      <c r="AB96" s="66">
        <f>IF(VLOOKUP($D96,$C$5:$AU$493,3,)=0,0,(VLOOKUP($D96,$C$5:$AU$493,26,)/VLOOKUP($D96,$C$5:$AU$493,3,))*$E96)</f>
        <v>0</v>
      </c>
      <c r="AC96" s="66">
        <f>IF(VLOOKUP($D96,$C$5:$AU$493,3,)=0,0,(VLOOKUP($D96,$C$5:$AU$493,27,)/VLOOKUP($D96,$C$5:$AU$493,3,))*$E96)</f>
        <v>0</v>
      </c>
      <c r="AD96" s="66">
        <f>IF(VLOOKUP($D96,$C$5:$AU$493,3,)=0,0,(VLOOKUP($D96,$C$5:$AU$493,28,)/VLOOKUP($D96,$C$5:$AU$493,3,))*$E96)</f>
        <v>0</v>
      </c>
      <c r="AE96" s="66">
        <f>IF(VLOOKUP($D96,$C$5:$AU$493,3,)=0,0,(VLOOKUP($D96,$C$5:$AU$493,29,)/VLOOKUP($D96,$C$5:$AU$493,3,))*$E96)</f>
        <v>0</v>
      </c>
      <c r="AF96" s="66">
        <f>IF(VLOOKUP($D96,$C$5:$AU$493,3,)=0,0,(VLOOKUP($D96,$C$5:$AU$493,30,)/VLOOKUP($D96,$C$5:$AU$493,3,))*$E96)</f>
        <v>0</v>
      </c>
      <c r="AG96" s="89">
        <f>SUM(F96:AF96)</f>
        <v>95241050.299314886</v>
      </c>
      <c r="AH96" s="27" t="str">
        <f>IF(ABS(E96-AG96)&lt;0.01,"ok","err")</f>
        <v>ok</v>
      </c>
    </row>
    <row r="97" spans="1:34" x14ac:dyDescent="0.2">
      <c r="A97" s="92" t="s">
        <v>219</v>
      </c>
      <c r="C97" s="14" t="s">
        <v>253</v>
      </c>
      <c r="D97" s="14" t="s">
        <v>221</v>
      </c>
      <c r="E97" s="49">
        <f>'Func &amp; Classif'!P144</f>
        <v>63832073.928423643</v>
      </c>
      <c r="F97" s="66">
        <f>IF(VLOOKUP($D97,$C$5:$AU$493,3,)=0,0,(VLOOKUP($D97,$C$5:$AU$493,4,)/VLOOKUP($D97,$C$5:$AU$493,3,))*$E97)</f>
        <v>48759556.704412721</v>
      </c>
      <c r="G97" s="66">
        <f>IF(VLOOKUP($D97,$C$5:$AU$493,3,)=0,0,(VLOOKUP($D97,$C$5:$AU$493,5,)/VLOOKUP($D97,$C$5:$AU$493,3,))*$E97)</f>
        <v>94829.992268950184</v>
      </c>
      <c r="H97" s="66">
        <f>IF(VLOOKUP($D97,$C$5:$AU$493,3,)=0,0,(VLOOKUP($D97,$C$5:$AU$493,6,)/VLOOKUP($D97,$C$5:$AU$493,3,))*$E97)</f>
        <v>15345.094561618624</v>
      </c>
      <c r="I97" s="66">
        <f>IF(VLOOKUP($D97,$C$5:$AU$493,3,)=0,0,(VLOOKUP($D97,$C$5:$AU$493,7,)/VLOOKUP($D97,$C$5:$AU$493,3,))*$E97)</f>
        <v>2452926.8262840016</v>
      </c>
      <c r="J97" s="66">
        <f>IF(VLOOKUP($D97,$C$5:$AU$493,3,)=0,0,(VLOOKUP($D97,$C$5:$AU$493,8,)/VLOOKUP($D97,$C$5:$AU$493,3,))*$E97)</f>
        <v>39304.979052566996</v>
      </c>
      <c r="K97" s="66">
        <f>IF(VLOOKUP($D97,$C$5:$AU$493,3,)=0,0,(VLOOKUP($D97,$C$5:$AU$493,9,)/VLOOKUP($D97,$C$5:$AU$493,3,))*$E97)</f>
        <v>50140.769510552083</v>
      </c>
      <c r="L97" s="66">
        <f>IF(VLOOKUP($D97,$C$5:$AU$493,3,)=0,0,(VLOOKUP($D97,$C$5:$AU$493,10,)/VLOOKUP($D97,$C$5:$AU$493,3,))*$E97)</f>
        <v>23959.884490948378</v>
      </c>
      <c r="M97" s="66">
        <f>IF(VLOOKUP($D97,$C$5:$AU$493,3,)=0,0,(VLOOKUP($D97,$C$5:$AU$493,11,)/VLOOKUP($D97,$C$5:$AU$493,3,))*$E97)</f>
        <v>2422.9096676239933</v>
      </c>
      <c r="N97" s="66">
        <f>IF(VLOOKUP($D97,$C$5:$AU$493,3,)=0,0,(VLOOKUP($D97,$C$5:$AU$493,12,)/VLOOKUP($D97,$C$5:$AU$493,3,))*$E97)</f>
        <v>2422.9096676239933</v>
      </c>
      <c r="O97" s="66">
        <f>IF(VLOOKUP($D97,$C$5:$AU$493,3,)=0,0,(VLOOKUP($D97,$C$5:$AU$493,13,)/VLOOKUP($D97,$C$5:$AU$493,3,))*$E97)</f>
        <v>807.6365558746644</v>
      </c>
      <c r="P97" s="66">
        <f>IF(VLOOKUP($D97,$C$5:$AU$493,3,)=0,0,(VLOOKUP($D97,$C$5:$AU$493,14,)/VLOOKUP($D97,$C$5:$AU$493,3,))*$E97)</f>
        <v>12390356.221951164</v>
      </c>
      <c r="Q97" s="66">
        <f>IF(VLOOKUP($D97,$C$5:$AU$493,3,)=0,0,(VLOOKUP($D97,$C$5:$AU$493,15,)/VLOOKUP($D97,$C$5:$AU$493,3,))*$E97)</f>
        <v>0</v>
      </c>
      <c r="R97" s="66">
        <f>IF(VLOOKUP($D97,$C$5:$AU$493,3,)=0,0,(VLOOKUP($D97,$C$5:$AU$493,16,)/VLOOKUP($D97,$C$5:$AU$493,3,))*$E97)</f>
        <v>0</v>
      </c>
      <c r="S97" s="66">
        <f>IF(VLOOKUP($D97,$C$5:$AU$493,3,)=0,0,(VLOOKUP($D97,$C$5:$AU$493,17,)/VLOOKUP($D97,$C$5:$AU$493,3,))*$E97)</f>
        <v>0</v>
      </c>
      <c r="T97" s="66">
        <f>IF(VLOOKUP($D97,$C$5:$AU$493,3,)=0,0,(VLOOKUP($D97,$C$5:$AU$493,18,)/VLOOKUP($D97,$C$5:$AU$493,3,))*$E97)</f>
        <v>0</v>
      </c>
      <c r="U97" s="66">
        <f>IF(VLOOKUP($D97,$C$5:$AU$493,3,)=0,0,(VLOOKUP($D97,$C$5:$AU$493,19,)/VLOOKUP($D97,$C$5:$AU$493,3,))*$E97)</f>
        <v>0</v>
      </c>
      <c r="V97" s="66">
        <f>IF(VLOOKUP($D97,$C$5:$AU$493,3,)=0,0,(VLOOKUP($D97,$C$5:$AU$493,20,)/VLOOKUP($D97,$C$5:$AU$493,3,))*$E97)</f>
        <v>0</v>
      </c>
      <c r="W97" s="66">
        <f>IF(VLOOKUP($D97,$C$5:$AU$493,3,)=0,0,(VLOOKUP($D97,$C$5:$AU$493,21,)/VLOOKUP($D97,$C$5:$AU$493,3,))*$E97)</f>
        <v>0</v>
      </c>
      <c r="X97" s="66">
        <f>IF(VLOOKUP($D97,$C$5:$AU$493,3,)=0,0,(VLOOKUP($D97,$C$5:$AU$493,22,)/VLOOKUP($D97,$C$5:$AU$493,3,))*$E97)</f>
        <v>0</v>
      </c>
      <c r="Y97" s="66">
        <f>IF(VLOOKUP($D97,$C$5:$AU$493,3,)=0,0,(VLOOKUP($D97,$C$5:$AU$493,23,)/VLOOKUP($D97,$C$5:$AU$493,3,))*$E97)</f>
        <v>0</v>
      </c>
      <c r="Z97" s="66">
        <f>IF(VLOOKUP($D97,$C$5:$AU$493,3,)=0,0,(VLOOKUP($D97,$C$5:$AU$493,24,)/VLOOKUP($D97,$C$5:$AU$493,3,))*$E97)</f>
        <v>0</v>
      </c>
      <c r="AA97" s="66">
        <f>IF(VLOOKUP($D97,$C$5:$AU$493,3,)=0,0,(VLOOKUP($D97,$C$5:$AU$493,25,)/VLOOKUP($D97,$C$5:$AU$493,3,))*$E97)</f>
        <v>0</v>
      </c>
      <c r="AB97" s="66">
        <f>IF(VLOOKUP($D97,$C$5:$AU$493,3,)=0,0,(VLOOKUP($D97,$C$5:$AU$493,26,)/VLOOKUP($D97,$C$5:$AU$493,3,))*$E97)</f>
        <v>0</v>
      </c>
      <c r="AC97" s="66">
        <f>IF(VLOOKUP($D97,$C$5:$AU$493,3,)=0,0,(VLOOKUP($D97,$C$5:$AU$493,27,)/VLOOKUP($D97,$C$5:$AU$493,3,))*$E97)</f>
        <v>0</v>
      </c>
      <c r="AD97" s="66">
        <f>IF(VLOOKUP($D97,$C$5:$AU$493,3,)=0,0,(VLOOKUP($D97,$C$5:$AU$493,28,)/VLOOKUP($D97,$C$5:$AU$493,3,))*$E97)</f>
        <v>0</v>
      </c>
      <c r="AE97" s="66">
        <f>IF(VLOOKUP($D97,$C$5:$AU$493,3,)=0,0,(VLOOKUP($D97,$C$5:$AU$493,29,)/VLOOKUP($D97,$C$5:$AU$493,3,))*$E97)</f>
        <v>0</v>
      </c>
      <c r="AF97" s="66">
        <f>IF(VLOOKUP($D97,$C$5:$AU$493,3,)=0,0,(VLOOKUP($D97,$C$5:$AU$493,30,)/VLOOKUP($D97,$C$5:$AU$493,3,))*$E97)</f>
        <v>0</v>
      </c>
      <c r="AG97" s="89">
        <f>SUM(F97:AF97)</f>
        <v>63832073.928423651</v>
      </c>
      <c r="AH97" s="27" t="str">
        <f>IF(ABS(E97-AG97)&lt;0.01,"ok","err")</f>
        <v>ok</v>
      </c>
    </row>
    <row r="98" spans="1:34" x14ac:dyDescent="0.2">
      <c r="A98" s="14" t="s">
        <v>222</v>
      </c>
      <c r="E98" s="66">
        <f t="shared" ref="E98:T98" si="18">E96+E97</f>
        <v>159073124.22773853</v>
      </c>
      <c r="F98" s="66">
        <f t="shared" si="18"/>
        <v>128188551.58761543</v>
      </c>
      <c r="G98" s="66">
        <f t="shared" si="18"/>
        <v>109675.61635255488</v>
      </c>
      <c r="H98" s="66">
        <f t="shared" si="18"/>
        <v>562390.13474799437</v>
      </c>
      <c r="I98" s="66">
        <f t="shared" si="18"/>
        <v>6720941.8510140926</v>
      </c>
      <c r="J98" s="66">
        <f t="shared" si="18"/>
        <v>590591.3349418029</v>
      </c>
      <c r="K98" s="66">
        <f t="shared" si="18"/>
        <v>1413721.5010067127</v>
      </c>
      <c r="L98" s="66">
        <f t="shared" si="18"/>
        <v>3799592.3856295622</v>
      </c>
      <c r="M98" s="66">
        <f t="shared" si="18"/>
        <v>1765545.0860434719</v>
      </c>
      <c r="N98" s="66">
        <f t="shared" si="18"/>
        <v>3347898.8212821567</v>
      </c>
      <c r="O98" s="66">
        <f t="shared" si="18"/>
        <v>807.6365558746644</v>
      </c>
      <c r="P98" s="66">
        <f t="shared" si="18"/>
        <v>12573408.272548877</v>
      </c>
      <c r="Q98" s="66">
        <f t="shared" si="18"/>
        <v>0</v>
      </c>
      <c r="R98" s="66">
        <f t="shared" si="18"/>
        <v>0</v>
      </c>
      <c r="S98" s="66">
        <f t="shared" si="18"/>
        <v>0</v>
      </c>
      <c r="T98" s="66">
        <f t="shared" si="18"/>
        <v>0</v>
      </c>
      <c r="U98" s="66">
        <f t="shared" ref="U98:AF98" si="19">U96+U97</f>
        <v>0</v>
      </c>
      <c r="V98" s="66">
        <f t="shared" si="19"/>
        <v>0</v>
      </c>
      <c r="W98" s="66">
        <f t="shared" si="19"/>
        <v>0</v>
      </c>
      <c r="X98" s="66">
        <f t="shared" si="19"/>
        <v>0</v>
      </c>
      <c r="Y98" s="66">
        <f t="shared" si="19"/>
        <v>0</v>
      </c>
      <c r="Z98" s="66">
        <f t="shared" si="19"/>
        <v>0</v>
      </c>
      <c r="AA98" s="66">
        <f t="shared" si="19"/>
        <v>0</v>
      </c>
      <c r="AB98" s="66">
        <f t="shared" si="19"/>
        <v>0</v>
      </c>
      <c r="AC98" s="66">
        <f t="shared" si="19"/>
        <v>0</v>
      </c>
      <c r="AD98" s="66">
        <f t="shared" si="19"/>
        <v>0</v>
      </c>
      <c r="AE98" s="66">
        <f t="shared" si="19"/>
        <v>0</v>
      </c>
      <c r="AF98" s="66">
        <f t="shared" si="19"/>
        <v>0</v>
      </c>
      <c r="AG98" s="89">
        <f>SUM(F98:AF98)</f>
        <v>159073124.22773856</v>
      </c>
      <c r="AH98" s="27" t="str">
        <f>IF(ABS(E98-AG98)&lt;0.01,"ok","err")</f>
        <v>ok</v>
      </c>
    </row>
    <row r="99" spans="1:34" x14ac:dyDescent="0.2">
      <c r="E99" s="49"/>
    </row>
    <row r="100" spans="1:34" x14ac:dyDescent="0.2">
      <c r="A100" s="13" t="s">
        <v>3</v>
      </c>
      <c r="E100" s="49"/>
    </row>
    <row r="101" spans="1:34" x14ac:dyDescent="0.2">
      <c r="A101" s="92" t="s">
        <v>207</v>
      </c>
      <c r="C101" s="14" t="s">
        <v>254</v>
      </c>
      <c r="D101" s="14" t="s">
        <v>618</v>
      </c>
      <c r="E101" s="66">
        <f>'Func &amp; Classif'!R144</f>
        <v>0</v>
      </c>
      <c r="F101" s="66">
        <f>IF(VLOOKUP($D101,$C$5:$AU$493,3,)=0,0,(VLOOKUP($D101,$C$5:$AU$493,4,)/VLOOKUP($D101,$C$5:$AU$493,3,))*$E101)</f>
        <v>0</v>
      </c>
      <c r="G101" s="66">
        <f>IF(VLOOKUP($D101,$C$5:$AU$493,3,)=0,0,(VLOOKUP($D101,$C$5:$AU$493,5,)/VLOOKUP($D101,$C$5:$AU$493,3,))*$E101)</f>
        <v>0</v>
      </c>
      <c r="H101" s="66">
        <f>IF(VLOOKUP($D101,$C$5:$AU$493,3,)=0,0,(VLOOKUP($D101,$C$5:$AU$493,6,)/VLOOKUP($D101,$C$5:$AU$493,3,))*$E101)</f>
        <v>0</v>
      </c>
      <c r="I101" s="66">
        <f>IF(VLOOKUP($D101,$C$5:$AU$493,3,)=0,0,(VLOOKUP($D101,$C$5:$AU$493,7,)/VLOOKUP($D101,$C$5:$AU$493,3,))*$E101)</f>
        <v>0</v>
      </c>
      <c r="J101" s="66">
        <f>IF(VLOOKUP($D101,$C$5:$AU$493,3,)=0,0,(VLOOKUP($D101,$C$5:$AU$493,8,)/VLOOKUP($D101,$C$5:$AU$493,3,))*$E101)</f>
        <v>0</v>
      </c>
      <c r="K101" s="66">
        <f>IF(VLOOKUP($D101,$C$5:$AU$493,3,)=0,0,(VLOOKUP($D101,$C$5:$AU$493,9,)/VLOOKUP($D101,$C$5:$AU$493,3,))*$E101)</f>
        <v>0</v>
      </c>
      <c r="L101" s="66">
        <f>IF(VLOOKUP($D101,$C$5:$AU$493,3,)=0,0,(VLOOKUP($D101,$C$5:$AU$493,10,)/VLOOKUP($D101,$C$5:$AU$493,3,))*$E101)</f>
        <v>0</v>
      </c>
      <c r="M101" s="66">
        <f>IF(VLOOKUP($D101,$C$5:$AU$493,3,)=0,0,(VLOOKUP($D101,$C$5:$AU$493,11,)/VLOOKUP($D101,$C$5:$AU$493,3,))*$E101)</f>
        <v>0</v>
      </c>
      <c r="N101" s="66">
        <f>IF(VLOOKUP($D101,$C$5:$AU$493,3,)=0,0,(VLOOKUP($D101,$C$5:$AU$493,12,)/VLOOKUP($D101,$C$5:$AU$493,3,))*$E101)</f>
        <v>0</v>
      </c>
      <c r="O101" s="66">
        <f>IF(VLOOKUP($D101,$C$5:$AU$493,3,)=0,0,(VLOOKUP($D101,$C$5:$AU$493,13,)/VLOOKUP($D101,$C$5:$AU$493,3,))*$E101)</f>
        <v>0</v>
      </c>
      <c r="P101" s="66">
        <f>IF(VLOOKUP($D101,$C$5:$AU$493,3,)=0,0,(VLOOKUP($D101,$C$5:$AU$493,14,)/VLOOKUP($D101,$C$5:$AU$493,3,))*$E101)</f>
        <v>0</v>
      </c>
      <c r="Q101" s="66">
        <f>IF(VLOOKUP($D101,$C$5:$AU$493,3,)=0,0,(VLOOKUP($D101,$C$5:$AU$493,15,)/VLOOKUP($D101,$C$5:$AU$493,3,))*$E101)</f>
        <v>0</v>
      </c>
      <c r="R101" s="66">
        <f>IF(VLOOKUP($D101,$C$5:$AU$493,3,)=0,0,(VLOOKUP($D101,$C$5:$AU$493,16,)/VLOOKUP($D101,$C$5:$AU$493,3,))*$E101)</f>
        <v>0</v>
      </c>
      <c r="S101" s="66">
        <f>IF(VLOOKUP($D101,$C$5:$AU$493,3,)=0,0,(VLOOKUP($D101,$C$5:$AU$493,17,)/VLOOKUP($D101,$C$5:$AU$493,3,))*$E101)</f>
        <v>0</v>
      </c>
      <c r="T101" s="66">
        <f>IF(VLOOKUP($D101,$C$5:$AU$493,3,)=0,0,(VLOOKUP($D101,$C$5:$AU$493,18,)/VLOOKUP($D101,$C$5:$AU$493,3,))*$E101)</f>
        <v>0</v>
      </c>
      <c r="U101" s="66">
        <f>IF(VLOOKUP($D101,$C$5:$AU$493,3,)=0,0,(VLOOKUP($D101,$C$5:$AU$493,19,)/VLOOKUP($D101,$C$5:$AU$493,3,))*$E101)</f>
        <v>0</v>
      </c>
      <c r="V101" s="66">
        <f>IF(VLOOKUP($D101,$C$5:$AU$493,3,)=0,0,(VLOOKUP($D101,$C$5:$AU$493,20,)/VLOOKUP($D101,$C$5:$AU$493,3,))*$E101)</f>
        <v>0</v>
      </c>
      <c r="W101" s="66">
        <f>IF(VLOOKUP($D101,$C$5:$AU$493,3,)=0,0,(VLOOKUP($D101,$C$5:$AU$493,21,)/VLOOKUP($D101,$C$5:$AU$493,3,))*$E101)</f>
        <v>0</v>
      </c>
      <c r="X101" s="66">
        <f>IF(VLOOKUP($D101,$C$5:$AU$493,3,)=0,0,(VLOOKUP($D101,$C$5:$AU$493,22,)/VLOOKUP($D101,$C$5:$AU$493,3,))*$E101)</f>
        <v>0</v>
      </c>
      <c r="Y101" s="66">
        <f>IF(VLOOKUP($D101,$C$5:$AU$493,3,)=0,0,(VLOOKUP($D101,$C$5:$AU$493,23,)/VLOOKUP($D101,$C$5:$AU$493,3,))*$E101)</f>
        <v>0</v>
      </c>
      <c r="Z101" s="66">
        <f>IF(VLOOKUP($D101,$C$5:$AU$493,3,)=0,0,(VLOOKUP($D101,$C$5:$AU$493,24,)/VLOOKUP($D101,$C$5:$AU$493,3,))*$E101)</f>
        <v>0</v>
      </c>
      <c r="AA101" s="66">
        <f>IF(VLOOKUP($D101,$C$5:$AU$493,3,)=0,0,(VLOOKUP($D101,$C$5:$AU$493,25,)/VLOOKUP($D101,$C$5:$AU$493,3,))*$E101)</f>
        <v>0</v>
      </c>
      <c r="AB101" s="66">
        <f>IF(VLOOKUP($D101,$C$5:$AU$493,3,)=0,0,(VLOOKUP($D101,$C$5:$AU$493,26,)/VLOOKUP($D101,$C$5:$AU$493,3,))*$E101)</f>
        <v>0</v>
      </c>
      <c r="AC101" s="66">
        <f>IF(VLOOKUP($D101,$C$5:$AU$493,3,)=0,0,(VLOOKUP($D101,$C$5:$AU$493,27,)/VLOOKUP($D101,$C$5:$AU$493,3,))*$E101)</f>
        <v>0</v>
      </c>
      <c r="AD101" s="66">
        <f>IF(VLOOKUP($D101,$C$5:$AU$493,3,)=0,0,(VLOOKUP($D101,$C$5:$AU$493,28,)/VLOOKUP($D101,$C$5:$AU$493,3,))*$E101)</f>
        <v>0</v>
      </c>
      <c r="AE101" s="66">
        <f>IF(VLOOKUP($D101,$C$5:$AU$493,3,)=0,0,(VLOOKUP($D101,$C$5:$AU$493,29,)/VLOOKUP($D101,$C$5:$AU$493,3,))*$E101)</f>
        <v>0</v>
      </c>
      <c r="AF101" s="66">
        <f>IF(VLOOKUP($D101,$C$5:$AU$493,3,)=0,0,(VLOOKUP($D101,$C$5:$AU$493,30,)/VLOOKUP($D101,$C$5:$AU$493,3,))*$E101)</f>
        <v>0</v>
      </c>
      <c r="AG101" s="89">
        <f>SUM(F101:AF101)</f>
        <v>0</v>
      </c>
      <c r="AH101" s="27" t="str">
        <f>IF(ABS(E101-AG101)&lt;0.01,"ok","err")</f>
        <v>ok</v>
      </c>
    </row>
    <row r="102" spans="1:34" x14ac:dyDescent="0.2">
      <c r="A102" s="92" t="s">
        <v>219</v>
      </c>
      <c r="C102" s="14" t="s">
        <v>255</v>
      </c>
      <c r="D102" s="14" t="s">
        <v>700</v>
      </c>
      <c r="E102" s="49">
        <f>'Func &amp; Classif'!S144</f>
        <v>26444413.711371422</v>
      </c>
      <c r="F102" s="66">
        <f>IF(VLOOKUP($D102,$C$5:$AU$493,3,)=0,0,(VLOOKUP($D102,$C$5:$AU$493,4,)/VLOOKUP($D102,$C$5:$AU$493,3,))*$E102)</f>
        <v>24344188.986604877</v>
      </c>
      <c r="G102" s="66">
        <f>IF(VLOOKUP($D102,$C$5:$AU$493,3,)=0,0,(VLOOKUP($D102,$C$5:$AU$493,5,)/VLOOKUP($D102,$C$5:$AU$493,3,))*$E102)</f>
        <v>47345.780179840694</v>
      </c>
      <c r="H102" s="66">
        <f>IF(VLOOKUP($D102,$C$5:$AU$493,3,)=0,0,(VLOOKUP($D102,$C$5:$AU$493,6,)/VLOOKUP($D102,$C$5:$AU$493,3,))*$E102)</f>
        <v>7661.3469701942358</v>
      </c>
      <c r="I102" s="66">
        <f>IF(VLOOKUP($D102,$C$5:$AU$493,3,)=0,0,(VLOOKUP($D102,$C$5:$AU$493,7,)/VLOOKUP($D102,$C$5:$AU$493,3,))*$E102)</f>
        <v>1466600.8235808946</v>
      </c>
      <c r="J102" s="66">
        <f>IF(VLOOKUP($D102,$C$5:$AU$493,3,)=0,0,(VLOOKUP($D102,$C$5:$AU$493,8,)/VLOOKUP($D102,$C$5:$AU$493,3,))*$E102)</f>
        <v>23500.380864052091</v>
      </c>
      <c r="K102" s="66">
        <f>IF(VLOOKUP($D102,$C$5:$AU$493,3,)=0,0,(VLOOKUP($D102,$C$5:$AU$493,9,)/VLOOKUP($D102,$C$5:$AU$493,3,))*$E102)</f>
        <v>192602.99257731889</v>
      </c>
      <c r="L102" s="66">
        <f>IF(VLOOKUP($D102,$C$5:$AU$493,3,)=0,0,(VLOOKUP($D102,$C$5:$AU$493,10,)/VLOOKUP($D102,$C$5:$AU$493,3,))*$E102)</f>
        <v>222976.15782442229</v>
      </c>
      <c r="M102" s="66">
        <f>IF(VLOOKUP($D102,$C$5:$AU$493,3,)=0,0,(VLOOKUP($D102,$C$5:$AU$493,11,)/VLOOKUP($D102,$C$5:$AU$493,3,))*$E102)</f>
        <v>23948.063497753406</v>
      </c>
      <c r="N102" s="66">
        <f>IF(VLOOKUP($D102,$C$5:$AU$493,3,)=0,0,(VLOOKUP($D102,$C$5:$AU$493,12,)/VLOOKUP($D102,$C$5:$AU$493,3,))*$E102)</f>
        <v>115589.17927207472</v>
      </c>
      <c r="O102" s="66">
        <f>IF(VLOOKUP($D102,$C$5:$AU$493,3,)=0,0,(VLOOKUP($D102,$C$5:$AU$493,13,)/VLOOKUP($D102,$C$5:$AU$493,3,))*$E102)</f>
        <v>0</v>
      </c>
      <c r="P102" s="66">
        <f>IF(VLOOKUP($D102,$C$5:$AU$493,3,)=0,0,(VLOOKUP($D102,$C$5:$AU$493,14,)/VLOOKUP($D102,$C$5:$AU$493,3,))*$E102)</f>
        <v>0</v>
      </c>
      <c r="Q102" s="66">
        <f>IF(VLOOKUP($D102,$C$5:$AU$493,3,)=0,0,(VLOOKUP($D102,$C$5:$AU$493,15,)/VLOOKUP($D102,$C$5:$AU$493,3,))*$E102)</f>
        <v>0</v>
      </c>
      <c r="R102" s="66">
        <f>IF(VLOOKUP($D102,$C$5:$AU$493,3,)=0,0,(VLOOKUP($D102,$C$5:$AU$493,16,)/VLOOKUP($D102,$C$5:$AU$493,3,))*$E102)</f>
        <v>0</v>
      </c>
      <c r="S102" s="66">
        <f>IF(VLOOKUP($D102,$C$5:$AU$493,3,)=0,0,(VLOOKUP($D102,$C$5:$AU$493,17,)/VLOOKUP($D102,$C$5:$AU$493,3,))*$E102)</f>
        <v>0</v>
      </c>
      <c r="T102" s="66">
        <f>IF(VLOOKUP($D102,$C$5:$AU$493,3,)=0,0,(VLOOKUP($D102,$C$5:$AU$493,18,)/VLOOKUP($D102,$C$5:$AU$493,3,))*$E102)</f>
        <v>0</v>
      </c>
      <c r="U102" s="66">
        <f>IF(VLOOKUP($D102,$C$5:$AU$493,3,)=0,0,(VLOOKUP($D102,$C$5:$AU$493,19,)/VLOOKUP($D102,$C$5:$AU$493,3,))*$E102)</f>
        <v>0</v>
      </c>
      <c r="V102" s="66">
        <f>IF(VLOOKUP($D102,$C$5:$AU$493,3,)=0,0,(VLOOKUP($D102,$C$5:$AU$493,20,)/VLOOKUP($D102,$C$5:$AU$493,3,))*$E102)</f>
        <v>0</v>
      </c>
      <c r="W102" s="66">
        <f>IF(VLOOKUP($D102,$C$5:$AU$493,3,)=0,0,(VLOOKUP($D102,$C$5:$AU$493,21,)/VLOOKUP($D102,$C$5:$AU$493,3,))*$E102)</f>
        <v>0</v>
      </c>
      <c r="X102" s="66">
        <f>IF(VLOOKUP($D102,$C$5:$AU$493,3,)=0,0,(VLOOKUP($D102,$C$5:$AU$493,22,)/VLOOKUP($D102,$C$5:$AU$493,3,))*$E102)</f>
        <v>0</v>
      </c>
      <c r="Y102" s="66">
        <f>IF(VLOOKUP($D102,$C$5:$AU$493,3,)=0,0,(VLOOKUP($D102,$C$5:$AU$493,23,)/VLOOKUP($D102,$C$5:$AU$493,3,))*$E102)</f>
        <v>0</v>
      </c>
      <c r="Z102" s="66">
        <f>IF(VLOOKUP($D102,$C$5:$AU$493,3,)=0,0,(VLOOKUP($D102,$C$5:$AU$493,24,)/VLOOKUP($D102,$C$5:$AU$493,3,))*$E102)</f>
        <v>0</v>
      </c>
      <c r="AA102" s="66">
        <f>IF(VLOOKUP($D102,$C$5:$AU$493,3,)=0,0,(VLOOKUP($D102,$C$5:$AU$493,25,)/VLOOKUP($D102,$C$5:$AU$493,3,))*$E102)</f>
        <v>0</v>
      </c>
      <c r="AB102" s="66">
        <f>IF(VLOOKUP($D102,$C$5:$AU$493,3,)=0,0,(VLOOKUP($D102,$C$5:$AU$493,26,)/VLOOKUP($D102,$C$5:$AU$493,3,))*$E102)</f>
        <v>0</v>
      </c>
      <c r="AC102" s="66">
        <f>IF(VLOOKUP($D102,$C$5:$AU$493,3,)=0,0,(VLOOKUP($D102,$C$5:$AU$493,27,)/VLOOKUP($D102,$C$5:$AU$493,3,))*$E102)</f>
        <v>0</v>
      </c>
      <c r="AD102" s="66">
        <f>IF(VLOOKUP($D102,$C$5:$AU$493,3,)=0,0,(VLOOKUP($D102,$C$5:$AU$493,28,)/VLOOKUP($D102,$C$5:$AU$493,3,))*$E102)</f>
        <v>0</v>
      </c>
      <c r="AE102" s="66">
        <f>IF(VLOOKUP($D102,$C$5:$AU$493,3,)=0,0,(VLOOKUP($D102,$C$5:$AU$493,29,)/VLOOKUP($D102,$C$5:$AU$493,3,))*$E102)</f>
        <v>0</v>
      </c>
      <c r="AF102" s="66">
        <f>IF(VLOOKUP($D102,$C$5:$AU$493,3,)=0,0,(VLOOKUP($D102,$C$5:$AU$493,30,)/VLOOKUP($D102,$C$5:$AU$493,3,))*$E102)</f>
        <v>0</v>
      </c>
      <c r="AG102" s="89">
        <f>SUM(F102:AF102)</f>
        <v>26444413.711371422</v>
      </c>
      <c r="AH102" s="27" t="str">
        <f>IF(ABS(E102-AG102)&lt;0.01,"ok","err")</f>
        <v>ok</v>
      </c>
    </row>
    <row r="103" spans="1:34" x14ac:dyDescent="0.2">
      <c r="A103" s="14" t="s">
        <v>226</v>
      </c>
      <c r="E103" s="66">
        <f t="shared" ref="E103:T103" si="20">E101+E102</f>
        <v>26444413.711371422</v>
      </c>
      <c r="F103" s="66">
        <f t="shared" si="20"/>
        <v>24344188.986604877</v>
      </c>
      <c r="G103" s="66">
        <f t="shared" si="20"/>
        <v>47345.780179840694</v>
      </c>
      <c r="H103" s="66">
        <f t="shared" si="20"/>
        <v>7661.3469701942358</v>
      </c>
      <c r="I103" s="66">
        <f t="shared" si="20"/>
        <v>1466600.8235808946</v>
      </c>
      <c r="J103" s="66">
        <f t="shared" si="20"/>
        <v>23500.380864052091</v>
      </c>
      <c r="K103" s="66">
        <f t="shared" si="20"/>
        <v>192602.99257731889</v>
      </c>
      <c r="L103" s="66">
        <f t="shared" si="20"/>
        <v>222976.15782442229</v>
      </c>
      <c r="M103" s="66">
        <f t="shared" si="20"/>
        <v>23948.063497753406</v>
      </c>
      <c r="N103" s="66">
        <f t="shared" si="20"/>
        <v>115589.17927207472</v>
      </c>
      <c r="O103" s="66">
        <f t="shared" si="20"/>
        <v>0</v>
      </c>
      <c r="P103" s="66">
        <f t="shared" si="20"/>
        <v>0</v>
      </c>
      <c r="Q103" s="66">
        <f t="shared" si="20"/>
        <v>0</v>
      </c>
      <c r="R103" s="66">
        <f t="shared" si="20"/>
        <v>0</v>
      </c>
      <c r="S103" s="66">
        <f t="shared" si="20"/>
        <v>0</v>
      </c>
      <c r="T103" s="66">
        <f t="shared" si="20"/>
        <v>0</v>
      </c>
      <c r="U103" s="66">
        <f t="shared" ref="U103:AF103" si="21">U101+U102</f>
        <v>0</v>
      </c>
      <c r="V103" s="66">
        <f t="shared" si="21"/>
        <v>0</v>
      </c>
      <c r="W103" s="66">
        <f t="shared" si="21"/>
        <v>0</v>
      </c>
      <c r="X103" s="66">
        <f t="shared" si="21"/>
        <v>0</v>
      </c>
      <c r="Y103" s="66">
        <f t="shared" si="21"/>
        <v>0</v>
      </c>
      <c r="Z103" s="66">
        <f t="shared" si="21"/>
        <v>0</v>
      </c>
      <c r="AA103" s="66">
        <f t="shared" si="21"/>
        <v>0</v>
      </c>
      <c r="AB103" s="66">
        <f t="shared" si="21"/>
        <v>0</v>
      </c>
      <c r="AC103" s="66">
        <f t="shared" si="21"/>
        <v>0</v>
      </c>
      <c r="AD103" s="66">
        <f t="shared" si="21"/>
        <v>0</v>
      </c>
      <c r="AE103" s="66">
        <f t="shared" si="21"/>
        <v>0</v>
      </c>
      <c r="AF103" s="66">
        <f t="shared" si="21"/>
        <v>0</v>
      </c>
      <c r="AG103" s="89">
        <f>SUM(F103:AF103)</f>
        <v>26444413.711371422</v>
      </c>
      <c r="AH103" s="27" t="str">
        <f>IF(ABS(E103-AG103)&lt;0.01,"ok","err")</f>
        <v>ok</v>
      </c>
    </row>
    <row r="104" spans="1:34" x14ac:dyDescent="0.2">
      <c r="E104" s="49"/>
    </row>
    <row r="105" spans="1:34" x14ac:dyDescent="0.2">
      <c r="A105" s="13" t="s">
        <v>4</v>
      </c>
      <c r="E105" s="49"/>
    </row>
    <row r="106" spans="1:34" x14ac:dyDescent="0.2">
      <c r="A106" s="92" t="s">
        <v>219</v>
      </c>
      <c r="C106" s="14" t="s">
        <v>256</v>
      </c>
      <c r="D106" s="14" t="s">
        <v>228</v>
      </c>
      <c r="E106" s="66">
        <f>'Func &amp; Classif'!U144</f>
        <v>10366140.99052332</v>
      </c>
      <c r="F106" s="66">
        <f>IF(VLOOKUP($D106,$C$5:$AU$493,3,)=0,0,(VLOOKUP($D106,$C$5:$AU$493,4,)/VLOOKUP($D106,$C$5:$AU$493,3,))*$E106)</f>
        <v>9740240.6392196883</v>
      </c>
      <c r="G106" s="66">
        <f>IF(VLOOKUP($D106,$C$5:$AU$493,3,)=0,0,(VLOOKUP($D106,$C$5:$AU$493,5,)/VLOOKUP($D106,$C$5:$AU$493,3,))*$E106)</f>
        <v>18943.300697221599</v>
      </c>
      <c r="H106" s="66">
        <f>IF(VLOOKUP($D106,$C$5:$AU$493,3,)=0,0,(VLOOKUP($D106,$C$5:$AU$493,6,)/VLOOKUP($D106,$C$5:$AU$493,3,))*$E106)</f>
        <v>3730.468284121494</v>
      </c>
      <c r="I106" s="66">
        <f>IF(VLOOKUP($D106,$C$5:$AU$493,3,)=0,0,(VLOOKUP($D106,$C$5:$AU$493,7,)/VLOOKUP($D106,$C$5:$AU$493,3,))*$E106)</f>
        <v>440998.42689130193</v>
      </c>
      <c r="J106" s="66">
        <f>IF(VLOOKUP($D106,$C$5:$AU$493,3,)=0,0,(VLOOKUP($D106,$C$5:$AU$493,8,)/VLOOKUP($D106,$C$5:$AU$493,3,))*$E106)</f>
        <v>9555.2345523111944</v>
      </c>
      <c r="K106" s="66">
        <f>IF(VLOOKUP($D106,$C$5:$AU$493,3,)=0,0,(VLOOKUP($D106,$C$5:$AU$493,9,)/VLOOKUP($D106,$C$5:$AU$493,3,))*$E106)</f>
        <v>72054.406487079817</v>
      </c>
      <c r="L106" s="66">
        <f>IF(VLOOKUP($D106,$C$5:$AU$493,3,)=0,0,(VLOOKUP($D106,$C$5:$AU$493,10,)/VLOOKUP($D106,$C$5:$AU$493,3,))*$E106)</f>
        <v>34431.367395168338</v>
      </c>
      <c r="M106" s="66">
        <f>IF(VLOOKUP($D106,$C$5:$AU$493,3,)=0,0,(VLOOKUP($D106,$C$5:$AU$493,11,)/VLOOKUP($D106,$C$5:$AU$493,3,))*$E106)</f>
        <v>5964.7539550244928</v>
      </c>
      <c r="N106" s="66">
        <f>IF(VLOOKUP($D106,$C$5:$AU$493,3,)=0,0,(VLOOKUP($D106,$C$5:$AU$493,12,)/VLOOKUP($D106,$C$5:$AU$493,3,))*$E106)</f>
        <v>40222.393041402982</v>
      </c>
      <c r="O106" s="66">
        <f>IF(VLOOKUP($D106,$C$5:$AU$493,3,)=0,0,(VLOOKUP($D106,$C$5:$AU$493,13,)/VLOOKUP($D106,$C$5:$AU$493,3,))*$E106)</f>
        <v>0</v>
      </c>
      <c r="P106" s="66">
        <f>IF(VLOOKUP($D106,$C$5:$AU$493,3,)=0,0,(VLOOKUP($D106,$C$5:$AU$493,14,)/VLOOKUP($D106,$C$5:$AU$493,3,))*$E106)</f>
        <v>0</v>
      </c>
      <c r="Q106" s="66">
        <f>IF(VLOOKUP($D106,$C$5:$AU$493,3,)=0,0,(VLOOKUP($D106,$C$5:$AU$493,15,)/VLOOKUP($D106,$C$5:$AU$493,3,))*$E106)</f>
        <v>0</v>
      </c>
      <c r="R106" s="66">
        <f>IF(VLOOKUP($D106,$C$5:$AU$493,3,)=0,0,(VLOOKUP($D106,$C$5:$AU$493,16,)/VLOOKUP($D106,$C$5:$AU$493,3,))*$E106)</f>
        <v>0</v>
      </c>
      <c r="S106" s="66">
        <f>IF(VLOOKUP($D106,$C$5:$AU$493,3,)=0,0,(VLOOKUP($D106,$C$5:$AU$493,17,)/VLOOKUP($D106,$C$5:$AU$493,3,))*$E106)</f>
        <v>0</v>
      </c>
      <c r="T106" s="66">
        <f>IF(VLOOKUP($D106,$C$5:$AU$493,3,)=0,0,(VLOOKUP($D106,$C$5:$AU$493,18,)/VLOOKUP($D106,$C$5:$AU$493,3,))*$E106)</f>
        <v>0</v>
      </c>
      <c r="U106" s="66">
        <f>IF(VLOOKUP($D106,$C$5:$AU$493,3,)=0,0,(VLOOKUP($D106,$C$5:$AU$493,19,)/VLOOKUP($D106,$C$5:$AU$493,3,))*$E106)</f>
        <v>0</v>
      </c>
      <c r="V106" s="66">
        <f>IF(VLOOKUP($D106,$C$5:$AU$493,3,)=0,0,(VLOOKUP($D106,$C$5:$AU$493,20,)/VLOOKUP($D106,$C$5:$AU$493,3,))*$E106)</f>
        <v>0</v>
      </c>
      <c r="W106" s="66">
        <f>IF(VLOOKUP($D106,$C$5:$AU$493,3,)=0,0,(VLOOKUP($D106,$C$5:$AU$493,21,)/VLOOKUP($D106,$C$5:$AU$493,3,))*$E106)</f>
        <v>0</v>
      </c>
      <c r="X106" s="66">
        <f>IF(VLOOKUP($D106,$C$5:$AU$493,3,)=0,0,(VLOOKUP($D106,$C$5:$AU$493,22,)/VLOOKUP($D106,$C$5:$AU$493,3,))*$E106)</f>
        <v>0</v>
      </c>
      <c r="Y106" s="66">
        <f>IF(VLOOKUP($D106,$C$5:$AU$493,3,)=0,0,(VLOOKUP($D106,$C$5:$AU$493,23,)/VLOOKUP($D106,$C$5:$AU$493,3,))*$E106)</f>
        <v>0</v>
      </c>
      <c r="Z106" s="66">
        <f>IF(VLOOKUP($D106,$C$5:$AU$493,3,)=0,0,(VLOOKUP($D106,$C$5:$AU$493,24,)/VLOOKUP($D106,$C$5:$AU$493,3,))*$E106)</f>
        <v>0</v>
      </c>
      <c r="AA106" s="66">
        <f>IF(VLOOKUP($D106,$C$5:$AU$493,3,)=0,0,(VLOOKUP($D106,$C$5:$AU$493,25,)/VLOOKUP($D106,$C$5:$AU$493,3,))*$E106)</f>
        <v>0</v>
      </c>
      <c r="AB106" s="66">
        <f>IF(VLOOKUP($D106,$C$5:$AU$493,3,)=0,0,(VLOOKUP($D106,$C$5:$AU$493,26,)/VLOOKUP($D106,$C$5:$AU$493,3,))*$E106)</f>
        <v>0</v>
      </c>
      <c r="AC106" s="66">
        <f>IF(VLOOKUP($D106,$C$5:$AU$493,3,)=0,0,(VLOOKUP($D106,$C$5:$AU$493,27,)/VLOOKUP($D106,$C$5:$AU$493,3,))*$E106)</f>
        <v>0</v>
      </c>
      <c r="AD106" s="66">
        <f>IF(VLOOKUP($D106,$C$5:$AU$493,3,)=0,0,(VLOOKUP($D106,$C$5:$AU$493,28,)/VLOOKUP($D106,$C$5:$AU$493,3,))*$E106)</f>
        <v>0</v>
      </c>
      <c r="AE106" s="66">
        <f>IF(VLOOKUP($D106,$C$5:$AU$493,3,)=0,0,(VLOOKUP($D106,$C$5:$AU$493,29,)/VLOOKUP($D106,$C$5:$AU$493,3,))*$E106)</f>
        <v>0</v>
      </c>
      <c r="AF106" s="66">
        <f>IF(VLOOKUP($D106,$C$5:$AU$493,3,)=0,0,(VLOOKUP($D106,$C$5:$AU$493,30,)/VLOOKUP($D106,$C$5:$AU$493,3,))*$E106)</f>
        <v>0</v>
      </c>
      <c r="AG106" s="89">
        <f>SUM(F106:AF106)</f>
        <v>10366140.99052332</v>
      </c>
      <c r="AH106" s="27" t="str">
        <f>IF(ABS(E106-AG106)&lt;0.01,"ok","err")</f>
        <v>ok</v>
      </c>
    </row>
    <row r="107" spans="1:34" x14ac:dyDescent="0.2">
      <c r="E107" s="49"/>
    </row>
    <row r="108" spans="1:34" x14ac:dyDescent="0.2">
      <c r="A108" s="13" t="s">
        <v>5</v>
      </c>
      <c r="E108" s="49"/>
    </row>
    <row r="109" spans="1:34" x14ac:dyDescent="0.2">
      <c r="A109" s="92" t="s">
        <v>219</v>
      </c>
      <c r="C109" s="14" t="s">
        <v>257</v>
      </c>
      <c r="D109" s="14" t="s">
        <v>230</v>
      </c>
      <c r="E109" s="66">
        <f>'Func &amp; Classif'!W144</f>
        <v>10383478.241169779</v>
      </c>
      <c r="F109" s="66">
        <f>IF(VLOOKUP($D109,$C$5:$AU$493,3,)=0,0,(VLOOKUP($D109,$C$5:$AU$493,4,)/VLOOKUP($D109,$C$5:$AU$493,3,))*$E109)</f>
        <v>0</v>
      </c>
      <c r="G109" s="66">
        <f>IF(VLOOKUP($D109,$C$5:$AU$493,3,)=0,0,(VLOOKUP($D109,$C$5:$AU$493,5,)/VLOOKUP($D109,$C$5:$AU$493,3,))*$E109)</f>
        <v>0</v>
      </c>
      <c r="H109" s="66">
        <f>IF(VLOOKUP($D109,$C$5:$AU$493,3,)=0,0,(VLOOKUP($D109,$C$5:$AU$493,6,)/VLOOKUP($D109,$C$5:$AU$493,3,))*$E109)</f>
        <v>0</v>
      </c>
      <c r="I109" s="66">
        <f>IF(VLOOKUP($D109,$C$5:$AU$493,3,)=0,0,(VLOOKUP($D109,$C$5:$AU$493,7,)/VLOOKUP($D109,$C$5:$AU$493,3,))*$E109)</f>
        <v>0</v>
      </c>
      <c r="J109" s="66">
        <f>IF(VLOOKUP($D109,$C$5:$AU$493,3,)=0,0,(VLOOKUP($D109,$C$5:$AU$493,8,)/VLOOKUP($D109,$C$5:$AU$493,3,))*$E109)</f>
        <v>0</v>
      </c>
      <c r="K109" s="66">
        <f>IF(VLOOKUP($D109,$C$5:$AU$493,3,)=0,0,(VLOOKUP($D109,$C$5:$AU$493,9,)/VLOOKUP($D109,$C$5:$AU$493,3,))*$E109)</f>
        <v>0</v>
      </c>
      <c r="L109" s="66">
        <f>IF(VLOOKUP($D109,$C$5:$AU$493,3,)=0,0,(VLOOKUP($D109,$C$5:$AU$493,10,)/VLOOKUP($D109,$C$5:$AU$493,3,))*$E109)</f>
        <v>0</v>
      </c>
      <c r="M109" s="66">
        <f>IF(VLOOKUP($D109,$C$5:$AU$493,3,)=0,0,(VLOOKUP($D109,$C$5:$AU$493,11,)/VLOOKUP($D109,$C$5:$AU$493,3,))*$E109)</f>
        <v>0</v>
      </c>
      <c r="N109" s="66">
        <f>IF(VLOOKUP($D109,$C$5:$AU$493,3,)=0,0,(VLOOKUP($D109,$C$5:$AU$493,12,)/VLOOKUP($D109,$C$5:$AU$493,3,))*$E109)</f>
        <v>0</v>
      </c>
      <c r="O109" s="66">
        <f>IF(VLOOKUP($D109,$C$5:$AU$493,3,)=0,0,(VLOOKUP($D109,$C$5:$AU$493,13,)/VLOOKUP($D109,$C$5:$AU$493,3,))*$E109)</f>
        <v>0</v>
      </c>
      <c r="P109" s="66">
        <f>IF(VLOOKUP($D109,$C$5:$AU$493,3,)=0,0,(VLOOKUP($D109,$C$5:$AU$493,14,)/VLOOKUP($D109,$C$5:$AU$493,3,))*$E109)</f>
        <v>10383478.241169779</v>
      </c>
      <c r="Q109" s="66">
        <f>IF(VLOOKUP($D109,$C$5:$AU$493,3,)=0,0,(VLOOKUP($D109,$C$5:$AU$493,15,)/VLOOKUP($D109,$C$5:$AU$493,3,))*$E109)</f>
        <v>0</v>
      </c>
      <c r="R109" s="66">
        <f>IF(VLOOKUP($D109,$C$5:$AU$493,3,)=0,0,(VLOOKUP($D109,$C$5:$AU$493,16,)/VLOOKUP($D109,$C$5:$AU$493,3,))*$E109)</f>
        <v>0</v>
      </c>
      <c r="S109" s="66">
        <f>IF(VLOOKUP($D109,$C$5:$AU$493,3,)=0,0,(VLOOKUP($D109,$C$5:$AU$493,17,)/VLOOKUP($D109,$C$5:$AU$493,3,))*$E109)</f>
        <v>0</v>
      </c>
      <c r="T109" s="66">
        <f>IF(VLOOKUP($D109,$C$5:$AU$493,3,)=0,0,(VLOOKUP($D109,$C$5:$AU$493,18,)/VLOOKUP($D109,$C$5:$AU$493,3,))*$E109)</f>
        <v>0</v>
      </c>
      <c r="U109" s="66">
        <f>IF(VLOOKUP($D109,$C$5:$AU$493,3,)=0,0,(VLOOKUP($D109,$C$5:$AU$493,19,)/VLOOKUP($D109,$C$5:$AU$493,3,))*$E109)</f>
        <v>0</v>
      </c>
      <c r="V109" s="66">
        <f>IF(VLOOKUP($D109,$C$5:$AU$493,3,)=0,0,(VLOOKUP($D109,$C$5:$AU$493,20,)/VLOOKUP($D109,$C$5:$AU$493,3,))*$E109)</f>
        <v>0</v>
      </c>
      <c r="W109" s="66">
        <f>IF(VLOOKUP($D109,$C$5:$AU$493,3,)=0,0,(VLOOKUP($D109,$C$5:$AU$493,21,)/VLOOKUP($D109,$C$5:$AU$493,3,))*$E109)</f>
        <v>0</v>
      </c>
      <c r="X109" s="66">
        <f>IF(VLOOKUP($D109,$C$5:$AU$493,3,)=0,0,(VLOOKUP($D109,$C$5:$AU$493,22,)/VLOOKUP($D109,$C$5:$AU$493,3,))*$E109)</f>
        <v>0</v>
      </c>
      <c r="Y109" s="66">
        <f>IF(VLOOKUP($D109,$C$5:$AU$493,3,)=0,0,(VLOOKUP($D109,$C$5:$AU$493,23,)/VLOOKUP($D109,$C$5:$AU$493,3,))*$E109)</f>
        <v>0</v>
      </c>
      <c r="Z109" s="66">
        <f>IF(VLOOKUP($D109,$C$5:$AU$493,3,)=0,0,(VLOOKUP($D109,$C$5:$AU$493,24,)/VLOOKUP($D109,$C$5:$AU$493,3,))*$E109)</f>
        <v>0</v>
      </c>
      <c r="AA109" s="66">
        <f>IF(VLOOKUP($D109,$C$5:$AU$493,3,)=0,0,(VLOOKUP($D109,$C$5:$AU$493,25,)/VLOOKUP($D109,$C$5:$AU$493,3,))*$E109)</f>
        <v>0</v>
      </c>
      <c r="AB109" s="66">
        <f>IF(VLOOKUP($D109,$C$5:$AU$493,3,)=0,0,(VLOOKUP($D109,$C$5:$AU$493,26,)/VLOOKUP($D109,$C$5:$AU$493,3,))*$E109)</f>
        <v>0</v>
      </c>
      <c r="AC109" s="66">
        <f>IF(VLOOKUP($D109,$C$5:$AU$493,3,)=0,0,(VLOOKUP($D109,$C$5:$AU$493,27,)/VLOOKUP($D109,$C$5:$AU$493,3,))*$E109)</f>
        <v>0</v>
      </c>
      <c r="AD109" s="66">
        <f>IF(VLOOKUP($D109,$C$5:$AU$493,3,)=0,0,(VLOOKUP($D109,$C$5:$AU$493,28,)/VLOOKUP($D109,$C$5:$AU$493,3,))*$E109)</f>
        <v>0</v>
      </c>
      <c r="AE109" s="66">
        <f>IF(VLOOKUP($D109,$C$5:$AU$493,3,)=0,0,(VLOOKUP($D109,$C$5:$AU$493,29,)/VLOOKUP($D109,$C$5:$AU$493,3,))*$E109)</f>
        <v>0</v>
      </c>
      <c r="AF109" s="66">
        <f>IF(VLOOKUP($D109,$C$5:$AU$493,3,)=0,0,(VLOOKUP($D109,$C$5:$AU$493,30,)/VLOOKUP($D109,$C$5:$AU$493,3,))*$E109)</f>
        <v>0</v>
      </c>
      <c r="AG109" s="89">
        <f>SUM(F109:AF109)</f>
        <v>10383478.241169779</v>
      </c>
      <c r="AH109" s="27" t="str">
        <f>IF(ABS(E109-AG109)&lt;0.01,"ok","err")</f>
        <v>ok</v>
      </c>
    </row>
    <row r="110" spans="1:34" x14ac:dyDescent="0.2">
      <c r="E110" s="49"/>
    </row>
    <row r="111" spans="1:34" x14ac:dyDescent="0.2">
      <c r="A111" s="13" t="s">
        <v>544</v>
      </c>
      <c r="E111" s="49"/>
    </row>
    <row r="112" spans="1:34" x14ac:dyDescent="0.2">
      <c r="A112" s="92" t="s">
        <v>219</v>
      </c>
      <c r="C112" s="14" t="s">
        <v>258</v>
      </c>
      <c r="D112" s="14" t="s">
        <v>232</v>
      </c>
      <c r="E112" s="66">
        <f>'Func &amp; Classif'!Y144</f>
        <v>536711.82881667931</v>
      </c>
      <c r="F112" s="66">
        <f>IF(VLOOKUP($D112,$C$5:$AU$493,3,)=0,0,(VLOOKUP($D112,$C$5:$AU$493,4,)/VLOOKUP($D112,$C$5:$AU$493,3,))*$E112)</f>
        <v>409979.32920777029</v>
      </c>
      <c r="G112" s="66">
        <f>IF(VLOOKUP($D112,$C$5:$AU$493,3,)=0,0,(VLOOKUP($D112,$C$5:$AU$493,5,)/VLOOKUP($D112,$C$5:$AU$493,3,))*$E112)</f>
        <v>797.34803281514996</v>
      </c>
      <c r="H112" s="66">
        <f>IF(VLOOKUP($D112,$C$5:$AU$493,3,)=0,0,(VLOOKUP($D112,$C$5:$AU$493,6,)/VLOOKUP($D112,$C$5:$AU$493,3,))*$E112)</f>
        <v>129.02438004389936</v>
      </c>
      <c r="I112" s="66">
        <f>IF(VLOOKUP($D112,$C$5:$AU$493,3,)=0,0,(VLOOKUP($D112,$C$5:$AU$493,7,)/VLOOKUP($D112,$C$5:$AU$493,3,))*$E112)</f>
        <v>20624.660329298051</v>
      </c>
      <c r="J112" s="66">
        <f>IF(VLOOKUP($D112,$C$5:$AU$493,3,)=0,0,(VLOOKUP($D112,$C$5:$AU$493,8,)/VLOOKUP($D112,$C$5:$AU$493,3,))*$E112)</f>
        <v>330.48349976156669</v>
      </c>
      <c r="K112" s="66">
        <f>IF(VLOOKUP($D112,$C$5:$AU$493,3,)=0,0,(VLOOKUP($D112,$C$5:$AU$493,9,)/VLOOKUP($D112,$C$5:$AU$493,3,))*$E112)</f>
        <v>421.59282075747819</v>
      </c>
      <c r="L112" s="66">
        <f>IF(VLOOKUP($D112,$C$5:$AU$493,3,)=0,0,(VLOOKUP($D112,$C$5:$AU$493,10,)/VLOOKUP($D112,$C$5:$AU$493,3,))*$E112)</f>
        <v>201.45911971766742</v>
      </c>
      <c r="M112" s="66">
        <f>IF(VLOOKUP($D112,$C$5:$AU$493,3,)=0,0,(VLOOKUP($D112,$C$5:$AU$493,11,)/VLOOKUP($D112,$C$5:$AU$493,3,))*$E112)</f>
        <v>20.372270533247264</v>
      </c>
      <c r="N112" s="66">
        <f>IF(VLOOKUP($D112,$C$5:$AU$493,3,)=0,0,(VLOOKUP($D112,$C$5:$AU$493,12,)/VLOOKUP($D112,$C$5:$AU$493,3,))*$E112)</f>
        <v>20.372270533247264</v>
      </c>
      <c r="O112" s="66">
        <f>IF(VLOOKUP($D112,$C$5:$AU$493,3,)=0,0,(VLOOKUP($D112,$C$5:$AU$493,13,)/VLOOKUP($D112,$C$5:$AU$493,3,))*$E112)</f>
        <v>6.7907568444157551</v>
      </c>
      <c r="P112" s="66">
        <f>IF(VLOOKUP($D112,$C$5:$AU$493,3,)=0,0,(VLOOKUP($D112,$C$5:$AU$493,14,)/VLOOKUP($D112,$C$5:$AU$493,3,))*$E112)</f>
        <v>104180.39612860432</v>
      </c>
      <c r="Q112" s="66">
        <f>IF(VLOOKUP($D112,$C$5:$AU$493,3,)=0,0,(VLOOKUP($D112,$C$5:$AU$493,15,)/VLOOKUP($D112,$C$5:$AU$493,3,))*$E112)</f>
        <v>0</v>
      </c>
      <c r="R112" s="66">
        <f>IF(VLOOKUP($D112,$C$5:$AU$493,3,)=0,0,(VLOOKUP($D112,$C$5:$AU$493,16,)/VLOOKUP($D112,$C$5:$AU$493,3,))*$E112)</f>
        <v>0</v>
      </c>
      <c r="S112" s="66">
        <f>IF(VLOOKUP($D112,$C$5:$AU$493,3,)=0,0,(VLOOKUP($D112,$C$5:$AU$493,17,)/VLOOKUP($D112,$C$5:$AU$493,3,))*$E112)</f>
        <v>0</v>
      </c>
      <c r="T112" s="66">
        <f>IF(VLOOKUP($D112,$C$5:$AU$493,3,)=0,0,(VLOOKUP($D112,$C$5:$AU$493,18,)/VLOOKUP($D112,$C$5:$AU$493,3,))*$E112)</f>
        <v>0</v>
      </c>
      <c r="U112" s="66">
        <f>IF(VLOOKUP($D112,$C$5:$AU$493,3,)=0,0,(VLOOKUP($D112,$C$5:$AU$493,19,)/VLOOKUP($D112,$C$5:$AU$493,3,))*$E112)</f>
        <v>0</v>
      </c>
      <c r="V112" s="66">
        <f>IF(VLOOKUP($D112,$C$5:$AU$493,3,)=0,0,(VLOOKUP($D112,$C$5:$AU$493,20,)/VLOOKUP($D112,$C$5:$AU$493,3,))*$E112)</f>
        <v>0</v>
      </c>
      <c r="W112" s="66">
        <f>IF(VLOOKUP($D112,$C$5:$AU$493,3,)=0,0,(VLOOKUP($D112,$C$5:$AU$493,21,)/VLOOKUP($D112,$C$5:$AU$493,3,))*$E112)</f>
        <v>0</v>
      </c>
      <c r="X112" s="66">
        <f>IF(VLOOKUP($D112,$C$5:$AU$493,3,)=0,0,(VLOOKUP($D112,$C$5:$AU$493,22,)/VLOOKUP($D112,$C$5:$AU$493,3,))*$E112)</f>
        <v>0</v>
      </c>
      <c r="Y112" s="66">
        <f>IF(VLOOKUP($D112,$C$5:$AU$493,3,)=0,0,(VLOOKUP($D112,$C$5:$AU$493,23,)/VLOOKUP($D112,$C$5:$AU$493,3,))*$E112)</f>
        <v>0</v>
      </c>
      <c r="Z112" s="66">
        <f>IF(VLOOKUP($D112,$C$5:$AU$493,3,)=0,0,(VLOOKUP($D112,$C$5:$AU$493,24,)/VLOOKUP($D112,$C$5:$AU$493,3,))*$E112)</f>
        <v>0</v>
      </c>
      <c r="AA112" s="66">
        <f>IF(VLOOKUP($D112,$C$5:$AU$493,3,)=0,0,(VLOOKUP($D112,$C$5:$AU$493,25,)/VLOOKUP($D112,$C$5:$AU$493,3,))*$E112)</f>
        <v>0</v>
      </c>
      <c r="AB112" s="66">
        <f>IF(VLOOKUP($D112,$C$5:$AU$493,3,)=0,0,(VLOOKUP($D112,$C$5:$AU$493,26,)/VLOOKUP($D112,$C$5:$AU$493,3,))*$E112)</f>
        <v>0</v>
      </c>
      <c r="AC112" s="66">
        <f>IF(VLOOKUP($D112,$C$5:$AU$493,3,)=0,0,(VLOOKUP($D112,$C$5:$AU$493,27,)/VLOOKUP($D112,$C$5:$AU$493,3,))*$E112)</f>
        <v>0</v>
      </c>
      <c r="AD112" s="66">
        <f>IF(VLOOKUP($D112,$C$5:$AU$493,3,)=0,0,(VLOOKUP($D112,$C$5:$AU$493,28,)/VLOOKUP($D112,$C$5:$AU$493,3,))*$E112)</f>
        <v>0</v>
      </c>
      <c r="AE112" s="66">
        <f>IF(VLOOKUP($D112,$C$5:$AU$493,3,)=0,0,(VLOOKUP($D112,$C$5:$AU$493,29,)/VLOOKUP($D112,$C$5:$AU$493,3,))*$E112)</f>
        <v>0</v>
      </c>
      <c r="AF112" s="66">
        <f>IF(VLOOKUP($D112,$C$5:$AU$493,3,)=0,0,(VLOOKUP($D112,$C$5:$AU$493,30,)/VLOOKUP($D112,$C$5:$AU$493,3,))*$E112)</f>
        <v>0</v>
      </c>
      <c r="AG112" s="89">
        <f>SUM(F112:AF112)</f>
        <v>536711.82881667931</v>
      </c>
      <c r="AH112" s="27" t="str">
        <f>IF(ABS(E112-AG112)&lt;0.01,"ok","err")</f>
        <v>ok</v>
      </c>
    </row>
    <row r="113" spans="1:35" x14ac:dyDescent="0.2">
      <c r="E113" s="49"/>
    </row>
    <row r="114" spans="1:35" x14ac:dyDescent="0.2">
      <c r="A114" s="13" t="s">
        <v>469</v>
      </c>
      <c r="E114" s="49"/>
    </row>
    <row r="115" spans="1:35" x14ac:dyDescent="0.2">
      <c r="A115" s="92" t="s">
        <v>219</v>
      </c>
      <c r="C115" s="14" t="s">
        <v>255</v>
      </c>
      <c r="D115" s="14" t="s">
        <v>233</v>
      </c>
      <c r="E115" s="66">
        <f>'Func &amp; Classif'!AA144</f>
        <v>12287.740255853056</v>
      </c>
      <c r="F115" s="66">
        <f>IF(VLOOKUP($D115,$C$5:$AU$493,3,)=0,0,(VLOOKUP($D115,$C$5:$AU$493,4,)/VLOOKUP($D115,$C$5:$AU$493,3,))*$E115)</f>
        <v>11585.051042555448</v>
      </c>
      <c r="G115" s="66">
        <f>IF(VLOOKUP($D115,$C$5:$AU$493,3,)=0,0,(VLOOKUP($D115,$C$5:$AU$493,5,)/VLOOKUP($D115,$C$5:$AU$493,3,))*$E115)</f>
        <v>22.531179015036091</v>
      </c>
      <c r="H115" s="66">
        <f>IF(VLOOKUP($D115,$C$5:$AU$493,3,)=0,0,(VLOOKUP($D115,$C$5:$AU$493,6,)/VLOOKUP($D115,$C$5:$AU$493,3,))*$E115)</f>
        <v>3.645925348068296</v>
      </c>
      <c r="I115" s="66">
        <f>IF(VLOOKUP($D115,$C$5:$AU$493,3,)=0,0,(VLOOKUP($D115,$C$5:$AU$493,7,)/VLOOKUP($D115,$C$5:$AU$493,3,))*$E115)</f>
        <v>582.80436506884689</v>
      </c>
      <c r="J115" s="66">
        <f>IF(VLOOKUP($D115,$C$5:$AU$493,3,)=0,0,(VLOOKUP($D115,$C$5:$AU$493,8,)/VLOOKUP($D115,$C$5:$AU$493,3,))*$E115)</f>
        <v>9.3386859792626513</v>
      </c>
      <c r="K115" s="66">
        <f>IF(VLOOKUP($D115,$C$5:$AU$493,3,)=0,0,(VLOOKUP($D115,$C$5:$AU$493,9,)/VLOOKUP($D115,$C$5:$AU$493,3,))*$E115)</f>
        <v>11.913220983819651</v>
      </c>
      <c r="L115" s="66">
        <f>IF(VLOOKUP($D115,$C$5:$AU$493,3,)=0,0,(VLOOKUP($D115,$C$5:$AU$493,10,)/VLOOKUP($D115,$C$5:$AU$493,3,))*$E115)</f>
        <v>5.6927606311943562</v>
      </c>
      <c r="M115" s="66">
        <f>IF(VLOOKUP($D115,$C$5:$AU$493,3,)=0,0,(VLOOKUP($D115,$C$5:$AU$493,11,)/VLOOKUP($D115,$C$5:$AU$493,3,))*$E115)</f>
        <v>0.57567242337920455</v>
      </c>
      <c r="N115" s="66">
        <f>IF(VLOOKUP($D115,$C$5:$AU$493,3,)=0,0,(VLOOKUP($D115,$C$5:$AU$493,12,)/VLOOKUP($D115,$C$5:$AU$493,3,))*$E115)</f>
        <v>0.57567242337920455</v>
      </c>
      <c r="O115" s="66">
        <f>IF(VLOOKUP($D115,$C$5:$AU$493,3,)=0,0,(VLOOKUP($D115,$C$5:$AU$493,13,)/VLOOKUP($D115,$C$5:$AU$493,3,))*$E115)</f>
        <v>0.19189080779306822</v>
      </c>
      <c r="P115" s="66">
        <f>IF(VLOOKUP($D115,$C$5:$AU$493,3,)=0,0,(VLOOKUP($D115,$C$5:$AU$493,14,)/VLOOKUP($D115,$C$5:$AU$493,3,))*$E115)</f>
        <v>65.419840616830129</v>
      </c>
      <c r="Q115" s="66">
        <f>IF(VLOOKUP($D115,$C$5:$AU$493,3,)=0,0,(VLOOKUP($D115,$C$5:$AU$493,15,)/VLOOKUP($D115,$C$5:$AU$493,3,))*$E115)</f>
        <v>0</v>
      </c>
      <c r="R115" s="66">
        <f>IF(VLOOKUP($D115,$C$5:$AU$493,3,)=0,0,(VLOOKUP($D115,$C$5:$AU$493,16,)/VLOOKUP($D115,$C$5:$AU$493,3,))*$E115)</f>
        <v>0</v>
      </c>
      <c r="S115" s="66">
        <f>IF(VLOOKUP($D115,$C$5:$AU$493,3,)=0,0,(VLOOKUP($D115,$C$5:$AU$493,17,)/VLOOKUP($D115,$C$5:$AU$493,3,))*$E115)</f>
        <v>0</v>
      </c>
      <c r="T115" s="66">
        <f>IF(VLOOKUP($D115,$C$5:$AU$493,3,)=0,0,(VLOOKUP($D115,$C$5:$AU$493,18,)/VLOOKUP($D115,$C$5:$AU$493,3,))*$E115)</f>
        <v>0</v>
      </c>
      <c r="U115" s="66">
        <f>IF(VLOOKUP($D115,$C$5:$AU$493,3,)=0,0,(VLOOKUP($D115,$C$5:$AU$493,19,)/VLOOKUP($D115,$C$5:$AU$493,3,))*$E115)</f>
        <v>0</v>
      </c>
      <c r="V115" s="66">
        <f>IF(VLOOKUP($D115,$C$5:$AU$493,3,)=0,0,(VLOOKUP($D115,$C$5:$AU$493,20,)/VLOOKUP($D115,$C$5:$AU$493,3,))*$E115)</f>
        <v>0</v>
      </c>
      <c r="W115" s="66">
        <f>IF(VLOOKUP($D115,$C$5:$AU$493,3,)=0,0,(VLOOKUP($D115,$C$5:$AU$493,21,)/VLOOKUP($D115,$C$5:$AU$493,3,))*$E115)</f>
        <v>0</v>
      </c>
      <c r="X115" s="66">
        <f>IF(VLOOKUP($D115,$C$5:$AU$493,3,)=0,0,(VLOOKUP($D115,$C$5:$AU$493,22,)/VLOOKUP($D115,$C$5:$AU$493,3,))*$E115)</f>
        <v>0</v>
      </c>
      <c r="Y115" s="66">
        <f>IF(VLOOKUP($D115,$C$5:$AU$493,3,)=0,0,(VLOOKUP($D115,$C$5:$AU$493,23,)/VLOOKUP($D115,$C$5:$AU$493,3,))*$E115)</f>
        <v>0</v>
      </c>
      <c r="Z115" s="66">
        <f>IF(VLOOKUP($D115,$C$5:$AU$493,3,)=0,0,(VLOOKUP($D115,$C$5:$AU$493,24,)/VLOOKUP($D115,$C$5:$AU$493,3,))*$E115)</f>
        <v>0</v>
      </c>
      <c r="AA115" s="66">
        <f>IF(VLOOKUP($D115,$C$5:$AU$493,3,)=0,0,(VLOOKUP($D115,$C$5:$AU$493,25,)/VLOOKUP($D115,$C$5:$AU$493,3,))*$E115)</f>
        <v>0</v>
      </c>
      <c r="AB115" s="66">
        <f>IF(VLOOKUP($D115,$C$5:$AU$493,3,)=0,0,(VLOOKUP($D115,$C$5:$AU$493,26,)/VLOOKUP($D115,$C$5:$AU$493,3,))*$E115)</f>
        <v>0</v>
      </c>
      <c r="AC115" s="66">
        <f>IF(VLOOKUP($D115,$C$5:$AU$493,3,)=0,0,(VLOOKUP($D115,$C$5:$AU$493,27,)/VLOOKUP($D115,$C$5:$AU$493,3,))*$E115)</f>
        <v>0</v>
      </c>
      <c r="AD115" s="66">
        <f>IF(VLOOKUP($D115,$C$5:$AU$493,3,)=0,0,(VLOOKUP($D115,$C$5:$AU$493,28,)/VLOOKUP($D115,$C$5:$AU$493,3,))*$E115)</f>
        <v>0</v>
      </c>
      <c r="AE115" s="66">
        <f>IF(VLOOKUP($D115,$C$5:$AU$493,3,)=0,0,(VLOOKUP($D115,$C$5:$AU$493,29,)/VLOOKUP($D115,$C$5:$AU$493,3,))*$E115)</f>
        <v>0</v>
      </c>
      <c r="AF115" s="66">
        <f>IF(VLOOKUP($D115,$C$5:$AU$493,3,)=0,0,(VLOOKUP($D115,$C$5:$AU$493,30,)/VLOOKUP($D115,$C$5:$AU$493,3,))*$E115)</f>
        <v>0</v>
      </c>
      <c r="AG115" s="89">
        <f>SUM(F115:AF115)</f>
        <v>12287.740255853058</v>
      </c>
      <c r="AH115" s="27" t="str">
        <f>IF(ABS(E115-AG115)&lt;0.01,"ok","err")</f>
        <v>ok</v>
      </c>
    </row>
    <row r="116" spans="1:35" x14ac:dyDescent="0.2">
      <c r="E116" s="49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</row>
    <row r="117" spans="1:35" x14ac:dyDescent="0.2">
      <c r="A117" s="14" t="s">
        <v>0</v>
      </c>
      <c r="C117" s="14" t="s">
        <v>259</v>
      </c>
      <c r="E117" s="66">
        <f>E87+E90+E93+E98+E103+E106+E109+E112+E115</f>
        <v>208265098.57324994</v>
      </c>
      <c r="F117" s="66">
        <f t="shared" ref="F117:R117" si="22">F87+F90+F93+F98+F103+F106+F109+F112+F115</f>
        <v>163775065.45959878</v>
      </c>
      <c r="G117" s="66">
        <f t="shared" si="22"/>
        <v>176989.2809134546</v>
      </c>
      <c r="H117" s="66">
        <f t="shared" si="22"/>
        <v>573960.49943178694</v>
      </c>
      <c r="I117" s="66">
        <f t="shared" si="22"/>
        <v>8738557.185052475</v>
      </c>
      <c r="J117" s="66">
        <f t="shared" si="22"/>
        <v>624287.78641707217</v>
      </c>
      <c r="K117" s="66">
        <f t="shared" si="22"/>
        <v>1712865.479060913</v>
      </c>
      <c r="L117" s="66">
        <f t="shared" si="22"/>
        <v>4153973.1421757797</v>
      </c>
      <c r="M117" s="66">
        <f t="shared" si="22"/>
        <v>1845188.8151157945</v>
      </c>
      <c r="N117" s="66">
        <f t="shared" si="22"/>
        <v>3598813.3258976643</v>
      </c>
      <c r="O117" s="66">
        <f t="shared" si="22"/>
        <v>814.61920352687321</v>
      </c>
      <c r="P117" s="66">
        <f t="shared" si="22"/>
        <v>23064582.980382718</v>
      </c>
      <c r="Q117" s="66">
        <f t="shared" si="22"/>
        <v>0</v>
      </c>
      <c r="R117" s="66">
        <f t="shared" si="22"/>
        <v>0</v>
      </c>
      <c r="S117" s="66">
        <f t="shared" ref="S117:AF117" si="23">S87+S93+S98+S103+S106+S109+S112+S115</f>
        <v>0</v>
      </c>
      <c r="T117" s="66">
        <f t="shared" si="23"/>
        <v>0</v>
      </c>
      <c r="U117" s="66">
        <f t="shared" si="23"/>
        <v>0</v>
      </c>
      <c r="V117" s="66">
        <f t="shared" si="23"/>
        <v>0</v>
      </c>
      <c r="W117" s="66">
        <f t="shared" si="23"/>
        <v>0</v>
      </c>
      <c r="X117" s="66">
        <f t="shared" si="23"/>
        <v>0</v>
      </c>
      <c r="Y117" s="66">
        <f t="shared" si="23"/>
        <v>0</v>
      </c>
      <c r="Z117" s="66">
        <f t="shared" si="23"/>
        <v>0</v>
      </c>
      <c r="AA117" s="66">
        <f t="shared" si="23"/>
        <v>0</v>
      </c>
      <c r="AB117" s="66">
        <f t="shared" si="23"/>
        <v>0</v>
      </c>
      <c r="AC117" s="66">
        <f t="shared" si="23"/>
        <v>0</v>
      </c>
      <c r="AD117" s="66">
        <f t="shared" si="23"/>
        <v>0</v>
      </c>
      <c r="AE117" s="66">
        <f t="shared" si="23"/>
        <v>0</v>
      </c>
      <c r="AF117" s="66">
        <f t="shared" si="23"/>
        <v>0</v>
      </c>
      <c r="AG117" s="89">
        <f>SUM(F117:AF117)</f>
        <v>208265098.57324997</v>
      </c>
      <c r="AH117" s="27" t="str">
        <f>IF(ABS(E117-AG117)&lt;0.01,"ok","err")</f>
        <v>ok</v>
      </c>
    </row>
    <row r="118" spans="1:35" x14ac:dyDescent="0.2">
      <c r="E118" s="139"/>
      <c r="F118" s="139"/>
      <c r="G118" s="139"/>
      <c r="H118" s="139"/>
      <c r="I118" s="139"/>
      <c r="J118" s="139"/>
      <c r="K118" s="139"/>
      <c r="L118" s="139"/>
      <c r="M118" s="47"/>
    </row>
    <row r="119" spans="1:35" x14ac:dyDescent="0.2">
      <c r="E119" s="89"/>
    </row>
    <row r="120" spans="1:35" x14ac:dyDescent="0.2">
      <c r="A120" s="25" t="s">
        <v>86</v>
      </c>
    </row>
    <row r="122" spans="1:35" x14ac:dyDescent="0.2">
      <c r="A122" s="13" t="s">
        <v>890</v>
      </c>
    </row>
    <row r="123" spans="1:35" x14ac:dyDescent="0.2">
      <c r="A123" s="92" t="s">
        <v>207</v>
      </c>
      <c r="C123" s="14" t="s">
        <v>260</v>
      </c>
      <c r="D123" s="14" t="s">
        <v>656</v>
      </c>
      <c r="E123" s="66">
        <f>'Func &amp; Classif'!H285</f>
        <v>34332679.475331917</v>
      </c>
      <c r="F123" s="66">
        <f>IF(VLOOKUP($D123,$C$5:$AU$493,3,)=0,0,(VLOOKUP($D123,$C$5:$AU$493,4,)/VLOOKUP($D123,$C$5:$AU$493,3,))*$E123)</f>
        <v>24094462.100837804</v>
      </c>
      <c r="G123" s="66">
        <f>IF(VLOOKUP($D123,$C$5:$AU$493,3,)=0,0,(VLOOKUP($D123,$C$5:$AU$493,5,)/VLOOKUP($D123,$C$5:$AU$493,3,))*$E123)</f>
        <v>4564.6954750843688</v>
      </c>
      <c r="H123" s="66">
        <f>IF(VLOOKUP($D123,$C$5:$AU$493,3,)=0,0,(VLOOKUP($D123,$C$5:$AU$493,6,)/VLOOKUP($D123,$C$5:$AU$493,3,))*$E123)</f>
        <v>1023.0564484402547</v>
      </c>
      <c r="I123" s="66">
        <f>IF(VLOOKUP($D123,$C$5:$AU$493,3,)=0,0,(VLOOKUP($D123,$C$5:$AU$493,7,)/VLOOKUP($D123,$C$5:$AU$493,3,))*$E123)</f>
        <v>1980339.2507140725</v>
      </c>
      <c r="J123" s="66">
        <f>IF(VLOOKUP($D123,$C$5:$AU$493,3,)=0,0,(VLOOKUP($D123,$C$5:$AU$493,8,)/VLOOKUP($D123,$C$5:$AU$493,3,))*$E123)</f>
        <v>6712.2943202020097</v>
      </c>
      <c r="K123" s="66">
        <f>IF(VLOOKUP($D123,$C$5:$AU$493,3,)=0,0,(VLOOKUP($D123,$C$5:$AU$493,9,)/VLOOKUP($D123,$C$5:$AU$493,3,))*$E123)</f>
        <v>759347.88563491986</v>
      </c>
      <c r="L123" s="66">
        <f>IF(VLOOKUP($D123,$C$5:$AU$493,3,)=0,0,(VLOOKUP($D123,$C$5:$AU$493,10,)/VLOOKUP($D123,$C$5:$AU$493,3,))*$E123)</f>
        <v>2157782.2929750509</v>
      </c>
      <c r="M123" s="66">
        <f>IF(VLOOKUP($D123,$C$5:$AU$493,3,)=0,0,(VLOOKUP($D123,$C$5:$AU$493,11,)/VLOOKUP($D123,$C$5:$AU$493,3,))*$E123)</f>
        <v>1273361.2000000002</v>
      </c>
      <c r="N123" s="66">
        <f>IF(VLOOKUP($D123,$C$5:$AU$493,3,)=0,0,(VLOOKUP($D123,$C$5:$AU$493,12,)/VLOOKUP($D123,$C$5:$AU$493,3,))*$E123)</f>
        <v>2614708.2000000002</v>
      </c>
      <c r="O123" s="66">
        <f>IF(VLOOKUP($D123,$C$5:$AU$493,3,)=0,0,(VLOOKUP($D123,$C$5:$AU$493,13,)/VLOOKUP($D123,$C$5:$AU$493,3,))*$E123)</f>
        <v>1363432.5999999999</v>
      </c>
      <c r="P123" s="66">
        <f>IF(VLOOKUP($D123,$C$5:$AU$493,3,)=0,0,(VLOOKUP($D123,$C$5:$AU$493,14,)/VLOOKUP($D123,$C$5:$AU$493,3,))*$E123)</f>
        <v>76945.898926348382</v>
      </c>
      <c r="Q123" s="66">
        <f>IF(VLOOKUP($D123,$C$5:$AU$493,3,)=0,0,(VLOOKUP($D123,$C$5:$AU$493,15,)/VLOOKUP($D123,$C$5:$AU$493,3,))*$E123)</f>
        <v>0</v>
      </c>
      <c r="R123" s="66">
        <f>IF(VLOOKUP($D123,$C$5:$AU$493,3,)=0,0,(VLOOKUP($D123,$C$5:$AU$493,16,)/VLOOKUP($D123,$C$5:$AU$493,3,))*$E123)</f>
        <v>0</v>
      </c>
      <c r="S123" s="66">
        <f>IF(VLOOKUP($D123,$C$5:$AU$493,3,)=0,0,(VLOOKUP($D123,$C$5:$AU$493,17,)/VLOOKUP($D123,$C$5:$AU$493,3,))*$E123)</f>
        <v>0</v>
      </c>
      <c r="T123" s="66">
        <f>IF(VLOOKUP($D123,$C$5:$AU$493,3,)=0,0,(VLOOKUP($D123,$C$5:$AU$493,18,)/VLOOKUP($D123,$C$5:$AU$493,3,))*$E123)</f>
        <v>0</v>
      </c>
      <c r="U123" s="66">
        <f>IF(VLOOKUP($D123,$C$5:$AU$493,3,)=0,0,(VLOOKUP($D123,$C$5:$AU$493,19,)/VLOOKUP($D123,$C$5:$AU$493,3,))*$E123)</f>
        <v>0</v>
      </c>
      <c r="V123" s="66">
        <f>IF(VLOOKUP($D123,$C$5:$AU$493,3,)=0,0,(VLOOKUP($D123,$C$5:$AU$493,20,)/VLOOKUP($D123,$C$5:$AU$493,3,))*$E123)</f>
        <v>0</v>
      </c>
      <c r="W123" s="66">
        <f>IF(VLOOKUP($D123,$C$5:$AU$493,3,)=0,0,(VLOOKUP($D123,$C$5:$AU$493,21,)/VLOOKUP($D123,$C$5:$AU$493,3,))*$E123)</f>
        <v>0</v>
      </c>
      <c r="X123" s="66">
        <f>IF(VLOOKUP($D123,$C$5:$AU$493,3,)=0,0,(VLOOKUP($D123,$C$5:$AU$493,22,)/VLOOKUP($D123,$C$5:$AU$493,3,))*$E123)</f>
        <v>0</v>
      </c>
      <c r="Y123" s="66">
        <f>IF(VLOOKUP($D123,$C$5:$AU$493,3,)=0,0,(VLOOKUP($D123,$C$5:$AU$493,23,)/VLOOKUP($D123,$C$5:$AU$493,3,))*$E123)</f>
        <v>0</v>
      </c>
      <c r="Z123" s="66">
        <f>IF(VLOOKUP($D123,$C$5:$AU$493,3,)=0,0,(VLOOKUP($D123,$C$5:$AU$493,24,)/VLOOKUP($D123,$C$5:$AU$493,3,))*$E123)</f>
        <v>0</v>
      </c>
      <c r="AA123" s="66">
        <f>IF(VLOOKUP($D123,$C$5:$AU$493,3,)=0,0,(VLOOKUP($D123,$C$5:$AU$493,25,)/VLOOKUP($D123,$C$5:$AU$493,3,))*$E123)</f>
        <v>0</v>
      </c>
      <c r="AB123" s="66">
        <f>IF(VLOOKUP($D123,$C$5:$AU$493,3,)=0,0,(VLOOKUP($D123,$C$5:$AU$493,26,)/VLOOKUP($D123,$C$5:$AU$493,3,))*$E123)</f>
        <v>0</v>
      </c>
      <c r="AC123" s="66">
        <f>IF(VLOOKUP($D123,$C$5:$AU$493,3,)=0,0,(VLOOKUP($D123,$C$5:$AU$493,27,)/VLOOKUP($D123,$C$5:$AU$493,3,))*$E123)</f>
        <v>0</v>
      </c>
      <c r="AD123" s="66">
        <f>IF(VLOOKUP($D123,$C$5:$AU$493,3,)=0,0,(VLOOKUP($D123,$C$5:$AU$493,28,)/VLOOKUP($D123,$C$5:$AU$493,3,))*$E123)</f>
        <v>0</v>
      </c>
      <c r="AE123" s="66">
        <f>IF(VLOOKUP($D123,$C$5:$AU$493,3,)=0,0,(VLOOKUP($D123,$C$5:$AU$493,29,)/VLOOKUP($D123,$C$5:$AU$493,3,))*$E123)</f>
        <v>0</v>
      </c>
      <c r="AF123" s="66">
        <f>IF(VLOOKUP($D123,$C$5:$AU$493,3,)=0,0,(VLOOKUP($D123,$C$5:$AU$493,30,)/VLOOKUP($D123,$C$5:$AU$493,3,))*$E123)</f>
        <v>0</v>
      </c>
      <c r="AG123" s="89">
        <f>SUM(F123:AF123)</f>
        <v>34332679.475331917</v>
      </c>
      <c r="AH123" s="27" t="str">
        <f>IF(ABS(E123-AG123)&lt;0.01,"ok","err")</f>
        <v>ok</v>
      </c>
      <c r="AI123" s="67">
        <f>M123/AG123</f>
        <v>3.7088896627334667E-2</v>
      </c>
    </row>
    <row r="124" spans="1:35" x14ac:dyDescent="0.2">
      <c r="A124" s="92" t="s">
        <v>210</v>
      </c>
      <c r="C124" s="14" t="s">
        <v>261</v>
      </c>
      <c r="D124" s="14" t="s">
        <v>665</v>
      </c>
      <c r="E124" s="49">
        <f>'Func &amp; Classif'!I285</f>
        <v>85477779.524668083</v>
      </c>
      <c r="F124" s="66">
        <f>IF(VLOOKUP($D124,$C$5:$AU$493,3,)=0,0,(VLOOKUP($D124,$C$5:$AU$493,4,)/VLOOKUP($D124,$C$5:$AU$493,3,))*$E124)</f>
        <v>53792284.459066808</v>
      </c>
      <c r="G124" s="66">
        <f>IF(VLOOKUP($D124,$C$5:$AU$493,3,)=0,0,(VLOOKUP($D124,$C$5:$AU$493,5,)/VLOOKUP($D124,$C$5:$AU$493,3,))*$E124)</f>
        <v>10068.126278903097</v>
      </c>
      <c r="H124" s="66">
        <f>IF(VLOOKUP($D124,$C$5:$AU$493,3,)=0,0,(VLOOKUP($D124,$C$5:$AU$493,6,)/VLOOKUP($D124,$C$5:$AU$493,3,))*$E124)</f>
        <v>13566.3789537134</v>
      </c>
      <c r="I124" s="66">
        <f>IF(VLOOKUP($D124,$C$5:$AU$493,3,)=0,0,(VLOOKUP($D124,$C$5:$AU$493,7,)/VLOOKUP($D124,$C$5:$AU$493,3,))*$E124)</f>
        <v>5256159.3934889315</v>
      </c>
      <c r="J124" s="66">
        <f>IF(VLOOKUP($D124,$C$5:$AU$493,3,)=0,0,(VLOOKUP($D124,$C$5:$AU$493,8,)/VLOOKUP($D124,$C$5:$AU$493,3,))*$E124)</f>
        <v>89098.705497207178</v>
      </c>
      <c r="K124" s="66">
        <f>IF(VLOOKUP($D124,$C$5:$AU$493,3,)=0,0,(VLOOKUP($D124,$C$5:$AU$493,9,)/VLOOKUP($D124,$C$5:$AU$493,3,))*$E124)</f>
        <v>2357845.4692131123</v>
      </c>
      <c r="L124" s="66">
        <f>IF(VLOOKUP($D124,$C$5:$AU$493,3,)=0,0,(VLOOKUP($D124,$C$5:$AU$493,10,)/VLOOKUP($D124,$C$5:$AU$493,3,))*$E124)</f>
        <v>7609463.1013254942</v>
      </c>
      <c r="M124" s="66">
        <f>IF(VLOOKUP($D124,$C$5:$AU$493,3,)=0,0,(VLOOKUP($D124,$C$5:$AU$493,11,)/VLOOKUP($D124,$C$5:$AU$493,3,))*$E124)</f>
        <v>3821530.8</v>
      </c>
      <c r="N124" s="66">
        <f>IF(VLOOKUP($D124,$C$5:$AU$493,3,)=0,0,(VLOOKUP($D124,$C$5:$AU$493,12,)/VLOOKUP($D124,$C$5:$AU$493,3,))*$E124)</f>
        <v>7343657.8000000007</v>
      </c>
      <c r="O124" s="66">
        <f>IF(VLOOKUP($D124,$C$5:$AU$493,3,)=0,0,(VLOOKUP($D124,$C$5:$AU$493,13,)/VLOOKUP($D124,$C$5:$AU$493,3,))*$E124)</f>
        <v>4839090.3999999994</v>
      </c>
      <c r="P124" s="66">
        <f>IF(VLOOKUP($D124,$C$5:$AU$493,3,)=0,0,(VLOOKUP($D124,$C$5:$AU$493,14,)/VLOOKUP($D124,$C$5:$AU$493,3,))*$E124)</f>
        <v>345014.89084390854</v>
      </c>
      <c r="Q124" s="66">
        <f>IF(VLOOKUP($D124,$C$5:$AU$493,3,)=0,0,(VLOOKUP($D124,$C$5:$AU$493,15,)/VLOOKUP($D124,$C$5:$AU$493,3,))*$E124)</f>
        <v>0</v>
      </c>
      <c r="R124" s="66">
        <f>IF(VLOOKUP($D124,$C$5:$AU$493,3,)=0,0,(VLOOKUP($D124,$C$5:$AU$493,16,)/VLOOKUP($D124,$C$5:$AU$493,3,))*$E124)</f>
        <v>0</v>
      </c>
      <c r="S124" s="66">
        <f>IF(VLOOKUP($D124,$C$5:$AU$493,3,)=0,0,(VLOOKUP($D124,$C$5:$AU$493,17,)/VLOOKUP($D124,$C$5:$AU$493,3,))*$E124)</f>
        <v>0</v>
      </c>
      <c r="T124" s="66">
        <f>IF(VLOOKUP($D124,$C$5:$AU$493,3,)=0,0,(VLOOKUP($D124,$C$5:$AU$493,18,)/VLOOKUP($D124,$C$5:$AU$493,3,))*$E124)</f>
        <v>0</v>
      </c>
      <c r="U124" s="66">
        <f>IF(VLOOKUP($D124,$C$5:$AU$493,3,)=0,0,(VLOOKUP($D124,$C$5:$AU$493,19,)/VLOOKUP($D124,$C$5:$AU$493,3,))*$E124)</f>
        <v>0</v>
      </c>
      <c r="V124" s="66">
        <f>IF(VLOOKUP($D124,$C$5:$AU$493,3,)=0,0,(VLOOKUP($D124,$C$5:$AU$493,20,)/VLOOKUP($D124,$C$5:$AU$493,3,))*$E124)</f>
        <v>0</v>
      </c>
      <c r="W124" s="66">
        <f>IF(VLOOKUP($D124,$C$5:$AU$493,3,)=0,0,(VLOOKUP($D124,$C$5:$AU$493,21,)/VLOOKUP($D124,$C$5:$AU$493,3,))*$E124)</f>
        <v>0</v>
      </c>
      <c r="X124" s="66">
        <f>IF(VLOOKUP($D124,$C$5:$AU$493,3,)=0,0,(VLOOKUP($D124,$C$5:$AU$493,22,)/VLOOKUP($D124,$C$5:$AU$493,3,))*$E124)</f>
        <v>0</v>
      </c>
      <c r="Y124" s="66">
        <f>IF(VLOOKUP($D124,$C$5:$AU$493,3,)=0,0,(VLOOKUP($D124,$C$5:$AU$493,23,)/VLOOKUP($D124,$C$5:$AU$493,3,))*$E124)</f>
        <v>0</v>
      </c>
      <c r="Z124" s="66">
        <f>IF(VLOOKUP($D124,$C$5:$AU$493,3,)=0,0,(VLOOKUP($D124,$C$5:$AU$493,24,)/VLOOKUP($D124,$C$5:$AU$493,3,))*$E124)</f>
        <v>0</v>
      </c>
      <c r="AA124" s="66">
        <f>IF(VLOOKUP($D124,$C$5:$AU$493,3,)=0,0,(VLOOKUP($D124,$C$5:$AU$493,25,)/VLOOKUP($D124,$C$5:$AU$493,3,))*$E124)</f>
        <v>0</v>
      </c>
      <c r="AB124" s="66">
        <f>IF(VLOOKUP($D124,$C$5:$AU$493,3,)=0,0,(VLOOKUP($D124,$C$5:$AU$493,26,)/VLOOKUP($D124,$C$5:$AU$493,3,))*$E124)</f>
        <v>0</v>
      </c>
      <c r="AC124" s="66">
        <f>IF(VLOOKUP($D124,$C$5:$AU$493,3,)=0,0,(VLOOKUP($D124,$C$5:$AU$493,27,)/VLOOKUP($D124,$C$5:$AU$493,3,))*$E124)</f>
        <v>0</v>
      </c>
      <c r="AD124" s="66">
        <f>IF(VLOOKUP($D124,$C$5:$AU$493,3,)=0,0,(VLOOKUP($D124,$C$5:$AU$493,28,)/VLOOKUP($D124,$C$5:$AU$493,3,))*$E124)</f>
        <v>0</v>
      </c>
      <c r="AE124" s="66">
        <f>IF(VLOOKUP($D124,$C$5:$AU$493,3,)=0,0,(VLOOKUP($D124,$C$5:$AU$493,29,)/VLOOKUP($D124,$C$5:$AU$493,3,))*$E124)</f>
        <v>0</v>
      </c>
      <c r="AF124" s="66">
        <f>IF(VLOOKUP($D124,$C$5:$AU$493,3,)=0,0,(VLOOKUP($D124,$C$5:$AU$493,30,)/VLOOKUP($D124,$C$5:$AU$493,3,))*$E124)</f>
        <v>0</v>
      </c>
      <c r="AG124" s="89">
        <f>SUM(F124:AF124)</f>
        <v>85477779.524668068</v>
      </c>
      <c r="AH124" s="27" t="str">
        <f>IF(ABS(E124-AG124)&lt;0.01,"ok","err")</f>
        <v>ok</v>
      </c>
      <c r="AI124" s="67">
        <f t="shared" ref="AI124:AI155" si="24">M124/AG124</f>
        <v>4.4707885736516385E-2</v>
      </c>
    </row>
    <row r="125" spans="1:35" x14ac:dyDescent="0.2">
      <c r="A125" s="14" t="s">
        <v>213</v>
      </c>
      <c r="C125" s="14" t="s">
        <v>262</v>
      </c>
      <c r="E125" s="167">
        <f t="shared" ref="E125:T125" si="25">E123+E124</f>
        <v>119810459</v>
      </c>
      <c r="F125" s="98">
        <f t="shared" si="25"/>
        <v>77886746.559904605</v>
      </c>
      <c r="G125" s="98">
        <f t="shared" si="25"/>
        <v>14632.821753987466</v>
      </c>
      <c r="H125" s="98">
        <f t="shared" si="25"/>
        <v>14589.435402153655</v>
      </c>
      <c r="I125" s="98">
        <f t="shared" si="25"/>
        <v>7236498.6442030035</v>
      </c>
      <c r="J125" s="98">
        <f t="shared" si="25"/>
        <v>95810.999817409189</v>
      </c>
      <c r="K125" s="98">
        <f t="shared" si="25"/>
        <v>3117193.3548480319</v>
      </c>
      <c r="L125" s="98">
        <f t="shared" si="25"/>
        <v>9767245.3943005446</v>
      </c>
      <c r="M125" s="98">
        <f t="shared" si="25"/>
        <v>5094892</v>
      </c>
      <c r="N125" s="98">
        <f t="shared" si="25"/>
        <v>9958366</v>
      </c>
      <c r="O125" s="98">
        <f t="shared" si="25"/>
        <v>6202522.9999999991</v>
      </c>
      <c r="P125" s="98">
        <f t="shared" si="25"/>
        <v>421960.7897702569</v>
      </c>
      <c r="Q125" s="98">
        <f t="shared" si="25"/>
        <v>0</v>
      </c>
      <c r="R125" s="98">
        <f t="shared" si="25"/>
        <v>0</v>
      </c>
      <c r="S125" s="98">
        <f t="shared" si="25"/>
        <v>0</v>
      </c>
      <c r="T125" s="98">
        <f t="shared" si="25"/>
        <v>0</v>
      </c>
      <c r="U125" s="98">
        <f t="shared" ref="U125:AF125" si="26">U123+U124</f>
        <v>0</v>
      </c>
      <c r="V125" s="98">
        <f t="shared" si="26"/>
        <v>0</v>
      </c>
      <c r="W125" s="98">
        <f t="shared" si="26"/>
        <v>0</v>
      </c>
      <c r="X125" s="98">
        <f t="shared" si="26"/>
        <v>0</v>
      </c>
      <c r="Y125" s="98">
        <f t="shared" si="26"/>
        <v>0</v>
      </c>
      <c r="Z125" s="98">
        <f t="shared" si="26"/>
        <v>0</v>
      </c>
      <c r="AA125" s="98">
        <f t="shared" si="26"/>
        <v>0</v>
      </c>
      <c r="AB125" s="98">
        <f t="shared" si="26"/>
        <v>0</v>
      </c>
      <c r="AC125" s="98">
        <f t="shared" si="26"/>
        <v>0</v>
      </c>
      <c r="AD125" s="98">
        <f t="shared" si="26"/>
        <v>0</v>
      </c>
      <c r="AE125" s="98">
        <f t="shared" si="26"/>
        <v>0</v>
      </c>
      <c r="AF125" s="98">
        <f t="shared" si="26"/>
        <v>0</v>
      </c>
      <c r="AG125" s="177">
        <f>SUM(F125:AF125)</f>
        <v>119810459.00000001</v>
      </c>
      <c r="AH125" s="27" t="str">
        <f>IF(ABS(E125-AG125)&lt;0.01,"ok","err")</f>
        <v>ok</v>
      </c>
      <c r="AI125" s="67">
        <f t="shared" si="24"/>
        <v>4.2524601295451173E-2</v>
      </c>
    </row>
    <row r="126" spans="1:35" x14ac:dyDescent="0.2">
      <c r="E126" s="49"/>
      <c r="F126" s="49"/>
      <c r="AI126" s="67"/>
    </row>
    <row r="127" spans="1:35" x14ac:dyDescent="0.2">
      <c r="A127" s="13" t="s">
        <v>348</v>
      </c>
      <c r="E127" s="49"/>
      <c r="F127" s="49"/>
      <c r="AI127" s="67"/>
    </row>
    <row r="128" spans="1:35" x14ac:dyDescent="0.2">
      <c r="A128" s="92" t="s">
        <v>207</v>
      </c>
      <c r="C128" s="14" t="s">
        <v>882</v>
      </c>
      <c r="D128" s="14" t="s">
        <v>624</v>
      </c>
      <c r="E128" s="66">
        <f>'Func &amp; Classif'!K285</f>
        <v>0</v>
      </c>
      <c r="F128" s="66">
        <f>IF(VLOOKUP($D128,$C$5:$AU$493,3,)=0,0,(VLOOKUP($D128,$C$5:$AU$493,4,)/VLOOKUP($D128,$C$5:$AU$493,3,))*$E128)</f>
        <v>0</v>
      </c>
      <c r="G128" s="66">
        <f>IF(VLOOKUP($D128,$C$5:$AU$493,3,)=0,0,(VLOOKUP($D128,$C$5:$AU$493,5,)/VLOOKUP($D128,$C$5:$AU$493,3,))*$E128)</f>
        <v>0</v>
      </c>
      <c r="H128" s="66">
        <f>IF(VLOOKUP($D128,$C$5:$AU$493,3,)=0,0,(VLOOKUP($D128,$C$5:$AU$493,6,)/VLOOKUP($D128,$C$5:$AU$493,3,))*$E128)</f>
        <v>0</v>
      </c>
      <c r="I128" s="66">
        <f>IF(VLOOKUP($D128,$C$5:$AU$493,3,)=0,0,(VLOOKUP($D128,$C$5:$AU$493,7,)/VLOOKUP($D128,$C$5:$AU$493,3,))*$E128)</f>
        <v>0</v>
      </c>
      <c r="J128" s="66">
        <f>IF(VLOOKUP($D128,$C$5:$AU$493,3,)=0,0,(VLOOKUP($D128,$C$5:$AU$493,8,)/VLOOKUP($D128,$C$5:$AU$493,3,))*$E128)</f>
        <v>0</v>
      </c>
      <c r="K128" s="66">
        <f>IF(VLOOKUP($D128,$C$5:$AU$493,3,)=0,0,(VLOOKUP($D128,$C$5:$AU$493,9,)/VLOOKUP($D128,$C$5:$AU$493,3,))*$E128)</f>
        <v>0</v>
      </c>
      <c r="L128" s="66">
        <f>IF(VLOOKUP($D128,$C$5:$AU$493,3,)=0,0,(VLOOKUP($D128,$C$5:$AU$493,10,)/VLOOKUP($D128,$C$5:$AU$493,3,))*$E128)</f>
        <v>0</v>
      </c>
      <c r="M128" s="66">
        <f>IF(VLOOKUP($D128,$C$5:$AU$493,3,)=0,0,(VLOOKUP($D128,$C$5:$AU$493,11,)/VLOOKUP($D128,$C$5:$AU$493,3,))*$E128)</f>
        <v>0</v>
      </c>
      <c r="N128" s="66">
        <f>IF(VLOOKUP($D128,$C$5:$AU$493,3,)=0,0,(VLOOKUP($D128,$C$5:$AU$493,12,)/VLOOKUP($D128,$C$5:$AU$493,3,))*$E128)</f>
        <v>0</v>
      </c>
      <c r="O128" s="66">
        <f>IF(VLOOKUP($D128,$C$5:$AU$493,3,)=0,0,(VLOOKUP($D128,$C$5:$AU$493,13,)/VLOOKUP($D128,$C$5:$AU$493,3,))*$E128)</f>
        <v>0</v>
      </c>
      <c r="P128" s="66">
        <f>IF(VLOOKUP($D128,$C$5:$AU$493,3,)=0,0,(VLOOKUP($D128,$C$5:$AU$493,14,)/VLOOKUP($D128,$C$5:$AU$493,3,))*$E128)</f>
        <v>0</v>
      </c>
      <c r="Q128" s="66">
        <f>IF(VLOOKUP($D128,$C$5:$AU$493,3,)=0,0,(VLOOKUP($D128,$C$5:$AU$493,15,)/VLOOKUP($D128,$C$5:$AU$493,3,))*$E128)</f>
        <v>0</v>
      </c>
      <c r="R128" s="66">
        <f>IF(VLOOKUP($D128,$C$5:$AU$493,3,)=0,0,(VLOOKUP($D128,$C$5:$AU$493,16,)/VLOOKUP($D128,$C$5:$AU$493,3,))*$E128)</f>
        <v>0</v>
      </c>
      <c r="S128" s="66">
        <f>IF(VLOOKUP($D128,$C$5:$AU$493,3,)=0,0,(VLOOKUP($D128,$C$5:$AU$493,17,)/VLOOKUP($D128,$C$5:$AU$493,3,))*$E128)</f>
        <v>0</v>
      </c>
      <c r="T128" s="66">
        <f>IF(VLOOKUP($D128,$C$5:$AU$493,3,)=0,0,(VLOOKUP($D128,$C$5:$AU$493,18,)/VLOOKUP($D128,$C$5:$AU$493,3,))*$E128)</f>
        <v>0</v>
      </c>
      <c r="U128" s="66">
        <f>IF(VLOOKUP($D128,$C$5:$AU$493,3,)=0,0,(VLOOKUP($D128,$C$5:$AU$493,19,)/VLOOKUP($D128,$C$5:$AU$493,3,))*$E128)</f>
        <v>0</v>
      </c>
      <c r="V128" s="66">
        <f>IF(VLOOKUP($D128,$C$5:$AU$493,3,)=0,0,(VLOOKUP($D128,$C$5:$AU$493,20,)/VLOOKUP($D128,$C$5:$AU$493,3,))*$E128)</f>
        <v>0</v>
      </c>
      <c r="W128" s="66">
        <f>IF(VLOOKUP($D128,$C$5:$AU$493,3,)=0,0,(VLOOKUP($D128,$C$5:$AU$493,21,)/VLOOKUP($D128,$C$5:$AU$493,3,))*$E128)</f>
        <v>0</v>
      </c>
      <c r="X128" s="66">
        <f>IF(VLOOKUP($D128,$C$5:$AU$493,3,)=0,0,(VLOOKUP($D128,$C$5:$AU$493,22,)/VLOOKUP($D128,$C$5:$AU$493,3,))*$E128)</f>
        <v>0</v>
      </c>
      <c r="Y128" s="66">
        <f>IF(VLOOKUP($D128,$C$5:$AU$493,3,)=0,0,(VLOOKUP($D128,$C$5:$AU$493,23,)/VLOOKUP($D128,$C$5:$AU$493,3,))*$E128)</f>
        <v>0</v>
      </c>
      <c r="Z128" s="66">
        <f>IF(VLOOKUP($D128,$C$5:$AU$493,3,)=0,0,(VLOOKUP($D128,$C$5:$AU$493,24,)/VLOOKUP($D128,$C$5:$AU$493,3,))*$E128)</f>
        <v>0</v>
      </c>
      <c r="AA128" s="66">
        <f>IF(VLOOKUP($D128,$C$5:$AU$493,3,)=0,0,(VLOOKUP($D128,$C$5:$AU$493,25,)/VLOOKUP($D128,$C$5:$AU$493,3,))*$E128)</f>
        <v>0</v>
      </c>
      <c r="AB128" s="66">
        <f>IF(VLOOKUP($D128,$C$5:$AU$493,3,)=0,0,(VLOOKUP($D128,$C$5:$AU$493,26,)/VLOOKUP($D128,$C$5:$AU$493,3,))*$E128)</f>
        <v>0</v>
      </c>
      <c r="AC128" s="66">
        <f>IF(VLOOKUP($D128,$C$5:$AU$493,3,)=0,0,(VLOOKUP($D128,$C$5:$AU$493,27,)/VLOOKUP($D128,$C$5:$AU$493,3,))*$E128)</f>
        <v>0</v>
      </c>
      <c r="AD128" s="66">
        <f>IF(VLOOKUP($D128,$C$5:$AU$493,3,)=0,0,(VLOOKUP($D128,$C$5:$AU$493,28,)/VLOOKUP($D128,$C$5:$AU$493,3,))*$E128)</f>
        <v>0</v>
      </c>
      <c r="AE128" s="66">
        <f>IF(VLOOKUP($D128,$C$5:$AU$493,3,)=0,0,(VLOOKUP($D128,$C$5:$AU$493,29,)/VLOOKUP($D128,$C$5:$AU$493,3,))*$E128)</f>
        <v>0</v>
      </c>
      <c r="AF128" s="66">
        <f>IF(VLOOKUP($D128,$C$5:$AU$493,3,)=0,0,(VLOOKUP($D128,$C$5:$AU$493,30,)/VLOOKUP($D128,$C$5:$AU$493,3,))*$E128)</f>
        <v>0</v>
      </c>
      <c r="AG128" s="89">
        <f>SUM(F128:AF128)</f>
        <v>0</v>
      </c>
      <c r="AH128" s="27" t="str">
        <f>IF(ABS(E128-AG128)&lt;0.01,"ok","err")</f>
        <v>ok</v>
      </c>
      <c r="AI128" s="67"/>
    </row>
    <row r="129" spans="1:35" x14ac:dyDescent="0.2">
      <c r="E129" s="49"/>
      <c r="AI129" s="67"/>
    </row>
    <row r="130" spans="1:35" x14ac:dyDescent="0.2">
      <c r="A130" s="13" t="s">
        <v>1</v>
      </c>
      <c r="E130" s="49"/>
      <c r="F130" s="49"/>
      <c r="AI130" s="67"/>
    </row>
    <row r="131" spans="1:35" x14ac:dyDescent="0.2">
      <c r="A131" s="92" t="s">
        <v>207</v>
      </c>
      <c r="C131" s="14" t="s">
        <v>263</v>
      </c>
      <c r="D131" s="14" t="s">
        <v>631</v>
      </c>
      <c r="E131" s="66">
        <f>'Func &amp; Classif'!M285</f>
        <v>50261.674012461677</v>
      </c>
      <c r="F131" s="66">
        <f>IF(VLOOKUP($D131,$C$5:$AU$493,3,)=0,0,(VLOOKUP($D131,$C$5:$AU$493,4,)/VLOOKUP($D131,$C$5:$AU$493,3,))*$E131)</f>
        <v>37481.654551861713</v>
      </c>
      <c r="G131" s="66">
        <f>IF(VLOOKUP($D131,$C$5:$AU$493,3,)=0,0,(VLOOKUP($D131,$C$5:$AU$493,5,)/VLOOKUP($D131,$C$5:$AU$493,3,))*$E131)</f>
        <v>7.1008988793989056</v>
      </c>
      <c r="H131" s="66">
        <f>IF(VLOOKUP($D131,$C$5:$AU$493,3,)=0,0,(VLOOKUP($D131,$C$5:$AU$493,6,)/VLOOKUP($D131,$C$5:$AU$493,3,))*$E131)</f>
        <v>1.5914797444745115</v>
      </c>
      <c r="I131" s="66">
        <f>IF(VLOOKUP($D131,$C$5:$AU$493,3,)=0,0,(VLOOKUP($D131,$C$5:$AU$493,7,)/VLOOKUP($D131,$C$5:$AU$493,3,))*$E131)</f>
        <v>3080.6411606165943</v>
      </c>
      <c r="J131" s="66">
        <f>IF(VLOOKUP($D131,$C$5:$AU$493,3,)=0,0,(VLOOKUP($D131,$C$5:$AU$493,8,)/VLOOKUP($D131,$C$5:$AU$493,3,))*$E131)</f>
        <v>10.441731212231007</v>
      </c>
      <c r="K131" s="66">
        <f>IF(VLOOKUP($D131,$C$5:$AU$493,3,)=0,0,(VLOOKUP($D131,$C$5:$AU$493,9,)/VLOOKUP($D131,$C$5:$AU$493,3,))*$E131)</f>
        <v>1181.2513188690361</v>
      </c>
      <c r="L131" s="66">
        <f>IF(VLOOKUP($D131,$C$5:$AU$493,3,)=0,0,(VLOOKUP($D131,$C$5:$AU$493,10,)/VLOOKUP($D131,$C$5:$AU$493,3,))*$E131)</f>
        <v>3356.673835047045</v>
      </c>
      <c r="M131" s="66">
        <f>IF(VLOOKUP($D131,$C$5:$AU$493,3,)=0,0,(VLOOKUP($D131,$C$5:$AU$493,11,)/VLOOKUP($D131,$C$5:$AU$493,3,))*$E131)</f>
        <v>1724.3659696575546</v>
      </c>
      <c r="N131" s="66">
        <f>IF(VLOOKUP($D131,$C$5:$AU$493,3,)=0,0,(VLOOKUP($D131,$C$5:$AU$493,12,)/VLOOKUP($D131,$C$5:$AU$493,3,))*$E131)</f>
        <v>3298.2550384263545</v>
      </c>
      <c r="O131" s="66">
        <f>IF(VLOOKUP($D131,$C$5:$AU$493,3,)=0,0,(VLOOKUP($D131,$C$5:$AU$493,13,)/VLOOKUP($D131,$C$5:$AU$493,3,))*$E131)</f>
        <v>0</v>
      </c>
      <c r="P131" s="66">
        <f>IF(VLOOKUP($D131,$C$5:$AU$493,3,)=0,0,(VLOOKUP($D131,$C$5:$AU$493,14,)/VLOOKUP($D131,$C$5:$AU$493,3,))*$E131)</f>
        <v>119.69802814728838</v>
      </c>
      <c r="Q131" s="66">
        <f>IF(VLOOKUP($D131,$C$5:$AU$493,3,)=0,0,(VLOOKUP($D131,$C$5:$AU$493,15,)/VLOOKUP($D131,$C$5:$AU$493,3,))*$E131)</f>
        <v>0</v>
      </c>
      <c r="R131" s="66">
        <f>IF(VLOOKUP($D131,$C$5:$AU$493,3,)=0,0,(VLOOKUP($D131,$C$5:$AU$493,16,)/VLOOKUP($D131,$C$5:$AU$493,3,))*$E131)</f>
        <v>0</v>
      </c>
      <c r="S131" s="66">
        <f>IF(VLOOKUP($D131,$C$5:$AU$493,3,)=0,0,(VLOOKUP($D131,$C$5:$AU$493,17,)/VLOOKUP($D131,$C$5:$AU$493,3,))*$E131)</f>
        <v>0</v>
      </c>
      <c r="T131" s="66">
        <f>IF(VLOOKUP($D131,$C$5:$AU$493,3,)=0,0,(VLOOKUP($D131,$C$5:$AU$493,18,)/VLOOKUP($D131,$C$5:$AU$493,3,))*$E131)</f>
        <v>0</v>
      </c>
      <c r="U131" s="66">
        <f>IF(VLOOKUP($D131,$C$5:$AU$493,3,)=0,0,(VLOOKUP($D131,$C$5:$AU$493,19,)/VLOOKUP($D131,$C$5:$AU$493,3,))*$E131)</f>
        <v>0</v>
      </c>
      <c r="V131" s="66">
        <f>IF(VLOOKUP($D131,$C$5:$AU$493,3,)=0,0,(VLOOKUP($D131,$C$5:$AU$493,20,)/VLOOKUP($D131,$C$5:$AU$493,3,))*$E131)</f>
        <v>0</v>
      </c>
      <c r="W131" s="66">
        <f>IF(VLOOKUP($D131,$C$5:$AU$493,3,)=0,0,(VLOOKUP($D131,$C$5:$AU$493,21,)/VLOOKUP($D131,$C$5:$AU$493,3,))*$E131)</f>
        <v>0</v>
      </c>
      <c r="X131" s="66">
        <f>IF(VLOOKUP($D131,$C$5:$AU$493,3,)=0,0,(VLOOKUP($D131,$C$5:$AU$493,22,)/VLOOKUP($D131,$C$5:$AU$493,3,))*$E131)</f>
        <v>0</v>
      </c>
      <c r="Y131" s="66">
        <f>IF(VLOOKUP($D131,$C$5:$AU$493,3,)=0,0,(VLOOKUP($D131,$C$5:$AU$493,23,)/VLOOKUP($D131,$C$5:$AU$493,3,))*$E131)</f>
        <v>0</v>
      </c>
      <c r="Z131" s="66">
        <f>IF(VLOOKUP($D131,$C$5:$AU$493,3,)=0,0,(VLOOKUP($D131,$C$5:$AU$493,24,)/VLOOKUP($D131,$C$5:$AU$493,3,))*$E131)</f>
        <v>0</v>
      </c>
      <c r="AA131" s="66">
        <f>IF(VLOOKUP($D131,$C$5:$AU$493,3,)=0,0,(VLOOKUP($D131,$C$5:$AU$493,25,)/VLOOKUP($D131,$C$5:$AU$493,3,))*$E131)</f>
        <v>0</v>
      </c>
      <c r="AB131" s="66">
        <f>IF(VLOOKUP($D131,$C$5:$AU$493,3,)=0,0,(VLOOKUP($D131,$C$5:$AU$493,26,)/VLOOKUP($D131,$C$5:$AU$493,3,))*$E131)</f>
        <v>0</v>
      </c>
      <c r="AC131" s="66">
        <f>IF(VLOOKUP($D131,$C$5:$AU$493,3,)=0,0,(VLOOKUP($D131,$C$5:$AU$493,27,)/VLOOKUP($D131,$C$5:$AU$493,3,))*$E131)</f>
        <v>0</v>
      </c>
      <c r="AD131" s="66">
        <f>IF(VLOOKUP($D131,$C$5:$AU$493,3,)=0,0,(VLOOKUP($D131,$C$5:$AU$493,28,)/VLOOKUP($D131,$C$5:$AU$493,3,))*$E131)</f>
        <v>0</v>
      </c>
      <c r="AE131" s="66">
        <f>IF(VLOOKUP($D131,$C$5:$AU$493,3,)=0,0,(VLOOKUP($D131,$C$5:$AU$493,29,)/VLOOKUP($D131,$C$5:$AU$493,3,))*$E131)</f>
        <v>0</v>
      </c>
      <c r="AF131" s="66">
        <f>IF(VLOOKUP($D131,$C$5:$AU$493,3,)=0,0,(VLOOKUP($D131,$C$5:$AU$493,30,)/VLOOKUP($D131,$C$5:$AU$493,3,))*$E131)</f>
        <v>0</v>
      </c>
      <c r="AG131" s="89">
        <f>SUM(F131:AF131)</f>
        <v>50261.674012461684</v>
      </c>
      <c r="AH131" s="27" t="str">
        <f>IF(ABS(E131-AG131)&lt;0.01,"ok","err")</f>
        <v>ok</v>
      </c>
      <c r="AI131" s="67">
        <f t="shared" si="24"/>
        <v>3.430777035460502E-2</v>
      </c>
    </row>
    <row r="132" spans="1:35" x14ac:dyDescent="0.2">
      <c r="E132" s="49"/>
      <c r="AI132" s="67"/>
    </row>
    <row r="133" spans="1:35" x14ac:dyDescent="0.2">
      <c r="A133" s="13" t="s">
        <v>2</v>
      </c>
      <c r="E133" s="49"/>
      <c r="AI133" s="67"/>
    </row>
    <row r="134" spans="1:35" x14ac:dyDescent="0.2">
      <c r="A134" s="92" t="s">
        <v>207</v>
      </c>
      <c r="C134" s="14" t="s">
        <v>264</v>
      </c>
      <c r="D134" s="14" t="s">
        <v>628</v>
      </c>
      <c r="E134" s="66">
        <f>'Func &amp; Classif'!O285</f>
        <v>9641873.7977544554</v>
      </c>
      <c r="F134" s="66">
        <f>IF(VLOOKUP($D134,$C$5:$AU$493,3,)=0,0,(VLOOKUP($D134,$C$5:$AU$493,4,)/VLOOKUP($D134,$C$5:$AU$493,3,))*$E134)</f>
        <v>8041116.1168372165</v>
      </c>
      <c r="G134" s="66">
        <f>IF(VLOOKUP($D134,$C$5:$AU$493,3,)=0,0,(VLOOKUP($D134,$C$5:$AU$493,5,)/VLOOKUP($D134,$C$5:$AU$493,3,))*$E134)</f>
        <v>1502.9195227601381</v>
      </c>
      <c r="H134" s="66">
        <f>IF(VLOOKUP($D134,$C$5:$AU$493,3,)=0,0,(VLOOKUP($D134,$C$5:$AU$493,6,)/VLOOKUP($D134,$C$5:$AU$493,3,))*$E134)</f>
        <v>55380.943643399653</v>
      </c>
      <c r="I134" s="66">
        <f>IF(VLOOKUP($D134,$C$5:$AU$493,3,)=0,0,(VLOOKUP($D134,$C$5:$AU$493,7,)/VLOOKUP($D134,$C$5:$AU$493,3,))*$E134)</f>
        <v>432079.04686098802</v>
      </c>
      <c r="J134" s="66">
        <f>IF(VLOOKUP($D134,$C$5:$AU$493,3,)=0,0,(VLOOKUP($D134,$C$5:$AU$493,8,)/VLOOKUP($D134,$C$5:$AU$493,3,))*$E134)</f>
        <v>55810.319743462525</v>
      </c>
      <c r="K134" s="66">
        <f>IF(VLOOKUP($D134,$C$5:$AU$493,3,)=0,0,(VLOOKUP($D134,$C$5:$AU$493,9,)/VLOOKUP($D134,$C$5:$AU$493,3,))*$E134)</f>
        <v>138044.1866696871</v>
      </c>
      <c r="L134" s="66">
        <f>IF(VLOOKUP($D134,$C$5:$AU$493,3,)=0,0,(VLOOKUP($D134,$C$5:$AU$493,10,)/VLOOKUP($D134,$C$5:$AU$493,3,))*$E134)</f>
        <v>382231.94692069024</v>
      </c>
      <c r="M134" s="66">
        <f>IF(VLOOKUP($D134,$C$5:$AU$493,3,)=0,0,(VLOOKUP($D134,$C$5:$AU$493,11,)/VLOOKUP($D134,$C$5:$AU$493,3,))*$E134)</f>
        <v>178492.37761671751</v>
      </c>
      <c r="N134" s="66">
        <f>IF(VLOOKUP($D134,$C$5:$AU$493,3,)=0,0,(VLOOKUP($D134,$C$5:$AU$493,12,)/VLOOKUP($D134,$C$5:$AU$493,3,))*$E134)</f>
        <v>338684.38485129661</v>
      </c>
      <c r="O134" s="66">
        <f>IF(VLOOKUP($D134,$C$5:$AU$493,3,)=0,0,(VLOOKUP($D134,$C$5:$AU$493,13,)/VLOOKUP($D134,$C$5:$AU$493,3,))*$E134)</f>
        <v>0</v>
      </c>
      <c r="P134" s="66">
        <f>IF(VLOOKUP($D134,$C$5:$AU$493,3,)=0,0,(VLOOKUP($D134,$C$5:$AU$493,14,)/VLOOKUP($D134,$C$5:$AU$493,3,))*$E134)</f>
        <v>18531.555088237041</v>
      </c>
      <c r="Q134" s="66">
        <f>IF(VLOOKUP($D134,$C$5:$AU$493,3,)=0,0,(VLOOKUP($D134,$C$5:$AU$493,15,)/VLOOKUP($D134,$C$5:$AU$493,3,))*$E134)</f>
        <v>0</v>
      </c>
      <c r="R134" s="66">
        <f>IF(VLOOKUP($D134,$C$5:$AU$493,3,)=0,0,(VLOOKUP($D134,$C$5:$AU$493,16,)/VLOOKUP($D134,$C$5:$AU$493,3,))*$E134)</f>
        <v>0</v>
      </c>
      <c r="S134" s="66">
        <f>IF(VLOOKUP($D134,$C$5:$AU$493,3,)=0,0,(VLOOKUP($D134,$C$5:$AU$493,17,)/VLOOKUP($D134,$C$5:$AU$493,3,))*$E134)</f>
        <v>0</v>
      </c>
      <c r="T134" s="66">
        <f>IF(VLOOKUP($D134,$C$5:$AU$493,3,)=0,0,(VLOOKUP($D134,$C$5:$AU$493,18,)/VLOOKUP($D134,$C$5:$AU$493,3,))*$E134)</f>
        <v>0</v>
      </c>
      <c r="U134" s="66">
        <f>IF(VLOOKUP($D134,$C$5:$AU$493,3,)=0,0,(VLOOKUP($D134,$C$5:$AU$493,19,)/VLOOKUP($D134,$C$5:$AU$493,3,))*$E134)</f>
        <v>0</v>
      </c>
      <c r="V134" s="66">
        <f>IF(VLOOKUP($D134,$C$5:$AU$493,3,)=0,0,(VLOOKUP($D134,$C$5:$AU$493,20,)/VLOOKUP($D134,$C$5:$AU$493,3,))*$E134)</f>
        <v>0</v>
      </c>
      <c r="W134" s="66">
        <f>IF(VLOOKUP($D134,$C$5:$AU$493,3,)=0,0,(VLOOKUP($D134,$C$5:$AU$493,21,)/VLOOKUP($D134,$C$5:$AU$493,3,))*$E134)</f>
        <v>0</v>
      </c>
      <c r="X134" s="66">
        <f>IF(VLOOKUP($D134,$C$5:$AU$493,3,)=0,0,(VLOOKUP($D134,$C$5:$AU$493,22,)/VLOOKUP($D134,$C$5:$AU$493,3,))*$E134)</f>
        <v>0</v>
      </c>
      <c r="Y134" s="66">
        <f>IF(VLOOKUP($D134,$C$5:$AU$493,3,)=0,0,(VLOOKUP($D134,$C$5:$AU$493,23,)/VLOOKUP($D134,$C$5:$AU$493,3,))*$E134)</f>
        <v>0</v>
      </c>
      <c r="Z134" s="66">
        <f>IF(VLOOKUP($D134,$C$5:$AU$493,3,)=0,0,(VLOOKUP($D134,$C$5:$AU$493,24,)/VLOOKUP($D134,$C$5:$AU$493,3,))*$E134)</f>
        <v>0</v>
      </c>
      <c r="AA134" s="66">
        <f>IF(VLOOKUP($D134,$C$5:$AU$493,3,)=0,0,(VLOOKUP($D134,$C$5:$AU$493,25,)/VLOOKUP($D134,$C$5:$AU$493,3,))*$E134)</f>
        <v>0</v>
      </c>
      <c r="AB134" s="66">
        <f>IF(VLOOKUP($D134,$C$5:$AU$493,3,)=0,0,(VLOOKUP($D134,$C$5:$AU$493,26,)/VLOOKUP($D134,$C$5:$AU$493,3,))*$E134)</f>
        <v>0</v>
      </c>
      <c r="AC134" s="66">
        <f>IF(VLOOKUP($D134,$C$5:$AU$493,3,)=0,0,(VLOOKUP($D134,$C$5:$AU$493,27,)/VLOOKUP($D134,$C$5:$AU$493,3,))*$E134)</f>
        <v>0</v>
      </c>
      <c r="AD134" s="66">
        <f>IF(VLOOKUP($D134,$C$5:$AU$493,3,)=0,0,(VLOOKUP($D134,$C$5:$AU$493,28,)/VLOOKUP($D134,$C$5:$AU$493,3,))*$E134)</f>
        <v>0</v>
      </c>
      <c r="AE134" s="66">
        <f>IF(VLOOKUP($D134,$C$5:$AU$493,3,)=0,0,(VLOOKUP($D134,$C$5:$AU$493,29,)/VLOOKUP($D134,$C$5:$AU$493,3,))*$E134)</f>
        <v>0</v>
      </c>
      <c r="AF134" s="66">
        <f>IF(VLOOKUP($D134,$C$5:$AU$493,3,)=0,0,(VLOOKUP($D134,$C$5:$AU$493,30,)/VLOOKUP($D134,$C$5:$AU$493,3,))*$E134)</f>
        <v>0</v>
      </c>
      <c r="AG134" s="89">
        <f>SUM(F134:AF134)</f>
        <v>9641873.7977544572</v>
      </c>
      <c r="AH134" s="27" t="str">
        <f>IF(ABS(E134-AG134)&lt;0.01,"ok","err")</f>
        <v>ok</v>
      </c>
      <c r="AI134" s="67">
        <f t="shared" si="24"/>
        <v>1.8512208452498877E-2</v>
      </c>
    </row>
    <row r="135" spans="1:35" x14ac:dyDescent="0.2">
      <c r="A135" s="92" t="s">
        <v>219</v>
      </c>
      <c r="C135" s="14" t="s">
        <v>265</v>
      </c>
      <c r="D135" s="14" t="s">
        <v>221</v>
      </c>
      <c r="E135" s="49">
        <f>'Func &amp; Classif'!P285</f>
        <v>5184382.8537911205</v>
      </c>
      <c r="F135" s="66">
        <f>IF(VLOOKUP($D135,$C$5:$AU$493,3,)=0,0,(VLOOKUP($D135,$C$5:$AU$493,4,)/VLOOKUP($D135,$C$5:$AU$493,3,))*$E135)</f>
        <v>3960206.7452840456</v>
      </c>
      <c r="G135" s="66">
        <f>IF(VLOOKUP($D135,$C$5:$AU$493,3,)=0,0,(VLOOKUP($D135,$C$5:$AU$493,5,)/VLOOKUP($D135,$C$5:$AU$493,3,))*$E135)</f>
        <v>7702.0055230474163</v>
      </c>
      <c r="H135" s="66">
        <f>IF(VLOOKUP($D135,$C$5:$AU$493,3,)=0,0,(VLOOKUP($D135,$C$5:$AU$493,6,)/VLOOKUP($D135,$C$5:$AU$493,3,))*$E135)</f>
        <v>1246.3145913802773</v>
      </c>
      <c r="I135" s="66">
        <f>IF(VLOOKUP($D135,$C$5:$AU$493,3,)=0,0,(VLOOKUP($D135,$C$5:$AU$493,7,)/VLOOKUP($D135,$C$5:$AU$493,3,))*$E135)</f>
        <v>199224.48069055079</v>
      </c>
      <c r="J135" s="66">
        <f>IF(VLOOKUP($D135,$C$5:$AU$493,3,)=0,0,(VLOOKUP($D135,$C$5:$AU$493,8,)/VLOOKUP($D135,$C$5:$AU$493,3,))*$E135)</f>
        <v>3192.3145673950958</v>
      </c>
      <c r="K135" s="66">
        <f>IF(VLOOKUP($D135,$C$5:$AU$493,3,)=0,0,(VLOOKUP($D135,$C$5:$AU$493,9,)/VLOOKUP($D135,$C$5:$AU$493,3,))*$E135)</f>
        <v>4072.3875902557311</v>
      </c>
      <c r="L135" s="66">
        <f>IF(VLOOKUP($D135,$C$5:$AU$493,3,)=0,0,(VLOOKUP($D135,$C$5:$AU$493,10,)/VLOOKUP($D135,$C$5:$AU$493,3,))*$E135)</f>
        <v>1945.9999760148189</v>
      </c>
      <c r="M135" s="66">
        <f>IF(VLOOKUP($D135,$C$5:$AU$493,3,)=0,0,(VLOOKUP($D135,$C$5:$AU$493,11,)/VLOOKUP($D135,$C$5:$AU$493,3,))*$E135)</f>
        <v>196.78651442846481</v>
      </c>
      <c r="N135" s="66">
        <f>IF(VLOOKUP($D135,$C$5:$AU$493,3,)=0,0,(VLOOKUP($D135,$C$5:$AU$493,12,)/VLOOKUP($D135,$C$5:$AU$493,3,))*$E135)</f>
        <v>196.78651442846481</v>
      </c>
      <c r="O135" s="66">
        <f>IF(VLOOKUP($D135,$C$5:$AU$493,3,)=0,0,(VLOOKUP($D135,$C$5:$AU$493,13,)/VLOOKUP($D135,$C$5:$AU$493,3,))*$E135)</f>
        <v>65.595504809488276</v>
      </c>
      <c r="P135" s="66">
        <f>IF(VLOOKUP($D135,$C$5:$AU$493,3,)=0,0,(VLOOKUP($D135,$C$5:$AU$493,14,)/VLOOKUP($D135,$C$5:$AU$493,3,))*$E135)</f>
        <v>1006333.4370347644</v>
      </c>
      <c r="Q135" s="66">
        <f>IF(VLOOKUP($D135,$C$5:$AU$493,3,)=0,0,(VLOOKUP($D135,$C$5:$AU$493,15,)/VLOOKUP($D135,$C$5:$AU$493,3,))*$E135)</f>
        <v>0</v>
      </c>
      <c r="R135" s="66">
        <f>IF(VLOOKUP($D135,$C$5:$AU$493,3,)=0,0,(VLOOKUP($D135,$C$5:$AU$493,16,)/VLOOKUP($D135,$C$5:$AU$493,3,))*$E135)</f>
        <v>0</v>
      </c>
      <c r="S135" s="66">
        <f>IF(VLOOKUP($D135,$C$5:$AU$493,3,)=0,0,(VLOOKUP($D135,$C$5:$AU$493,17,)/VLOOKUP($D135,$C$5:$AU$493,3,))*$E135)</f>
        <v>0</v>
      </c>
      <c r="T135" s="66">
        <f>IF(VLOOKUP($D135,$C$5:$AU$493,3,)=0,0,(VLOOKUP($D135,$C$5:$AU$493,18,)/VLOOKUP($D135,$C$5:$AU$493,3,))*$E135)</f>
        <v>0</v>
      </c>
      <c r="U135" s="66">
        <f>IF(VLOOKUP($D135,$C$5:$AU$493,3,)=0,0,(VLOOKUP($D135,$C$5:$AU$493,19,)/VLOOKUP($D135,$C$5:$AU$493,3,))*$E135)</f>
        <v>0</v>
      </c>
      <c r="V135" s="66">
        <f>IF(VLOOKUP($D135,$C$5:$AU$493,3,)=0,0,(VLOOKUP($D135,$C$5:$AU$493,20,)/VLOOKUP($D135,$C$5:$AU$493,3,))*$E135)</f>
        <v>0</v>
      </c>
      <c r="W135" s="66">
        <f>IF(VLOOKUP($D135,$C$5:$AU$493,3,)=0,0,(VLOOKUP($D135,$C$5:$AU$493,21,)/VLOOKUP($D135,$C$5:$AU$493,3,))*$E135)</f>
        <v>0</v>
      </c>
      <c r="X135" s="66">
        <f>IF(VLOOKUP($D135,$C$5:$AU$493,3,)=0,0,(VLOOKUP($D135,$C$5:$AU$493,22,)/VLOOKUP($D135,$C$5:$AU$493,3,))*$E135)</f>
        <v>0</v>
      </c>
      <c r="Y135" s="66">
        <f>IF(VLOOKUP($D135,$C$5:$AU$493,3,)=0,0,(VLOOKUP($D135,$C$5:$AU$493,23,)/VLOOKUP($D135,$C$5:$AU$493,3,))*$E135)</f>
        <v>0</v>
      </c>
      <c r="Z135" s="66">
        <f>IF(VLOOKUP($D135,$C$5:$AU$493,3,)=0,0,(VLOOKUP($D135,$C$5:$AU$493,24,)/VLOOKUP($D135,$C$5:$AU$493,3,))*$E135)</f>
        <v>0</v>
      </c>
      <c r="AA135" s="66">
        <f>IF(VLOOKUP($D135,$C$5:$AU$493,3,)=0,0,(VLOOKUP($D135,$C$5:$AU$493,25,)/VLOOKUP($D135,$C$5:$AU$493,3,))*$E135)</f>
        <v>0</v>
      </c>
      <c r="AB135" s="66">
        <f>IF(VLOOKUP($D135,$C$5:$AU$493,3,)=0,0,(VLOOKUP($D135,$C$5:$AU$493,26,)/VLOOKUP($D135,$C$5:$AU$493,3,))*$E135)</f>
        <v>0</v>
      </c>
      <c r="AC135" s="66">
        <f>IF(VLOOKUP($D135,$C$5:$AU$493,3,)=0,0,(VLOOKUP($D135,$C$5:$AU$493,27,)/VLOOKUP($D135,$C$5:$AU$493,3,))*$E135)</f>
        <v>0</v>
      </c>
      <c r="AD135" s="66">
        <f>IF(VLOOKUP($D135,$C$5:$AU$493,3,)=0,0,(VLOOKUP($D135,$C$5:$AU$493,28,)/VLOOKUP($D135,$C$5:$AU$493,3,))*$E135)</f>
        <v>0</v>
      </c>
      <c r="AE135" s="66">
        <f>IF(VLOOKUP($D135,$C$5:$AU$493,3,)=0,0,(VLOOKUP($D135,$C$5:$AU$493,29,)/VLOOKUP($D135,$C$5:$AU$493,3,))*$E135)</f>
        <v>0</v>
      </c>
      <c r="AF135" s="66">
        <f>IF(VLOOKUP($D135,$C$5:$AU$493,3,)=0,0,(VLOOKUP($D135,$C$5:$AU$493,30,)/VLOOKUP($D135,$C$5:$AU$493,3,))*$E135)</f>
        <v>0</v>
      </c>
      <c r="AG135" s="89">
        <f>SUM(F135:AF135)</f>
        <v>5184382.8537911205</v>
      </c>
      <c r="AH135" s="27" t="str">
        <f>IF(ABS(E135-AG135)&lt;0.01,"ok","err")</f>
        <v>ok</v>
      </c>
      <c r="AI135" s="67">
        <f t="shared" si="24"/>
        <v>3.7957558301189726E-5</v>
      </c>
    </row>
    <row r="136" spans="1:35" x14ac:dyDescent="0.2">
      <c r="A136" s="14" t="s">
        <v>222</v>
      </c>
      <c r="E136" s="66">
        <f t="shared" ref="E136:T136" si="27">E134+E135</f>
        <v>14826256.651545577</v>
      </c>
      <c r="F136" s="66">
        <f t="shared" si="27"/>
        <v>12001322.862121262</v>
      </c>
      <c r="G136" s="66">
        <f t="shared" si="27"/>
        <v>9204.9250458075549</v>
      </c>
      <c r="H136" s="66">
        <f t="shared" si="27"/>
        <v>56627.258234779933</v>
      </c>
      <c r="I136" s="66">
        <f t="shared" si="27"/>
        <v>631303.52755153878</v>
      </c>
      <c r="J136" s="66">
        <f t="shared" si="27"/>
        <v>59002.634310857618</v>
      </c>
      <c r="K136" s="66">
        <f t="shared" si="27"/>
        <v>142116.57425994283</v>
      </c>
      <c r="L136" s="66">
        <f t="shared" si="27"/>
        <v>384177.94689670508</v>
      </c>
      <c r="M136" s="66">
        <f t="shared" si="27"/>
        <v>178689.16413114598</v>
      </c>
      <c r="N136" s="66">
        <f t="shared" si="27"/>
        <v>338881.17136572505</v>
      </c>
      <c r="O136" s="66">
        <f t="shared" si="27"/>
        <v>65.595504809488276</v>
      </c>
      <c r="P136" s="66">
        <f t="shared" si="27"/>
        <v>1024864.9921230015</v>
      </c>
      <c r="Q136" s="66">
        <f t="shared" si="27"/>
        <v>0</v>
      </c>
      <c r="R136" s="66">
        <f t="shared" si="27"/>
        <v>0</v>
      </c>
      <c r="S136" s="66">
        <f t="shared" si="27"/>
        <v>0</v>
      </c>
      <c r="T136" s="66">
        <f t="shared" si="27"/>
        <v>0</v>
      </c>
      <c r="U136" s="66">
        <f t="shared" ref="U136:AF136" si="28">U134+U135</f>
        <v>0</v>
      </c>
      <c r="V136" s="66">
        <f t="shared" si="28"/>
        <v>0</v>
      </c>
      <c r="W136" s="66">
        <f t="shared" si="28"/>
        <v>0</v>
      </c>
      <c r="X136" s="66">
        <f t="shared" si="28"/>
        <v>0</v>
      </c>
      <c r="Y136" s="66">
        <f t="shared" si="28"/>
        <v>0</v>
      </c>
      <c r="Z136" s="66">
        <f t="shared" si="28"/>
        <v>0</v>
      </c>
      <c r="AA136" s="66">
        <f t="shared" si="28"/>
        <v>0</v>
      </c>
      <c r="AB136" s="66">
        <f t="shared" si="28"/>
        <v>0</v>
      </c>
      <c r="AC136" s="66">
        <f t="shared" si="28"/>
        <v>0</v>
      </c>
      <c r="AD136" s="66">
        <f t="shared" si="28"/>
        <v>0</v>
      </c>
      <c r="AE136" s="66">
        <f t="shared" si="28"/>
        <v>0</v>
      </c>
      <c r="AF136" s="66">
        <f t="shared" si="28"/>
        <v>0</v>
      </c>
      <c r="AG136" s="89">
        <f>SUM(F136:AF136)</f>
        <v>14826256.651545577</v>
      </c>
      <c r="AH136" s="27" t="str">
        <f>IF(ABS(E136-AG136)&lt;0.01,"ok","err")</f>
        <v>ok</v>
      </c>
      <c r="AI136" s="67">
        <f t="shared" si="24"/>
        <v>1.2052210367781429E-2</v>
      </c>
    </row>
    <row r="137" spans="1:35" x14ac:dyDescent="0.2">
      <c r="E137" s="49"/>
      <c r="AI137" s="67"/>
    </row>
    <row r="138" spans="1:35" x14ac:dyDescent="0.2">
      <c r="A138" s="13" t="s">
        <v>3</v>
      </c>
      <c r="E138" s="49"/>
      <c r="AI138" s="67"/>
    </row>
    <row r="139" spans="1:35" x14ac:dyDescent="0.2">
      <c r="A139" s="92" t="s">
        <v>207</v>
      </c>
      <c r="C139" s="14" t="s">
        <v>266</v>
      </c>
      <c r="D139" s="14" t="s">
        <v>700</v>
      </c>
      <c r="E139" s="66">
        <f>'Func &amp; Classif'!R285</f>
        <v>0</v>
      </c>
      <c r="F139" s="66">
        <f>IF(VLOOKUP($D139,$C$5:$AU$493,3,)=0,0,(VLOOKUP($D139,$C$5:$AU$493,4,)/VLOOKUP($D139,$C$5:$AU$493,3,))*$E139)</f>
        <v>0</v>
      </c>
      <c r="G139" s="66">
        <f>IF(VLOOKUP($D139,$C$5:$AU$493,3,)=0,0,(VLOOKUP($D139,$C$5:$AU$493,5,)/VLOOKUP($D139,$C$5:$AU$493,3,))*$E139)</f>
        <v>0</v>
      </c>
      <c r="H139" s="66">
        <f>IF(VLOOKUP($D139,$C$5:$AU$493,3,)=0,0,(VLOOKUP($D139,$C$5:$AU$493,6,)/VLOOKUP($D139,$C$5:$AU$493,3,))*$E139)</f>
        <v>0</v>
      </c>
      <c r="I139" s="66">
        <f>IF(VLOOKUP($D139,$C$5:$AU$493,3,)=0,0,(VLOOKUP($D139,$C$5:$AU$493,7,)/VLOOKUP($D139,$C$5:$AU$493,3,))*$E139)</f>
        <v>0</v>
      </c>
      <c r="J139" s="66">
        <f>IF(VLOOKUP($D139,$C$5:$AU$493,3,)=0,0,(VLOOKUP($D139,$C$5:$AU$493,8,)/VLOOKUP($D139,$C$5:$AU$493,3,))*$E139)</f>
        <v>0</v>
      </c>
      <c r="K139" s="66">
        <f>IF(VLOOKUP($D139,$C$5:$AU$493,3,)=0,0,(VLOOKUP($D139,$C$5:$AU$493,9,)/VLOOKUP($D139,$C$5:$AU$493,3,))*$E139)</f>
        <v>0</v>
      </c>
      <c r="L139" s="66">
        <f>IF(VLOOKUP($D139,$C$5:$AU$493,3,)=0,0,(VLOOKUP($D139,$C$5:$AU$493,10,)/VLOOKUP($D139,$C$5:$AU$493,3,))*$E139)</f>
        <v>0</v>
      </c>
      <c r="M139" s="66">
        <f>IF(VLOOKUP($D139,$C$5:$AU$493,3,)=0,0,(VLOOKUP($D139,$C$5:$AU$493,11,)/VLOOKUP($D139,$C$5:$AU$493,3,))*$E139)</f>
        <v>0</v>
      </c>
      <c r="N139" s="66">
        <f>IF(VLOOKUP($D139,$C$5:$AU$493,3,)=0,0,(VLOOKUP($D139,$C$5:$AU$493,12,)/VLOOKUP($D139,$C$5:$AU$493,3,))*$E139)</f>
        <v>0</v>
      </c>
      <c r="O139" s="66">
        <f>IF(VLOOKUP($D139,$C$5:$AU$493,3,)=0,0,(VLOOKUP($D139,$C$5:$AU$493,13,)/VLOOKUP($D139,$C$5:$AU$493,3,))*$E139)</f>
        <v>0</v>
      </c>
      <c r="P139" s="66">
        <f>IF(VLOOKUP($D139,$C$5:$AU$493,3,)=0,0,(VLOOKUP($D139,$C$5:$AU$493,14,)/VLOOKUP($D139,$C$5:$AU$493,3,))*$E139)</f>
        <v>0</v>
      </c>
      <c r="Q139" s="66">
        <f>IF(VLOOKUP($D139,$C$5:$AU$493,3,)=0,0,(VLOOKUP($D139,$C$5:$AU$493,15,)/VLOOKUP($D139,$C$5:$AU$493,3,))*$E139)</f>
        <v>0</v>
      </c>
      <c r="R139" s="66">
        <f>IF(VLOOKUP($D139,$C$5:$AU$493,3,)=0,0,(VLOOKUP($D139,$C$5:$AU$493,16,)/VLOOKUP($D139,$C$5:$AU$493,3,))*$E139)</f>
        <v>0</v>
      </c>
      <c r="S139" s="66">
        <f>IF(VLOOKUP($D139,$C$5:$AU$493,3,)=0,0,(VLOOKUP($D139,$C$5:$AU$493,17,)/VLOOKUP($D139,$C$5:$AU$493,3,))*$E139)</f>
        <v>0</v>
      </c>
      <c r="T139" s="66">
        <f>IF(VLOOKUP($D139,$C$5:$AU$493,3,)=0,0,(VLOOKUP($D139,$C$5:$AU$493,18,)/VLOOKUP($D139,$C$5:$AU$493,3,))*$E139)</f>
        <v>0</v>
      </c>
      <c r="U139" s="66">
        <f>IF(VLOOKUP($D139,$C$5:$AU$493,3,)=0,0,(VLOOKUP($D139,$C$5:$AU$493,19,)/VLOOKUP($D139,$C$5:$AU$493,3,))*$E139)</f>
        <v>0</v>
      </c>
      <c r="V139" s="66">
        <f>IF(VLOOKUP($D139,$C$5:$AU$493,3,)=0,0,(VLOOKUP($D139,$C$5:$AU$493,20,)/VLOOKUP($D139,$C$5:$AU$493,3,))*$E139)</f>
        <v>0</v>
      </c>
      <c r="W139" s="66">
        <f>IF(VLOOKUP($D139,$C$5:$AU$493,3,)=0,0,(VLOOKUP($D139,$C$5:$AU$493,21,)/VLOOKUP($D139,$C$5:$AU$493,3,))*$E139)</f>
        <v>0</v>
      </c>
      <c r="X139" s="66">
        <f>IF(VLOOKUP($D139,$C$5:$AU$493,3,)=0,0,(VLOOKUP($D139,$C$5:$AU$493,22,)/VLOOKUP($D139,$C$5:$AU$493,3,))*$E139)</f>
        <v>0</v>
      </c>
      <c r="Y139" s="66">
        <f>IF(VLOOKUP($D139,$C$5:$AU$493,3,)=0,0,(VLOOKUP($D139,$C$5:$AU$493,23,)/VLOOKUP($D139,$C$5:$AU$493,3,))*$E139)</f>
        <v>0</v>
      </c>
      <c r="Z139" s="66">
        <f>IF(VLOOKUP($D139,$C$5:$AU$493,3,)=0,0,(VLOOKUP($D139,$C$5:$AU$493,24,)/VLOOKUP($D139,$C$5:$AU$493,3,))*$E139)</f>
        <v>0</v>
      </c>
      <c r="AA139" s="66">
        <f>IF(VLOOKUP($D139,$C$5:$AU$493,3,)=0,0,(VLOOKUP($D139,$C$5:$AU$493,25,)/VLOOKUP($D139,$C$5:$AU$493,3,))*$E139)</f>
        <v>0</v>
      </c>
      <c r="AB139" s="66">
        <f>IF(VLOOKUP($D139,$C$5:$AU$493,3,)=0,0,(VLOOKUP($D139,$C$5:$AU$493,26,)/VLOOKUP($D139,$C$5:$AU$493,3,))*$E139)</f>
        <v>0</v>
      </c>
      <c r="AC139" s="66">
        <f>IF(VLOOKUP($D139,$C$5:$AU$493,3,)=0,0,(VLOOKUP($D139,$C$5:$AU$493,27,)/VLOOKUP($D139,$C$5:$AU$493,3,))*$E139)</f>
        <v>0</v>
      </c>
      <c r="AD139" s="66">
        <f>IF(VLOOKUP($D139,$C$5:$AU$493,3,)=0,0,(VLOOKUP($D139,$C$5:$AU$493,28,)/VLOOKUP($D139,$C$5:$AU$493,3,))*$E139)</f>
        <v>0</v>
      </c>
      <c r="AE139" s="66">
        <f>IF(VLOOKUP($D139,$C$5:$AU$493,3,)=0,0,(VLOOKUP($D139,$C$5:$AU$493,29,)/VLOOKUP($D139,$C$5:$AU$493,3,))*$E139)</f>
        <v>0</v>
      </c>
      <c r="AF139" s="66">
        <f>IF(VLOOKUP($D139,$C$5:$AU$493,3,)=0,0,(VLOOKUP($D139,$C$5:$AU$493,30,)/VLOOKUP($D139,$C$5:$AU$493,3,))*$E139)</f>
        <v>0</v>
      </c>
      <c r="AG139" s="89">
        <f>SUM(F139:AF139)</f>
        <v>0</v>
      </c>
      <c r="AH139" s="27" t="str">
        <f>IF(ABS(E139-AG139)&lt;0.01,"ok","err")</f>
        <v>ok</v>
      </c>
      <c r="AI139" s="67"/>
    </row>
    <row r="140" spans="1:35" x14ac:dyDescent="0.2">
      <c r="A140" s="92" t="s">
        <v>219</v>
      </c>
      <c r="C140" s="14" t="s">
        <v>267</v>
      </c>
      <c r="D140" s="14" t="s">
        <v>700</v>
      </c>
      <c r="E140" s="49">
        <f>'Func &amp; Classif'!S285</f>
        <v>708860.86557801394</v>
      </c>
      <c r="F140" s="66">
        <f>IF(VLOOKUP($D140,$C$5:$AU$493,3,)=0,0,(VLOOKUP($D140,$C$5:$AU$493,4,)/VLOOKUP($D140,$C$5:$AU$493,3,))*$E140)</f>
        <v>652562.88398705993</v>
      </c>
      <c r="G140" s="66">
        <f>IF(VLOOKUP($D140,$C$5:$AU$493,3,)=0,0,(VLOOKUP($D140,$C$5:$AU$493,5,)/VLOOKUP($D140,$C$5:$AU$493,3,))*$E140)</f>
        <v>1269.1365021761237</v>
      </c>
      <c r="H140" s="66">
        <f>IF(VLOOKUP($D140,$C$5:$AU$493,3,)=0,0,(VLOOKUP($D140,$C$5:$AU$493,6,)/VLOOKUP($D140,$C$5:$AU$493,3,))*$E140)</f>
        <v>205.36772356008248</v>
      </c>
      <c r="I140" s="66">
        <f>IF(VLOOKUP($D140,$C$5:$AU$493,3,)=0,0,(VLOOKUP($D140,$C$5:$AU$493,7,)/VLOOKUP($D140,$C$5:$AU$493,3,))*$E140)</f>
        <v>39313.253097909808</v>
      </c>
      <c r="J140" s="66">
        <f>IF(VLOOKUP($D140,$C$5:$AU$493,3,)=0,0,(VLOOKUP($D140,$C$5:$AU$493,8,)/VLOOKUP($D140,$C$5:$AU$493,3,))*$E140)</f>
        <v>629.94402154363513</v>
      </c>
      <c r="K140" s="66">
        <f>IF(VLOOKUP($D140,$C$5:$AU$493,3,)=0,0,(VLOOKUP($D140,$C$5:$AU$493,9,)/VLOOKUP($D140,$C$5:$AU$493,3,))*$E140)</f>
        <v>5162.8569088890426</v>
      </c>
      <c r="L140" s="66">
        <f>IF(VLOOKUP($D140,$C$5:$AU$493,3,)=0,0,(VLOOKUP($D140,$C$5:$AU$493,10,)/VLOOKUP($D140,$C$5:$AU$493,3,))*$E140)</f>
        <v>5977.0306864739632</v>
      </c>
      <c r="M140" s="66">
        <f>IF(VLOOKUP($D140,$C$5:$AU$493,3,)=0,0,(VLOOKUP($D140,$C$5:$AU$493,11,)/VLOOKUP($D140,$C$5:$AU$493,3,))*$E140)</f>
        <v>641.94446529305731</v>
      </c>
      <c r="N140" s="66">
        <f>IF(VLOOKUP($D140,$C$5:$AU$493,3,)=0,0,(VLOOKUP($D140,$C$5:$AU$493,12,)/VLOOKUP($D140,$C$5:$AU$493,3,))*$E140)</f>
        <v>3098.4481851084242</v>
      </c>
      <c r="O140" s="66">
        <f>IF(VLOOKUP($D140,$C$5:$AU$493,3,)=0,0,(VLOOKUP($D140,$C$5:$AU$493,13,)/VLOOKUP($D140,$C$5:$AU$493,3,))*$E140)</f>
        <v>0</v>
      </c>
      <c r="P140" s="66">
        <f>IF(VLOOKUP($D140,$C$5:$AU$493,3,)=0,0,(VLOOKUP($D140,$C$5:$AU$493,14,)/VLOOKUP($D140,$C$5:$AU$493,3,))*$E140)</f>
        <v>0</v>
      </c>
      <c r="Q140" s="66">
        <f>IF(VLOOKUP($D140,$C$5:$AU$493,3,)=0,0,(VLOOKUP($D140,$C$5:$AU$493,15,)/VLOOKUP($D140,$C$5:$AU$493,3,))*$E140)</f>
        <v>0</v>
      </c>
      <c r="R140" s="66">
        <f>IF(VLOOKUP($D140,$C$5:$AU$493,3,)=0,0,(VLOOKUP($D140,$C$5:$AU$493,16,)/VLOOKUP($D140,$C$5:$AU$493,3,))*$E140)</f>
        <v>0</v>
      </c>
      <c r="S140" s="66">
        <f>IF(VLOOKUP($D140,$C$5:$AU$493,3,)=0,0,(VLOOKUP($D140,$C$5:$AU$493,17,)/VLOOKUP($D140,$C$5:$AU$493,3,))*$E140)</f>
        <v>0</v>
      </c>
      <c r="T140" s="66">
        <f>IF(VLOOKUP($D140,$C$5:$AU$493,3,)=0,0,(VLOOKUP($D140,$C$5:$AU$493,18,)/VLOOKUP($D140,$C$5:$AU$493,3,))*$E140)</f>
        <v>0</v>
      </c>
      <c r="U140" s="66">
        <f>IF(VLOOKUP($D140,$C$5:$AU$493,3,)=0,0,(VLOOKUP($D140,$C$5:$AU$493,19,)/VLOOKUP($D140,$C$5:$AU$493,3,))*$E140)</f>
        <v>0</v>
      </c>
      <c r="V140" s="66">
        <f>IF(VLOOKUP($D140,$C$5:$AU$493,3,)=0,0,(VLOOKUP($D140,$C$5:$AU$493,20,)/VLOOKUP($D140,$C$5:$AU$493,3,))*$E140)</f>
        <v>0</v>
      </c>
      <c r="W140" s="66">
        <f>IF(VLOOKUP($D140,$C$5:$AU$493,3,)=0,0,(VLOOKUP($D140,$C$5:$AU$493,21,)/VLOOKUP($D140,$C$5:$AU$493,3,))*$E140)</f>
        <v>0</v>
      </c>
      <c r="X140" s="66">
        <f>IF(VLOOKUP($D140,$C$5:$AU$493,3,)=0,0,(VLOOKUP($D140,$C$5:$AU$493,22,)/VLOOKUP($D140,$C$5:$AU$493,3,))*$E140)</f>
        <v>0</v>
      </c>
      <c r="Y140" s="66">
        <f>IF(VLOOKUP($D140,$C$5:$AU$493,3,)=0,0,(VLOOKUP($D140,$C$5:$AU$493,23,)/VLOOKUP($D140,$C$5:$AU$493,3,))*$E140)</f>
        <v>0</v>
      </c>
      <c r="Z140" s="66">
        <f>IF(VLOOKUP($D140,$C$5:$AU$493,3,)=0,0,(VLOOKUP($D140,$C$5:$AU$493,24,)/VLOOKUP($D140,$C$5:$AU$493,3,))*$E140)</f>
        <v>0</v>
      </c>
      <c r="AA140" s="66">
        <f>IF(VLOOKUP($D140,$C$5:$AU$493,3,)=0,0,(VLOOKUP($D140,$C$5:$AU$493,25,)/VLOOKUP($D140,$C$5:$AU$493,3,))*$E140)</f>
        <v>0</v>
      </c>
      <c r="AB140" s="66">
        <f>IF(VLOOKUP($D140,$C$5:$AU$493,3,)=0,0,(VLOOKUP($D140,$C$5:$AU$493,26,)/VLOOKUP($D140,$C$5:$AU$493,3,))*$E140)</f>
        <v>0</v>
      </c>
      <c r="AC140" s="66">
        <f>IF(VLOOKUP($D140,$C$5:$AU$493,3,)=0,0,(VLOOKUP($D140,$C$5:$AU$493,27,)/VLOOKUP($D140,$C$5:$AU$493,3,))*$E140)</f>
        <v>0</v>
      </c>
      <c r="AD140" s="66">
        <f>IF(VLOOKUP($D140,$C$5:$AU$493,3,)=0,0,(VLOOKUP($D140,$C$5:$AU$493,28,)/VLOOKUP($D140,$C$5:$AU$493,3,))*$E140)</f>
        <v>0</v>
      </c>
      <c r="AE140" s="66">
        <f>IF(VLOOKUP($D140,$C$5:$AU$493,3,)=0,0,(VLOOKUP($D140,$C$5:$AU$493,29,)/VLOOKUP($D140,$C$5:$AU$493,3,))*$E140)</f>
        <v>0</v>
      </c>
      <c r="AF140" s="66">
        <f>IF(VLOOKUP($D140,$C$5:$AU$493,3,)=0,0,(VLOOKUP($D140,$C$5:$AU$493,30,)/VLOOKUP($D140,$C$5:$AU$493,3,))*$E140)</f>
        <v>0</v>
      </c>
      <c r="AG140" s="89">
        <f>SUM(F140:AF140)</f>
        <v>708860.86557801405</v>
      </c>
      <c r="AH140" s="27" t="str">
        <f>IF(ABS(E140-AG140)&lt;0.01,"ok","err")</f>
        <v>ok</v>
      </c>
      <c r="AI140" s="67">
        <f t="shared" si="24"/>
        <v>9.0560009229682578E-4</v>
      </c>
    </row>
    <row r="141" spans="1:35" x14ac:dyDescent="0.2">
      <c r="A141" s="14" t="s">
        <v>226</v>
      </c>
      <c r="E141" s="66">
        <f t="shared" ref="E141:T141" si="29">E139+E140</f>
        <v>708860.86557801394</v>
      </c>
      <c r="F141" s="66">
        <f t="shared" si="29"/>
        <v>652562.88398705993</v>
      </c>
      <c r="G141" s="66">
        <f t="shared" si="29"/>
        <v>1269.1365021761237</v>
      </c>
      <c r="H141" s="66">
        <f t="shared" si="29"/>
        <v>205.36772356008248</v>
      </c>
      <c r="I141" s="66">
        <f t="shared" si="29"/>
        <v>39313.253097909808</v>
      </c>
      <c r="J141" s="66">
        <f t="shared" si="29"/>
        <v>629.94402154363513</v>
      </c>
      <c r="K141" s="66">
        <f t="shared" si="29"/>
        <v>5162.8569088890426</v>
      </c>
      <c r="L141" s="66">
        <f t="shared" si="29"/>
        <v>5977.0306864739632</v>
      </c>
      <c r="M141" s="66">
        <f t="shared" si="29"/>
        <v>641.94446529305731</v>
      </c>
      <c r="N141" s="66">
        <f t="shared" si="29"/>
        <v>3098.4481851084242</v>
      </c>
      <c r="O141" s="66">
        <f t="shared" si="29"/>
        <v>0</v>
      </c>
      <c r="P141" s="66">
        <f t="shared" si="29"/>
        <v>0</v>
      </c>
      <c r="Q141" s="66">
        <f t="shared" si="29"/>
        <v>0</v>
      </c>
      <c r="R141" s="66">
        <f t="shared" si="29"/>
        <v>0</v>
      </c>
      <c r="S141" s="66">
        <f t="shared" si="29"/>
        <v>0</v>
      </c>
      <c r="T141" s="66">
        <f t="shared" si="29"/>
        <v>0</v>
      </c>
      <c r="U141" s="66">
        <f t="shared" ref="U141:AF141" si="30">U139+U140</f>
        <v>0</v>
      </c>
      <c r="V141" s="66">
        <f t="shared" si="30"/>
        <v>0</v>
      </c>
      <c r="W141" s="66">
        <f t="shared" si="30"/>
        <v>0</v>
      </c>
      <c r="X141" s="66">
        <f t="shared" si="30"/>
        <v>0</v>
      </c>
      <c r="Y141" s="66">
        <f t="shared" si="30"/>
        <v>0</v>
      </c>
      <c r="Z141" s="66">
        <f t="shared" si="30"/>
        <v>0</v>
      </c>
      <c r="AA141" s="66">
        <f t="shared" si="30"/>
        <v>0</v>
      </c>
      <c r="AB141" s="66">
        <f t="shared" si="30"/>
        <v>0</v>
      </c>
      <c r="AC141" s="66">
        <f t="shared" si="30"/>
        <v>0</v>
      </c>
      <c r="AD141" s="66">
        <f t="shared" si="30"/>
        <v>0</v>
      </c>
      <c r="AE141" s="66">
        <f t="shared" si="30"/>
        <v>0</v>
      </c>
      <c r="AF141" s="66">
        <f t="shared" si="30"/>
        <v>0</v>
      </c>
      <c r="AG141" s="89">
        <f>SUM(F141:AF141)</f>
        <v>708860.86557801405</v>
      </c>
      <c r="AH141" s="27" t="str">
        <f>IF(ABS(E141-AG141)&lt;0.01,"ok","err")</f>
        <v>ok</v>
      </c>
      <c r="AI141" s="67">
        <f t="shared" si="24"/>
        <v>9.0560009229682578E-4</v>
      </c>
    </row>
    <row r="142" spans="1:35" x14ac:dyDescent="0.2">
      <c r="E142" s="49"/>
      <c r="AI142" s="67"/>
    </row>
    <row r="143" spans="1:35" x14ac:dyDescent="0.2">
      <c r="A143" s="13" t="s">
        <v>4</v>
      </c>
      <c r="E143" s="49"/>
      <c r="AI143" s="67"/>
    </row>
    <row r="144" spans="1:35" x14ac:dyDescent="0.2">
      <c r="A144" s="92" t="s">
        <v>219</v>
      </c>
      <c r="C144" s="14" t="s">
        <v>268</v>
      </c>
      <c r="D144" s="14" t="s">
        <v>228</v>
      </c>
      <c r="E144" s="66">
        <f>'Func &amp; Classif'!U285</f>
        <v>978007.44416693761</v>
      </c>
      <c r="F144" s="66">
        <f>IF(VLOOKUP($D144,$C$5:$AU$493,3,)=0,0,(VLOOKUP($D144,$C$5:$AU$493,4,)/VLOOKUP($D144,$C$5:$AU$493,3,))*$E144)</f>
        <v>918956.03791640874</v>
      </c>
      <c r="G144" s="66">
        <f>IF(VLOOKUP($D144,$C$5:$AU$493,3,)=0,0,(VLOOKUP($D144,$C$5:$AU$493,5,)/VLOOKUP($D144,$C$5:$AU$493,3,))*$E144)</f>
        <v>1787.2310550196528</v>
      </c>
      <c r="H144" s="66">
        <f>IF(VLOOKUP($D144,$C$5:$AU$493,3,)=0,0,(VLOOKUP($D144,$C$5:$AU$493,6,)/VLOOKUP($D144,$C$5:$AU$493,3,))*$E144)</f>
        <v>351.95602253865331</v>
      </c>
      <c r="I144" s="66">
        <f>IF(VLOOKUP($D144,$C$5:$AU$493,3,)=0,0,(VLOOKUP($D144,$C$5:$AU$493,7,)/VLOOKUP($D144,$C$5:$AU$493,3,))*$E144)</f>
        <v>41606.586748134585</v>
      </c>
      <c r="J144" s="66">
        <f>IF(VLOOKUP($D144,$C$5:$AU$493,3,)=0,0,(VLOOKUP($D144,$C$5:$AU$493,8,)/VLOOKUP($D144,$C$5:$AU$493,3,))*$E144)</f>
        <v>901.50139106391896</v>
      </c>
      <c r="K144" s="66">
        <f>IF(VLOOKUP($D144,$C$5:$AU$493,3,)=0,0,(VLOOKUP($D144,$C$5:$AU$493,9,)/VLOOKUP($D144,$C$5:$AU$493,3,))*$E144)</f>
        <v>6798.0694063314086</v>
      </c>
      <c r="L144" s="66">
        <f>IF(VLOOKUP($D144,$C$5:$AU$493,3,)=0,0,(VLOOKUP($D144,$C$5:$AU$493,10,)/VLOOKUP($D144,$C$5:$AU$493,3,))*$E144)</f>
        <v>3248.4734344348735</v>
      </c>
      <c r="M144" s="66">
        <f>IF(VLOOKUP($D144,$C$5:$AU$493,3,)=0,0,(VLOOKUP($D144,$C$5:$AU$493,11,)/VLOOKUP($D144,$C$5:$AU$493,3,))*$E144)</f>
        <v>562.75269417724144</v>
      </c>
      <c r="N144" s="66">
        <f>IF(VLOOKUP($D144,$C$5:$AU$493,3,)=0,0,(VLOOKUP($D144,$C$5:$AU$493,12,)/VLOOKUP($D144,$C$5:$AU$493,3,))*$E144)</f>
        <v>3794.8354988286374</v>
      </c>
      <c r="O144" s="66">
        <f>IF(VLOOKUP($D144,$C$5:$AU$493,3,)=0,0,(VLOOKUP($D144,$C$5:$AU$493,13,)/VLOOKUP($D144,$C$5:$AU$493,3,))*$E144)</f>
        <v>0</v>
      </c>
      <c r="P144" s="66">
        <f>IF(VLOOKUP($D144,$C$5:$AU$493,3,)=0,0,(VLOOKUP($D144,$C$5:$AU$493,14,)/VLOOKUP($D144,$C$5:$AU$493,3,))*$E144)</f>
        <v>0</v>
      </c>
      <c r="Q144" s="66">
        <f>IF(VLOOKUP($D144,$C$5:$AU$493,3,)=0,0,(VLOOKUP($D144,$C$5:$AU$493,15,)/VLOOKUP($D144,$C$5:$AU$493,3,))*$E144)</f>
        <v>0</v>
      </c>
      <c r="R144" s="66">
        <f>IF(VLOOKUP($D144,$C$5:$AU$493,3,)=0,0,(VLOOKUP($D144,$C$5:$AU$493,16,)/VLOOKUP($D144,$C$5:$AU$493,3,))*$E144)</f>
        <v>0</v>
      </c>
      <c r="S144" s="66">
        <f>IF(VLOOKUP($D144,$C$5:$AU$493,3,)=0,0,(VLOOKUP($D144,$C$5:$AU$493,17,)/VLOOKUP($D144,$C$5:$AU$493,3,))*$E144)</f>
        <v>0</v>
      </c>
      <c r="T144" s="66">
        <f>IF(VLOOKUP($D144,$C$5:$AU$493,3,)=0,0,(VLOOKUP($D144,$C$5:$AU$493,18,)/VLOOKUP($D144,$C$5:$AU$493,3,))*$E144)</f>
        <v>0</v>
      </c>
      <c r="U144" s="66">
        <f>IF(VLOOKUP($D144,$C$5:$AU$493,3,)=0,0,(VLOOKUP($D144,$C$5:$AU$493,19,)/VLOOKUP($D144,$C$5:$AU$493,3,))*$E144)</f>
        <v>0</v>
      </c>
      <c r="V144" s="66">
        <f>IF(VLOOKUP($D144,$C$5:$AU$493,3,)=0,0,(VLOOKUP($D144,$C$5:$AU$493,20,)/VLOOKUP($D144,$C$5:$AU$493,3,))*$E144)</f>
        <v>0</v>
      </c>
      <c r="W144" s="66">
        <f>IF(VLOOKUP($D144,$C$5:$AU$493,3,)=0,0,(VLOOKUP($D144,$C$5:$AU$493,21,)/VLOOKUP($D144,$C$5:$AU$493,3,))*$E144)</f>
        <v>0</v>
      </c>
      <c r="X144" s="66">
        <f>IF(VLOOKUP($D144,$C$5:$AU$493,3,)=0,0,(VLOOKUP($D144,$C$5:$AU$493,22,)/VLOOKUP($D144,$C$5:$AU$493,3,))*$E144)</f>
        <v>0</v>
      </c>
      <c r="Y144" s="66">
        <f>IF(VLOOKUP($D144,$C$5:$AU$493,3,)=0,0,(VLOOKUP($D144,$C$5:$AU$493,23,)/VLOOKUP($D144,$C$5:$AU$493,3,))*$E144)</f>
        <v>0</v>
      </c>
      <c r="Z144" s="66">
        <f>IF(VLOOKUP($D144,$C$5:$AU$493,3,)=0,0,(VLOOKUP($D144,$C$5:$AU$493,24,)/VLOOKUP($D144,$C$5:$AU$493,3,))*$E144)</f>
        <v>0</v>
      </c>
      <c r="AA144" s="66">
        <f>IF(VLOOKUP($D144,$C$5:$AU$493,3,)=0,0,(VLOOKUP($D144,$C$5:$AU$493,25,)/VLOOKUP($D144,$C$5:$AU$493,3,))*$E144)</f>
        <v>0</v>
      </c>
      <c r="AB144" s="66">
        <f>IF(VLOOKUP($D144,$C$5:$AU$493,3,)=0,0,(VLOOKUP($D144,$C$5:$AU$493,26,)/VLOOKUP($D144,$C$5:$AU$493,3,))*$E144)</f>
        <v>0</v>
      </c>
      <c r="AC144" s="66">
        <f>IF(VLOOKUP($D144,$C$5:$AU$493,3,)=0,0,(VLOOKUP($D144,$C$5:$AU$493,27,)/VLOOKUP($D144,$C$5:$AU$493,3,))*$E144)</f>
        <v>0</v>
      </c>
      <c r="AD144" s="66">
        <f>IF(VLOOKUP($D144,$C$5:$AU$493,3,)=0,0,(VLOOKUP($D144,$C$5:$AU$493,28,)/VLOOKUP($D144,$C$5:$AU$493,3,))*$E144)</f>
        <v>0</v>
      </c>
      <c r="AE144" s="66">
        <f>IF(VLOOKUP($D144,$C$5:$AU$493,3,)=0,0,(VLOOKUP($D144,$C$5:$AU$493,29,)/VLOOKUP($D144,$C$5:$AU$493,3,))*$E144)</f>
        <v>0</v>
      </c>
      <c r="AF144" s="66">
        <f>IF(VLOOKUP($D144,$C$5:$AU$493,3,)=0,0,(VLOOKUP($D144,$C$5:$AU$493,30,)/VLOOKUP($D144,$C$5:$AU$493,3,))*$E144)</f>
        <v>0</v>
      </c>
      <c r="AG144" s="89">
        <f>SUM(F144:AF144)</f>
        <v>978007.44416693773</v>
      </c>
      <c r="AH144" s="27" t="str">
        <f>IF(ABS(E144-AG144)&lt;0.01,"ok","err")</f>
        <v>ok</v>
      </c>
      <c r="AI144" s="67">
        <f t="shared" si="24"/>
        <v>5.7540737295368096E-4</v>
      </c>
    </row>
    <row r="145" spans="1:35" x14ac:dyDescent="0.2">
      <c r="E145" s="49"/>
      <c r="AI145" s="67"/>
    </row>
    <row r="146" spans="1:35" x14ac:dyDescent="0.2">
      <c r="A146" s="13" t="s">
        <v>5</v>
      </c>
      <c r="E146" s="49"/>
      <c r="AI146" s="67"/>
    </row>
    <row r="147" spans="1:35" x14ac:dyDescent="0.2">
      <c r="A147" s="92" t="s">
        <v>219</v>
      </c>
      <c r="C147" s="14" t="s">
        <v>269</v>
      </c>
      <c r="D147" s="14" t="s">
        <v>230</v>
      </c>
      <c r="E147" s="66">
        <f>'Func &amp; Classif'!W285</f>
        <v>192885.10211675125</v>
      </c>
      <c r="F147" s="66">
        <f>IF(VLOOKUP($D147,$C$5:$AU$493,3,)=0,0,(VLOOKUP($D147,$C$5:$AU$493,4,)/VLOOKUP($D147,$C$5:$AU$493,3,))*$E147)</f>
        <v>0</v>
      </c>
      <c r="G147" s="66">
        <f>IF(VLOOKUP($D147,$C$5:$AU$493,3,)=0,0,(VLOOKUP($D147,$C$5:$AU$493,5,)/VLOOKUP($D147,$C$5:$AU$493,3,))*$E147)</f>
        <v>0</v>
      </c>
      <c r="H147" s="66">
        <f>IF(VLOOKUP($D147,$C$5:$AU$493,3,)=0,0,(VLOOKUP($D147,$C$5:$AU$493,6,)/VLOOKUP($D147,$C$5:$AU$493,3,))*$E147)</f>
        <v>0</v>
      </c>
      <c r="I147" s="66">
        <f>IF(VLOOKUP($D147,$C$5:$AU$493,3,)=0,0,(VLOOKUP($D147,$C$5:$AU$493,7,)/VLOOKUP($D147,$C$5:$AU$493,3,))*$E147)</f>
        <v>0</v>
      </c>
      <c r="J147" s="66">
        <f>IF(VLOOKUP($D147,$C$5:$AU$493,3,)=0,0,(VLOOKUP($D147,$C$5:$AU$493,8,)/VLOOKUP($D147,$C$5:$AU$493,3,))*$E147)</f>
        <v>0</v>
      </c>
      <c r="K147" s="66">
        <f>IF(VLOOKUP($D147,$C$5:$AU$493,3,)=0,0,(VLOOKUP($D147,$C$5:$AU$493,9,)/VLOOKUP($D147,$C$5:$AU$493,3,))*$E147)</f>
        <v>0</v>
      </c>
      <c r="L147" s="66">
        <f>IF(VLOOKUP($D147,$C$5:$AU$493,3,)=0,0,(VLOOKUP($D147,$C$5:$AU$493,10,)/VLOOKUP($D147,$C$5:$AU$493,3,))*$E147)</f>
        <v>0</v>
      </c>
      <c r="M147" s="66">
        <f>IF(VLOOKUP($D147,$C$5:$AU$493,3,)=0,0,(VLOOKUP($D147,$C$5:$AU$493,11,)/VLOOKUP($D147,$C$5:$AU$493,3,))*$E147)</f>
        <v>0</v>
      </c>
      <c r="N147" s="66">
        <f>IF(VLOOKUP($D147,$C$5:$AU$493,3,)=0,0,(VLOOKUP($D147,$C$5:$AU$493,12,)/VLOOKUP($D147,$C$5:$AU$493,3,))*$E147)</f>
        <v>0</v>
      </c>
      <c r="O147" s="66">
        <f>IF(VLOOKUP($D147,$C$5:$AU$493,3,)=0,0,(VLOOKUP($D147,$C$5:$AU$493,13,)/VLOOKUP($D147,$C$5:$AU$493,3,))*$E147)</f>
        <v>0</v>
      </c>
      <c r="P147" s="66">
        <f>IF(VLOOKUP($D147,$C$5:$AU$493,3,)=0,0,(VLOOKUP($D147,$C$5:$AU$493,14,)/VLOOKUP($D147,$C$5:$AU$493,3,))*$E147)</f>
        <v>192885.10211675125</v>
      </c>
      <c r="Q147" s="66">
        <f>IF(VLOOKUP($D147,$C$5:$AU$493,3,)=0,0,(VLOOKUP($D147,$C$5:$AU$493,15,)/VLOOKUP($D147,$C$5:$AU$493,3,))*$E147)</f>
        <v>0</v>
      </c>
      <c r="R147" s="66">
        <f>IF(VLOOKUP($D147,$C$5:$AU$493,3,)=0,0,(VLOOKUP($D147,$C$5:$AU$493,16,)/VLOOKUP($D147,$C$5:$AU$493,3,))*$E147)</f>
        <v>0</v>
      </c>
      <c r="S147" s="66">
        <f>IF(VLOOKUP($D147,$C$5:$AU$493,3,)=0,0,(VLOOKUP($D147,$C$5:$AU$493,17,)/VLOOKUP($D147,$C$5:$AU$493,3,))*$E147)</f>
        <v>0</v>
      </c>
      <c r="T147" s="66">
        <f>IF(VLOOKUP($D147,$C$5:$AU$493,3,)=0,0,(VLOOKUP($D147,$C$5:$AU$493,18,)/VLOOKUP($D147,$C$5:$AU$493,3,))*$E147)</f>
        <v>0</v>
      </c>
      <c r="U147" s="66">
        <f>IF(VLOOKUP($D147,$C$5:$AU$493,3,)=0,0,(VLOOKUP($D147,$C$5:$AU$493,19,)/VLOOKUP($D147,$C$5:$AU$493,3,))*$E147)</f>
        <v>0</v>
      </c>
      <c r="V147" s="66">
        <f>IF(VLOOKUP($D147,$C$5:$AU$493,3,)=0,0,(VLOOKUP($D147,$C$5:$AU$493,20,)/VLOOKUP($D147,$C$5:$AU$493,3,))*$E147)</f>
        <v>0</v>
      </c>
      <c r="W147" s="66">
        <f>IF(VLOOKUP($D147,$C$5:$AU$493,3,)=0,0,(VLOOKUP($D147,$C$5:$AU$493,21,)/VLOOKUP($D147,$C$5:$AU$493,3,))*$E147)</f>
        <v>0</v>
      </c>
      <c r="X147" s="66">
        <f>IF(VLOOKUP($D147,$C$5:$AU$493,3,)=0,0,(VLOOKUP($D147,$C$5:$AU$493,22,)/VLOOKUP($D147,$C$5:$AU$493,3,))*$E147)</f>
        <v>0</v>
      </c>
      <c r="Y147" s="66">
        <f>IF(VLOOKUP($D147,$C$5:$AU$493,3,)=0,0,(VLOOKUP($D147,$C$5:$AU$493,23,)/VLOOKUP($D147,$C$5:$AU$493,3,))*$E147)</f>
        <v>0</v>
      </c>
      <c r="Z147" s="66">
        <f>IF(VLOOKUP($D147,$C$5:$AU$493,3,)=0,0,(VLOOKUP($D147,$C$5:$AU$493,24,)/VLOOKUP($D147,$C$5:$AU$493,3,))*$E147)</f>
        <v>0</v>
      </c>
      <c r="AA147" s="66">
        <f>IF(VLOOKUP($D147,$C$5:$AU$493,3,)=0,0,(VLOOKUP($D147,$C$5:$AU$493,25,)/VLOOKUP($D147,$C$5:$AU$493,3,))*$E147)</f>
        <v>0</v>
      </c>
      <c r="AB147" s="66">
        <f>IF(VLOOKUP($D147,$C$5:$AU$493,3,)=0,0,(VLOOKUP($D147,$C$5:$AU$493,26,)/VLOOKUP($D147,$C$5:$AU$493,3,))*$E147)</f>
        <v>0</v>
      </c>
      <c r="AC147" s="66">
        <f>IF(VLOOKUP($D147,$C$5:$AU$493,3,)=0,0,(VLOOKUP($D147,$C$5:$AU$493,27,)/VLOOKUP($D147,$C$5:$AU$493,3,))*$E147)</f>
        <v>0</v>
      </c>
      <c r="AD147" s="66">
        <f>IF(VLOOKUP($D147,$C$5:$AU$493,3,)=0,0,(VLOOKUP($D147,$C$5:$AU$493,28,)/VLOOKUP($D147,$C$5:$AU$493,3,))*$E147)</f>
        <v>0</v>
      </c>
      <c r="AE147" s="66">
        <f>IF(VLOOKUP($D147,$C$5:$AU$493,3,)=0,0,(VLOOKUP($D147,$C$5:$AU$493,29,)/VLOOKUP($D147,$C$5:$AU$493,3,))*$E147)</f>
        <v>0</v>
      </c>
      <c r="AF147" s="66">
        <f>IF(VLOOKUP($D147,$C$5:$AU$493,3,)=0,0,(VLOOKUP($D147,$C$5:$AU$493,30,)/VLOOKUP($D147,$C$5:$AU$493,3,))*$E147)</f>
        <v>0</v>
      </c>
      <c r="AG147" s="89">
        <f>SUM(F147:AF147)</f>
        <v>192885.10211675125</v>
      </c>
      <c r="AH147" s="27" t="str">
        <f>IF(ABS(E147-AG147)&lt;0.01,"ok","err")</f>
        <v>ok</v>
      </c>
      <c r="AI147" s="67">
        <f t="shared" si="24"/>
        <v>0</v>
      </c>
    </row>
    <row r="148" spans="1:35" x14ac:dyDescent="0.2">
      <c r="E148" s="49"/>
      <c r="AI148" s="67"/>
    </row>
    <row r="149" spans="1:35" x14ac:dyDescent="0.2">
      <c r="A149" s="13" t="s">
        <v>544</v>
      </c>
      <c r="E149" s="49"/>
      <c r="AI149" s="67"/>
    </row>
    <row r="150" spans="1:35" x14ac:dyDescent="0.2">
      <c r="A150" s="92" t="s">
        <v>219</v>
      </c>
      <c r="C150" s="14" t="s">
        <v>270</v>
      </c>
      <c r="D150" s="14" t="s">
        <v>232</v>
      </c>
      <c r="E150" s="66">
        <f>'Func &amp; Classif'!Y285</f>
        <v>4293694.6305334345</v>
      </c>
      <c r="F150" s="66">
        <f>IF(VLOOKUP($D150,$C$5:$AU$493,3,)=0,0,(VLOOKUP($D150,$C$5:$AU$493,4,)/VLOOKUP($D150,$C$5:$AU$493,3,))*$E150)</f>
        <v>3279834.6336621623</v>
      </c>
      <c r="G150" s="66">
        <f>IF(VLOOKUP($D150,$C$5:$AU$493,3,)=0,0,(VLOOKUP($D150,$C$5:$AU$493,5,)/VLOOKUP($D150,$C$5:$AU$493,3,))*$E150)</f>
        <v>6378.7842625211997</v>
      </c>
      <c r="H150" s="66">
        <f>IF(VLOOKUP($D150,$C$5:$AU$493,3,)=0,0,(VLOOKUP($D150,$C$5:$AU$493,6,)/VLOOKUP($D150,$C$5:$AU$493,3,))*$E150)</f>
        <v>1032.1950403511948</v>
      </c>
      <c r="I150" s="66">
        <f>IF(VLOOKUP($D150,$C$5:$AU$493,3,)=0,0,(VLOOKUP($D150,$C$5:$AU$493,7,)/VLOOKUP($D150,$C$5:$AU$493,3,))*$E150)</f>
        <v>164997.28263438441</v>
      </c>
      <c r="J150" s="66">
        <f>IF(VLOOKUP($D150,$C$5:$AU$493,3,)=0,0,(VLOOKUP($D150,$C$5:$AU$493,8,)/VLOOKUP($D150,$C$5:$AU$493,3,))*$E150)</f>
        <v>2643.8679980925335</v>
      </c>
      <c r="K150" s="66">
        <f>IF(VLOOKUP($D150,$C$5:$AU$493,3,)=0,0,(VLOOKUP($D150,$C$5:$AU$493,9,)/VLOOKUP($D150,$C$5:$AU$493,3,))*$E150)</f>
        <v>3372.7425660598255</v>
      </c>
      <c r="L150" s="66">
        <f>IF(VLOOKUP($D150,$C$5:$AU$493,3,)=0,0,(VLOOKUP($D150,$C$5:$AU$493,10,)/VLOOKUP($D150,$C$5:$AU$493,3,))*$E150)</f>
        <v>1611.6729577413394</v>
      </c>
      <c r="M150" s="66">
        <f>IF(VLOOKUP($D150,$C$5:$AU$493,3,)=0,0,(VLOOKUP($D150,$C$5:$AU$493,11,)/VLOOKUP($D150,$C$5:$AU$493,3,))*$E150)</f>
        <v>162.97816426597811</v>
      </c>
      <c r="N150" s="66">
        <f>IF(VLOOKUP($D150,$C$5:$AU$493,3,)=0,0,(VLOOKUP($D150,$C$5:$AU$493,12,)/VLOOKUP($D150,$C$5:$AU$493,3,))*$E150)</f>
        <v>162.97816426597811</v>
      </c>
      <c r="O150" s="66">
        <f>IF(VLOOKUP($D150,$C$5:$AU$493,3,)=0,0,(VLOOKUP($D150,$C$5:$AU$493,13,)/VLOOKUP($D150,$C$5:$AU$493,3,))*$E150)</f>
        <v>54.326054755326041</v>
      </c>
      <c r="P150" s="66">
        <f>IF(VLOOKUP($D150,$C$5:$AU$493,3,)=0,0,(VLOOKUP($D150,$C$5:$AU$493,14,)/VLOOKUP($D150,$C$5:$AU$493,3,))*$E150)</f>
        <v>833443.16902883456</v>
      </c>
      <c r="Q150" s="66">
        <f>IF(VLOOKUP($D150,$C$5:$AU$493,3,)=0,0,(VLOOKUP($D150,$C$5:$AU$493,15,)/VLOOKUP($D150,$C$5:$AU$493,3,))*$E150)</f>
        <v>0</v>
      </c>
      <c r="R150" s="66">
        <f>IF(VLOOKUP($D150,$C$5:$AU$493,3,)=0,0,(VLOOKUP($D150,$C$5:$AU$493,16,)/VLOOKUP($D150,$C$5:$AU$493,3,))*$E150)</f>
        <v>0</v>
      </c>
      <c r="S150" s="66">
        <f>IF(VLOOKUP($D150,$C$5:$AU$493,3,)=0,0,(VLOOKUP($D150,$C$5:$AU$493,17,)/VLOOKUP($D150,$C$5:$AU$493,3,))*$E150)</f>
        <v>0</v>
      </c>
      <c r="T150" s="66">
        <f>IF(VLOOKUP($D150,$C$5:$AU$493,3,)=0,0,(VLOOKUP($D150,$C$5:$AU$493,18,)/VLOOKUP($D150,$C$5:$AU$493,3,))*$E150)</f>
        <v>0</v>
      </c>
      <c r="U150" s="66">
        <f>IF(VLOOKUP($D150,$C$5:$AU$493,3,)=0,0,(VLOOKUP($D150,$C$5:$AU$493,19,)/VLOOKUP($D150,$C$5:$AU$493,3,))*$E150)</f>
        <v>0</v>
      </c>
      <c r="V150" s="66">
        <f>IF(VLOOKUP($D150,$C$5:$AU$493,3,)=0,0,(VLOOKUP($D150,$C$5:$AU$493,20,)/VLOOKUP($D150,$C$5:$AU$493,3,))*$E150)</f>
        <v>0</v>
      </c>
      <c r="W150" s="66">
        <f>IF(VLOOKUP($D150,$C$5:$AU$493,3,)=0,0,(VLOOKUP($D150,$C$5:$AU$493,21,)/VLOOKUP($D150,$C$5:$AU$493,3,))*$E150)</f>
        <v>0</v>
      </c>
      <c r="X150" s="66">
        <f>IF(VLOOKUP($D150,$C$5:$AU$493,3,)=0,0,(VLOOKUP($D150,$C$5:$AU$493,22,)/VLOOKUP($D150,$C$5:$AU$493,3,))*$E150)</f>
        <v>0</v>
      </c>
      <c r="Y150" s="66">
        <f>IF(VLOOKUP($D150,$C$5:$AU$493,3,)=0,0,(VLOOKUP($D150,$C$5:$AU$493,23,)/VLOOKUP($D150,$C$5:$AU$493,3,))*$E150)</f>
        <v>0</v>
      </c>
      <c r="Z150" s="66">
        <f>IF(VLOOKUP($D150,$C$5:$AU$493,3,)=0,0,(VLOOKUP($D150,$C$5:$AU$493,24,)/VLOOKUP($D150,$C$5:$AU$493,3,))*$E150)</f>
        <v>0</v>
      </c>
      <c r="AA150" s="66">
        <f>IF(VLOOKUP($D150,$C$5:$AU$493,3,)=0,0,(VLOOKUP($D150,$C$5:$AU$493,25,)/VLOOKUP($D150,$C$5:$AU$493,3,))*$E150)</f>
        <v>0</v>
      </c>
      <c r="AB150" s="66">
        <f>IF(VLOOKUP($D150,$C$5:$AU$493,3,)=0,0,(VLOOKUP($D150,$C$5:$AU$493,26,)/VLOOKUP($D150,$C$5:$AU$493,3,))*$E150)</f>
        <v>0</v>
      </c>
      <c r="AC150" s="66">
        <f>IF(VLOOKUP($D150,$C$5:$AU$493,3,)=0,0,(VLOOKUP($D150,$C$5:$AU$493,27,)/VLOOKUP($D150,$C$5:$AU$493,3,))*$E150)</f>
        <v>0</v>
      </c>
      <c r="AD150" s="66">
        <f>IF(VLOOKUP($D150,$C$5:$AU$493,3,)=0,0,(VLOOKUP($D150,$C$5:$AU$493,28,)/VLOOKUP($D150,$C$5:$AU$493,3,))*$E150)</f>
        <v>0</v>
      </c>
      <c r="AE150" s="66">
        <f>IF(VLOOKUP($D150,$C$5:$AU$493,3,)=0,0,(VLOOKUP($D150,$C$5:$AU$493,29,)/VLOOKUP($D150,$C$5:$AU$493,3,))*$E150)</f>
        <v>0</v>
      </c>
      <c r="AF150" s="66">
        <f>IF(VLOOKUP($D150,$C$5:$AU$493,3,)=0,0,(VLOOKUP($D150,$C$5:$AU$493,30,)/VLOOKUP($D150,$C$5:$AU$493,3,))*$E150)</f>
        <v>0</v>
      </c>
      <c r="AG150" s="89">
        <f>SUM(F150:AF150)</f>
        <v>4293694.6305334345</v>
      </c>
      <c r="AH150" s="27" t="str">
        <f>IF(ABS(E150-AG150)&lt;0.01,"ok","err")</f>
        <v>ok</v>
      </c>
      <c r="AI150" s="67">
        <f t="shared" si="24"/>
        <v>3.7957558301189726E-5</v>
      </c>
    </row>
    <row r="151" spans="1:35" x14ac:dyDescent="0.2">
      <c r="E151" s="49"/>
      <c r="AI151" s="67"/>
    </row>
    <row r="152" spans="1:35" x14ac:dyDescent="0.2">
      <c r="A152" s="13" t="s">
        <v>469</v>
      </c>
      <c r="E152" s="49"/>
      <c r="AI152" s="67"/>
    </row>
    <row r="153" spans="1:35" x14ac:dyDescent="0.2">
      <c r="A153" s="92" t="s">
        <v>219</v>
      </c>
      <c r="C153" s="14" t="s">
        <v>267</v>
      </c>
      <c r="D153" s="14" t="s">
        <v>233</v>
      </c>
      <c r="E153" s="66">
        <f>'Func &amp; Classif'!AA285</f>
        <v>98301.922046824446</v>
      </c>
      <c r="F153" s="66">
        <f>IF(VLOOKUP($D153,$C$5:$AU$493,3,)=0,0,(VLOOKUP($D153,$C$5:$AU$493,4,)/VLOOKUP($D153,$C$5:$AU$493,3,))*$E153)</f>
        <v>92680.408340443581</v>
      </c>
      <c r="G153" s="66">
        <f>IF(VLOOKUP($D153,$C$5:$AU$493,3,)=0,0,(VLOOKUP($D153,$C$5:$AU$493,5,)/VLOOKUP($D153,$C$5:$AU$493,3,))*$E153)</f>
        <v>180.24943212028873</v>
      </c>
      <c r="H153" s="66">
        <f>IF(VLOOKUP($D153,$C$5:$AU$493,3,)=0,0,(VLOOKUP($D153,$C$5:$AU$493,6,)/VLOOKUP($D153,$C$5:$AU$493,3,))*$E153)</f>
        <v>29.167402784546368</v>
      </c>
      <c r="I153" s="66">
        <f>IF(VLOOKUP($D153,$C$5:$AU$493,3,)=0,0,(VLOOKUP($D153,$C$5:$AU$493,7,)/VLOOKUP($D153,$C$5:$AU$493,3,))*$E153)</f>
        <v>4662.4349205507751</v>
      </c>
      <c r="J153" s="66">
        <f>IF(VLOOKUP($D153,$C$5:$AU$493,3,)=0,0,(VLOOKUP($D153,$C$5:$AU$493,8,)/VLOOKUP($D153,$C$5:$AU$493,3,))*$E153)</f>
        <v>74.709487834101211</v>
      </c>
      <c r="K153" s="66">
        <f>IF(VLOOKUP($D153,$C$5:$AU$493,3,)=0,0,(VLOOKUP($D153,$C$5:$AU$493,9,)/VLOOKUP($D153,$C$5:$AU$493,3,))*$E153)</f>
        <v>95.305767870557204</v>
      </c>
      <c r="L153" s="66">
        <f>IF(VLOOKUP($D153,$C$5:$AU$493,3,)=0,0,(VLOOKUP($D153,$C$5:$AU$493,10,)/VLOOKUP($D153,$C$5:$AU$493,3,))*$E153)</f>
        <v>45.542085049554849</v>
      </c>
      <c r="M153" s="66">
        <f>IF(VLOOKUP($D153,$C$5:$AU$493,3,)=0,0,(VLOOKUP($D153,$C$5:$AU$493,11,)/VLOOKUP($D153,$C$5:$AU$493,3,))*$E153)</f>
        <v>4.6053793870336364</v>
      </c>
      <c r="N153" s="66">
        <f>IF(VLOOKUP($D153,$C$5:$AU$493,3,)=0,0,(VLOOKUP($D153,$C$5:$AU$493,12,)/VLOOKUP($D153,$C$5:$AU$493,3,))*$E153)</f>
        <v>4.6053793870336364</v>
      </c>
      <c r="O153" s="66">
        <f>IF(VLOOKUP($D153,$C$5:$AU$493,3,)=0,0,(VLOOKUP($D153,$C$5:$AU$493,13,)/VLOOKUP($D153,$C$5:$AU$493,3,))*$E153)</f>
        <v>1.5351264623445458</v>
      </c>
      <c r="P153" s="66">
        <f>IF(VLOOKUP($D153,$C$5:$AU$493,3,)=0,0,(VLOOKUP($D153,$C$5:$AU$493,14,)/VLOOKUP($D153,$C$5:$AU$493,3,))*$E153)</f>
        <v>523.35872493464103</v>
      </c>
      <c r="Q153" s="66">
        <f>IF(VLOOKUP($D153,$C$5:$AU$493,3,)=0,0,(VLOOKUP($D153,$C$5:$AU$493,15,)/VLOOKUP($D153,$C$5:$AU$493,3,))*$E153)</f>
        <v>0</v>
      </c>
      <c r="R153" s="66">
        <f>IF(VLOOKUP($D153,$C$5:$AU$493,3,)=0,0,(VLOOKUP($D153,$C$5:$AU$493,16,)/VLOOKUP($D153,$C$5:$AU$493,3,))*$E153)</f>
        <v>0</v>
      </c>
      <c r="S153" s="66">
        <f>IF(VLOOKUP($D153,$C$5:$AU$493,3,)=0,0,(VLOOKUP($D153,$C$5:$AU$493,17,)/VLOOKUP($D153,$C$5:$AU$493,3,))*$E153)</f>
        <v>0</v>
      </c>
      <c r="T153" s="66">
        <f>IF(VLOOKUP($D153,$C$5:$AU$493,3,)=0,0,(VLOOKUP($D153,$C$5:$AU$493,18,)/VLOOKUP($D153,$C$5:$AU$493,3,))*$E153)</f>
        <v>0</v>
      </c>
      <c r="U153" s="66">
        <f>IF(VLOOKUP($D153,$C$5:$AU$493,3,)=0,0,(VLOOKUP($D153,$C$5:$AU$493,19,)/VLOOKUP($D153,$C$5:$AU$493,3,))*$E153)</f>
        <v>0</v>
      </c>
      <c r="V153" s="66">
        <f>IF(VLOOKUP($D153,$C$5:$AU$493,3,)=0,0,(VLOOKUP($D153,$C$5:$AU$493,20,)/VLOOKUP($D153,$C$5:$AU$493,3,))*$E153)</f>
        <v>0</v>
      </c>
      <c r="W153" s="66">
        <f>IF(VLOOKUP($D153,$C$5:$AU$493,3,)=0,0,(VLOOKUP($D153,$C$5:$AU$493,21,)/VLOOKUP($D153,$C$5:$AU$493,3,))*$E153)</f>
        <v>0</v>
      </c>
      <c r="X153" s="66">
        <f>IF(VLOOKUP($D153,$C$5:$AU$493,3,)=0,0,(VLOOKUP($D153,$C$5:$AU$493,22,)/VLOOKUP($D153,$C$5:$AU$493,3,))*$E153)</f>
        <v>0</v>
      </c>
      <c r="Y153" s="66">
        <f>IF(VLOOKUP($D153,$C$5:$AU$493,3,)=0,0,(VLOOKUP($D153,$C$5:$AU$493,23,)/VLOOKUP($D153,$C$5:$AU$493,3,))*$E153)</f>
        <v>0</v>
      </c>
      <c r="Z153" s="66">
        <f>IF(VLOOKUP($D153,$C$5:$AU$493,3,)=0,0,(VLOOKUP($D153,$C$5:$AU$493,24,)/VLOOKUP($D153,$C$5:$AU$493,3,))*$E153)</f>
        <v>0</v>
      </c>
      <c r="AA153" s="66">
        <f>IF(VLOOKUP($D153,$C$5:$AU$493,3,)=0,0,(VLOOKUP($D153,$C$5:$AU$493,25,)/VLOOKUP($D153,$C$5:$AU$493,3,))*$E153)</f>
        <v>0</v>
      </c>
      <c r="AB153" s="66">
        <f>IF(VLOOKUP($D153,$C$5:$AU$493,3,)=0,0,(VLOOKUP($D153,$C$5:$AU$493,26,)/VLOOKUP($D153,$C$5:$AU$493,3,))*$E153)</f>
        <v>0</v>
      </c>
      <c r="AC153" s="66">
        <f>IF(VLOOKUP($D153,$C$5:$AU$493,3,)=0,0,(VLOOKUP($D153,$C$5:$AU$493,27,)/VLOOKUP($D153,$C$5:$AU$493,3,))*$E153)</f>
        <v>0</v>
      </c>
      <c r="AD153" s="66">
        <f>IF(VLOOKUP($D153,$C$5:$AU$493,3,)=0,0,(VLOOKUP($D153,$C$5:$AU$493,28,)/VLOOKUP($D153,$C$5:$AU$493,3,))*$E153)</f>
        <v>0</v>
      </c>
      <c r="AE153" s="66">
        <f>IF(VLOOKUP($D153,$C$5:$AU$493,3,)=0,0,(VLOOKUP($D153,$C$5:$AU$493,29,)/VLOOKUP($D153,$C$5:$AU$493,3,))*$E153)</f>
        <v>0</v>
      </c>
      <c r="AF153" s="66">
        <f>IF(VLOOKUP($D153,$C$5:$AU$493,3,)=0,0,(VLOOKUP($D153,$C$5:$AU$493,30,)/VLOOKUP($D153,$C$5:$AU$493,3,))*$E153)</f>
        <v>0</v>
      </c>
      <c r="AG153" s="89">
        <f>SUM(F153:AF153)</f>
        <v>98301.92204682446</v>
      </c>
      <c r="AH153" s="27" t="str">
        <f>IF(ABS(E153-AG153)&lt;0.01,"ok","err")</f>
        <v>ok</v>
      </c>
      <c r="AI153" s="67"/>
    </row>
    <row r="154" spans="1:35" x14ac:dyDescent="0.2">
      <c r="E154" s="49"/>
      <c r="AI154" s="67"/>
    </row>
    <row r="155" spans="1:35" x14ac:dyDescent="0.2">
      <c r="A155" s="14" t="s">
        <v>0</v>
      </c>
      <c r="C155" s="14" t="s">
        <v>271</v>
      </c>
      <c r="E155" s="66">
        <f>E125+E128+E131+E136+E141+E144+E147+E150+E153</f>
        <v>140958727.28999999</v>
      </c>
      <c r="F155" s="66">
        <f t="shared" ref="F155:R155" si="31">F125+F128+F131+F136+F141+F144+F147+F150+F153</f>
        <v>94869585.040483788</v>
      </c>
      <c r="G155" s="66">
        <f t="shared" si="31"/>
        <v>33460.24895051169</v>
      </c>
      <c r="H155" s="66">
        <f t="shared" si="31"/>
        <v>72836.971305912535</v>
      </c>
      <c r="I155" s="66">
        <f t="shared" si="31"/>
        <v>8121462.3703161376</v>
      </c>
      <c r="J155" s="66">
        <f t="shared" si="31"/>
        <v>159074.09875801319</v>
      </c>
      <c r="K155" s="66">
        <f t="shared" si="31"/>
        <v>3275920.1550759948</v>
      </c>
      <c r="L155" s="66">
        <f t="shared" si="31"/>
        <v>10165662.734195996</v>
      </c>
      <c r="M155" s="66">
        <f t="shared" si="31"/>
        <v>5276677.8108039265</v>
      </c>
      <c r="N155" s="66">
        <f t="shared" si="31"/>
        <v>10307606.293631744</v>
      </c>
      <c r="O155" s="66">
        <f t="shared" si="31"/>
        <v>6202644.4566860264</v>
      </c>
      <c r="P155" s="66">
        <f t="shared" si="31"/>
        <v>2473797.1097919261</v>
      </c>
      <c r="Q155" s="66">
        <f t="shared" si="31"/>
        <v>0</v>
      </c>
      <c r="R155" s="66">
        <f t="shared" si="31"/>
        <v>0</v>
      </c>
      <c r="S155" s="66">
        <f t="shared" ref="S155:AF155" si="32">S125+S131+S136+S141+S144+S147+S150+S153</f>
        <v>0</v>
      </c>
      <c r="T155" s="66">
        <f t="shared" si="32"/>
        <v>0</v>
      </c>
      <c r="U155" s="66">
        <f t="shared" si="32"/>
        <v>0</v>
      </c>
      <c r="V155" s="66">
        <f t="shared" si="32"/>
        <v>0</v>
      </c>
      <c r="W155" s="66">
        <f t="shared" si="32"/>
        <v>0</v>
      </c>
      <c r="X155" s="66">
        <f t="shared" si="32"/>
        <v>0</v>
      </c>
      <c r="Y155" s="66">
        <f t="shared" si="32"/>
        <v>0</v>
      </c>
      <c r="Z155" s="66">
        <f t="shared" si="32"/>
        <v>0</v>
      </c>
      <c r="AA155" s="66">
        <f t="shared" si="32"/>
        <v>0</v>
      </c>
      <c r="AB155" s="66">
        <f t="shared" si="32"/>
        <v>0</v>
      </c>
      <c r="AC155" s="66">
        <f t="shared" si="32"/>
        <v>0</v>
      </c>
      <c r="AD155" s="66">
        <f t="shared" si="32"/>
        <v>0</v>
      </c>
      <c r="AE155" s="66">
        <f t="shared" si="32"/>
        <v>0</v>
      </c>
      <c r="AF155" s="66">
        <f t="shared" si="32"/>
        <v>0</v>
      </c>
      <c r="AG155" s="89">
        <f>SUM(F155:AF155)</f>
        <v>140958727.28999996</v>
      </c>
      <c r="AH155" s="27" t="str">
        <f>IF(ABS(E155-AG155)&lt;0.01,"ok","err")</f>
        <v>ok</v>
      </c>
      <c r="AI155" s="67">
        <f t="shared" si="24"/>
        <v>3.7434204410401697E-2</v>
      </c>
    </row>
    <row r="156" spans="1:35" x14ac:dyDescent="0.2">
      <c r="E156" s="139"/>
      <c r="F156" s="139"/>
      <c r="G156" s="139"/>
      <c r="H156" s="139"/>
      <c r="I156" s="139"/>
      <c r="J156" s="139"/>
      <c r="K156" s="139"/>
      <c r="L156" s="139"/>
      <c r="M156" s="47"/>
      <c r="N156" s="47"/>
      <c r="O156" s="47"/>
      <c r="P156" s="47"/>
    </row>
    <row r="158" spans="1:35" x14ac:dyDescent="0.2">
      <c r="A158" s="25" t="s">
        <v>182</v>
      </c>
    </row>
    <row r="160" spans="1:35" x14ac:dyDescent="0.2">
      <c r="A160" s="13" t="s">
        <v>890</v>
      </c>
    </row>
    <row r="161" spans="1:34" x14ac:dyDescent="0.2">
      <c r="A161" s="92" t="s">
        <v>207</v>
      </c>
      <c r="C161" s="14" t="s">
        <v>272</v>
      </c>
      <c r="D161" s="14" t="s">
        <v>656</v>
      </c>
      <c r="E161" s="66">
        <f>'Func &amp; Classif'!H461</f>
        <v>0</v>
      </c>
      <c r="F161" s="66">
        <f>IF(VLOOKUP($D161,$C$5:$AU$493,3,)=0,0,(VLOOKUP($D161,$C$5:$AU$493,4,)/VLOOKUP($D161,$C$5:$AU$493,3,))*$E161)</f>
        <v>0</v>
      </c>
      <c r="G161" s="66">
        <f>IF(VLOOKUP($D161,$C$5:$AU$493,3,)=0,0,(VLOOKUP($D161,$C$5:$AU$493,5,)/VLOOKUP($D161,$C$5:$AU$493,3,))*$E161)</f>
        <v>0</v>
      </c>
      <c r="H161" s="66">
        <f>IF(VLOOKUP($D161,$C$5:$AU$493,3,)=0,0,(VLOOKUP($D161,$C$5:$AU$493,6,)/VLOOKUP($D161,$C$5:$AU$493,3,))*$E161)</f>
        <v>0</v>
      </c>
      <c r="I161" s="66">
        <f>IF(VLOOKUP($D161,$C$5:$AU$493,3,)=0,0,(VLOOKUP($D161,$C$5:$AU$493,7,)/VLOOKUP($D161,$C$5:$AU$493,3,))*$E161)</f>
        <v>0</v>
      </c>
      <c r="J161" s="66">
        <f>IF(VLOOKUP($D161,$C$5:$AU$493,3,)=0,0,(VLOOKUP($D161,$C$5:$AU$493,8,)/VLOOKUP($D161,$C$5:$AU$493,3,))*$E161)</f>
        <v>0</v>
      </c>
      <c r="K161" s="66">
        <f>IF(VLOOKUP($D161,$C$5:$AU$493,3,)=0,0,(VLOOKUP($D161,$C$5:$AU$493,9,)/VLOOKUP($D161,$C$5:$AU$493,3,))*$E161)</f>
        <v>0</v>
      </c>
      <c r="L161" s="66">
        <f>IF(VLOOKUP($D161,$C$5:$AU$493,3,)=0,0,(VLOOKUP($D161,$C$5:$AU$493,10,)/VLOOKUP($D161,$C$5:$AU$493,3,))*$E161)</f>
        <v>0</v>
      </c>
      <c r="M161" s="66">
        <f>IF(VLOOKUP($D161,$C$5:$AU$493,3,)=0,0,(VLOOKUP($D161,$C$5:$AU$493,11,)/VLOOKUP($D161,$C$5:$AU$493,3,))*$E161)</f>
        <v>0</v>
      </c>
      <c r="N161" s="66">
        <f>IF(VLOOKUP($D161,$C$5:$AU$493,3,)=0,0,(VLOOKUP($D161,$C$5:$AU$493,12,)/VLOOKUP($D161,$C$5:$AU$493,3,))*$E161)</f>
        <v>0</v>
      </c>
      <c r="O161" s="66">
        <f>IF(VLOOKUP($D161,$C$5:$AU$493,3,)=0,0,(VLOOKUP($D161,$C$5:$AU$493,13,)/VLOOKUP($D161,$C$5:$AU$493,3,))*$E161)</f>
        <v>0</v>
      </c>
      <c r="P161" s="66">
        <f>IF(VLOOKUP($D161,$C$5:$AU$493,3,)=0,0,(VLOOKUP($D161,$C$5:$AU$493,14,)/VLOOKUP($D161,$C$5:$AU$493,3,))*$E161)</f>
        <v>0</v>
      </c>
      <c r="Q161" s="66">
        <f>IF(VLOOKUP($D161,$C$5:$AU$493,3,)=0,0,(VLOOKUP($D161,$C$5:$AU$493,15,)/VLOOKUP($D161,$C$5:$AU$493,3,))*$E161)</f>
        <v>0</v>
      </c>
      <c r="R161" s="66">
        <f>IF(VLOOKUP($D161,$C$5:$AU$493,3,)=0,0,(VLOOKUP($D161,$C$5:$AU$493,16,)/VLOOKUP($D161,$C$5:$AU$493,3,))*$E161)</f>
        <v>0</v>
      </c>
      <c r="S161" s="66">
        <f>IF(VLOOKUP($D161,$C$5:$AU$493,3,)=0,0,(VLOOKUP($D161,$C$5:$AU$493,17,)/VLOOKUP($D161,$C$5:$AU$493,3,))*$E161)</f>
        <v>0</v>
      </c>
      <c r="T161" s="66">
        <f>IF(VLOOKUP($D161,$C$5:$AU$493,3,)=0,0,(VLOOKUP($D161,$C$5:$AU$493,18,)/VLOOKUP($D161,$C$5:$AU$493,3,))*$E161)</f>
        <v>0</v>
      </c>
      <c r="U161" s="66">
        <f>IF(VLOOKUP($D161,$C$5:$AU$493,3,)=0,0,(VLOOKUP($D161,$C$5:$AU$493,19,)/VLOOKUP($D161,$C$5:$AU$493,3,))*$E161)</f>
        <v>0</v>
      </c>
      <c r="V161" s="66">
        <f>IF(VLOOKUP($D161,$C$5:$AU$493,3,)=0,0,(VLOOKUP($D161,$C$5:$AU$493,20,)/VLOOKUP($D161,$C$5:$AU$493,3,))*$E161)</f>
        <v>0</v>
      </c>
      <c r="W161" s="66">
        <f>IF(VLOOKUP($D161,$C$5:$AU$493,3,)=0,0,(VLOOKUP($D161,$C$5:$AU$493,21,)/VLOOKUP($D161,$C$5:$AU$493,3,))*$E161)</f>
        <v>0</v>
      </c>
      <c r="X161" s="66">
        <f>IF(VLOOKUP($D161,$C$5:$AU$493,3,)=0,0,(VLOOKUP($D161,$C$5:$AU$493,22,)/VLOOKUP($D161,$C$5:$AU$493,3,))*$E161)</f>
        <v>0</v>
      </c>
      <c r="Y161" s="66">
        <f>IF(VLOOKUP($D161,$C$5:$AU$493,3,)=0,0,(VLOOKUP($D161,$C$5:$AU$493,23,)/VLOOKUP($D161,$C$5:$AU$493,3,))*$E161)</f>
        <v>0</v>
      </c>
      <c r="Z161" s="66">
        <f>IF(VLOOKUP($D161,$C$5:$AU$493,3,)=0,0,(VLOOKUP($D161,$C$5:$AU$493,24,)/VLOOKUP($D161,$C$5:$AU$493,3,))*$E161)</f>
        <v>0</v>
      </c>
      <c r="AA161" s="66">
        <f>IF(VLOOKUP($D161,$C$5:$AU$493,3,)=0,0,(VLOOKUP($D161,$C$5:$AU$493,25,)/VLOOKUP($D161,$C$5:$AU$493,3,))*$E161)</f>
        <v>0</v>
      </c>
      <c r="AB161" s="66">
        <f>IF(VLOOKUP($D161,$C$5:$AU$493,3,)=0,0,(VLOOKUP($D161,$C$5:$AU$493,26,)/VLOOKUP($D161,$C$5:$AU$493,3,))*$E161)</f>
        <v>0</v>
      </c>
      <c r="AC161" s="66">
        <f>IF(VLOOKUP($D161,$C$5:$AU$493,3,)=0,0,(VLOOKUP($D161,$C$5:$AU$493,27,)/VLOOKUP($D161,$C$5:$AU$493,3,))*$E161)</f>
        <v>0</v>
      </c>
      <c r="AD161" s="66">
        <f>IF(VLOOKUP($D161,$C$5:$AU$493,3,)=0,0,(VLOOKUP($D161,$C$5:$AU$493,28,)/VLOOKUP($D161,$C$5:$AU$493,3,))*$E161)</f>
        <v>0</v>
      </c>
      <c r="AE161" s="66">
        <f>IF(VLOOKUP($D161,$C$5:$AU$493,3,)=0,0,(VLOOKUP($D161,$C$5:$AU$493,29,)/VLOOKUP($D161,$C$5:$AU$493,3,))*$E161)</f>
        <v>0</v>
      </c>
      <c r="AF161" s="66">
        <f>IF(VLOOKUP($D161,$C$5:$AU$493,3,)=0,0,(VLOOKUP($D161,$C$5:$AU$493,30,)/VLOOKUP($D161,$C$5:$AU$493,3,))*$E161)</f>
        <v>0</v>
      </c>
      <c r="AG161" s="89">
        <f>SUM(F161:AF161)</f>
        <v>0</v>
      </c>
      <c r="AH161" s="27" t="str">
        <f>IF(ABS(E161-AG161)&lt;0.01,"ok","err")</f>
        <v>ok</v>
      </c>
    </row>
    <row r="162" spans="1:34" x14ac:dyDescent="0.2">
      <c r="A162" s="92" t="s">
        <v>210</v>
      </c>
      <c r="C162" s="14" t="s">
        <v>273</v>
      </c>
      <c r="D162" s="14" t="s">
        <v>665</v>
      </c>
      <c r="E162" s="49">
        <f>'Func &amp; Classif'!I461</f>
        <v>0</v>
      </c>
      <c r="F162" s="66">
        <f>IF(VLOOKUP($D162,$C$5:$AU$493,3,)=0,0,(VLOOKUP($D162,$C$5:$AU$493,4,)/VLOOKUP($D162,$C$5:$AU$493,3,))*$E162)</f>
        <v>0</v>
      </c>
      <c r="G162" s="66">
        <f>IF(VLOOKUP($D162,$C$5:$AU$493,3,)=0,0,(VLOOKUP($D162,$C$5:$AU$493,5,)/VLOOKUP($D162,$C$5:$AU$493,3,))*$E162)</f>
        <v>0</v>
      </c>
      <c r="H162" s="66">
        <f>IF(VLOOKUP($D162,$C$5:$AU$493,3,)=0,0,(VLOOKUP($D162,$C$5:$AU$493,6,)/VLOOKUP($D162,$C$5:$AU$493,3,))*$E162)</f>
        <v>0</v>
      </c>
      <c r="I162" s="66">
        <f>IF(VLOOKUP($D162,$C$5:$AU$493,3,)=0,0,(VLOOKUP($D162,$C$5:$AU$493,7,)/VLOOKUP($D162,$C$5:$AU$493,3,))*$E162)</f>
        <v>0</v>
      </c>
      <c r="J162" s="66">
        <f>IF(VLOOKUP($D162,$C$5:$AU$493,3,)=0,0,(VLOOKUP($D162,$C$5:$AU$493,8,)/VLOOKUP($D162,$C$5:$AU$493,3,))*$E162)</f>
        <v>0</v>
      </c>
      <c r="K162" s="66">
        <f>IF(VLOOKUP($D162,$C$5:$AU$493,3,)=0,0,(VLOOKUP($D162,$C$5:$AU$493,9,)/VLOOKUP($D162,$C$5:$AU$493,3,))*$E162)</f>
        <v>0</v>
      </c>
      <c r="L162" s="66">
        <f>IF(VLOOKUP($D162,$C$5:$AU$493,3,)=0,0,(VLOOKUP($D162,$C$5:$AU$493,10,)/VLOOKUP($D162,$C$5:$AU$493,3,))*$E162)</f>
        <v>0</v>
      </c>
      <c r="M162" s="66">
        <f>IF(VLOOKUP($D162,$C$5:$AU$493,3,)=0,0,(VLOOKUP($D162,$C$5:$AU$493,11,)/VLOOKUP($D162,$C$5:$AU$493,3,))*$E162)</f>
        <v>0</v>
      </c>
      <c r="N162" s="66">
        <f>IF(VLOOKUP($D162,$C$5:$AU$493,3,)=0,0,(VLOOKUP($D162,$C$5:$AU$493,12,)/VLOOKUP($D162,$C$5:$AU$493,3,))*$E162)</f>
        <v>0</v>
      </c>
      <c r="O162" s="66">
        <f>IF(VLOOKUP($D162,$C$5:$AU$493,3,)=0,0,(VLOOKUP($D162,$C$5:$AU$493,13,)/VLOOKUP($D162,$C$5:$AU$493,3,))*$E162)</f>
        <v>0</v>
      </c>
      <c r="P162" s="66">
        <f>IF(VLOOKUP($D162,$C$5:$AU$493,3,)=0,0,(VLOOKUP($D162,$C$5:$AU$493,14,)/VLOOKUP($D162,$C$5:$AU$493,3,))*$E162)</f>
        <v>0</v>
      </c>
      <c r="Q162" s="66">
        <f>IF(VLOOKUP($D162,$C$5:$AU$493,3,)=0,0,(VLOOKUP($D162,$C$5:$AU$493,15,)/VLOOKUP($D162,$C$5:$AU$493,3,))*$E162)</f>
        <v>0</v>
      </c>
      <c r="R162" s="66">
        <f>IF(VLOOKUP($D162,$C$5:$AU$493,3,)=0,0,(VLOOKUP($D162,$C$5:$AU$493,16,)/VLOOKUP($D162,$C$5:$AU$493,3,))*$E162)</f>
        <v>0</v>
      </c>
      <c r="S162" s="66">
        <f>IF(VLOOKUP($D162,$C$5:$AU$493,3,)=0,0,(VLOOKUP($D162,$C$5:$AU$493,17,)/VLOOKUP($D162,$C$5:$AU$493,3,))*$E162)</f>
        <v>0</v>
      </c>
      <c r="T162" s="66">
        <f>IF(VLOOKUP($D162,$C$5:$AU$493,3,)=0,0,(VLOOKUP($D162,$C$5:$AU$493,18,)/VLOOKUP($D162,$C$5:$AU$493,3,))*$E162)</f>
        <v>0</v>
      </c>
      <c r="U162" s="66">
        <f>IF(VLOOKUP($D162,$C$5:$AU$493,3,)=0,0,(VLOOKUP($D162,$C$5:$AU$493,19,)/VLOOKUP($D162,$C$5:$AU$493,3,))*$E162)</f>
        <v>0</v>
      </c>
      <c r="V162" s="66">
        <f>IF(VLOOKUP($D162,$C$5:$AU$493,3,)=0,0,(VLOOKUP($D162,$C$5:$AU$493,20,)/VLOOKUP($D162,$C$5:$AU$493,3,))*$E162)</f>
        <v>0</v>
      </c>
      <c r="W162" s="66">
        <f>IF(VLOOKUP($D162,$C$5:$AU$493,3,)=0,0,(VLOOKUP($D162,$C$5:$AU$493,21,)/VLOOKUP($D162,$C$5:$AU$493,3,))*$E162)</f>
        <v>0</v>
      </c>
      <c r="X162" s="66">
        <f>IF(VLOOKUP($D162,$C$5:$AU$493,3,)=0,0,(VLOOKUP($D162,$C$5:$AU$493,22,)/VLOOKUP($D162,$C$5:$AU$493,3,))*$E162)</f>
        <v>0</v>
      </c>
      <c r="Y162" s="66">
        <f>IF(VLOOKUP($D162,$C$5:$AU$493,3,)=0,0,(VLOOKUP($D162,$C$5:$AU$493,23,)/VLOOKUP($D162,$C$5:$AU$493,3,))*$E162)</f>
        <v>0</v>
      </c>
      <c r="Z162" s="66">
        <f>IF(VLOOKUP($D162,$C$5:$AU$493,3,)=0,0,(VLOOKUP($D162,$C$5:$AU$493,24,)/VLOOKUP($D162,$C$5:$AU$493,3,))*$E162)</f>
        <v>0</v>
      </c>
      <c r="AA162" s="66">
        <f>IF(VLOOKUP($D162,$C$5:$AU$493,3,)=0,0,(VLOOKUP($D162,$C$5:$AU$493,25,)/VLOOKUP($D162,$C$5:$AU$493,3,))*$E162)</f>
        <v>0</v>
      </c>
      <c r="AB162" s="66">
        <f>IF(VLOOKUP($D162,$C$5:$AU$493,3,)=0,0,(VLOOKUP($D162,$C$5:$AU$493,26,)/VLOOKUP($D162,$C$5:$AU$493,3,))*$E162)</f>
        <v>0</v>
      </c>
      <c r="AC162" s="66">
        <f>IF(VLOOKUP($D162,$C$5:$AU$493,3,)=0,0,(VLOOKUP($D162,$C$5:$AU$493,27,)/VLOOKUP($D162,$C$5:$AU$493,3,))*$E162)</f>
        <v>0</v>
      </c>
      <c r="AD162" s="66">
        <f>IF(VLOOKUP($D162,$C$5:$AU$493,3,)=0,0,(VLOOKUP($D162,$C$5:$AU$493,28,)/VLOOKUP($D162,$C$5:$AU$493,3,))*$E162)</f>
        <v>0</v>
      </c>
      <c r="AE162" s="66">
        <f>IF(VLOOKUP($D162,$C$5:$AU$493,3,)=0,0,(VLOOKUP($D162,$C$5:$AU$493,29,)/VLOOKUP($D162,$C$5:$AU$493,3,))*$E162)</f>
        <v>0</v>
      </c>
      <c r="AF162" s="66">
        <f>IF(VLOOKUP($D162,$C$5:$AU$493,3,)=0,0,(VLOOKUP($D162,$C$5:$AU$493,30,)/VLOOKUP($D162,$C$5:$AU$493,3,))*$E162)</f>
        <v>0</v>
      </c>
      <c r="AG162" s="89">
        <f>SUM(F162:AF162)</f>
        <v>0</v>
      </c>
      <c r="AH162" s="27" t="str">
        <f>IF(ABS(E162-AG162)&lt;0.01,"ok","err")</f>
        <v>ok</v>
      </c>
    </row>
    <row r="163" spans="1:34" x14ac:dyDescent="0.2">
      <c r="A163" s="14" t="s">
        <v>213</v>
      </c>
      <c r="C163" s="14" t="s">
        <v>274</v>
      </c>
      <c r="E163" s="49">
        <f t="shared" ref="E163:T163" si="33">E161+E162</f>
        <v>0</v>
      </c>
      <c r="F163" s="66">
        <f t="shared" si="33"/>
        <v>0</v>
      </c>
      <c r="G163" s="66">
        <f t="shared" si="33"/>
        <v>0</v>
      </c>
      <c r="H163" s="66">
        <f t="shared" si="33"/>
        <v>0</v>
      </c>
      <c r="I163" s="66">
        <f t="shared" si="33"/>
        <v>0</v>
      </c>
      <c r="J163" s="66">
        <f t="shared" si="33"/>
        <v>0</v>
      </c>
      <c r="K163" s="66">
        <f t="shared" si="33"/>
        <v>0</v>
      </c>
      <c r="L163" s="66">
        <f t="shared" si="33"/>
        <v>0</v>
      </c>
      <c r="M163" s="66">
        <f t="shared" si="33"/>
        <v>0</v>
      </c>
      <c r="N163" s="66">
        <f t="shared" si="33"/>
        <v>0</v>
      </c>
      <c r="O163" s="66">
        <f t="shared" si="33"/>
        <v>0</v>
      </c>
      <c r="P163" s="66">
        <f t="shared" si="33"/>
        <v>0</v>
      </c>
      <c r="Q163" s="66">
        <f t="shared" si="33"/>
        <v>0</v>
      </c>
      <c r="R163" s="66">
        <f t="shared" si="33"/>
        <v>0</v>
      </c>
      <c r="S163" s="66">
        <f t="shared" si="33"/>
        <v>0</v>
      </c>
      <c r="T163" s="66">
        <f t="shared" si="33"/>
        <v>0</v>
      </c>
      <c r="U163" s="66">
        <f t="shared" ref="U163:AF163" si="34">U161+U162</f>
        <v>0</v>
      </c>
      <c r="V163" s="66">
        <f t="shared" si="34"/>
        <v>0</v>
      </c>
      <c r="W163" s="66">
        <f t="shared" si="34"/>
        <v>0</v>
      </c>
      <c r="X163" s="66">
        <f t="shared" si="34"/>
        <v>0</v>
      </c>
      <c r="Y163" s="66">
        <f t="shared" si="34"/>
        <v>0</v>
      </c>
      <c r="Z163" s="66">
        <f t="shared" si="34"/>
        <v>0</v>
      </c>
      <c r="AA163" s="66">
        <f t="shared" si="34"/>
        <v>0</v>
      </c>
      <c r="AB163" s="66">
        <f t="shared" si="34"/>
        <v>0</v>
      </c>
      <c r="AC163" s="66">
        <f t="shared" si="34"/>
        <v>0</v>
      </c>
      <c r="AD163" s="66">
        <f t="shared" si="34"/>
        <v>0</v>
      </c>
      <c r="AE163" s="66">
        <f t="shared" si="34"/>
        <v>0</v>
      </c>
      <c r="AF163" s="66">
        <f t="shared" si="34"/>
        <v>0</v>
      </c>
      <c r="AG163" s="89">
        <f>SUM(F163:AF163)</f>
        <v>0</v>
      </c>
      <c r="AH163" s="27" t="str">
        <f>IF(ABS(E163-AG163)&lt;0.01,"ok","err")</f>
        <v>ok</v>
      </c>
    </row>
    <row r="164" spans="1:34" x14ac:dyDescent="0.2">
      <c r="E164" s="49"/>
      <c r="F164" s="49"/>
    </row>
    <row r="165" spans="1:34" x14ac:dyDescent="0.2">
      <c r="A165" s="13" t="s">
        <v>348</v>
      </c>
      <c r="E165" s="49"/>
      <c r="F165" s="49"/>
    </row>
    <row r="166" spans="1:34" x14ac:dyDescent="0.2">
      <c r="A166" s="92" t="s">
        <v>207</v>
      </c>
      <c r="C166" s="14" t="s">
        <v>883</v>
      </c>
      <c r="D166" s="14" t="s">
        <v>624</v>
      </c>
      <c r="E166" s="66">
        <f>'Func &amp; Classif'!K461</f>
        <v>0</v>
      </c>
      <c r="F166" s="66">
        <f>IF(VLOOKUP($D166,$C$5:$AU$493,3,)=0,0,(VLOOKUP($D166,$C$5:$AU$493,4,)/VLOOKUP($D166,$C$5:$AU$493,3,))*$E166)</f>
        <v>0</v>
      </c>
      <c r="G166" s="66">
        <f>IF(VLOOKUP($D166,$C$5:$AU$493,3,)=0,0,(VLOOKUP($D166,$C$5:$AU$493,5,)/VLOOKUP($D166,$C$5:$AU$493,3,))*$E166)</f>
        <v>0</v>
      </c>
      <c r="H166" s="66">
        <f>IF(VLOOKUP($D166,$C$5:$AU$493,3,)=0,0,(VLOOKUP($D166,$C$5:$AU$493,6,)/VLOOKUP($D166,$C$5:$AU$493,3,))*$E166)</f>
        <v>0</v>
      </c>
      <c r="I166" s="66">
        <f>IF(VLOOKUP($D166,$C$5:$AU$493,3,)=0,0,(VLOOKUP($D166,$C$5:$AU$493,7,)/VLOOKUP($D166,$C$5:$AU$493,3,))*$E166)</f>
        <v>0</v>
      </c>
      <c r="J166" s="66">
        <f>IF(VLOOKUP($D166,$C$5:$AU$493,3,)=0,0,(VLOOKUP($D166,$C$5:$AU$493,8,)/VLOOKUP($D166,$C$5:$AU$493,3,))*$E166)</f>
        <v>0</v>
      </c>
      <c r="K166" s="66">
        <f>IF(VLOOKUP($D166,$C$5:$AU$493,3,)=0,0,(VLOOKUP($D166,$C$5:$AU$493,9,)/VLOOKUP($D166,$C$5:$AU$493,3,))*$E166)</f>
        <v>0</v>
      </c>
      <c r="L166" s="66">
        <f>IF(VLOOKUP($D166,$C$5:$AU$493,3,)=0,0,(VLOOKUP($D166,$C$5:$AU$493,10,)/VLOOKUP($D166,$C$5:$AU$493,3,))*$E166)</f>
        <v>0</v>
      </c>
      <c r="M166" s="66">
        <f>IF(VLOOKUP($D166,$C$5:$AU$493,3,)=0,0,(VLOOKUP($D166,$C$5:$AU$493,11,)/VLOOKUP($D166,$C$5:$AU$493,3,))*$E166)</f>
        <v>0</v>
      </c>
      <c r="N166" s="66">
        <f>IF(VLOOKUP($D166,$C$5:$AU$493,3,)=0,0,(VLOOKUP($D166,$C$5:$AU$493,12,)/VLOOKUP($D166,$C$5:$AU$493,3,))*$E166)</f>
        <v>0</v>
      </c>
      <c r="O166" s="66">
        <f>IF(VLOOKUP($D166,$C$5:$AU$493,3,)=0,0,(VLOOKUP($D166,$C$5:$AU$493,13,)/VLOOKUP($D166,$C$5:$AU$493,3,))*$E166)</f>
        <v>0</v>
      </c>
      <c r="P166" s="66">
        <f>IF(VLOOKUP($D166,$C$5:$AU$493,3,)=0,0,(VLOOKUP($D166,$C$5:$AU$493,14,)/VLOOKUP($D166,$C$5:$AU$493,3,))*$E166)</f>
        <v>0</v>
      </c>
      <c r="Q166" s="66">
        <f>IF(VLOOKUP($D166,$C$5:$AU$493,3,)=0,0,(VLOOKUP($D166,$C$5:$AU$493,15,)/VLOOKUP($D166,$C$5:$AU$493,3,))*$E166)</f>
        <v>0</v>
      </c>
      <c r="R166" s="66">
        <f>IF(VLOOKUP($D166,$C$5:$AU$493,3,)=0,0,(VLOOKUP($D166,$C$5:$AU$493,16,)/VLOOKUP($D166,$C$5:$AU$493,3,))*$E166)</f>
        <v>0</v>
      </c>
      <c r="S166" s="66">
        <f>IF(VLOOKUP($D166,$C$5:$AU$493,3,)=0,0,(VLOOKUP($D166,$C$5:$AU$493,17,)/VLOOKUP($D166,$C$5:$AU$493,3,))*$E166)</f>
        <v>0</v>
      </c>
      <c r="T166" s="66">
        <f>IF(VLOOKUP($D166,$C$5:$AU$493,3,)=0,0,(VLOOKUP($D166,$C$5:$AU$493,18,)/VLOOKUP($D166,$C$5:$AU$493,3,))*$E166)</f>
        <v>0</v>
      </c>
      <c r="U166" s="66">
        <f>IF(VLOOKUP($D166,$C$5:$AU$493,3,)=0,0,(VLOOKUP($D166,$C$5:$AU$493,19,)/VLOOKUP($D166,$C$5:$AU$493,3,))*$E166)</f>
        <v>0</v>
      </c>
      <c r="V166" s="66">
        <f>IF(VLOOKUP($D166,$C$5:$AU$493,3,)=0,0,(VLOOKUP($D166,$C$5:$AU$493,20,)/VLOOKUP($D166,$C$5:$AU$493,3,))*$E166)</f>
        <v>0</v>
      </c>
      <c r="W166" s="66">
        <f>IF(VLOOKUP($D166,$C$5:$AU$493,3,)=0,0,(VLOOKUP($D166,$C$5:$AU$493,21,)/VLOOKUP($D166,$C$5:$AU$493,3,))*$E166)</f>
        <v>0</v>
      </c>
      <c r="X166" s="66">
        <f>IF(VLOOKUP($D166,$C$5:$AU$493,3,)=0,0,(VLOOKUP($D166,$C$5:$AU$493,22,)/VLOOKUP($D166,$C$5:$AU$493,3,))*$E166)</f>
        <v>0</v>
      </c>
      <c r="Y166" s="66">
        <f>IF(VLOOKUP($D166,$C$5:$AU$493,3,)=0,0,(VLOOKUP($D166,$C$5:$AU$493,23,)/VLOOKUP($D166,$C$5:$AU$493,3,))*$E166)</f>
        <v>0</v>
      </c>
      <c r="Z166" s="66">
        <f>IF(VLOOKUP($D166,$C$5:$AU$493,3,)=0,0,(VLOOKUP($D166,$C$5:$AU$493,24,)/VLOOKUP($D166,$C$5:$AU$493,3,))*$E166)</f>
        <v>0</v>
      </c>
      <c r="AA166" s="66">
        <f>IF(VLOOKUP($D166,$C$5:$AU$493,3,)=0,0,(VLOOKUP($D166,$C$5:$AU$493,25,)/VLOOKUP($D166,$C$5:$AU$493,3,))*$E166)</f>
        <v>0</v>
      </c>
      <c r="AB166" s="66">
        <f>IF(VLOOKUP($D166,$C$5:$AU$493,3,)=0,0,(VLOOKUP($D166,$C$5:$AU$493,26,)/VLOOKUP($D166,$C$5:$AU$493,3,))*$E166)</f>
        <v>0</v>
      </c>
      <c r="AC166" s="66">
        <f>IF(VLOOKUP($D166,$C$5:$AU$493,3,)=0,0,(VLOOKUP($D166,$C$5:$AU$493,27,)/VLOOKUP($D166,$C$5:$AU$493,3,))*$E166)</f>
        <v>0</v>
      </c>
      <c r="AD166" s="66">
        <f>IF(VLOOKUP($D166,$C$5:$AU$493,3,)=0,0,(VLOOKUP($D166,$C$5:$AU$493,28,)/VLOOKUP($D166,$C$5:$AU$493,3,))*$E166)</f>
        <v>0</v>
      </c>
      <c r="AE166" s="66">
        <f>IF(VLOOKUP($D166,$C$5:$AU$493,3,)=0,0,(VLOOKUP($D166,$C$5:$AU$493,29,)/VLOOKUP($D166,$C$5:$AU$493,3,))*$E166)</f>
        <v>0</v>
      </c>
      <c r="AF166" s="66">
        <f>IF(VLOOKUP($D166,$C$5:$AU$493,3,)=0,0,(VLOOKUP($D166,$C$5:$AU$493,30,)/VLOOKUP($D166,$C$5:$AU$493,3,))*$E166)</f>
        <v>0</v>
      </c>
      <c r="AG166" s="89">
        <f>SUM(F166:AF166)</f>
        <v>0</v>
      </c>
      <c r="AH166" s="27" t="str">
        <f>IF(ABS(E166-AG166)&lt;0.01,"ok","err")</f>
        <v>ok</v>
      </c>
    </row>
    <row r="167" spans="1:34" x14ac:dyDescent="0.2">
      <c r="E167" s="49"/>
    </row>
    <row r="168" spans="1:34" x14ac:dyDescent="0.2">
      <c r="A168" s="13" t="s">
        <v>1</v>
      </c>
      <c r="E168" s="49"/>
      <c r="F168" s="49"/>
    </row>
    <row r="169" spans="1:34" x14ac:dyDescent="0.2">
      <c r="A169" s="92" t="s">
        <v>207</v>
      </c>
      <c r="C169" s="14" t="s">
        <v>275</v>
      </c>
      <c r="D169" s="14" t="s">
        <v>631</v>
      </c>
      <c r="E169" s="66">
        <f>'Func &amp; Classif'!M461</f>
        <v>6697.8095387858539</v>
      </c>
      <c r="F169" s="66">
        <f>IF(VLOOKUP($D169,$C$5:$AU$493,3,)=0,0,(VLOOKUP($D169,$C$5:$AU$493,4,)/VLOOKUP($D169,$C$5:$AU$493,3,))*$E169)</f>
        <v>4994.7596915433514</v>
      </c>
      <c r="G169" s="66">
        <f>IF(VLOOKUP($D169,$C$5:$AU$493,3,)=0,0,(VLOOKUP($D169,$C$5:$AU$493,5,)/VLOOKUP($D169,$C$5:$AU$493,3,))*$E169)</f>
        <v>0.94625714687894835</v>
      </c>
      <c r="H169" s="66">
        <f>IF(VLOOKUP($D169,$C$5:$AU$493,3,)=0,0,(VLOOKUP($D169,$C$5:$AU$493,6,)/VLOOKUP($D169,$C$5:$AU$493,3,))*$E169)</f>
        <v>0.21207865481525748</v>
      </c>
      <c r="I169" s="66">
        <f>IF(VLOOKUP($D169,$C$5:$AU$493,3,)=0,0,(VLOOKUP($D169,$C$5:$AU$493,7,)/VLOOKUP($D169,$C$5:$AU$493,3,))*$E169)</f>
        <v>410.52249366064393</v>
      </c>
      <c r="J169" s="66">
        <f>IF(VLOOKUP($D169,$C$5:$AU$493,3,)=0,0,(VLOOKUP($D169,$C$5:$AU$493,8,)/VLOOKUP($D169,$C$5:$AU$493,3,))*$E169)</f>
        <v>1.3914523996430954</v>
      </c>
      <c r="K169" s="66">
        <f>IF(VLOOKUP($D169,$C$5:$AU$493,3,)=0,0,(VLOOKUP($D169,$C$5:$AU$493,9,)/VLOOKUP($D169,$C$5:$AU$493,3,))*$E169)</f>
        <v>157.41211383573855</v>
      </c>
      <c r="L169" s="66">
        <f>IF(VLOOKUP($D169,$C$5:$AU$493,3,)=0,0,(VLOOKUP($D169,$C$5:$AU$493,10,)/VLOOKUP($D169,$C$5:$AU$493,3,))*$E169)</f>
        <v>447.3062720791354</v>
      </c>
      <c r="M169" s="66">
        <f>IF(VLOOKUP($D169,$C$5:$AU$493,3,)=0,0,(VLOOKUP($D169,$C$5:$AU$493,11,)/VLOOKUP($D169,$C$5:$AU$493,3,))*$E169)</f>
        <v>229.78691153554809</v>
      </c>
      <c r="N169" s="66">
        <f>IF(VLOOKUP($D169,$C$5:$AU$493,3,)=0,0,(VLOOKUP($D169,$C$5:$AU$493,12,)/VLOOKUP($D169,$C$5:$AU$493,3,))*$E169)</f>
        <v>439.5214543041954</v>
      </c>
      <c r="O169" s="66">
        <f>IF(VLOOKUP($D169,$C$5:$AU$493,3,)=0,0,(VLOOKUP($D169,$C$5:$AU$493,13,)/VLOOKUP($D169,$C$5:$AU$493,3,))*$E169)</f>
        <v>0</v>
      </c>
      <c r="P169" s="66">
        <f>IF(VLOOKUP($D169,$C$5:$AU$493,3,)=0,0,(VLOOKUP($D169,$C$5:$AU$493,14,)/VLOOKUP($D169,$C$5:$AU$493,3,))*$E169)</f>
        <v>15.950813625904937</v>
      </c>
      <c r="Q169" s="66">
        <f>IF(VLOOKUP($D169,$C$5:$AU$493,3,)=0,0,(VLOOKUP($D169,$C$5:$AU$493,15,)/VLOOKUP($D169,$C$5:$AU$493,3,))*$E169)</f>
        <v>0</v>
      </c>
      <c r="R169" s="66">
        <f>IF(VLOOKUP($D169,$C$5:$AU$493,3,)=0,0,(VLOOKUP($D169,$C$5:$AU$493,16,)/VLOOKUP($D169,$C$5:$AU$493,3,))*$E169)</f>
        <v>0</v>
      </c>
      <c r="S169" s="66">
        <f>IF(VLOOKUP($D169,$C$5:$AU$493,3,)=0,0,(VLOOKUP($D169,$C$5:$AU$493,17,)/VLOOKUP($D169,$C$5:$AU$493,3,))*$E169)</f>
        <v>0</v>
      </c>
      <c r="T169" s="66">
        <f>IF(VLOOKUP($D169,$C$5:$AU$493,3,)=0,0,(VLOOKUP($D169,$C$5:$AU$493,18,)/VLOOKUP($D169,$C$5:$AU$493,3,))*$E169)</f>
        <v>0</v>
      </c>
      <c r="U169" s="66">
        <f>IF(VLOOKUP($D169,$C$5:$AU$493,3,)=0,0,(VLOOKUP($D169,$C$5:$AU$493,19,)/VLOOKUP($D169,$C$5:$AU$493,3,))*$E169)</f>
        <v>0</v>
      </c>
      <c r="V169" s="66">
        <f>IF(VLOOKUP($D169,$C$5:$AU$493,3,)=0,0,(VLOOKUP($D169,$C$5:$AU$493,20,)/VLOOKUP($D169,$C$5:$AU$493,3,))*$E169)</f>
        <v>0</v>
      </c>
      <c r="W169" s="66">
        <f>IF(VLOOKUP($D169,$C$5:$AU$493,3,)=0,0,(VLOOKUP($D169,$C$5:$AU$493,21,)/VLOOKUP($D169,$C$5:$AU$493,3,))*$E169)</f>
        <v>0</v>
      </c>
      <c r="X169" s="66">
        <f>IF(VLOOKUP($D169,$C$5:$AU$493,3,)=0,0,(VLOOKUP($D169,$C$5:$AU$493,22,)/VLOOKUP($D169,$C$5:$AU$493,3,))*$E169)</f>
        <v>0</v>
      </c>
      <c r="Y169" s="66">
        <f>IF(VLOOKUP($D169,$C$5:$AU$493,3,)=0,0,(VLOOKUP($D169,$C$5:$AU$493,23,)/VLOOKUP($D169,$C$5:$AU$493,3,))*$E169)</f>
        <v>0</v>
      </c>
      <c r="Z169" s="66">
        <f>IF(VLOOKUP($D169,$C$5:$AU$493,3,)=0,0,(VLOOKUP($D169,$C$5:$AU$493,24,)/VLOOKUP($D169,$C$5:$AU$493,3,))*$E169)</f>
        <v>0</v>
      </c>
      <c r="AA169" s="66">
        <f>IF(VLOOKUP($D169,$C$5:$AU$493,3,)=0,0,(VLOOKUP($D169,$C$5:$AU$493,25,)/VLOOKUP($D169,$C$5:$AU$493,3,))*$E169)</f>
        <v>0</v>
      </c>
      <c r="AB169" s="66">
        <f>IF(VLOOKUP($D169,$C$5:$AU$493,3,)=0,0,(VLOOKUP($D169,$C$5:$AU$493,26,)/VLOOKUP($D169,$C$5:$AU$493,3,))*$E169)</f>
        <v>0</v>
      </c>
      <c r="AC169" s="66">
        <f>IF(VLOOKUP($D169,$C$5:$AU$493,3,)=0,0,(VLOOKUP($D169,$C$5:$AU$493,27,)/VLOOKUP($D169,$C$5:$AU$493,3,))*$E169)</f>
        <v>0</v>
      </c>
      <c r="AD169" s="66">
        <f>IF(VLOOKUP($D169,$C$5:$AU$493,3,)=0,0,(VLOOKUP($D169,$C$5:$AU$493,28,)/VLOOKUP($D169,$C$5:$AU$493,3,))*$E169)</f>
        <v>0</v>
      </c>
      <c r="AE169" s="66">
        <f>IF(VLOOKUP($D169,$C$5:$AU$493,3,)=0,0,(VLOOKUP($D169,$C$5:$AU$493,29,)/VLOOKUP($D169,$C$5:$AU$493,3,))*$E169)</f>
        <v>0</v>
      </c>
      <c r="AF169" s="66">
        <f>IF(VLOOKUP($D169,$C$5:$AU$493,3,)=0,0,(VLOOKUP($D169,$C$5:$AU$493,30,)/VLOOKUP($D169,$C$5:$AU$493,3,))*$E169)</f>
        <v>0</v>
      </c>
      <c r="AG169" s="89">
        <f>SUM(F169:AF169)</f>
        <v>6697.8095387858548</v>
      </c>
      <c r="AH169" s="27" t="str">
        <f>IF(ABS(E169-AG169)&lt;0.01,"ok","err")</f>
        <v>ok</v>
      </c>
    </row>
    <row r="170" spans="1:34" x14ac:dyDescent="0.2">
      <c r="E170" s="49"/>
    </row>
    <row r="171" spans="1:34" x14ac:dyDescent="0.2">
      <c r="A171" s="13" t="s">
        <v>2</v>
      </c>
      <c r="E171" s="49"/>
    </row>
    <row r="172" spans="1:34" x14ac:dyDescent="0.2">
      <c r="A172" s="92" t="s">
        <v>207</v>
      </c>
      <c r="C172" s="14" t="s">
        <v>276</v>
      </c>
      <c r="D172" s="14" t="s">
        <v>628</v>
      </c>
      <c r="E172" s="66">
        <f>'Func &amp; Classif'!O461</f>
        <v>2044921.6691314771</v>
      </c>
      <c r="F172" s="66">
        <f>IF(VLOOKUP($D172,$C$5:$AU$493,3,)=0,0,(VLOOKUP($D172,$C$5:$AU$493,4,)/VLOOKUP($D172,$C$5:$AU$493,3,))*$E172)</f>
        <v>1705420.8482953159</v>
      </c>
      <c r="G172" s="66">
        <f>IF(VLOOKUP($D172,$C$5:$AU$493,3,)=0,0,(VLOOKUP($D172,$C$5:$AU$493,5,)/VLOOKUP($D172,$C$5:$AU$493,3,))*$E172)</f>
        <v>318.75056275562463</v>
      </c>
      <c r="H172" s="66">
        <f>IF(VLOOKUP($D172,$C$5:$AU$493,3,)=0,0,(VLOOKUP($D172,$C$5:$AU$493,6,)/VLOOKUP($D172,$C$5:$AU$493,3,))*$E172)</f>
        <v>11745.610250542004</v>
      </c>
      <c r="I172" s="66">
        <f>IF(VLOOKUP($D172,$C$5:$AU$493,3,)=0,0,(VLOOKUP($D172,$C$5:$AU$493,7,)/VLOOKUP($D172,$C$5:$AU$493,3,))*$E172)</f>
        <v>91638.598911083856</v>
      </c>
      <c r="J172" s="66">
        <f>IF(VLOOKUP($D172,$C$5:$AU$493,3,)=0,0,(VLOOKUP($D172,$C$5:$AU$493,8,)/VLOOKUP($D172,$C$5:$AU$493,3,))*$E172)</f>
        <v>11836.675588010974</v>
      </c>
      <c r="K172" s="66">
        <f>IF(VLOOKUP($D172,$C$5:$AU$493,3,)=0,0,(VLOOKUP($D172,$C$5:$AU$493,9,)/VLOOKUP($D172,$C$5:$AU$493,3,))*$E172)</f>
        <v>29277.457322063023</v>
      </c>
      <c r="L172" s="66">
        <f>IF(VLOOKUP($D172,$C$5:$AU$493,3,)=0,0,(VLOOKUP($D172,$C$5:$AU$493,10,)/VLOOKUP($D172,$C$5:$AU$493,3,))*$E172)</f>
        <v>81066.648173145644</v>
      </c>
      <c r="M172" s="66">
        <f>IF(VLOOKUP($D172,$C$5:$AU$493,3,)=0,0,(VLOOKUP($D172,$C$5:$AU$493,11,)/VLOOKUP($D172,$C$5:$AU$493,3,))*$E172)</f>
        <v>37856.016207993853</v>
      </c>
      <c r="N172" s="66">
        <f>IF(VLOOKUP($D172,$C$5:$AU$493,3,)=0,0,(VLOOKUP($D172,$C$5:$AU$493,12,)/VLOOKUP($D172,$C$5:$AU$493,3,))*$E172)</f>
        <v>71830.751169983181</v>
      </c>
      <c r="O172" s="66">
        <f>IF(VLOOKUP($D172,$C$5:$AU$493,3,)=0,0,(VLOOKUP($D172,$C$5:$AU$493,13,)/VLOOKUP($D172,$C$5:$AU$493,3,))*$E172)</f>
        <v>0</v>
      </c>
      <c r="P172" s="66">
        <f>IF(VLOOKUP($D172,$C$5:$AU$493,3,)=0,0,(VLOOKUP($D172,$C$5:$AU$493,14,)/VLOOKUP($D172,$C$5:$AU$493,3,))*$E172)</f>
        <v>3930.3126505830537</v>
      </c>
      <c r="Q172" s="66">
        <f>IF(VLOOKUP($D172,$C$5:$AU$493,3,)=0,0,(VLOOKUP($D172,$C$5:$AU$493,15,)/VLOOKUP($D172,$C$5:$AU$493,3,))*$E172)</f>
        <v>0</v>
      </c>
      <c r="R172" s="66">
        <f>IF(VLOOKUP($D172,$C$5:$AU$493,3,)=0,0,(VLOOKUP($D172,$C$5:$AU$493,16,)/VLOOKUP($D172,$C$5:$AU$493,3,))*$E172)</f>
        <v>0</v>
      </c>
      <c r="S172" s="66">
        <f>IF(VLOOKUP($D172,$C$5:$AU$493,3,)=0,0,(VLOOKUP($D172,$C$5:$AU$493,17,)/VLOOKUP($D172,$C$5:$AU$493,3,))*$E172)</f>
        <v>0</v>
      </c>
      <c r="T172" s="66">
        <f>IF(VLOOKUP($D172,$C$5:$AU$493,3,)=0,0,(VLOOKUP($D172,$C$5:$AU$493,18,)/VLOOKUP($D172,$C$5:$AU$493,3,))*$E172)</f>
        <v>0</v>
      </c>
      <c r="U172" s="66">
        <f>IF(VLOOKUP($D172,$C$5:$AU$493,3,)=0,0,(VLOOKUP($D172,$C$5:$AU$493,19,)/VLOOKUP($D172,$C$5:$AU$493,3,))*$E172)</f>
        <v>0</v>
      </c>
      <c r="V172" s="66">
        <f>IF(VLOOKUP($D172,$C$5:$AU$493,3,)=0,0,(VLOOKUP($D172,$C$5:$AU$493,20,)/VLOOKUP($D172,$C$5:$AU$493,3,))*$E172)</f>
        <v>0</v>
      </c>
      <c r="W172" s="66">
        <f>IF(VLOOKUP($D172,$C$5:$AU$493,3,)=0,0,(VLOOKUP($D172,$C$5:$AU$493,21,)/VLOOKUP($D172,$C$5:$AU$493,3,))*$E172)</f>
        <v>0</v>
      </c>
      <c r="X172" s="66">
        <f>IF(VLOOKUP($D172,$C$5:$AU$493,3,)=0,0,(VLOOKUP($D172,$C$5:$AU$493,22,)/VLOOKUP($D172,$C$5:$AU$493,3,))*$E172)</f>
        <v>0</v>
      </c>
      <c r="Y172" s="66">
        <f>IF(VLOOKUP($D172,$C$5:$AU$493,3,)=0,0,(VLOOKUP($D172,$C$5:$AU$493,23,)/VLOOKUP($D172,$C$5:$AU$493,3,))*$E172)</f>
        <v>0</v>
      </c>
      <c r="Z172" s="66">
        <f>IF(VLOOKUP($D172,$C$5:$AU$493,3,)=0,0,(VLOOKUP($D172,$C$5:$AU$493,24,)/VLOOKUP($D172,$C$5:$AU$493,3,))*$E172)</f>
        <v>0</v>
      </c>
      <c r="AA172" s="66">
        <f>IF(VLOOKUP($D172,$C$5:$AU$493,3,)=0,0,(VLOOKUP($D172,$C$5:$AU$493,25,)/VLOOKUP($D172,$C$5:$AU$493,3,))*$E172)</f>
        <v>0</v>
      </c>
      <c r="AB172" s="66">
        <f>IF(VLOOKUP($D172,$C$5:$AU$493,3,)=0,0,(VLOOKUP($D172,$C$5:$AU$493,26,)/VLOOKUP($D172,$C$5:$AU$493,3,))*$E172)</f>
        <v>0</v>
      </c>
      <c r="AC172" s="66">
        <f>IF(VLOOKUP($D172,$C$5:$AU$493,3,)=0,0,(VLOOKUP($D172,$C$5:$AU$493,27,)/VLOOKUP($D172,$C$5:$AU$493,3,))*$E172)</f>
        <v>0</v>
      </c>
      <c r="AD172" s="66">
        <f>IF(VLOOKUP($D172,$C$5:$AU$493,3,)=0,0,(VLOOKUP($D172,$C$5:$AU$493,28,)/VLOOKUP($D172,$C$5:$AU$493,3,))*$E172)</f>
        <v>0</v>
      </c>
      <c r="AE172" s="66">
        <f>IF(VLOOKUP($D172,$C$5:$AU$493,3,)=0,0,(VLOOKUP($D172,$C$5:$AU$493,29,)/VLOOKUP($D172,$C$5:$AU$493,3,))*$E172)</f>
        <v>0</v>
      </c>
      <c r="AF172" s="66">
        <f>IF(VLOOKUP($D172,$C$5:$AU$493,3,)=0,0,(VLOOKUP($D172,$C$5:$AU$493,30,)/VLOOKUP($D172,$C$5:$AU$493,3,))*$E172)</f>
        <v>0</v>
      </c>
      <c r="AG172" s="89">
        <f>SUM(F172:AF172)</f>
        <v>2044921.6691314771</v>
      </c>
      <c r="AH172" s="27" t="str">
        <f>IF(ABS(E172-AG172)&lt;0.01,"ok","err")</f>
        <v>ok</v>
      </c>
    </row>
    <row r="173" spans="1:34" x14ac:dyDescent="0.2">
      <c r="A173" s="92" t="s">
        <v>219</v>
      </c>
      <c r="C173" s="14" t="s">
        <v>277</v>
      </c>
      <c r="D173" s="14" t="s">
        <v>221</v>
      </c>
      <c r="E173" s="49">
        <f>'Func &amp; Classif'!P461</f>
        <v>1130556.3602577816</v>
      </c>
      <c r="F173" s="66">
        <f>IF(VLOOKUP($D173,$C$5:$AU$493,3,)=0,0,(VLOOKUP($D173,$C$5:$AU$493,4,)/VLOOKUP($D173,$C$5:$AU$493,3,))*$E173)</f>
        <v>863600.75057779183</v>
      </c>
      <c r="G173" s="66">
        <f>IF(VLOOKUP($D173,$C$5:$AU$493,3,)=0,0,(VLOOKUP($D173,$C$5:$AU$493,5,)/VLOOKUP($D173,$C$5:$AU$493,3,))*$E173)</f>
        <v>1679.5733602996454</v>
      </c>
      <c r="H173" s="66">
        <f>IF(VLOOKUP($D173,$C$5:$AU$493,3,)=0,0,(VLOOKUP($D173,$C$5:$AU$493,6,)/VLOOKUP($D173,$C$5:$AU$493,3,))*$E173)</f>
        <v>271.78334006268216</v>
      </c>
      <c r="I173" s="66">
        <f>IF(VLOOKUP($D173,$C$5:$AU$493,3,)=0,0,(VLOOKUP($D173,$C$5:$AU$493,7,)/VLOOKUP($D173,$C$5:$AU$493,3,))*$E173)</f>
        <v>43444.80531545839</v>
      </c>
      <c r="J173" s="66">
        <f>IF(VLOOKUP($D173,$C$5:$AU$493,3,)=0,0,(VLOOKUP($D173,$C$5:$AU$493,8,)/VLOOKUP($D173,$C$5:$AU$493,3,))*$E173)</f>
        <v>696.14680086230862</v>
      </c>
      <c r="K173" s="66">
        <f>IF(VLOOKUP($D173,$C$5:$AU$493,3,)=0,0,(VLOOKUP($D173,$C$5:$AU$493,9,)/VLOOKUP($D173,$C$5:$AU$493,3,))*$E173)</f>
        <v>888.0639839767465</v>
      </c>
      <c r="L173" s="66">
        <f>IF(VLOOKUP($D173,$C$5:$AU$493,3,)=0,0,(VLOOKUP($D173,$C$5:$AU$493,10,)/VLOOKUP($D173,$C$5:$AU$493,3,))*$E173)</f>
        <v>424.36346079962652</v>
      </c>
      <c r="M173" s="66">
        <f>IF(VLOOKUP($D173,$C$5:$AU$493,3,)=0,0,(VLOOKUP($D173,$C$5:$AU$493,11,)/VLOOKUP($D173,$C$5:$AU$493,3,))*$E173)</f>
        <v>42.913158957265601</v>
      </c>
      <c r="N173" s="66">
        <f>IF(VLOOKUP($D173,$C$5:$AU$493,3,)=0,0,(VLOOKUP($D173,$C$5:$AU$493,12,)/VLOOKUP($D173,$C$5:$AU$493,3,))*$E173)</f>
        <v>42.913158957265601</v>
      </c>
      <c r="O173" s="66">
        <f>IF(VLOOKUP($D173,$C$5:$AU$493,3,)=0,0,(VLOOKUP($D173,$C$5:$AU$493,13,)/VLOOKUP($D173,$C$5:$AU$493,3,))*$E173)</f>
        <v>14.304386319088533</v>
      </c>
      <c r="P173" s="66">
        <f>IF(VLOOKUP($D173,$C$5:$AU$493,3,)=0,0,(VLOOKUP($D173,$C$5:$AU$493,14,)/VLOOKUP($D173,$C$5:$AU$493,3,))*$E173)</f>
        <v>219450.74271429676</v>
      </c>
      <c r="Q173" s="66">
        <f>IF(VLOOKUP($D173,$C$5:$AU$493,3,)=0,0,(VLOOKUP($D173,$C$5:$AU$493,15,)/VLOOKUP($D173,$C$5:$AU$493,3,))*$E173)</f>
        <v>0</v>
      </c>
      <c r="R173" s="66">
        <f>IF(VLOOKUP($D173,$C$5:$AU$493,3,)=0,0,(VLOOKUP($D173,$C$5:$AU$493,16,)/VLOOKUP($D173,$C$5:$AU$493,3,))*$E173)</f>
        <v>0</v>
      </c>
      <c r="S173" s="66">
        <f>IF(VLOOKUP($D173,$C$5:$AU$493,3,)=0,0,(VLOOKUP($D173,$C$5:$AU$493,17,)/VLOOKUP($D173,$C$5:$AU$493,3,))*$E173)</f>
        <v>0</v>
      </c>
      <c r="T173" s="66">
        <f>IF(VLOOKUP($D173,$C$5:$AU$493,3,)=0,0,(VLOOKUP($D173,$C$5:$AU$493,18,)/VLOOKUP($D173,$C$5:$AU$493,3,))*$E173)</f>
        <v>0</v>
      </c>
      <c r="U173" s="66">
        <f>IF(VLOOKUP($D173,$C$5:$AU$493,3,)=0,0,(VLOOKUP($D173,$C$5:$AU$493,19,)/VLOOKUP($D173,$C$5:$AU$493,3,))*$E173)</f>
        <v>0</v>
      </c>
      <c r="V173" s="66">
        <f>IF(VLOOKUP($D173,$C$5:$AU$493,3,)=0,0,(VLOOKUP($D173,$C$5:$AU$493,20,)/VLOOKUP($D173,$C$5:$AU$493,3,))*$E173)</f>
        <v>0</v>
      </c>
      <c r="W173" s="66">
        <f>IF(VLOOKUP($D173,$C$5:$AU$493,3,)=0,0,(VLOOKUP($D173,$C$5:$AU$493,21,)/VLOOKUP($D173,$C$5:$AU$493,3,))*$E173)</f>
        <v>0</v>
      </c>
      <c r="X173" s="66">
        <f>IF(VLOOKUP($D173,$C$5:$AU$493,3,)=0,0,(VLOOKUP($D173,$C$5:$AU$493,22,)/VLOOKUP($D173,$C$5:$AU$493,3,))*$E173)</f>
        <v>0</v>
      </c>
      <c r="Y173" s="66">
        <f>IF(VLOOKUP($D173,$C$5:$AU$493,3,)=0,0,(VLOOKUP($D173,$C$5:$AU$493,23,)/VLOOKUP($D173,$C$5:$AU$493,3,))*$E173)</f>
        <v>0</v>
      </c>
      <c r="Z173" s="66">
        <f>IF(VLOOKUP($D173,$C$5:$AU$493,3,)=0,0,(VLOOKUP($D173,$C$5:$AU$493,24,)/VLOOKUP($D173,$C$5:$AU$493,3,))*$E173)</f>
        <v>0</v>
      </c>
      <c r="AA173" s="66">
        <f>IF(VLOOKUP($D173,$C$5:$AU$493,3,)=0,0,(VLOOKUP($D173,$C$5:$AU$493,25,)/VLOOKUP($D173,$C$5:$AU$493,3,))*$E173)</f>
        <v>0</v>
      </c>
      <c r="AB173" s="66">
        <f>IF(VLOOKUP($D173,$C$5:$AU$493,3,)=0,0,(VLOOKUP($D173,$C$5:$AU$493,26,)/VLOOKUP($D173,$C$5:$AU$493,3,))*$E173)</f>
        <v>0</v>
      </c>
      <c r="AC173" s="66">
        <f>IF(VLOOKUP($D173,$C$5:$AU$493,3,)=0,0,(VLOOKUP($D173,$C$5:$AU$493,27,)/VLOOKUP($D173,$C$5:$AU$493,3,))*$E173)</f>
        <v>0</v>
      </c>
      <c r="AD173" s="66">
        <f>IF(VLOOKUP($D173,$C$5:$AU$493,3,)=0,0,(VLOOKUP($D173,$C$5:$AU$493,28,)/VLOOKUP($D173,$C$5:$AU$493,3,))*$E173)</f>
        <v>0</v>
      </c>
      <c r="AE173" s="66">
        <f>IF(VLOOKUP($D173,$C$5:$AU$493,3,)=0,0,(VLOOKUP($D173,$C$5:$AU$493,29,)/VLOOKUP($D173,$C$5:$AU$493,3,))*$E173)</f>
        <v>0</v>
      </c>
      <c r="AF173" s="66">
        <f>IF(VLOOKUP($D173,$C$5:$AU$493,3,)=0,0,(VLOOKUP($D173,$C$5:$AU$493,30,)/VLOOKUP($D173,$C$5:$AU$493,3,))*$E173)</f>
        <v>0</v>
      </c>
      <c r="AG173" s="89">
        <f>SUM(F173:AF173)</f>
        <v>1130556.3602577818</v>
      </c>
      <c r="AH173" s="27" t="str">
        <f>IF(ABS(E173-AG173)&lt;0.01,"ok","err")</f>
        <v>ok</v>
      </c>
    </row>
    <row r="174" spans="1:34" x14ac:dyDescent="0.2">
      <c r="A174" s="14" t="s">
        <v>222</v>
      </c>
      <c r="E174" s="66">
        <f t="shared" ref="E174:T174" si="35">E172+E173</f>
        <v>3175478.0293892585</v>
      </c>
      <c r="F174" s="66">
        <f t="shared" si="35"/>
        <v>2569021.5988731077</v>
      </c>
      <c r="G174" s="66">
        <f t="shared" si="35"/>
        <v>1998.3239230552699</v>
      </c>
      <c r="H174" s="66">
        <f t="shared" si="35"/>
        <v>12017.393590604686</v>
      </c>
      <c r="I174" s="66">
        <f t="shared" si="35"/>
        <v>135083.40422654225</v>
      </c>
      <c r="J174" s="66">
        <f t="shared" si="35"/>
        <v>12532.822388873283</v>
      </c>
      <c r="K174" s="66">
        <f t="shared" si="35"/>
        <v>30165.521306039769</v>
      </c>
      <c r="L174" s="66">
        <f t="shared" si="35"/>
        <v>81491.011633945265</v>
      </c>
      <c r="M174" s="66">
        <f t="shared" si="35"/>
        <v>37898.929366951117</v>
      </c>
      <c r="N174" s="66">
        <f t="shared" si="35"/>
        <v>71873.664328940446</v>
      </c>
      <c r="O174" s="66">
        <f t="shared" si="35"/>
        <v>14.304386319088533</v>
      </c>
      <c r="P174" s="66">
        <f t="shared" si="35"/>
        <v>223381.05536487981</v>
      </c>
      <c r="Q174" s="66">
        <f t="shared" si="35"/>
        <v>0</v>
      </c>
      <c r="R174" s="66">
        <f t="shared" si="35"/>
        <v>0</v>
      </c>
      <c r="S174" s="66">
        <f t="shared" si="35"/>
        <v>0</v>
      </c>
      <c r="T174" s="66">
        <f t="shared" si="35"/>
        <v>0</v>
      </c>
      <c r="U174" s="66">
        <f t="shared" ref="U174:AF174" si="36">U172+U173</f>
        <v>0</v>
      </c>
      <c r="V174" s="66">
        <f t="shared" si="36"/>
        <v>0</v>
      </c>
      <c r="W174" s="66">
        <f t="shared" si="36"/>
        <v>0</v>
      </c>
      <c r="X174" s="66">
        <f t="shared" si="36"/>
        <v>0</v>
      </c>
      <c r="Y174" s="66">
        <f t="shared" si="36"/>
        <v>0</v>
      </c>
      <c r="Z174" s="66">
        <f t="shared" si="36"/>
        <v>0</v>
      </c>
      <c r="AA174" s="66">
        <f t="shared" si="36"/>
        <v>0</v>
      </c>
      <c r="AB174" s="66">
        <f t="shared" si="36"/>
        <v>0</v>
      </c>
      <c r="AC174" s="66">
        <f t="shared" si="36"/>
        <v>0</v>
      </c>
      <c r="AD174" s="66">
        <f t="shared" si="36"/>
        <v>0</v>
      </c>
      <c r="AE174" s="66">
        <f t="shared" si="36"/>
        <v>0</v>
      </c>
      <c r="AF174" s="66">
        <f t="shared" si="36"/>
        <v>0</v>
      </c>
      <c r="AG174" s="89">
        <f>SUM(F174:AF174)</f>
        <v>3175478.0293892589</v>
      </c>
      <c r="AH174" s="27" t="str">
        <f>IF(ABS(E174-AG174)&lt;0.01,"ok","err")</f>
        <v>ok</v>
      </c>
    </row>
    <row r="175" spans="1:34" x14ac:dyDescent="0.2">
      <c r="E175" s="49"/>
    </row>
    <row r="176" spans="1:34" x14ac:dyDescent="0.2">
      <c r="A176" s="13" t="s">
        <v>3</v>
      </c>
      <c r="E176" s="49"/>
    </row>
    <row r="177" spans="1:34" x14ac:dyDescent="0.2">
      <c r="A177" s="92" t="s">
        <v>207</v>
      </c>
      <c r="C177" s="14" t="s">
        <v>278</v>
      </c>
      <c r="D177" s="14" t="s">
        <v>700</v>
      </c>
      <c r="E177" s="66">
        <f>'Func &amp; Classif'!R461</f>
        <v>0</v>
      </c>
      <c r="F177" s="66">
        <f>IF(VLOOKUP($D177,$C$5:$AU$493,3,)=0,0,(VLOOKUP($D177,$C$5:$AU$493,4,)/VLOOKUP($D177,$C$5:$AU$493,3,))*$E177)</f>
        <v>0</v>
      </c>
      <c r="G177" s="66">
        <f>IF(VLOOKUP($D177,$C$5:$AU$493,3,)=0,0,(VLOOKUP($D177,$C$5:$AU$493,5,)/VLOOKUP($D177,$C$5:$AU$493,3,))*$E177)</f>
        <v>0</v>
      </c>
      <c r="H177" s="66">
        <f>IF(VLOOKUP($D177,$C$5:$AU$493,3,)=0,0,(VLOOKUP($D177,$C$5:$AU$493,6,)/VLOOKUP($D177,$C$5:$AU$493,3,))*$E177)</f>
        <v>0</v>
      </c>
      <c r="I177" s="66">
        <f>IF(VLOOKUP($D177,$C$5:$AU$493,3,)=0,0,(VLOOKUP($D177,$C$5:$AU$493,7,)/VLOOKUP($D177,$C$5:$AU$493,3,))*$E177)</f>
        <v>0</v>
      </c>
      <c r="J177" s="66">
        <f>IF(VLOOKUP($D177,$C$5:$AU$493,3,)=0,0,(VLOOKUP($D177,$C$5:$AU$493,8,)/VLOOKUP($D177,$C$5:$AU$493,3,))*$E177)</f>
        <v>0</v>
      </c>
      <c r="K177" s="66">
        <f>IF(VLOOKUP($D177,$C$5:$AU$493,3,)=0,0,(VLOOKUP($D177,$C$5:$AU$493,9,)/VLOOKUP($D177,$C$5:$AU$493,3,))*$E177)</f>
        <v>0</v>
      </c>
      <c r="L177" s="66">
        <f>IF(VLOOKUP($D177,$C$5:$AU$493,3,)=0,0,(VLOOKUP($D177,$C$5:$AU$493,10,)/VLOOKUP($D177,$C$5:$AU$493,3,))*$E177)</f>
        <v>0</v>
      </c>
      <c r="M177" s="66">
        <f>IF(VLOOKUP($D177,$C$5:$AU$493,3,)=0,0,(VLOOKUP($D177,$C$5:$AU$493,11,)/VLOOKUP($D177,$C$5:$AU$493,3,))*$E177)</f>
        <v>0</v>
      </c>
      <c r="N177" s="66">
        <f>IF(VLOOKUP($D177,$C$5:$AU$493,3,)=0,0,(VLOOKUP($D177,$C$5:$AU$493,12,)/VLOOKUP($D177,$C$5:$AU$493,3,))*$E177)</f>
        <v>0</v>
      </c>
      <c r="O177" s="66">
        <f>IF(VLOOKUP($D177,$C$5:$AU$493,3,)=0,0,(VLOOKUP($D177,$C$5:$AU$493,13,)/VLOOKUP($D177,$C$5:$AU$493,3,))*$E177)</f>
        <v>0</v>
      </c>
      <c r="P177" s="66">
        <f>IF(VLOOKUP($D177,$C$5:$AU$493,3,)=0,0,(VLOOKUP($D177,$C$5:$AU$493,14,)/VLOOKUP($D177,$C$5:$AU$493,3,))*$E177)</f>
        <v>0</v>
      </c>
      <c r="Q177" s="66">
        <f>IF(VLOOKUP($D177,$C$5:$AU$493,3,)=0,0,(VLOOKUP($D177,$C$5:$AU$493,15,)/VLOOKUP($D177,$C$5:$AU$493,3,))*$E177)</f>
        <v>0</v>
      </c>
      <c r="R177" s="66">
        <f>IF(VLOOKUP($D177,$C$5:$AU$493,3,)=0,0,(VLOOKUP($D177,$C$5:$AU$493,16,)/VLOOKUP($D177,$C$5:$AU$493,3,))*$E177)</f>
        <v>0</v>
      </c>
      <c r="S177" s="66">
        <f>IF(VLOOKUP($D177,$C$5:$AU$493,3,)=0,0,(VLOOKUP($D177,$C$5:$AU$493,17,)/VLOOKUP($D177,$C$5:$AU$493,3,))*$E177)</f>
        <v>0</v>
      </c>
      <c r="T177" s="66">
        <f>IF(VLOOKUP($D177,$C$5:$AU$493,3,)=0,0,(VLOOKUP($D177,$C$5:$AU$493,18,)/VLOOKUP($D177,$C$5:$AU$493,3,))*$E177)</f>
        <v>0</v>
      </c>
      <c r="U177" s="66">
        <f>IF(VLOOKUP($D177,$C$5:$AU$493,3,)=0,0,(VLOOKUP($D177,$C$5:$AU$493,19,)/VLOOKUP($D177,$C$5:$AU$493,3,))*$E177)</f>
        <v>0</v>
      </c>
      <c r="V177" s="66">
        <f>IF(VLOOKUP($D177,$C$5:$AU$493,3,)=0,0,(VLOOKUP($D177,$C$5:$AU$493,20,)/VLOOKUP($D177,$C$5:$AU$493,3,))*$E177)</f>
        <v>0</v>
      </c>
      <c r="W177" s="66">
        <f>IF(VLOOKUP($D177,$C$5:$AU$493,3,)=0,0,(VLOOKUP($D177,$C$5:$AU$493,21,)/VLOOKUP($D177,$C$5:$AU$493,3,))*$E177)</f>
        <v>0</v>
      </c>
      <c r="X177" s="66">
        <f>IF(VLOOKUP($D177,$C$5:$AU$493,3,)=0,0,(VLOOKUP($D177,$C$5:$AU$493,22,)/VLOOKUP($D177,$C$5:$AU$493,3,))*$E177)</f>
        <v>0</v>
      </c>
      <c r="Y177" s="66">
        <f>IF(VLOOKUP($D177,$C$5:$AU$493,3,)=0,0,(VLOOKUP($D177,$C$5:$AU$493,23,)/VLOOKUP($D177,$C$5:$AU$493,3,))*$E177)</f>
        <v>0</v>
      </c>
      <c r="Z177" s="66">
        <f>IF(VLOOKUP($D177,$C$5:$AU$493,3,)=0,0,(VLOOKUP($D177,$C$5:$AU$493,24,)/VLOOKUP($D177,$C$5:$AU$493,3,))*$E177)</f>
        <v>0</v>
      </c>
      <c r="AA177" s="66">
        <f>IF(VLOOKUP($D177,$C$5:$AU$493,3,)=0,0,(VLOOKUP($D177,$C$5:$AU$493,25,)/VLOOKUP($D177,$C$5:$AU$493,3,))*$E177)</f>
        <v>0</v>
      </c>
      <c r="AB177" s="66">
        <f>IF(VLOOKUP($D177,$C$5:$AU$493,3,)=0,0,(VLOOKUP($D177,$C$5:$AU$493,26,)/VLOOKUP($D177,$C$5:$AU$493,3,))*$E177)</f>
        <v>0</v>
      </c>
      <c r="AC177" s="66">
        <f>IF(VLOOKUP($D177,$C$5:$AU$493,3,)=0,0,(VLOOKUP($D177,$C$5:$AU$493,27,)/VLOOKUP($D177,$C$5:$AU$493,3,))*$E177)</f>
        <v>0</v>
      </c>
      <c r="AD177" s="66">
        <f>IF(VLOOKUP($D177,$C$5:$AU$493,3,)=0,0,(VLOOKUP($D177,$C$5:$AU$493,28,)/VLOOKUP($D177,$C$5:$AU$493,3,))*$E177)</f>
        <v>0</v>
      </c>
      <c r="AE177" s="66">
        <f>IF(VLOOKUP($D177,$C$5:$AU$493,3,)=0,0,(VLOOKUP($D177,$C$5:$AU$493,29,)/VLOOKUP($D177,$C$5:$AU$493,3,))*$E177)</f>
        <v>0</v>
      </c>
      <c r="AF177" s="66">
        <f>IF(VLOOKUP($D177,$C$5:$AU$493,3,)=0,0,(VLOOKUP($D177,$C$5:$AU$493,30,)/VLOOKUP($D177,$C$5:$AU$493,3,))*$E177)</f>
        <v>0</v>
      </c>
      <c r="AG177" s="89">
        <f>SUM(F177:AF177)</f>
        <v>0</v>
      </c>
      <c r="AH177" s="27" t="str">
        <f>IF(ABS(E177-AG177)&lt;0.01,"ok","err")</f>
        <v>ok</v>
      </c>
    </row>
    <row r="178" spans="1:34" x14ac:dyDescent="0.2">
      <c r="A178" s="92" t="s">
        <v>219</v>
      </c>
      <c r="C178" s="14" t="s">
        <v>279</v>
      </c>
      <c r="D178" s="14" t="s">
        <v>700</v>
      </c>
      <c r="E178" s="49">
        <f>'Func &amp; Classif'!S461</f>
        <v>110818.71049711437</v>
      </c>
      <c r="F178" s="66">
        <f>IF(VLOOKUP($D178,$C$5:$AU$493,3,)=0,0,(VLOOKUP($D178,$C$5:$AU$493,4,)/VLOOKUP($D178,$C$5:$AU$493,3,))*$E178)</f>
        <v>102017.44916861298</v>
      </c>
      <c r="G178" s="66">
        <f>IF(VLOOKUP($D178,$C$5:$AU$493,3,)=0,0,(VLOOKUP($D178,$C$5:$AU$493,5,)/VLOOKUP($D178,$C$5:$AU$493,3,))*$E178)</f>
        <v>198.40856992619177</v>
      </c>
      <c r="H178" s="66">
        <f>IF(VLOOKUP($D178,$C$5:$AU$493,3,)=0,0,(VLOOKUP($D178,$C$5:$AU$493,6,)/VLOOKUP($D178,$C$5:$AU$493,3,))*$E178)</f>
        <v>32.105858015026065</v>
      </c>
      <c r="I178" s="66">
        <f>IF(VLOOKUP($D178,$C$5:$AU$493,3,)=0,0,(VLOOKUP($D178,$C$5:$AU$493,7,)/VLOOKUP($D178,$C$5:$AU$493,3,))*$E178)</f>
        <v>6145.9790282040603</v>
      </c>
      <c r="J178" s="66">
        <f>IF(VLOOKUP($D178,$C$5:$AU$493,3,)=0,0,(VLOOKUP($D178,$C$5:$AU$493,8,)/VLOOKUP($D178,$C$5:$AU$493,3,))*$E178)</f>
        <v>98.481362905975189</v>
      </c>
      <c r="K178" s="66">
        <f>IF(VLOOKUP($D178,$C$5:$AU$493,3,)=0,0,(VLOOKUP($D178,$C$5:$AU$493,9,)/VLOOKUP($D178,$C$5:$AU$493,3,))*$E178)</f>
        <v>807.12756608120912</v>
      </c>
      <c r="L178" s="66">
        <f>IF(VLOOKUP($D178,$C$5:$AU$493,3,)=0,0,(VLOOKUP($D178,$C$5:$AU$493,10,)/VLOOKUP($D178,$C$5:$AU$493,3,))*$E178)</f>
        <v>934.41021424793257</v>
      </c>
      <c r="M178" s="66">
        <f>IF(VLOOKUP($D178,$C$5:$AU$493,3,)=0,0,(VLOOKUP($D178,$C$5:$AU$493,11,)/VLOOKUP($D178,$C$5:$AU$493,3,))*$E178)</f>
        <v>100.357434454402</v>
      </c>
      <c r="N178" s="66">
        <f>IF(VLOOKUP($D178,$C$5:$AU$493,3,)=0,0,(VLOOKUP($D178,$C$5:$AU$493,12,)/VLOOKUP($D178,$C$5:$AU$493,3,))*$E178)</f>
        <v>484.39129466662683</v>
      </c>
      <c r="O178" s="66">
        <f>IF(VLOOKUP($D178,$C$5:$AU$493,3,)=0,0,(VLOOKUP($D178,$C$5:$AU$493,13,)/VLOOKUP($D178,$C$5:$AU$493,3,))*$E178)</f>
        <v>0</v>
      </c>
      <c r="P178" s="66">
        <f>IF(VLOOKUP($D178,$C$5:$AU$493,3,)=0,0,(VLOOKUP($D178,$C$5:$AU$493,14,)/VLOOKUP($D178,$C$5:$AU$493,3,))*$E178)</f>
        <v>0</v>
      </c>
      <c r="Q178" s="66">
        <f>IF(VLOOKUP($D178,$C$5:$AU$493,3,)=0,0,(VLOOKUP($D178,$C$5:$AU$493,15,)/VLOOKUP($D178,$C$5:$AU$493,3,))*$E178)</f>
        <v>0</v>
      </c>
      <c r="R178" s="66">
        <f>IF(VLOOKUP($D178,$C$5:$AU$493,3,)=0,0,(VLOOKUP($D178,$C$5:$AU$493,16,)/VLOOKUP($D178,$C$5:$AU$493,3,))*$E178)</f>
        <v>0</v>
      </c>
      <c r="S178" s="66">
        <f>IF(VLOOKUP($D178,$C$5:$AU$493,3,)=0,0,(VLOOKUP($D178,$C$5:$AU$493,17,)/VLOOKUP($D178,$C$5:$AU$493,3,))*$E178)</f>
        <v>0</v>
      </c>
      <c r="T178" s="66">
        <f>IF(VLOOKUP($D178,$C$5:$AU$493,3,)=0,0,(VLOOKUP($D178,$C$5:$AU$493,18,)/VLOOKUP($D178,$C$5:$AU$493,3,))*$E178)</f>
        <v>0</v>
      </c>
      <c r="U178" s="66">
        <f>IF(VLOOKUP($D178,$C$5:$AU$493,3,)=0,0,(VLOOKUP($D178,$C$5:$AU$493,19,)/VLOOKUP($D178,$C$5:$AU$493,3,))*$E178)</f>
        <v>0</v>
      </c>
      <c r="V178" s="66">
        <f>IF(VLOOKUP($D178,$C$5:$AU$493,3,)=0,0,(VLOOKUP($D178,$C$5:$AU$493,20,)/VLOOKUP($D178,$C$5:$AU$493,3,))*$E178)</f>
        <v>0</v>
      </c>
      <c r="W178" s="66">
        <f>IF(VLOOKUP($D178,$C$5:$AU$493,3,)=0,0,(VLOOKUP($D178,$C$5:$AU$493,21,)/VLOOKUP($D178,$C$5:$AU$493,3,))*$E178)</f>
        <v>0</v>
      </c>
      <c r="X178" s="66">
        <f>IF(VLOOKUP($D178,$C$5:$AU$493,3,)=0,0,(VLOOKUP($D178,$C$5:$AU$493,22,)/VLOOKUP($D178,$C$5:$AU$493,3,))*$E178)</f>
        <v>0</v>
      </c>
      <c r="Y178" s="66">
        <f>IF(VLOOKUP($D178,$C$5:$AU$493,3,)=0,0,(VLOOKUP($D178,$C$5:$AU$493,23,)/VLOOKUP($D178,$C$5:$AU$493,3,))*$E178)</f>
        <v>0</v>
      </c>
      <c r="Z178" s="66">
        <f>IF(VLOOKUP($D178,$C$5:$AU$493,3,)=0,0,(VLOOKUP($D178,$C$5:$AU$493,24,)/VLOOKUP($D178,$C$5:$AU$493,3,))*$E178)</f>
        <v>0</v>
      </c>
      <c r="AA178" s="66">
        <f>IF(VLOOKUP($D178,$C$5:$AU$493,3,)=0,0,(VLOOKUP($D178,$C$5:$AU$493,25,)/VLOOKUP($D178,$C$5:$AU$493,3,))*$E178)</f>
        <v>0</v>
      </c>
      <c r="AB178" s="66">
        <f>IF(VLOOKUP($D178,$C$5:$AU$493,3,)=0,0,(VLOOKUP($D178,$C$5:$AU$493,26,)/VLOOKUP($D178,$C$5:$AU$493,3,))*$E178)</f>
        <v>0</v>
      </c>
      <c r="AC178" s="66">
        <f>IF(VLOOKUP($D178,$C$5:$AU$493,3,)=0,0,(VLOOKUP($D178,$C$5:$AU$493,27,)/VLOOKUP($D178,$C$5:$AU$493,3,))*$E178)</f>
        <v>0</v>
      </c>
      <c r="AD178" s="66">
        <f>IF(VLOOKUP($D178,$C$5:$AU$493,3,)=0,0,(VLOOKUP($D178,$C$5:$AU$493,28,)/VLOOKUP($D178,$C$5:$AU$493,3,))*$E178)</f>
        <v>0</v>
      </c>
      <c r="AE178" s="66">
        <f>IF(VLOOKUP($D178,$C$5:$AU$493,3,)=0,0,(VLOOKUP($D178,$C$5:$AU$493,29,)/VLOOKUP($D178,$C$5:$AU$493,3,))*$E178)</f>
        <v>0</v>
      </c>
      <c r="AF178" s="66">
        <f>IF(VLOOKUP($D178,$C$5:$AU$493,3,)=0,0,(VLOOKUP($D178,$C$5:$AU$493,30,)/VLOOKUP($D178,$C$5:$AU$493,3,))*$E178)</f>
        <v>0</v>
      </c>
      <c r="AG178" s="89">
        <f>SUM(F178:AF178)</f>
        <v>110818.71049711441</v>
      </c>
      <c r="AH178" s="27" t="str">
        <f>IF(ABS(E178-AG178)&lt;0.01,"ok","err")</f>
        <v>ok</v>
      </c>
    </row>
    <row r="179" spans="1:34" x14ac:dyDescent="0.2">
      <c r="A179" s="14" t="s">
        <v>226</v>
      </c>
      <c r="E179" s="66">
        <f t="shared" ref="E179:T179" si="37">E177+E178</f>
        <v>110818.71049711437</v>
      </c>
      <c r="F179" s="66">
        <f t="shared" si="37"/>
        <v>102017.44916861298</v>
      </c>
      <c r="G179" s="66">
        <f t="shared" si="37"/>
        <v>198.40856992619177</v>
      </c>
      <c r="H179" s="66">
        <f t="shared" si="37"/>
        <v>32.105858015026065</v>
      </c>
      <c r="I179" s="66">
        <f t="shared" si="37"/>
        <v>6145.9790282040603</v>
      </c>
      <c r="J179" s="66">
        <f t="shared" si="37"/>
        <v>98.481362905975189</v>
      </c>
      <c r="K179" s="66">
        <f t="shared" si="37"/>
        <v>807.12756608120912</v>
      </c>
      <c r="L179" s="66">
        <f t="shared" si="37"/>
        <v>934.41021424793257</v>
      </c>
      <c r="M179" s="66">
        <f t="shared" si="37"/>
        <v>100.357434454402</v>
      </c>
      <c r="N179" s="66">
        <f t="shared" si="37"/>
        <v>484.39129466662683</v>
      </c>
      <c r="O179" s="66">
        <f t="shared" si="37"/>
        <v>0</v>
      </c>
      <c r="P179" s="66">
        <f t="shared" si="37"/>
        <v>0</v>
      </c>
      <c r="Q179" s="66">
        <f t="shared" si="37"/>
        <v>0</v>
      </c>
      <c r="R179" s="66">
        <f t="shared" si="37"/>
        <v>0</v>
      </c>
      <c r="S179" s="66">
        <f t="shared" si="37"/>
        <v>0</v>
      </c>
      <c r="T179" s="66">
        <f t="shared" si="37"/>
        <v>0</v>
      </c>
      <c r="U179" s="66">
        <f t="shared" ref="U179:AF179" si="38">U177+U178</f>
        <v>0</v>
      </c>
      <c r="V179" s="66">
        <f t="shared" si="38"/>
        <v>0</v>
      </c>
      <c r="W179" s="66">
        <f t="shared" si="38"/>
        <v>0</v>
      </c>
      <c r="X179" s="66">
        <f t="shared" si="38"/>
        <v>0</v>
      </c>
      <c r="Y179" s="66">
        <f t="shared" si="38"/>
        <v>0</v>
      </c>
      <c r="Z179" s="66">
        <f t="shared" si="38"/>
        <v>0</v>
      </c>
      <c r="AA179" s="66">
        <f t="shared" si="38"/>
        <v>0</v>
      </c>
      <c r="AB179" s="66">
        <f t="shared" si="38"/>
        <v>0</v>
      </c>
      <c r="AC179" s="66">
        <f t="shared" si="38"/>
        <v>0</v>
      </c>
      <c r="AD179" s="66">
        <f t="shared" si="38"/>
        <v>0</v>
      </c>
      <c r="AE179" s="66">
        <f t="shared" si="38"/>
        <v>0</v>
      </c>
      <c r="AF179" s="66">
        <f t="shared" si="38"/>
        <v>0</v>
      </c>
      <c r="AG179" s="89">
        <f>SUM(F179:AF179)</f>
        <v>110818.71049711441</v>
      </c>
      <c r="AH179" s="27" t="str">
        <f>IF(ABS(E179-AG179)&lt;0.01,"ok","err")</f>
        <v>ok</v>
      </c>
    </row>
    <row r="180" spans="1:34" x14ac:dyDescent="0.2">
      <c r="E180" s="49"/>
    </row>
    <row r="181" spans="1:34" x14ac:dyDescent="0.2">
      <c r="A181" s="13" t="s">
        <v>4</v>
      </c>
      <c r="E181" s="49"/>
    </row>
    <row r="182" spans="1:34" x14ac:dyDescent="0.2">
      <c r="A182" s="92" t="s">
        <v>219</v>
      </c>
      <c r="C182" s="14" t="s">
        <v>280</v>
      </c>
      <c r="D182" s="14" t="s">
        <v>228</v>
      </c>
      <c r="E182" s="66">
        <f>'Func &amp; Classif'!U461</f>
        <v>326261.25938877813</v>
      </c>
      <c r="F182" s="66">
        <f>IF(VLOOKUP($D182,$C$5:$AU$493,3,)=0,0,(VLOOKUP($D182,$C$5:$AU$493,4,)/VLOOKUP($D182,$C$5:$AU$493,3,))*$E182)</f>
        <v>306561.83247042092</v>
      </c>
      <c r="G182" s="66">
        <f>IF(VLOOKUP($D182,$C$5:$AU$493,3,)=0,0,(VLOOKUP($D182,$C$5:$AU$493,5,)/VLOOKUP($D182,$C$5:$AU$493,3,))*$E182)</f>
        <v>596.21658128188596</v>
      </c>
      <c r="H182" s="66">
        <f>IF(VLOOKUP($D182,$C$5:$AU$493,3,)=0,0,(VLOOKUP($D182,$C$5:$AU$493,6,)/VLOOKUP($D182,$C$5:$AU$493,3,))*$E182)</f>
        <v>117.41180074629959</v>
      </c>
      <c r="I182" s="66">
        <f>IF(VLOOKUP($D182,$C$5:$AU$493,3,)=0,0,(VLOOKUP($D182,$C$5:$AU$493,7,)/VLOOKUP($D182,$C$5:$AU$493,3,))*$E182)</f>
        <v>13879.87123439294</v>
      </c>
      <c r="J182" s="66">
        <f>IF(VLOOKUP($D182,$C$5:$AU$493,3,)=0,0,(VLOOKUP($D182,$C$5:$AU$493,8,)/VLOOKUP($D182,$C$5:$AU$493,3,))*$E182)</f>
        <v>300.73899840280245</v>
      </c>
      <c r="K182" s="66">
        <f>IF(VLOOKUP($D182,$C$5:$AU$493,3,)=0,0,(VLOOKUP($D182,$C$5:$AU$493,9,)/VLOOKUP($D182,$C$5:$AU$493,3,))*$E182)</f>
        <v>2267.8218853551216</v>
      </c>
      <c r="L182" s="66">
        <f>IF(VLOOKUP($D182,$C$5:$AU$493,3,)=0,0,(VLOOKUP($D182,$C$5:$AU$493,10,)/VLOOKUP($D182,$C$5:$AU$493,3,))*$E182)</f>
        <v>1083.6840150153332</v>
      </c>
      <c r="M182" s="66">
        <f>IF(VLOOKUP($D182,$C$5:$AU$493,3,)=0,0,(VLOOKUP($D182,$C$5:$AU$493,11,)/VLOOKUP($D182,$C$5:$AU$493,3,))*$E182)</f>
        <v>187.73313416145635</v>
      </c>
      <c r="N182" s="66">
        <f>IF(VLOOKUP($D182,$C$5:$AU$493,3,)=0,0,(VLOOKUP($D182,$C$5:$AU$493,12,)/VLOOKUP($D182,$C$5:$AU$493,3,))*$E182)</f>
        <v>1265.9492690014113</v>
      </c>
      <c r="O182" s="66">
        <f>IF(VLOOKUP($D182,$C$5:$AU$493,3,)=0,0,(VLOOKUP($D182,$C$5:$AU$493,13,)/VLOOKUP($D182,$C$5:$AU$493,3,))*$E182)</f>
        <v>0</v>
      </c>
      <c r="P182" s="66">
        <f>IF(VLOOKUP($D182,$C$5:$AU$493,3,)=0,0,(VLOOKUP($D182,$C$5:$AU$493,14,)/VLOOKUP($D182,$C$5:$AU$493,3,))*$E182)</f>
        <v>0</v>
      </c>
      <c r="Q182" s="66">
        <f>IF(VLOOKUP($D182,$C$5:$AU$493,3,)=0,0,(VLOOKUP($D182,$C$5:$AU$493,15,)/VLOOKUP($D182,$C$5:$AU$493,3,))*$E182)</f>
        <v>0</v>
      </c>
      <c r="R182" s="66">
        <f>IF(VLOOKUP($D182,$C$5:$AU$493,3,)=0,0,(VLOOKUP($D182,$C$5:$AU$493,16,)/VLOOKUP($D182,$C$5:$AU$493,3,))*$E182)</f>
        <v>0</v>
      </c>
      <c r="S182" s="66">
        <f>IF(VLOOKUP($D182,$C$5:$AU$493,3,)=0,0,(VLOOKUP($D182,$C$5:$AU$493,17,)/VLOOKUP($D182,$C$5:$AU$493,3,))*$E182)</f>
        <v>0</v>
      </c>
      <c r="T182" s="66">
        <f>IF(VLOOKUP($D182,$C$5:$AU$493,3,)=0,0,(VLOOKUP($D182,$C$5:$AU$493,18,)/VLOOKUP($D182,$C$5:$AU$493,3,))*$E182)</f>
        <v>0</v>
      </c>
      <c r="U182" s="66">
        <f>IF(VLOOKUP($D182,$C$5:$AU$493,3,)=0,0,(VLOOKUP($D182,$C$5:$AU$493,19,)/VLOOKUP($D182,$C$5:$AU$493,3,))*$E182)</f>
        <v>0</v>
      </c>
      <c r="V182" s="66">
        <f>IF(VLOOKUP($D182,$C$5:$AU$493,3,)=0,0,(VLOOKUP($D182,$C$5:$AU$493,20,)/VLOOKUP($D182,$C$5:$AU$493,3,))*$E182)</f>
        <v>0</v>
      </c>
      <c r="W182" s="66">
        <f>IF(VLOOKUP($D182,$C$5:$AU$493,3,)=0,0,(VLOOKUP($D182,$C$5:$AU$493,21,)/VLOOKUP($D182,$C$5:$AU$493,3,))*$E182)</f>
        <v>0</v>
      </c>
      <c r="X182" s="66">
        <f>IF(VLOOKUP($D182,$C$5:$AU$493,3,)=0,0,(VLOOKUP($D182,$C$5:$AU$493,22,)/VLOOKUP($D182,$C$5:$AU$493,3,))*$E182)</f>
        <v>0</v>
      </c>
      <c r="Y182" s="66">
        <f>IF(VLOOKUP($D182,$C$5:$AU$493,3,)=0,0,(VLOOKUP($D182,$C$5:$AU$493,23,)/VLOOKUP($D182,$C$5:$AU$493,3,))*$E182)</f>
        <v>0</v>
      </c>
      <c r="Z182" s="66">
        <f>IF(VLOOKUP($D182,$C$5:$AU$493,3,)=0,0,(VLOOKUP($D182,$C$5:$AU$493,24,)/VLOOKUP($D182,$C$5:$AU$493,3,))*$E182)</f>
        <v>0</v>
      </c>
      <c r="AA182" s="66">
        <f>IF(VLOOKUP($D182,$C$5:$AU$493,3,)=0,0,(VLOOKUP($D182,$C$5:$AU$493,25,)/VLOOKUP($D182,$C$5:$AU$493,3,))*$E182)</f>
        <v>0</v>
      </c>
      <c r="AB182" s="66">
        <f>IF(VLOOKUP($D182,$C$5:$AU$493,3,)=0,0,(VLOOKUP($D182,$C$5:$AU$493,26,)/VLOOKUP($D182,$C$5:$AU$493,3,))*$E182)</f>
        <v>0</v>
      </c>
      <c r="AC182" s="66">
        <f>IF(VLOOKUP($D182,$C$5:$AU$493,3,)=0,0,(VLOOKUP($D182,$C$5:$AU$493,27,)/VLOOKUP($D182,$C$5:$AU$493,3,))*$E182)</f>
        <v>0</v>
      </c>
      <c r="AD182" s="66">
        <f>IF(VLOOKUP($D182,$C$5:$AU$493,3,)=0,0,(VLOOKUP($D182,$C$5:$AU$493,28,)/VLOOKUP($D182,$C$5:$AU$493,3,))*$E182)</f>
        <v>0</v>
      </c>
      <c r="AE182" s="66">
        <f>IF(VLOOKUP($D182,$C$5:$AU$493,3,)=0,0,(VLOOKUP($D182,$C$5:$AU$493,29,)/VLOOKUP($D182,$C$5:$AU$493,3,))*$E182)</f>
        <v>0</v>
      </c>
      <c r="AF182" s="66">
        <f>IF(VLOOKUP($D182,$C$5:$AU$493,3,)=0,0,(VLOOKUP($D182,$C$5:$AU$493,30,)/VLOOKUP($D182,$C$5:$AU$493,3,))*$E182)</f>
        <v>0</v>
      </c>
      <c r="AG182" s="89">
        <f>SUM(F182:AF182)</f>
        <v>326261.25938877813</v>
      </c>
      <c r="AH182" s="27" t="str">
        <f>IF(ABS(E182-AG182)&lt;0.01,"ok","err")</f>
        <v>ok</v>
      </c>
    </row>
    <row r="183" spans="1:34" x14ac:dyDescent="0.2">
      <c r="E183" s="49"/>
    </row>
    <row r="184" spans="1:34" x14ac:dyDescent="0.2">
      <c r="A184" s="13" t="s">
        <v>5</v>
      </c>
      <c r="E184" s="49"/>
    </row>
    <row r="185" spans="1:34" x14ac:dyDescent="0.2">
      <c r="A185" s="92" t="s">
        <v>219</v>
      </c>
      <c r="C185" s="14" t="s">
        <v>281</v>
      </c>
      <c r="D185" s="14" t="s">
        <v>230</v>
      </c>
      <c r="E185" s="66">
        <f>'Func &amp; Classif'!W461</f>
        <v>64078.48629495388</v>
      </c>
      <c r="F185" s="66">
        <f>IF(VLOOKUP($D185,$C$5:$AU$493,3,)=0,0,(VLOOKUP($D185,$C$5:$AU$493,4,)/VLOOKUP($D185,$C$5:$AU$493,3,))*$E185)</f>
        <v>0</v>
      </c>
      <c r="G185" s="66">
        <f>IF(VLOOKUP($D185,$C$5:$AU$493,3,)=0,0,(VLOOKUP($D185,$C$5:$AU$493,5,)/VLOOKUP($D185,$C$5:$AU$493,3,))*$E185)</f>
        <v>0</v>
      </c>
      <c r="H185" s="66">
        <f>IF(VLOOKUP($D185,$C$5:$AU$493,3,)=0,0,(VLOOKUP($D185,$C$5:$AU$493,6,)/VLOOKUP($D185,$C$5:$AU$493,3,))*$E185)</f>
        <v>0</v>
      </c>
      <c r="I185" s="66">
        <f>IF(VLOOKUP($D185,$C$5:$AU$493,3,)=0,0,(VLOOKUP($D185,$C$5:$AU$493,7,)/VLOOKUP($D185,$C$5:$AU$493,3,))*$E185)</f>
        <v>0</v>
      </c>
      <c r="J185" s="66">
        <f>IF(VLOOKUP($D185,$C$5:$AU$493,3,)=0,0,(VLOOKUP($D185,$C$5:$AU$493,8,)/VLOOKUP($D185,$C$5:$AU$493,3,))*$E185)</f>
        <v>0</v>
      </c>
      <c r="K185" s="66">
        <f>IF(VLOOKUP($D185,$C$5:$AU$493,3,)=0,0,(VLOOKUP($D185,$C$5:$AU$493,9,)/VLOOKUP($D185,$C$5:$AU$493,3,))*$E185)</f>
        <v>0</v>
      </c>
      <c r="L185" s="66">
        <f>IF(VLOOKUP($D185,$C$5:$AU$493,3,)=0,0,(VLOOKUP($D185,$C$5:$AU$493,10,)/VLOOKUP($D185,$C$5:$AU$493,3,))*$E185)</f>
        <v>0</v>
      </c>
      <c r="M185" s="66">
        <f>IF(VLOOKUP($D185,$C$5:$AU$493,3,)=0,0,(VLOOKUP($D185,$C$5:$AU$493,11,)/VLOOKUP($D185,$C$5:$AU$493,3,))*$E185)</f>
        <v>0</v>
      </c>
      <c r="N185" s="66">
        <f>IF(VLOOKUP($D185,$C$5:$AU$493,3,)=0,0,(VLOOKUP($D185,$C$5:$AU$493,12,)/VLOOKUP($D185,$C$5:$AU$493,3,))*$E185)</f>
        <v>0</v>
      </c>
      <c r="O185" s="66">
        <f>IF(VLOOKUP($D185,$C$5:$AU$493,3,)=0,0,(VLOOKUP($D185,$C$5:$AU$493,13,)/VLOOKUP($D185,$C$5:$AU$493,3,))*$E185)</f>
        <v>0</v>
      </c>
      <c r="P185" s="66">
        <f>IF(VLOOKUP($D185,$C$5:$AU$493,3,)=0,0,(VLOOKUP($D185,$C$5:$AU$493,14,)/VLOOKUP($D185,$C$5:$AU$493,3,))*$E185)</f>
        <v>64078.48629495388</v>
      </c>
      <c r="Q185" s="66">
        <f>IF(VLOOKUP($D185,$C$5:$AU$493,3,)=0,0,(VLOOKUP($D185,$C$5:$AU$493,15,)/VLOOKUP($D185,$C$5:$AU$493,3,))*$E185)</f>
        <v>0</v>
      </c>
      <c r="R185" s="66">
        <f>IF(VLOOKUP($D185,$C$5:$AU$493,3,)=0,0,(VLOOKUP($D185,$C$5:$AU$493,16,)/VLOOKUP($D185,$C$5:$AU$493,3,))*$E185)</f>
        <v>0</v>
      </c>
      <c r="S185" s="66">
        <f>IF(VLOOKUP($D185,$C$5:$AU$493,3,)=0,0,(VLOOKUP($D185,$C$5:$AU$493,17,)/VLOOKUP($D185,$C$5:$AU$493,3,))*$E185)</f>
        <v>0</v>
      </c>
      <c r="T185" s="66">
        <f>IF(VLOOKUP($D185,$C$5:$AU$493,3,)=0,0,(VLOOKUP($D185,$C$5:$AU$493,18,)/VLOOKUP($D185,$C$5:$AU$493,3,))*$E185)</f>
        <v>0</v>
      </c>
      <c r="U185" s="66">
        <f>IF(VLOOKUP($D185,$C$5:$AU$493,3,)=0,0,(VLOOKUP($D185,$C$5:$AU$493,19,)/VLOOKUP($D185,$C$5:$AU$493,3,))*$E185)</f>
        <v>0</v>
      </c>
      <c r="V185" s="66">
        <f>IF(VLOOKUP($D185,$C$5:$AU$493,3,)=0,0,(VLOOKUP($D185,$C$5:$AU$493,20,)/VLOOKUP($D185,$C$5:$AU$493,3,))*$E185)</f>
        <v>0</v>
      </c>
      <c r="W185" s="66">
        <f>IF(VLOOKUP($D185,$C$5:$AU$493,3,)=0,0,(VLOOKUP($D185,$C$5:$AU$493,21,)/VLOOKUP($D185,$C$5:$AU$493,3,))*$E185)</f>
        <v>0</v>
      </c>
      <c r="X185" s="66">
        <f>IF(VLOOKUP($D185,$C$5:$AU$493,3,)=0,0,(VLOOKUP($D185,$C$5:$AU$493,22,)/VLOOKUP($D185,$C$5:$AU$493,3,))*$E185)</f>
        <v>0</v>
      </c>
      <c r="Y185" s="66">
        <f>IF(VLOOKUP($D185,$C$5:$AU$493,3,)=0,0,(VLOOKUP($D185,$C$5:$AU$493,23,)/VLOOKUP($D185,$C$5:$AU$493,3,))*$E185)</f>
        <v>0</v>
      </c>
      <c r="Z185" s="66">
        <f>IF(VLOOKUP($D185,$C$5:$AU$493,3,)=0,0,(VLOOKUP($D185,$C$5:$AU$493,24,)/VLOOKUP($D185,$C$5:$AU$493,3,))*$E185)</f>
        <v>0</v>
      </c>
      <c r="AA185" s="66">
        <f>IF(VLOOKUP($D185,$C$5:$AU$493,3,)=0,0,(VLOOKUP($D185,$C$5:$AU$493,25,)/VLOOKUP($D185,$C$5:$AU$493,3,))*$E185)</f>
        <v>0</v>
      </c>
      <c r="AB185" s="66">
        <f>IF(VLOOKUP($D185,$C$5:$AU$493,3,)=0,0,(VLOOKUP($D185,$C$5:$AU$493,26,)/VLOOKUP($D185,$C$5:$AU$493,3,))*$E185)</f>
        <v>0</v>
      </c>
      <c r="AC185" s="66">
        <f>IF(VLOOKUP($D185,$C$5:$AU$493,3,)=0,0,(VLOOKUP($D185,$C$5:$AU$493,27,)/VLOOKUP($D185,$C$5:$AU$493,3,))*$E185)</f>
        <v>0</v>
      </c>
      <c r="AD185" s="66">
        <f>IF(VLOOKUP($D185,$C$5:$AU$493,3,)=0,0,(VLOOKUP($D185,$C$5:$AU$493,28,)/VLOOKUP($D185,$C$5:$AU$493,3,))*$E185)</f>
        <v>0</v>
      </c>
      <c r="AE185" s="66">
        <f>IF(VLOOKUP($D185,$C$5:$AU$493,3,)=0,0,(VLOOKUP($D185,$C$5:$AU$493,29,)/VLOOKUP($D185,$C$5:$AU$493,3,))*$E185)</f>
        <v>0</v>
      </c>
      <c r="AF185" s="66">
        <f>IF(VLOOKUP($D185,$C$5:$AU$493,3,)=0,0,(VLOOKUP($D185,$C$5:$AU$493,30,)/VLOOKUP($D185,$C$5:$AU$493,3,))*$E185)</f>
        <v>0</v>
      </c>
      <c r="AG185" s="89">
        <f>SUM(F185:AF185)</f>
        <v>64078.48629495388</v>
      </c>
      <c r="AH185" s="27" t="str">
        <f>IF(ABS(E185-AG185)&lt;0.01,"ok","err")</f>
        <v>ok</v>
      </c>
    </row>
    <row r="186" spans="1:34" x14ac:dyDescent="0.2">
      <c r="E186" s="49"/>
    </row>
    <row r="187" spans="1:34" x14ac:dyDescent="0.2">
      <c r="A187" s="13" t="s">
        <v>544</v>
      </c>
      <c r="E187" s="49"/>
    </row>
    <row r="188" spans="1:34" x14ac:dyDescent="0.2">
      <c r="A188" s="92" t="s">
        <v>219</v>
      </c>
      <c r="C188" s="14" t="s">
        <v>282</v>
      </c>
      <c r="D188" s="14" t="s">
        <v>232</v>
      </c>
      <c r="E188" s="66">
        <f>'Func &amp; Classif'!Y461</f>
        <v>1194972.3072211272</v>
      </c>
      <c r="F188" s="66">
        <f>IF(VLOOKUP($D188,$C$5:$AU$493,3,)=0,0,(VLOOKUP($D188,$C$5:$AU$493,4,)/VLOOKUP($D188,$C$5:$AU$493,3,))*$E188)</f>
        <v>912806.31175303506</v>
      </c>
      <c r="G188" s="66">
        <f>IF(VLOOKUP($D188,$C$5:$AU$493,3,)=0,0,(VLOOKUP($D188,$C$5:$AU$493,5,)/VLOOKUP($D188,$C$5:$AU$493,3,))*$E188)</f>
        <v>1775.2707640747578</v>
      </c>
      <c r="H188" s="66">
        <f>IF(VLOOKUP($D188,$C$5:$AU$493,3,)=0,0,(VLOOKUP($D188,$C$5:$AU$493,6,)/VLOOKUP($D188,$C$5:$AU$493,3,))*$E188)</f>
        <v>287.26879645780321</v>
      </c>
      <c r="I188" s="66">
        <f>IF(VLOOKUP($D188,$C$5:$AU$493,3,)=0,0,(VLOOKUP($D188,$C$5:$AU$493,7,)/VLOOKUP($D188,$C$5:$AU$493,3,))*$E188)</f>
        <v>45920.169103952168</v>
      </c>
      <c r="J188" s="66">
        <f>IF(VLOOKUP($D188,$C$5:$AU$493,3,)=0,0,(VLOOKUP($D188,$C$5:$AU$493,8,)/VLOOKUP($D188,$C$5:$AU$493,3,))*$E188)</f>
        <v>735.81130320770637</v>
      </c>
      <c r="K188" s="66">
        <f>IF(VLOOKUP($D188,$C$5:$AU$493,3,)=0,0,(VLOOKUP($D188,$C$5:$AU$493,9,)/VLOOKUP($D188,$C$5:$AU$493,3,))*$E188)</f>
        <v>938.66339193448869</v>
      </c>
      <c r="L188" s="66">
        <f>IF(VLOOKUP($D188,$C$5:$AU$493,3,)=0,0,(VLOOKUP($D188,$C$5:$AU$493,10,)/VLOOKUP($D188,$C$5:$AU$493,3,))*$E188)</f>
        <v>448.54250674990328</v>
      </c>
      <c r="M188" s="66">
        <f>IF(VLOOKUP($D188,$C$5:$AU$493,3,)=0,0,(VLOOKUP($D188,$C$5:$AU$493,11,)/VLOOKUP($D188,$C$5:$AU$493,3,))*$E188)</f>
        <v>45.35823101965314</v>
      </c>
      <c r="N188" s="66">
        <f>IF(VLOOKUP($D188,$C$5:$AU$493,3,)=0,0,(VLOOKUP($D188,$C$5:$AU$493,12,)/VLOOKUP($D188,$C$5:$AU$493,3,))*$E188)</f>
        <v>45.35823101965314</v>
      </c>
      <c r="O188" s="66">
        <f>IF(VLOOKUP($D188,$C$5:$AU$493,3,)=0,0,(VLOOKUP($D188,$C$5:$AU$493,13,)/VLOOKUP($D188,$C$5:$AU$493,3,))*$E188)</f>
        <v>15.119410339884379</v>
      </c>
      <c r="P188" s="66">
        <f>IF(VLOOKUP($D188,$C$5:$AU$493,3,)=0,0,(VLOOKUP($D188,$C$5:$AU$493,14,)/VLOOKUP($D188,$C$5:$AU$493,3,))*$E188)</f>
        <v>231954.43372933622</v>
      </c>
      <c r="Q188" s="66">
        <f>IF(VLOOKUP($D188,$C$5:$AU$493,3,)=0,0,(VLOOKUP($D188,$C$5:$AU$493,15,)/VLOOKUP($D188,$C$5:$AU$493,3,))*$E188)</f>
        <v>0</v>
      </c>
      <c r="R188" s="66">
        <f>IF(VLOOKUP($D188,$C$5:$AU$493,3,)=0,0,(VLOOKUP($D188,$C$5:$AU$493,16,)/VLOOKUP($D188,$C$5:$AU$493,3,))*$E188)</f>
        <v>0</v>
      </c>
      <c r="S188" s="66">
        <f>IF(VLOOKUP($D188,$C$5:$AU$493,3,)=0,0,(VLOOKUP($D188,$C$5:$AU$493,17,)/VLOOKUP($D188,$C$5:$AU$493,3,))*$E188)</f>
        <v>0</v>
      </c>
      <c r="T188" s="66">
        <f>IF(VLOOKUP($D188,$C$5:$AU$493,3,)=0,0,(VLOOKUP($D188,$C$5:$AU$493,18,)/VLOOKUP($D188,$C$5:$AU$493,3,))*$E188)</f>
        <v>0</v>
      </c>
      <c r="U188" s="66">
        <f>IF(VLOOKUP($D188,$C$5:$AU$493,3,)=0,0,(VLOOKUP($D188,$C$5:$AU$493,19,)/VLOOKUP($D188,$C$5:$AU$493,3,))*$E188)</f>
        <v>0</v>
      </c>
      <c r="V188" s="66">
        <f>IF(VLOOKUP($D188,$C$5:$AU$493,3,)=0,0,(VLOOKUP($D188,$C$5:$AU$493,20,)/VLOOKUP($D188,$C$5:$AU$493,3,))*$E188)</f>
        <v>0</v>
      </c>
      <c r="W188" s="66">
        <f>IF(VLOOKUP($D188,$C$5:$AU$493,3,)=0,0,(VLOOKUP($D188,$C$5:$AU$493,21,)/VLOOKUP($D188,$C$5:$AU$493,3,))*$E188)</f>
        <v>0</v>
      </c>
      <c r="X188" s="66">
        <f>IF(VLOOKUP($D188,$C$5:$AU$493,3,)=0,0,(VLOOKUP($D188,$C$5:$AU$493,22,)/VLOOKUP($D188,$C$5:$AU$493,3,))*$E188)</f>
        <v>0</v>
      </c>
      <c r="Y188" s="66">
        <f>IF(VLOOKUP($D188,$C$5:$AU$493,3,)=0,0,(VLOOKUP($D188,$C$5:$AU$493,23,)/VLOOKUP($D188,$C$5:$AU$493,3,))*$E188)</f>
        <v>0</v>
      </c>
      <c r="Z188" s="66">
        <f>IF(VLOOKUP($D188,$C$5:$AU$493,3,)=0,0,(VLOOKUP($D188,$C$5:$AU$493,24,)/VLOOKUP($D188,$C$5:$AU$493,3,))*$E188)</f>
        <v>0</v>
      </c>
      <c r="AA188" s="66">
        <f>IF(VLOOKUP($D188,$C$5:$AU$493,3,)=0,0,(VLOOKUP($D188,$C$5:$AU$493,25,)/VLOOKUP($D188,$C$5:$AU$493,3,))*$E188)</f>
        <v>0</v>
      </c>
      <c r="AB188" s="66">
        <f>IF(VLOOKUP($D188,$C$5:$AU$493,3,)=0,0,(VLOOKUP($D188,$C$5:$AU$493,26,)/VLOOKUP($D188,$C$5:$AU$493,3,))*$E188)</f>
        <v>0</v>
      </c>
      <c r="AC188" s="66">
        <f>IF(VLOOKUP($D188,$C$5:$AU$493,3,)=0,0,(VLOOKUP($D188,$C$5:$AU$493,27,)/VLOOKUP($D188,$C$5:$AU$493,3,))*$E188)</f>
        <v>0</v>
      </c>
      <c r="AD188" s="66">
        <f>IF(VLOOKUP($D188,$C$5:$AU$493,3,)=0,0,(VLOOKUP($D188,$C$5:$AU$493,28,)/VLOOKUP($D188,$C$5:$AU$493,3,))*$E188)</f>
        <v>0</v>
      </c>
      <c r="AE188" s="66">
        <f>IF(VLOOKUP($D188,$C$5:$AU$493,3,)=0,0,(VLOOKUP($D188,$C$5:$AU$493,29,)/VLOOKUP($D188,$C$5:$AU$493,3,))*$E188)</f>
        <v>0</v>
      </c>
      <c r="AF188" s="66">
        <f>IF(VLOOKUP($D188,$C$5:$AU$493,3,)=0,0,(VLOOKUP($D188,$C$5:$AU$493,30,)/VLOOKUP($D188,$C$5:$AU$493,3,))*$E188)</f>
        <v>0</v>
      </c>
      <c r="AG188" s="89">
        <f>SUM(F188:AF188)</f>
        <v>1194972.3072211272</v>
      </c>
      <c r="AH188" s="27" t="str">
        <f>IF(ABS(E188-AG188)&lt;0.01,"ok","err")</f>
        <v>ok</v>
      </c>
    </row>
    <row r="189" spans="1:34" x14ac:dyDescent="0.2">
      <c r="E189" s="49"/>
    </row>
    <row r="190" spans="1:34" x14ac:dyDescent="0.2">
      <c r="A190" s="13" t="s">
        <v>469</v>
      </c>
      <c r="E190" s="49"/>
    </row>
    <row r="191" spans="1:34" x14ac:dyDescent="0.2">
      <c r="A191" s="92" t="s">
        <v>219</v>
      </c>
      <c r="C191" s="14" t="s">
        <v>279</v>
      </c>
      <c r="D191" s="14" t="s">
        <v>233</v>
      </c>
      <c r="E191" s="66">
        <f>'Func &amp; Classif'!AA461</f>
        <v>272010.26766998193</v>
      </c>
      <c r="F191" s="66">
        <f>IF(VLOOKUP($D191,$C$5:$AU$493,3,)=0,0,(VLOOKUP($D191,$C$5:$AU$493,4,)/VLOOKUP($D191,$C$5:$AU$493,3,))*$E191)</f>
        <v>256455.03318275831</v>
      </c>
      <c r="G191" s="66">
        <f>IF(VLOOKUP($D191,$C$5:$AU$493,3,)=0,0,(VLOOKUP($D191,$C$5:$AU$493,5,)/VLOOKUP($D191,$C$5:$AU$493,3,))*$E191)</f>
        <v>498.76640514767877</v>
      </c>
      <c r="H191" s="66">
        <f>IF(VLOOKUP($D191,$C$5:$AU$493,3,)=0,0,(VLOOKUP($D191,$C$5:$AU$493,6,)/VLOOKUP($D191,$C$5:$AU$493,3,))*$E191)</f>
        <v>80.708829221909696</v>
      </c>
      <c r="I191" s="66">
        <f>IF(VLOOKUP($D191,$C$5:$AU$493,3,)=0,0,(VLOOKUP($D191,$C$5:$AU$493,7,)/VLOOKUP($D191,$C$5:$AU$493,3,))*$E191)</f>
        <v>12901.377148340878</v>
      </c>
      <c r="J191" s="66">
        <f>IF(VLOOKUP($D191,$C$5:$AU$493,3,)=0,0,(VLOOKUP($D191,$C$5:$AU$493,8,)/VLOOKUP($D191,$C$5:$AU$493,3,))*$E191)</f>
        <v>206.72787835787392</v>
      </c>
      <c r="K191" s="66">
        <f>IF(VLOOKUP($D191,$C$5:$AU$493,3,)=0,0,(VLOOKUP($D191,$C$5:$AU$493,9,)/VLOOKUP($D191,$C$5:$AU$493,3,))*$E191)</f>
        <v>263.71963934352073</v>
      </c>
      <c r="L191" s="66">
        <f>IF(VLOOKUP($D191,$C$5:$AU$493,3,)=0,0,(VLOOKUP($D191,$C$5:$AU$493,10,)/VLOOKUP($D191,$C$5:$AU$493,3,))*$E191)</f>
        <v>126.01904913596425</v>
      </c>
      <c r="M191" s="66">
        <f>IF(VLOOKUP($D191,$C$5:$AU$493,3,)=0,0,(VLOOKUP($D191,$C$5:$AU$493,11,)/VLOOKUP($D191,$C$5:$AU$493,3,))*$E191)</f>
        <v>12.743499350827845</v>
      </c>
      <c r="N191" s="66">
        <f>IF(VLOOKUP($D191,$C$5:$AU$493,3,)=0,0,(VLOOKUP($D191,$C$5:$AU$493,12,)/VLOOKUP($D191,$C$5:$AU$493,3,))*$E191)</f>
        <v>12.743499350827845</v>
      </c>
      <c r="O191" s="66">
        <f>IF(VLOOKUP($D191,$C$5:$AU$493,3,)=0,0,(VLOOKUP($D191,$C$5:$AU$493,13,)/VLOOKUP($D191,$C$5:$AU$493,3,))*$E191)</f>
        <v>4.2478331169426156</v>
      </c>
      <c r="P191" s="66">
        <f>IF(VLOOKUP($D191,$C$5:$AU$493,3,)=0,0,(VLOOKUP($D191,$C$5:$AU$493,14,)/VLOOKUP($D191,$C$5:$AU$493,3,))*$E191)</f>
        <v>1448.1807058572251</v>
      </c>
      <c r="Q191" s="66">
        <f>IF(VLOOKUP($D191,$C$5:$AU$493,3,)=0,0,(VLOOKUP($D191,$C$5:$AU$493,15,)/VLOOKUP($D191,$C$5:$AU$493,3,))*$E191)</f>
        <v>0</v>
      </c>
      <c r="R191" s="66">
        <f>IF(VLOOKUP($D191,$C$5:$AU$493,3,)=0,0,(VLOOKUP($D191,$C$5:$AU$493,16,)/VLOOKUP($D191,$C$5:$AU$493,3,))*$E191)</f>
        <v>0</v>
      </c>
      <c r="S191" s="66">
        <f>IF(VLOOKUP($D191,$C$5:$AU$493,3,)=0,0,(VLOOKUP($D191,$C$5:$AU$493,17,)/VLOOKUP($D191,$C$5:$AU$493,3,))*$E191)</f>
        <v>0</v>
      </c>
      <c r="T191" s="66">
        <f>IF(VLOOKUP($D191,$C$5:$AU$493,3,)=0,0,(VLOOKUP($D191,$C$5:$AU$493,18,)/VLOOKUP($D191,$C$5:$AU$493,3,))*$E191)</f>
        <v>0</v>
      </c>
      <c r="U191" s="66">
        <f>IF(VLOOKUP($D191,$C$5:$AU$493,3,)=0,0,(VLOOKUP($D191,$C$5:$AU$493,19,)/VLOOKUP($D191,$C$5:$AU$493,3,))*$E191)</f>
        <v>0</v>
      </c>
      <c r="V191" s="66">
        <f>IF(VLOOKUP($D191,$C$5:$AU$493,3,)=0,0,(VLOOKUP($D191,$C$5:$AU$493,20,)/VLOOKUP($D191,$C$5:$AU$493,3,))*$E191)</f>
        <v>0</v>
      </c>
      <c r="W191" s="66">
        <f>IF(VLOOKUP($D191,$C$5:$AU$493,3,)=0,0,(VLOOKUP($D191,$C$5:$AU$493,21,)/VLOOKUP($D191,$C$5:$AU$493,3,))*$E191)</f>
        <v>0</v>
      </c>
      <c r="X191" s="66">
        <f>IF(VLOOKUP($D191,$C$5:$AU$493,3,)=0,0,(VLOOKUP($D191,$C$5:$AU$493,22,)/VLOOKUP($D191,$C$5:$AU$493,3,))*$E191)</f>
        <v>0</v>
      </c>
      <c r="Y191" s="66">
        <f>IF(VLOOKUP($D191,$C$5:$AU$493,3,)=0,0,(VLOOKUP($D191,$C$5:$AU$493,23,)/VLOOKUP($D191,$C$5:$AU$493,3,))*$E191)</f>
        <v>0</v>
      </c>
      <c r="Z191" s="66">
        <f>IF(VLOOKUP($D191,$C$5:$AU$493,3,)=0,0,(VLOOKUP($D191,$C$5:$AU$493,24,)/VLOOKUP($D191,$C$5:$AU$493,3,))*$E191)</f>
        <v>0</v>
      </c>
      <c r="AA191" s="66">
        <f>IF(VLOOKUP($D191,$C$5:$AU$493,3,)=0,0,(VLOOKUP($D191,$C$5:$AU$493,25,)/VLOOKUP($D191,$C$5:$AU$493,3,))*$E191)</f>
        <v>0</v>
      </c>
      <c r="AB191" s="66">
        <f>IF(VLOOKUP($D191,$C$5:$AU$493,3,)=0,0,(VLOOKUP($D191,$C$5:$AU$493,26,)/VLOOKUP($D191,$C$5:$AU$493,3,))*$E191)</f>
        <v>0</v>
      </c>
      <c r="AC191" s="66">
        <f>IF(VLOOKUP($D191,$C$5:$AU$493,3,)=0,0,(VLOOKUP($D191,$C$5:$AU$493,27,)/VLOOKUP($D191,$C$5:$AU$493,3,))*$E191)</f>
        <v>0</v>
      </c>
      <c r="AD191" s="66">
        <f>IF(VLOOKUP($D191,$C$5:$AU$493,3,)=0,0,(VLOOKUP($D191,$C$5:$AU$493,28,)/VLOOKUP($D191,$C$5:$AU$493,3,))*$E191)</f>
        <v>0</v>
      </c>
      <c r="AE191" s="66">
        <f>IF(VLOOKUP($D191,$C$5:$AU$493,3,)=0,0,(VLOOKUP($D191,$C$5:$AU$493,29,)/VLOOKUP($D191,$C$5:$AU$493,3,))*$E191)</f>
        <v>0</v>
      </c>
      <c r="AF191" s="66">
        <f>IF(VLOOKUP($D191,$C$5:$AU$493,3,)=0,0,(VLOOKUP($D191,$C$5:$AU$493,30,)/VLOOKUP($D191,$C$5:$AU$493,3,))*$E191)</f>
        <v>0</v>
      </c>
      <c r="AG191" s="89">
        <f>SUM(F191:AF191)</f>
        <v>272010.26766998199</v>
      </c>
      <c r="AH191" s="27" t="str">
        <f>IF(ABS(E191-AG191)&lt;0.01,"ok","err")</f>
        <v>ok</v>
      </c>
    </row>
    <row r="192" spans="1:34" x14ac:dyDescent="0.2">
      <c r="E192" s="49"/>
    </row>
    <row r="193" spans="1:34" x14ac:dyDescent="0.2">
      <c r="A193" s="14" t="s">
        <v>0</v>
      </c>
      <c r="C193" s="14" t="s">
        <v>283</v>
      </c>
      <c r="E193" s="66">
        <f>E163+E166+E169+E174+E179+E182+E185+E188+E191</f>
        <v>5150316.87</v>
      </c>
      <c r="F193" s="66">
        <f t="shared" ref="F193:R193" si="39">F163+F166+F169+F174+F179+F182+F185+F188+F191</f>
        <v>4151856.9851394785</v>
      </c>
      <c r="G193" s="66">
        <f t="shared" si="39"/>
        <v>5067.9325006326626</v>
      </c>
      <c r="H193" s="66">
        <f t="shared" si="39"/>
        <v>12535.100953700541</v>
      </c>
      <c r="I193" s="66">
        <f t="shared" si="39"/>
        <v>214341.32323509292</v>
      </c>
      <c r="J193" s="66">
        <f t="shared" si="39"/>
        <v>13875.973384147284</v>
      </c>
      <c r="K193" s="66">
        <f t="shared" si="39"/>
        <v>34600.265902589847</v>
      </c>
      <c r="L193" s="66">
        <f t="shared" si="39"/>
        <v>84530.973691173538</v>
      </c>
      <c r="M193" s="66">
        <f t="shared" si="39"/>
        <v>38474.908577473005</v>
      </c>
      <c r="N193" s="66">
        <f t="shared" si="39"/>
        <v>74121.628077283152</v>
      </c>
      <c r="O193" s="66">
        <f t="shared" si="39"/>
        <v>33.671629775915527</v>
      </c>
      <c r="P193" s="66">
        <f t="shared" si="39"/>
        <v>520878.10690865305</v>
      </c>
      <c r="Q193" s="66">
        <f t="shared" si="39"/>
        <v>0</v>
      </c>
      <c r="R193" s="66">
        <f t="shared" si="39"/>
        <v>0</v>
      </c>
      <c r="S193" s="66">
        <f t="shared" ref="S193:AF193" si="40">S163+S169+S174+S179+S182+S185+S188+S191</f>
        <v>0</v>
      </c>
      <c r="T193" s="66">
        <f t="shared" si="40"/>
        <v>0</v>
      </c>
      <c r="U193" s="66">
        <f t="shared" si="40"/>
        <v>0</v>
      </c>
      <c r="V193" s="66">
        <f t="shared" si="40"/>
        <v>0</v>
      </c>
      <c r="W193" s="66">
        <f t="shared" si="40"/>
        <v>0</v>
      </c>
      <c r="X193" s="66">
        <f t="shared" si="40"/>
        <v>0</v>
      </c>
      <c r="Y193" s="66">
        <f t="shared" si="40"/>
        <v>0</v>
      </c>
      <c r="Z193" s="66">
        <f t="shared" si="40"/>
        <v>0</v>
      </c>
      <c r="AA193" s="66">
        <f t="shared" si="40"/>
        <v>0</v>
      </c>
      <c r="AB193" s="66">
        <f t="shared" si="40"/>
        <v>0</v>
      </c>
      <c r="AC193" s="66">
        <f t="shared" si="40"/>
        <v>0</v>
      </c>
      <c r="AD193" s="66">
        <f t="shared" si="40"/>
        <v>0</v>
      </c>
      <c r="AE193" s="66">
        <f t="shared" si="40"/>
        <v>0</v>
      </c>
      <c r="AF193" s="66">
        <f t="shared" si="40"/>
        <v>0</v>
      </c>
      <c r="AG193" s="89">
        <f>SUM(F193:AF193)</f>
        <v>5150316.870000001</v>
      </c>
      <c r="AH193" s="27" t="str">
        <f>IF(ABS(E193-AG193)&lt;0.01,"ok","err")</f>
        <v>ok</v>
      </c>
    </row>
    <row r="194" spans="1:34" x14ac:dyDescent="0.2">
      <c r="E194" s="139"/>
      <c r="F194" s="139"/>
      <c r="G194" s="139"/>
      <c r="H194" s="139"/>
      <c r="I194" s="139"/>
      <c r="J194" s="139"/>
      <c r="K194" s="139"/>
      <c r="L194" s="139"/>
      <c r="M194" s="47"/>
    </row>
    <row r="196" spans="1:34" x14ac:dyDescent="0.2">
      <c r="A196" s="25" t="s">
        <v>184</v>
      </c>
    </row>
    <row r="198" spans="1:34" x14ac:dyDescent="0.2">
      <c r="A198" s="13" t="s">
        <v>890</v>
      </c>
    </row>
    <row r="199" spans="1:34" x14ac:dyDescent="0.2">
      <c r="A199" s="92" t="s">
        <v>207</v>
      </c>
      <c r="C199" s="14" t="s">
        <v>284</v>
      </c>
      <c r="D199" s="14" t="s">
        <v>656</v>
      </c>
      <c r="E199" s="66">
        <f>'Func &amp; Classif'!H312</f>
        <v>0</v>
      </c>
      <c r="F199" s="66">
        <f>IF(VLOOKUP($D199,$C$5:$AU$493,3,)=0,0,(VLOOKUP($D199,$C$5:$AU$493,4,)/VLOOKUP($D199,$C$5:$AU$493,3,))*$E199)</f>
        <v>0</v>
      </c>
      <c r="G199" s="66">
        <f>IF(VLOOKUP($D199,$C$5:$AU$493,3,)=0,0,(VLOOKUP($D199,$C$5:$AU$493,5,)/VLOOKUP($D199,$C$5:$AU$493,3,))*$E199)</f>
        <v>0</v>
      </c>
      <c r="H199" s="66">
        <f>IF(VLOOKUP($D199,$C$5:$AU$493,3,)=0,0,(VLOOKUP($D199,$C$5:$AU$493,6,)/VLOOKUP($D199,$C$5:$AU$493,3,))*$E199)</f>
        <v>0</v>
      </c>
      <c r="I199" s="66">
        <f>IF(VLOOKUP($D199,$C$5:$AU$493,3,)=0,0,(VLOOKUP($D199,$C$5:$AU$493,7,)/VLOOKUP($D199,$C$5:$AU$493,3,))*$E199)</f>
        <v>0</v>
      </c>
      <c r="J199" s="66">
        <f>IF(VLOOKUP($D199,$C$5:$AU$493,3,)=0,0,(VLOOKUP($D199,$C$5:$AU$493,8,)/VLOOKUP($D199,$C$5:$AU$493,3,))*$E199)</f>
        <v>0</v>
      </c>
      <c r="K199" s="66">
        <f>IF(VLOOKUP($D199,$C$5:$AU$493,3,)=0,0,(VLOOKUP($D199,$C$5:$AU$493,9,)/VLOOKUP($D199,$C$5:$AU$493,3,))*$E199)</f>
        <v>0</v>
      </c>
      <c r="L199" s="66">
        <f>IF(VLOOKUP($D199,$C$5:$AU$493,3,)=0,0,(VLOOKUP($D199,$C$5:$AU$493,10,)/VLOOKUP($D199,$C$5:$AU$493,3,))*$E199)</f>
        <v>0</v>
      </c>
      <c r="M199" s="66">
        <f>IF(VLOOKUP($D199,$C$5:$AU$493,3,)=0,0,(VLOOKUP($D199,$C$5:$AU$493,11,)/VLOOKUP($D199,$C$5:$AU$493,3,))*$E199)</f>
        <v>0</v>
      </c>
      <c r="N199" s="66">
        <f>IF(VLOOKUP($D199,$C$5:$AU$493,3,)=0,0,(VLOOKUP($D199,$C$5:$AU$493,12,)/VLOOKUP($D199,$C$5:$AU$493,3,))*$E199)</f>
        <v>0</v>
      </c>
      <c r="O199" s="66">
        <f>IF(VLOOKUP($D199,$C$5:$AU$493,3,)=0,0,(VLOOKUP($D199,$C$5:$AU$493,13,)/VLOOKUP($D199,$C$5:$AU$493,3,))*$E199)</f>
        <v>0</v>
      </c>
      <c r="P199" s="66">
        <f>IF(VLOOKUP($D199,$C$5:$AU$493,3,)=0,0,(VLOOKUP($D199,$C$5:$AU$493,14,)/VLOOKUP($D199,$C$5:$AU$493,3,))*$E199)</f>
        <v>0</v>
      </c>
      <c r="Q199" s="66">
        <f>IF(VLOOKUP($D199,$C$5:$AU$493,3,)=0,0,(VLOOKUP($D199,$C$5:$AU$493,15,)/VLOOKUP($D199,$C$5:$AU$493,3,))*$E199)</f>
        <v>0</v>
      </c>
      <c r="R199" s="66">
        <f>IF(VLOOKUP($D199,$C$5:$AU$493,3,)=0,0,(VLOOKUP($D199,$C$5:$AU$493,16,)/VLOOKUP($D199,$C$5:$AU$493,3,))*$E199)</f>
        <v>0</v>
      </c>
      <c r="S199" s="66">
        <f>IF(VLOOKUP($D199,$C$5:$AU$493,3,)=0,0,(VLOOKUP($D199,$C$5:$AU$493,17,)/VLOOKUP($D199,$C$5:$AU$493,3,))*$E199)</f>
        <v>0</v>
      </c>
      <c r="T199" s="66">
        <f>IF(VLOOKUP($D199,$C$5:$AU$493,3,)=0,0,(VLOOKUP($D199,$C$5:$AU$493,18,)/VLOOKUP($D199,$C$5:$AU$493,3,))*$E199)</f>
        <v>0</v>
      </c>
      <c r="U199" s="66">
        <f>IF(VLOOKUP($D199,$C$5:$AU$493,3,)=0,0,(VLOOKUP($D199,$C$5:$AU$493,19,)/VLOOKUP($D199,$C$5:$AU$493,3,))*$E199)</f>
        <v>0</v>
      </c>
      <c r="V199" s="66">
        <f>IF(VLOOKUP($D199,$C$5:$AU$493,3,)=0,0,(VLOOKUP($D199,$C$5:$AU$493,20,)/VLOOKUP($D199,$C$5:$AU$493,3,))*$E199)</f>
        <v>0</v>
      </c>
      <c r="W199" s="66">
        <f>IF(VLOOKUP($D199,$C$5:$AU$493,3,)=0,0,(VLOOKUP($D199,$C$5:$AU$493,21,)/VLOOKUP($D199,$C$5:$AU$493,3,))*$E199)</f>
        <v>0</v>
      </c>
      <c r="X199" s="66">
        <f>IF(VLOOKUP($D199,$C$5:$AU$493,3,)=0,0,(VLOOKUP($D199,$C$5:$AU$493,22,)/VLOOKUP($D199,$C$5:$AU$493,3,))*$E199)</f>
        <v>0</v>
      </c>
      <c r="Y199" s="66">
        <f>IF(VLOOKUP($D199,$C$5:$AU$493,3,)=0,0,(VLOOKUP($D199,$C$5:$AU$493,23,)/VLOOKUP($D199,$C$5:$AU$493,3,))*$E199)</f>
        <v>0</v>
      </c>
      <c r="Z199" s="66">
        <f>IF(VLOOKUP($D199,$C$5:$AU$493,3,)=0,0,(VLOOKUP($D199,$C$5:$AU$493,24,)/VLOOKUP($D199,$C$5:$AU$493,3,))*$E199)</f>
        <v>0</v>
      </c>
      <c r="AA199" s="66">
        <f>IF(VLOOKUP($D199,$C$5:$AU$493,3,)=0,0,(VLOOKUP($D199,$C$5:$AU$493,25,)/VLOOKUP($D199,$C$5:$AU$493,3,))*$E199)</f>
        <v>0</v>
      </c>
      <c r="AB199" s="66">
        <f>IF(VLOOKUP($D199,$C$5:$AU$493,3,)=0,0,(VLOOKUP($D199,$C$5:$AU$493,26,)/VLOOKUP($D199,$C$5:$AU$493,3,))*$E199)</f>
        <v>0</v>
      </c>
      <c r="AC199" s="66">
        <f>IF(VLOOKUP($D199,$C$5:$AU$493,3,)=0,0,(VLOOKUP($D199,$C$5:$AU$493,27,)/VLOOKUP($D199,$C$5:$AU$493,3,))*$E199)</f>
        <v>0</v>
      </c>
      <c r="AD199" s="66">
        <f>IF(VLOOKUP($D199,$C$5:$AU$493,3,)=0,0,(VLOOKUP($D199,$C$5:$AU$493,28,)/VLOOKUP($D199,$C$5:$AU$493,3,))*$E199)</f>
        <v>0</v>
      </c>
      <c r="AE199" s="66">
        <f>IF(VLOOKUP($D199,$C$5:$AU$493,3,)=0,0,(VLOOKUP($D199,$C$5:$AU$493,29,)/VLOOKUP($D199,$C$5:$AU$493,3,))*$E199)</f>
        <v>0</v>
      </c>
      <c r="AF199" s="66">
        <f>IF(VLOOKUP($D199,$C$5:$AU$493,3,)=0,0,(VLOOKUP($D199,$C$5:$AU$493,30,)/VLOOKUP($D199,$C$5:$AU$493,3,))*$E199)</f>
        <v>0</v>
      </c>
      <c r="AG199" s="89">
        <f>SUM(F199:AF199)</f>
        <v>0</v>
      </c>
      <c r="AH199" s="27" t="str">
        <f>IF(ABS(E199-AG199)&lt;0.01,"ok","err")</f>
        <v>ok</v>
      </c>
    </row>
    <row r="200" spans="1:34" x14ac:dyDescent="0.2">
      <c r="A200" s="92" t="s">
        <v>210</v>
      </c>
      <c r="C200" s="14" t="s">
        <v>285</v>
      </c>
      <c r="D200" s="14" t="s">
        <v>665</v>
      </c>
      <c r="E200" s="49">
        <f>'Func &amp; Classif'!I312</f>
        <v>0</v>
      </c>
      <c r="F200" s="66">
        <f>IF(VLOOKUP($D200,$C$5:$AU$493,3,)=0,0,(VLOOKUP($D200,$C$5:$AU$493,4,)/VLOOKUP($D200,$C$5:$AU$493,3,))*$E200)</f>
        <v>0</v>
      </c>
      <c r="G200" s="66">
        <f>IF(VLOOKUP($D200,$C$5:$AU$493,3,)=0,0,(VLOOKUP($D200,$C$5:$AU$493,5,)/VLOOKUP($D200,$C$5:$AU$493,3,))*$E200)</f>
        <v>0</v>
      </c>
      <c r="H200" s="66">
        <f>IF(VLOOKUP($D200,$C$5:$AU$493,3,)=0,0,(VLOOKUP($D200,$C$5:$AU$493,6,)/VLOOKUP($D200,$C$5:$AU$493,3,))*$E200)</f>
        <v>0</v>
      </c>
      <c r="I200" s="66">
        <f>IF(VLOOKUP($D200,$C$5:$AU$493,3,)=0,0,(VLOOKUP($D200,$C$5:$AU$493,7,)/VLOOKUP($D200,$C$5:$AU$493,3,))*$E200)</f>
        <v>0</v>
      </c>
      <c r="J200" s="66">
        <f>IF(VLOOKUP($D200,$C$5:$AU$493,3,)=0,0,(VLOOKUP($D200,$C$5:$AU$493,8,)/VLOOKUP($D200,$C$5:$AU$493,3,))*$E200)</f>
        <v>0</v>
      </c>
      <c r="K200" s="66">
        <f>IF(VLOOKUP($D200,$C$5:$AU$493,3,)=0,0,(VLOOKUP($D200,$C$5:$AU$493,9,)/VLOOKUP($D200,$C$5:$AU$493,3,))*$E200)</f>
        <v>0</v>
      </c>
      <c r="L200" s="66">
        <f>IF(VLOOKUP($D200,$C$5:$AU$493,3,)=0,0,(VLOOKUP($D200,$C$5:$AU$493,10,)/VLOOKUP($D200,$C$5:$AU$493,3,))*$E200)</f>
        <v>0</v>
      </c>
      <c r="M200" s="66">
        <f>IF(VLOOKUP($D200,$C$5:$AU$493,3,)=0,0,(VLOOKUP($D200,$C$5:$AU$493,11,)/VLOOKUP($D200,$C$5:$AU$493,3,))*$E200)</f>
        <v>0</v>
      </c>
      <c r="N200" s="66">
        <f>IF(VLOOKUP($D200,$C$5:$AU$493,3,)=0,0,(VLOOKUP($D200,$C$5:$AU$493,12,)/VLOOKUP($D200,$C$5:$AU$493,3,))*$E200)</f>
        <v>0</v>
      </c>
      <c r="O200" s="66">
        <f>IF(VLOOKUP($D200,$C$5:$AU$493,3,)=0,0,(VLOOKUP($D200,$C$5:$AU$493,13,)/VLOOKUP($D200,$C$5:$AU$493,3,))*$E200)</f>
        <v>0</v>
      </c>
      <c r="P200" s="66">
        <f>IF(VLOOKUP($D200,$C$5:$AU$493,3,)=0,0,(VLOOKUP($D200,$C$5:$AU$493,14,)/VLOOKUP($D200,$C$5:$AU$493,3,))*$E200)</f>
        <v>0</v>
      </c>
      <c r="Q200" s="66">
        <f>IF(VLOOKUP($D200,$C$5:$AU$493,3,)=0,0,(VLOOKUP($D200,$C$5:$AU$493,15,)/VLOOKUP($D200,$C$5:$AU$493,3,))*$E200)</f>
        <v>0</v>
      </c>
      <c r="R200" s="66">
        <f>IF(VLOOKUP($D200,$C$5:$AU$493,3,)=0,0,(VLOOKUP($D200,$C$5:$AU$493,16,)/VLOOKUP($D200,$C$5:$AU$493,3,))*$E200)</f>
        <v>0</v>
      </c>
      <c r="S200" s="66">
        <f>IF(VLOOKUP($D200,$C$5:$AU$493,3,)=0,0,(VLOOKUP($D200,$C$5:$AU$493,17,)/VLOOKUP($D200,$C$5:$AU$493,3,))*$E200)</f>
        <v>0</v>
      </c>
      <c r="T200" s="66">
        <f>IF(VLOOKUP($D200,$C$5:$AU$493,3,)=0,0,(VLOOKUP($D200,$C$5:$AU$493,18,)/VLOOKUP($D200,$C$5:$AU$493,3,))*$E200)</f>
        <v>0</v>
      </c>
      <c r="U200" s="66">
        <f>IF(VLOOKUP($D200,$C$5:$AU$493,3,)=0,0,(VLOOKUP($D200,$C$5:$AU$493,19,)/VLOOKUP($D200,$C$5:$AU$493,3,))*$E200)</f>
        <v>0</v>
      </c>
      <c r="V200" s="66">
        <f>IF(VLOOKUP($D200,$C$5:$AU$493,3,)=0,0,(VLOOKUP($D200,$C$5:$AU$493,20,)/VLOOKUP($D200,$C$5:$AU$493,3,))*$E200)</f>
        <v>0</v>
      </c>
      <c r="W200" s="66">
        <f>IF(VLOOKUP($D200,$C$5:$AU$493,3,)=0,0,(VLOOKUP($D200,$C$5:$AU$493,21,)/VLOOKUP($D200,$C$5:$AU$493,3,))*$E200)</f>
        <v>0</v>
      </c>
      <c r="X200" s="66">
        <f>IF(VLOOKUP($D200,$C$5:$AU$493,3,)=0,0,(VLOOKUP($D200,$C$5:$AU$493,22,)/VLOOKUP($D200,$C$5:$AU$493,3,))*$E200)</f>
        <v>0</v>
      </c>
      <c r="Y200" s="66">
        <f>IF(VLOOKUP($D200,$C$5:$AU$493,3,)=0,0,(VLOOKUP($D200,$C$5:$AU$493,23,)/VLOOKUP($D200,$C$5:$AU$493,3,))*$E200)</f>
        <v>0</v>
      </c>
      <c r="Z200" s="66">
        <f>IF(VLOOKUP($D200,$C$5:$AU$493,3,)=0,0,(VLOOKUP($D200,$C$5:$AU$493,24,)/VLOOKUP($D200,$C$5:$AU$493,3,))*$E200)</f>
        <v>0</v>
      </c>
      <c r="AA200" s="66">
        <f>IF(VLOOKUP($D200,$C$5:$AU$493,3,)=0,0,(VLOOKUP($D200,$C$5:$AU$493,25,)/VLOOKUP($D200,$C$5:$AU$493,3,))*$E200)</f>
        <v>0</v>
      </c>
      <c r="AB200" s="66">
        <f>IF(VLOOKUP($D200,$C$5:$AU$493,3,)=0,0,(VLOOKUP($D200,$C$5:$AU$493,26,)/VLOOKUP($D200,$C$5:$AU$493,3,))*$E200)</f>
        <v>0</v>
      </c>
      <c r="AC200" s="66">
        <f>IF(VLOOKUP($D200,$C$5:$AU$493,3,)=0,0,(VLOOKUP($D200,$C$5:$AU$493,27,)/VLOOKUP($D200,$C$5:$AU$493,3,))*$E200)</f>
        <v>0</v>
      </c>
      <c r="AD200" s="66">
        <f>IF(VLOOKUP($D200,$C$5:$AU$493,3,)=0,0,(VLOOKUP($D200,$C$5:$AU$493,28,)/VLOOKUP($D200,$C$5:$AU$493,3,))*$E200)</f>
        <v>0</v>
      </c>
      <c r="AE200" s="66">
        <f>IF(VLOOKUP($D200,$C$5:$AU$493,3,)=0,0,(VLOOKUP($D200,$C$5:$AU$493,29,)/VLOOKUP($D200,$C$5:$AU$493,3,))*$E200)</f>
        <v>0</v>
      </c>
      <c r="AF200" s="66">
        <f>IF(VLOOKUP($D200,$C$5:$AU$493,3,)=0,0,(VLOOKUP($D200,$C$5:$AU$493,30,)/VLOOKUP($D200,$C$5:$AU$493,3,))*$E200)</f>
        <v>0</v>
      </c>
      <c r="AG200" s="89">
        <f>SUM(F200:AF200)</f>
        <v>0</v>
      </c>
      <c r="AH200" s="27" t="str">
        <f>IF(ABS(E200-AG200)&lt;0.01,"ok","err")</f>
        <v>ok</v>
      </c>
    </row>
    <row r="201" spans="1:34" x14ac:dyDescent="0.2">
      <c r="A201" s="14" t="s">
        <v>213</v>
      </c>
      <c r="C201" s="14" t="s">
        <v>286</v>
      </c>
      <c r="E201" s="49">
        <f t="shared" ref="E201:T201" si="41">E199+E200</f>
        <v>0</v>
      </c>
      <c r="F201" s="66">
        <f t="shared" si="41"/>
        <v>0</v>
      </c>
      <c r="G201" s="66">
        <f t="shared" si="41"/>
        <v>0</v>
      </c>
      <c r="H201" s="66">
        <f t="shared" si="41"/>
        <v>0</v>
      </c>
      <c r="I201" s="66">
        <f t="shared" si="41"/>
        <v>0</v>
      </c>
      <c r="J201" s="66">
        <f t="shared" si="41"/>
        <v>0</v>
      </c>
      <c r="K201" s="66">
        <f t="shared" si="41"/>
        <v>0</v>
      </c>
      <c r="L201" s="66">
        <f t="shared" si="41"/>
        <v>0</v>
      </c>
      <c r="M201" s="66">
        <f t="shared" si="41"/>
        <v>0</v>
      </c>
      <c r="N201" s="66">
        <f t="shared" si="41"/>
        <v>0</v>
      </c>
      <c r="O201" s="66">
        <f t="shared" si="41"/>
        <v>0</v>
      </c>
      <c r="P201" s="66">
        <f t="shared" si="41"/>
        <v>0</v>
      </c>
      <c r="Q201" s="66">
        <f t="shared" si="41"/>
        <v>0</v>
      </c>
      <c r="R201" s="66">
        <f t="shared" si="41"/>
        <v>0</v>
      </c>
      <c r="S201" s="66">
        <f t="shared" si="41"/>
        <v>0</v>
      </c>
      <c r="T201" s="66">
        <f t="shared" si="41"/>
        <v>0</v>
      </c>
      <c r="U201" s="66">
        <f t="shared" ref="U201:AF201" si="42">U199+U200</f>
        <v>0</v>
      </c>
      <c r="V201" s="66">
        <f t="shared" si="42"/>
        <v>0</v>
      </c>
      <c r="W201" s="66">
        <f t="shared" si="42"/>
        <v>0</v>
      </c>
      <c r="X201" s="66">
        <f t="shared" si="42"/>
        <v>0</v>
      </c>
      <c r="Y201" s="66">
        <f t="shared" si="42"/>
        <v>0</v>
      </c>
      <c r="Z201" s="66">
        <f t="shared" si="42"/>
        <v>0</v>
      </c>
      <c r="AA201" s="66">
        <f t="shared" si="42"/>
        <v>0</v>
      </c>
      <c r="AB201" s="66">
        <f t="shared" si="42"/>
        <v>0</v>
      </c>
      <c r="AC201" s="66">
        <f t="shared" si="42"/>
        <v>0</v>
      </c>
      <c r="AD201" s="66">
        <f t="shared" si="42"/>
        <v>0</v>
      </c>
      <c r="AE201" s="66">
        <f t="shared" si="42"/>
        <v>0</v>
      </c>
      <c r="AF201" s="66">
        <f t="shared" si="42"/>
        <v>0</v>
      </c>
      <c r="AG201" s="89">
        <f>SUM(F201:AF201)</f>
        <v>0</v>
      </c>
      <c r="AH201" s="27" t="str">
        <f>IF(ABS(E201-AG201)&lt;0.01,"ok","err")</f>
        <v>ok</v>
      </c>
    </row>
    <row r="202" spans="1:34" x14ac:dyDescent="0.2">
      <c r="E202" s="49"/>
      <c r="F202" s="49"/>
    </row>
    <row r="203" spans="1:34" x14ac:dyDescent="0.2">
      <c r="A203" s="13" t="s">
        <v>348</v>
      </c>
      <c r="E203" s="49"/>
      <c r="F203" s="49"/>
    </row>
    <row r="204" spans="1:34" x14ac:dyDescent="0.2">
      <c r="A204" s="92" t="s">
        <v>207</v>
      </c>
      <c r="C204" s="14" t="s">
        <v>884</v>
      </c>
      <c r="D204" s="14" t="s">
        <v>599</v>
      </c>
      <c r="E204" s="66">
        <f>'Func &amp; Classif'!K312</f>
        <v>0</v>
      </c>
      <c r="F204" s="66">
        <f>IF(VLOOKUP($D204,$C$5:$AU$493,3,)=0,0,(VLOOKUP($D204,$C$5:$AU$493,4,)/VLOOKUP($D204,$C$5:$AU$493,3,))*$E204)</f>
        <v>0</v>
      </c>
      <c r="G204" s="66">
        <f>IF(VLOOKUP($D204,$C$5:$AU$493,3,)=0,0,(VLOOKUP($D204,$C$5:$AU$493,5,)/VLOOKUP($D204,$C$5:$AU$493,3,))*$E204)</f>
        <v>0</v>
      </c>
      <c r="H204" s="66">
        <f>IF(VLOOKUP($D204,$C$5:$AU$493,3,)=0,0,(VLOOKUP($D204,$C$5:$AU$493,6,)/VLOOKUP($D204,$C$5:$AU$493,3,))*$E204)</f>
        <v>0</v>
      </c>
      <c r="I204" s="66">
        <f>IF(VLOOKUP($D204,$C$5:$AU$493,3,)=0,0,(VLOOKUP($D204,$C$5:$AU$493,7,)/VLOOKUP($D204,$C$5:$AU$493,3,))*$E204)</f>
        <v>0</v>
      </c>
      <c r="J204" s="66">
        <f>IF(VLOOKUP($D204,$C$5:$AU$493,3,)=0,0,(VLOOKUP($D204,$C$5:$AU$493,8,)/VLOOKUP($D204,$C$5:$AU$493,3,))*$E204)</f>
        <v>0</v>
      </c>
      <c r="K204" s="66">
        <f>IF(VLOOKUP($D204,$C$5:$AU$493,3,)=0,0,(VLOOKUP($D204,$C$5:$AU$493,9,)/VLOOKUP($D204,$C$5:$AU$493,3,))*$E204)</f>
        <v>0</v>
      </c>
      <c r="L204" s="66">
        <f>IF(VLOOKUP($D204,$C$5:$AU$493,3,)=0,0,(VLOOKUP($D204,$C$5:$AU$493,10,)/VLOOKUP($D204,$C$5:$AU$493,3,))*$E204)</f>
        <v>0</v>
      </c>
      <c r="M204" s="66">
        <f>IF(VLOOKUP($D204,$C$5:$AU$493,3,)=0,0,(VLOOKUP($D204,$C$5:$AU$493,11,)/VLOOKUP($D204,$C$5:$AU$493,3,))*$E204)</f>
        <v>0</v>
      </c>
      <c r="N204" s="66">
        <f>IF(VLOOKUP($D204,$C$5:$AU$493,3,)=0,0,(VLOOKUP($D204,$C$5:$AU$493,12,)/VLOOKUP($D204,$C$5:$AU$493,3,))*$E204)</f>
        <v>0</v>
      </c>
      <c r="O204" s="66">
        <f>IF(VLOOKUP($D204,$C$5:$AU$493,3,)=0,0,(VLOOKUP($D204,$C$5:$AU$493,13,)/VLOOKUP($D204,$C$5:$AU$493,3,))*$E204)</f>
        <v>0</v>
      </c>
      <c r="P204" s="66">
        <f>IF(VLOOKUP($D204,$C$5:$AU$493,3,)=0,0,(VLOOKUP($D204,$C$5:$AU$493,14,)/VLOOKUP($D204,$C$5:$AU$493,3,))*$E204)</f>
        <v>0</v>
      </c>
      <c r="Q204" s="66">
        <f>IF(VLOOKUP($D204,$C$5:$AU$493,3,)=0,0,(VLOOKUP($D204,$C$5:$AU$493,15,)/VLOOKUP($D204,$C$5:$AU$493,3,))*$E204)</f>
        <v>0</v>
      </c>
      <c r="R204" s="66">
        <f>IF(VLOOKUP($D204,$C$5:$AU$493,3,)=0,0,(VLOOKUP($D204,$C$5:$AU$493,16,)/VLOOKUP($D204,$C$5:$AU$493,3,))*$E204)</f>
        <v>0</v>
      </c>
      <c r="S204" s="66">
        <f>IF(VLOOKUP($D204,$C$5:$AU$493,3,)=0,0,(VLOOKUP($D204,$C$5:$AU$493,17,)/VLOOKUP($D204,$C$5:$AU$493,3,))*$E204)</f>
        <v>0</v>
      </c>
      <c r="T204" s="66">
        <f>IF(VLOOKUP($D204,$C$5:$AU$493,3,)=0,0,(VLOOKUP($D204,$C$5:$AU$493,18,)/VLOOKUP($D204,$C$5:$AU$493,3,))*$E204)</f>
        <v>0</v>
      </c>
      <c r="U204" s="66">
        <f>IF(VLOOKUP($D204,$C$5:$AU$493,3,)=0,0,(VLOOKUP($D204,$C$5:$AU$493,19,)/VLOOKUP($D204,$C$5:$AU$493,3,))*$E204)</f>
        <v>0</v>
      </c>
      <c r="V204" s="66">
        <f>IF(VLOOKUP($D204,$C$5:$AU$493,3,)=0,0,(VLOOKUP($D204,$C$5:$AU$493,20,)/VLOOKUP($D204,$C$5:$AU$493,3,))*$E204)</f>
        <v>0</v>
      </c>
      <c r="W204" s="66">
        <f>IF(VLOOKUP($D204,$C$5:$AU$493,3,)=0,0,(VLOOKUP($D204,$C$5:$AU$493,21,)/VLOOKUP($D204,$C$5:$AU$493,3,))*$E204)</f>
        <v>0</v>
      </c>
      <c r="X204" s="66">
        <f>IF(VLOOKUP($D204,$C$5:$AU$493,3,)=0,0,(VLOOKUP($D204,$C$5:$AU$493,22,)/VLOOKUP($D204,$C$5:$AU$493,3,))*$E204)</f>
        <v>0</v>
      </c>
      <c r="Y204" s="66">
        <f>IF(VLOOKUP($D204,$C$5:$AU$493,3,)=0,0,(VLOOKUP($D204,$C$5:$AU$493,23,)/VLOOKUP($D204,$C$5:$AU$493,3,))*$E204)</f>
        <v>0</v>
      </c>
      <c r="Z204" s="66">
        <f>IF(VLOOKUP($D204,$C$5:$AU$493,3,)=0,0,(VLOOKUP($D204,$C$5:$AU$493,24,)/VLOOKUP($D204,$C$5:$AU$493,3,))*$E204)</f>
        <v>0</v>
      </c>
      <c r="AA204" s="66">
        <f>IF(VLOOKUP($D204,$C$5:$AU$493,3,)=0,0,(VLOOKUP($D204,$C$5:$AU$493,25,)/VLOOKUP($D204,$C$5:$AU$493,3,))*$E204)</f>
        <v>0</v>
      </c>
      <c r="AB204" s="66">
        <f>IF(VLOOKUP($D204,$C$5:$AU$493,3,)=0,0,(VLOOKUP($D204,$C$5:$AU$493,26,)/VLOOKUP($D204,$C$5:$AU$493,3,))*$E204)</f>
        <v>0</v>
      </c>
      <c r="AC204" s="66">
        <f>IF(VLOOKUP($D204,$C$5:$AU$493,3,)=0,0,(VLOOKUP($D204,$C$5:$AU$493,27,)/VLOOKUP($D204,$C$5:$AU$493,3,))*$E204)</f>
        <v>0</v>
      </c>
      <c r="AD204" s="66">
        <f>IF(VLOOKUP($D204,$C$5:$AU$493,3,)=0,0,(VLOOKUP($D204,$C$5:$AU$493,28,)/VLOOKUP($D204,$C$5:$AU$493,3,))*$E204)</f>
        <v>0</v>
      </c>
      <c r="AE204" s="66">
        <f>IF(VLOOKUP($D204,$C$5:$AU$493,3,)=0,0,(VLOOKUP($D204,$C$5:$AU$493,29,)/VLOOKUP($D204,$C$5:$AU$493,3,))*$E204)</f>
        <v>0</v>
      </c>
      <c r="AF204" s="66">
        <f>IF(VLOOKUP($D204,$C$5:$AU$493,3,)=0,0,(VLOOKUP($D204,$C$5:$AU$493,30,)/VLOOKUP($D204,$C$5:$AU$493,3,))*$E204)</f>
        <v>0</v>
      </c>
      <c r="AG204" s="89">
        <f>SUM(F204:AF204)</f>
        <v>0</v>
      </c>
      <c r="AH204" s="27" t="str">
        <f>IF(ABS(E204-AG204)&lt;0.01,"ok","err")</f>
        <v>ok</v>
      </c>
    </row>
    <row r="205" spans="1:34" x14ac:dyDescent="0.2">
      <c r="E205" s="49"/>
    </row>
    <row r="206" spans="1:34" x14ac:dyDescent="0.2">
      <c r="A206" s="13" t="s">
        <v>1</v>
      </c>
      <c r="E206" s="49"/>
      <c r="F206" s="49"/>
    </row>
    <row r="207" spans="1:34" x14ac:dyDescent="0.2">
      <c r="A207" s="92" t="s">
        <v>207</v>
      </c>
      <c r="C207" s="14" t="s">
        <v>287</v>
      </c>
      <c r="D207" s="14" t="s">
        <v>615</v>
      </c>
      <c r="E207" s="66">
        <f>'Func &amp; Classif'!M312</f>
        <v>89715.52364665916</v>
      </c>
      <c r="F207" s="66">
        <f>IF(VLOOKUP($D207,$C$5:$AU$493,3,)=0,0,(VLOOKUP($D207,$C$5:$AU$493,4,)/VLOOKUP($D207,$C$5:$AU$493,3,))*$E207)</f>
        <v>66903.586705642316</v>
      </c>
      <c r="G207" s="66">
        <f>IF(VLOOKUP($D207,$C$5:$AU$493,3,)=0,0,(VLOOKUP($D207,$C$5:$AU$493,5,)/VLOOKUP($D207,$C$5:$AU$493,3,))*$E207)</f>
        <v>12.674883474221287</v>
      </c>
      <c r="H207" s="66">
        <f>IF(VLOOKUP($D207,$C$5:$AU$493,3,)=0,0,(VLOOKUP($D207,$C$5:$AU$493,6,)/VLOOKUP($D207,$C$5:$AU$493,3,))*$E207)</f>
        <v>2.8407418068324128</v>
      </c>
      <c r="I207" s="66">
        <f>IF(VLOOKUP($D207,$C$5:$AU$493,3,)=0,0,(VLOOKUP($D207,$C$5:$AU$493,7,)/VLOOKUP($D207,$C$5:$AU$493,3,))*$E207)</f>
        <v>5498.8485823939072</v>
      </c>
      <c r="J207" s="66">
        <f>IF(VLOOKUP($D207,$C$5:$AU$493,3,)=0,0,(VLOOKUP($D207,$C$5:$AU$493,8,)/VLOOKUP($D207,$C$5:$AU$493,3,))*$E207)</f>
        <v>18.638165200202188</v>
      </c>
      <c r="K207" s="66">
        <f>IF(VLOOKUP($D207,$C$5:$AU$493,3,)=0,0,(VLOOKUP($D207,$C$5:$AU$493,9,)/VLOOKUP($D207,$C$5:$AU$493,3,))*$E207)</f>
        <v>2108.4968360657249</v>
      </c>
      <c r="L207" s="66">
        <f>IF(VLOOKUP($D207,$C$5:$AU$493,3,)=0,0,(VLOOKUP($D207,$C$5:$AU$493,10,)/VLOOKUP($D207,$C$5:$AU$493,3,))*$E207)</f>
        <v>5991.5583143454469</v>
      </c>
      <c r="M207" s="66">
        <f>IF(VLOOKUP($D207,$C$5:$AU$493,3,)=0,0,(VLOOKUP($D207,$C$5:$AU$493,11,)/VLOOKUP($D207,$C$5:$AU$493,3,))*$E207)</f>
        <v>3077.9395825127194</v>
      </c>
      <c r="N207" s="66">
        <f>IF(VLOOKUP($D207,$C$5:$AU$493,3,)=0,0,(VLOOKUP($D207,$C$5:$AU$493,12,)/VLOOKUP($D207,$C$5:$AU$493,3,))*$E207)</f>
        <v>5887.2825807450608</v>
      </c>
      <c r="O207" s="66">
        <f>IF(VLOOKUP($D207,$C$5:$AU$493,3,)=0,0,(VLOOKUP($D207,$C$5:$AU$493,13,)/VLOOKUP($D207,$C$5:$AU$493,3,))*$E207)</f>
        <v>0</v>
      </c>
      <c r="P207" s="66">
        <f>IF(VLOOKUP($D207,$C$5:$AU$493,3,)=0,0,(VLOOKUP($D207,$C$5:$AU$493,14,)/VLOOKUP($D207,$C$5:$AU$493,3,))*$E207)</f>
        <v>213.65725447274193</v>
      </c>
      <c r="Q207" s="66">
        <f>IF(VLOOKUP($D207,$C$5:$AU$493,3,)=0,0,(VLOOKUP($D207,$C$5:$AU$493,15,)/VLOOKUP($D207,$C$5:$AU$493,3,))*$E207)</f>
        <v>0</v>
      </c>
      <c r="R207" s="66">
        <f>IF(VLOOKUP($D207,$C$5:$AU$493,3,)=0,0,(VLOOKUP($D207,$C$5:$AU$493,16,)/VLOOKUP($D207,$C$5:$AU$493,3,))*$E207)</f>
        <v>0</v>
      </c>
      <c r="S207" s="66">
        <f>IF(VLOOKUP($D207,$C$5:$AU$493,3,)=0,0,(VLOOKUP($D207,$C$5:$AU$493,17,)/VLOOKUP($D207,$C$5:$AU$493,3,))*$E207)</f>
        <v>0</v>
      </c>
      <c r="T207" s="66">
        <f>IF(VLOOKUP($D207,$C$5:$AU$493,3,)=0,0,(VLOOKUP($D207,$C$5:$AU$493,18,)/VLOOKUP($D207,$C$5:$AU$493,3,))*$E207)</f>
        <v>0</v>
      </c>
      <c r="U207" s="66">
        <f>IF(VLOOKUP($D207,$C$5:$AU$493,3,)=0,0,(VLOOKUP($D207,$C$5:$AU$493,19,)/VLOOKUP($D207,$C$5:$AU$493,3,))*$E207)</f>
        <v>0</v>
      </c>
      <c r="V207" s="66">
        <f>IF(VLOOKUP($D207,$C$5:$AU$493,3,)=0,0,(VLOOKUP($D207,$C$5:$AU$493,20,)/VLOOKUP($D207,$C$5:$AU$493,3,))*$E207)</f>
        <v>0</v>
      </c>
      <c r="W207" s="66">
        <f>IF(VLOOKUP($D207,$C$5:$AU$493,3,)=0,0,(VLOOKUP($D207,$C$5:$AU$493,21,)/VLOOKUP($D207,$C$5:$AU$493,3,))*$E207)</f>
        <v>0</v>
      </c>
      <c r="X207" s="66">
        <f>IF(VLOOKUP($D207,$C$5:$AU$493,3,)=0,0,(VLOOKUP($D207,$C$5:$AU$493,22,)/VLOOKUP($D207,$C$5:$AU$493,3,))*$E207)</f>
        <v>0</v>
      </c>
      <c r="Y207" s="66">
        <f>IF(VLOOKUP($D207,$C$5:$AU$493,3,)=0,0,(VLOOKUP($D207,$C$5:$AU$493,23,)/VLOOKUP($D207,$C$5:$AU$493,3,))*$E207)</f>
        <v>0</v>
      </c>
      <c r="Z207" s="66">
        <f>IF(VLOOKUP($D207,$C$5:$AU$493,3,)=0,0,(VLOOKUP($D207,$C$5:$AU$493,24,)/VLOOKUP($D207,$C$5:$AU$493,3,))*$E207)</f>
        <v>0</v>
      </c>
      <c r="AA207" s="66">
        <f>IF(VLOOKUP($D207,$C$5:$AU$493,3,)=0,0,(VLOOKUP($D207,$C$5:$AU$493,25,)/VLOOKUP($D207,$C$5:$AU$493,3,))*$E207)</f>
        <v>0</v>
      </c>
      <c r="AB207" s="66">
        <f>IF(VLOOKUP($D207,$C$5:$AU$493,3,)=0,0,(VLOOKUP($D207,$C$5:$AU$493,26,)/VLOOKUP($D207,$C$5:$AU$493,3,))*$E207)</f>
        <v>0</v>
      </c>
      <c r="AC207" s="66">
        <f>IF(VLOOKUP($D207,$C$5:$AU$493,3,)=0,0,(VLOOKUP($D207,$C$5:$AU$493,27,)/VLOOKUP($D207,$C$5:$AU$493,3,))*$E207)</f>
        <v>0</v>
      </c>
      <c r="AD207" s="66">
        <f>IF(VLOOKUP($D207,$C$5:$AU$493,3,)=0,0,(VLOOKUP($D207,$C$5:$AU$493,28,)/VLOOKUP($D207,$C$5:$AU$493,3,))*$E207)</f>
        <v>0</v>
      </c>
      <c r="AE207" s="66">
        <f>IF(VLOOKUP($D207,$C$5:$AU$493,3,)=0,0,(VLOOKUP($D207,$C$5:$AU$493,29,)/VLOOKUP($D207,$C$5:$AU$493,3,))*$E207)</f>
        <v>0</v>
      </c>
      <c r="AF207" s="66">
        <f>IF(VLOOKUP($D207,$C$5:$AU$493,3,)=0,0,(VLOOKUP($D207,$C$5:$AU$493,30,)/VLOOKUP($D207,$C$5:$AU$493,3,))*$E207)</f>
        <v>0</v>
      </c>
      <c r="AG207" s="89">
        <f>SUM(F207:AF207)</f>
        <v>89715.52364665916</v>
      </c>
      <c r="AH207" s="27" t="str">
        <f>IF(ABS(E207-AG207)&lt;0.01,"ok","err")</f>
        <v>ok</v>
      </c>
    </row>
    <row r="208" spans="1:34" x14ac:dyDescent="0.2">
      <c r="E208" s="49"/>
    </row>
    <row r="209" spans="1:34" x14ac:dyDescent="0.2">
      <c r="A209" s="13" t="s">
        <v>2</v>
      </c>
      <c r="E209" s="49"/>
    </row>
    <row r="210" spans="1:34" x14ac:dyDescent="0.2">
      <c r="A210" s="92" t="s">
        <v>207</v>
      </c>
      <c r="C210" s="14" t="s">
        <v>288</v>
      </c>
      <c r="D210" s="14" t="s">
        <v>607</v>
      </c>
      <c r="E210" s="66">
        <f>'Func &amp; Classif'!O312</f>
        <v>5847862.6999312751</v>
      </c>
      <c r="F210" s="66">
        <f>IF(VLOOKUP($D210,$C$5:$AU$493,3,)=0,0,(VLOOKUP($D210,$C$5:$AU$493,4,)/VLOOKUP($D210,$C$5:$AU$493,3,))*$E210)</f>
        <v>4876992.1689309059</v>
      </c>
      <c r="G210" s="66">
        <f>IF(VLOOKUP($D210,$C$5:$AU$493,3,)=0,0,(VLOOKUP($D210,$C$5:$AU$493,5,)/VLOOKUP($D210,$C$5:$AU$493,3,))*$E210)</f>
        <v>911.53101591045584</v>
      </c>
      <c r="H210" s="66">
        <f>IF(VLOOKUP($D210,$C$5:$AU$493,3,)=0,0,(VLOOKUP($D210,$C$5:$AU$493,6,)/VLOOKUP($D210,$C$5:$AU$493,3,))*$E210)</f>
        <v>33588.922797833999</v>
      </c>
      <c r="I210" s="66">
        <f>IF(VLOOKUP($D210,$C$5:$AU$493,3,)=0,0,(VLOOKUP($D210,$C$5:$AU$493,7,)/VLOOKUP($D210,$C$5:$AU$493,3,))*$E210)</f>
        <v>262058.91039029098</v>
      </c>
      <c r="J210" s="66">
        <f>IF(VLOOKUP($D210,$C$5:$AU$493,3,)=0,0,(VLOOKUP($D210,$C$5:$AU$493,8,)/VLOOKUP($D210,$C$5:$AU$493,3,))*$E210)</f>
        <v>33849.342352421452</v>
      </c>
      <c r="K210" s="66">
        <f>IF(VLOOKUP($D210,$C$5:$AU$493,3,)=0,0,(VLOOKUP($D210,$C$5:$AU$493,9,)/VLOOKUP($D210,$C$5:$AU$493,3,))*$E210)</f>
        <v>83724.747606219564</v>
      </c>
      <c r="L210" s="66">
        <f>IF(VLOOKUP($D210,$C$5:$AU$493,3,)=0,0,(VLOOKUP($D210,$C$5:$AU$493,10,)/VLOOKUP($D210,$C$5:$AU$493,3,))*$E210)</f>
        <v>231826.30181699659</v>
      </c>
      <c r="M210" s="66">
        <f>IF(VLOOKUP($D210,$C$5:$AU$493,3,)=0,0,(VLOOKUP($D210,$C$5:$AU$493,11,)/VLOOKUP($D210,$C$5:$AU$493,3,))*$E210)</f>
        <v>108256.85330272067</v>
      </c>
      <c r="N210" s="66">
        <f>IF(VLOOKUP($D210,$C$5:$AU$493,3,)=0,0,(VLOOKUP($D210,$C$5:$AU$493,12,)/VLOOKUP($D210,$C$5:$AU$493,3,))*$E210)</f>
        <v>205414.4062414853</v>
      </c>
      <c r="O210" s="66">
        <f>IF(VLOOKUP($D210,$C$5:$AU$493,3,)=0,0,(VLOOKUP($D210,$C$5:$AU$493,13,)/VLOOKUP($D210,$C$5:$AU$493,3,))*$E210)</f>
        <v>0</v>
      </c>
      <c r="P210" s="66">
        <f>IF(VLOOKUP($D210,$C$5:$AU$493,3,)=0,0,(VLOOKUP($D210,$C$5:$AU$493,14,)/VLOOKUP($D210,$C$5:$AU$493,3,))*$E210)</f>
        <v>11239.515476489834</v>
      </c>
      <c r="Q210" s="66">
        <f>IF(VLOOKUP($D210,$C$5:$AU$493,3,)=0,0,(VLOOKUP($D210,$C$5:$AU$493,15,)/VLOOKUP($D210,$C$5:$AU$493,3,))*$E210)</f>
        <v>0</v>
      </c>
      <c r="R210" s="66">
        <f>IF(VLOOKUP($D210,$C$5:$AU$493,3,)=0,0,(VLOOKUP($D210,$C$5:$AU$493,16,)/VLOOKUP($D210,$C$5:$AU$493,3,))*$E210)</f>
        <v>0</v>
      </c>
      <c r="S210" s="66">
        <f>IF(VLOOKUP($D210,$C$5:$AU$493,3,)=0,0,(VLOOKUP($D210,$C$5:$AU$493,17,)/VLOOKUP($D210,$C$5:$AU$493,3,))*$E210)</f>
        <v>0</v>
      </c>
      <c r="T210" s="66">
        <f>IF(VLOOKUP($D210,$C$5:$AU$493,3,)=0,0,(VLOOKUP($D210,$C$5:$AU$493,18,)/VLOOKUP($D210,$C$5:$AU$493,3,))*$E210)</f>
        <v>0</v>
      </c>
      <c r="U210" s="66">
        <f>IF(VLOOKUP($D210,$C$5:$AU$493,3,)=0,0,(VLOOKUP($D210,$C$5:$AU$493,19,)/VLOOKUP($D210,$C$5:$AU$493,3,))*$E210)</f>
        <v>0</v>
      </c>
      <c r="V210" s="66">
        <f>IF(VLOOKUP($D210,$C$5:$AU$493,3,)=0,0,(VLOOKUP($D210,$C$5:$AU$493,20,)/VLOOKUP($D210,$C$5:$AU$493,3,))*$E210)</f>
        <v>0</v>
      </c>
      <c r="W210" s="66">
        <f>IF(VLOOKUP($D210,$C$5:$AU$493,3,)=0,0,(VLOOKUP($D210,$C$5:$AU$493,21,)/VLOOKUP($D210,$C$5:$AU$493,3,))*$E210)</f>
        <v>0</v>
      </c>
      <c r="X210" s="66">
        <f>IF(VLOOKUP($D210,$C$5:$AU$493,3,)=0,0,(VLOOKUP($D210,$C$5:$AU$493,22,)/VLOOKUP($D210,$C$5:$AU$493,3,))*$E210)</f>
        <v>0</v>
      </c>
      <c r="Y210" s="66">
        <f>IF(VLOOKUP($D210,$C$5:$AU$493,3,)=0,0,(VLOOKUP($D210,$C$5:$AU$493,23,)/VLOOKUP($D210,$C$5:$AU$493,3,))*$E210)</f>
        <v>0</v>
      </c>
      <c r="Z210" s="66">
        <f>IF(VLOOKUP($D210,$C$5:$AU$493,3,)=0,0,(VLOOKUP($D210,$C$5:$AU$493,24,)/VLOOKUP($D210,$C$5:$AU$493,3,))*$E210)</f>
        <v>0</v>
      </c>
      <c r="AA210" s="66">
        <f>IF(VLOOKUP($D210,$C$5:$AU$493,3,)=0,0,(VLOOKUP($D210,$C$5:$AU$493,25,)/VLOOKUP($D210,$C$5:$AU$493,3,))*$E210)</f>
        <v>0</v>
      </c>
      <c r="AB210" s="66">
        <f>IF(VLOOKUP($D210,$C$5:$AU$493,3,)=0,0,(VLOOKUP($D210,$C$5:$AU$493,26,)/VLOOKUP($D210,$C$5:$AU$493,3,))*$E210)</f>
        <v>0</v>
      </c>
      <c r="AC210" s="66">
        <f>IF(VLOOKUP($D210,$C$5:$AU$493,3,)=0,0,(VLOOKUP($D210,$C$5:$AU$493,27,)/VLOOKUP($D210,$C$5:$AU$493,3,))*$E210)</f>
        <v>0</v>
      </c>
      <c r="AD210" s="66">
        <f>IF(VLOOKUP($D210,$C$5:$AU$493,3,)=0,0,(VLOOKUP($D210,$C$5:$AU$493,28,)/VLOOKUP($D210,$C$5:$AU$493,3,))*$E210)</f>
        <v>0</v>
      </c>
      <c r="AE210" s="66">
        <f>IF(VLOOKUP($D210,$C$5:$AU$493,3,)=0,0,(VLOOKUP($D210,$C$5:$AU$493,29,)/VLOOKUP($D210,$C$5:$AU$493,3,))*$E210)</f>
        <v>0</v>
      </c>
      <c r="AF210" s="66">
        <f>IF(VLOOKUP($D210,$C$5:$AU$493,3,)=0,0,(VLOOKUP($D210,$C$5:$AU$493,30,)/VLOOKUP($D210,$C$5:$AU$493,3,))*$E210)</f>
        <v>0</v>
      </c>
      <c r="AG210" s="89">
        <f>SUM(F210:AF210)</f>
        <v>5847862.6999312732</v>
      </c>
      <c r="AH210" s="27" t="str">
        <f>IF(ABS(E210-AG210)&lt;0.01,"ok","err")</f>
        <v>ok</v>
      </c>
    </row>
    <row r="211" spans="1:34" x14ac:dyDescent="0.2">
      <c r="A211" s="92" t="s">
        <v>219</v>
      </c>
      <c r="C211" s="14" t="s">
        <v>289</v>
      </c>
      <c r="D211" s="14" t="s">
        <v>221</v>
      </c>
      <c r="E211" s="49">
        <f>'Func &amp; Classif'!P312</f>
        <v>3929263.6010418897</v>
      </c>
      <c r="F211" s="66">
        <f>IF(VLOOKUP($D211,$C$5:$AU$493,3,)=0,0,(VLOOKUP($D211,$C$5:$AU$493,4,)/VLOOKUP($D211,$C$5:$AU$493,3,))*$E211)</f>
        <v>3001455.8445401639</v>
      </c>
      <c r="G211" s="66">
        <f>IF(VLOOKUP($D211,$C$5:$AU$493,3,)=0,0,(VLOOKUP($D211,$C$5:$AU$493,5,)/VLOOKUP($D211,$C$5:$AU$493,3,))*$E211)</f>
        <v>5837.3794548378319</v>
      </c>
      <c r="H211" s="66">
        <f>IF(VLOOKUP($D211,$C$5:$AU$493,3,)=0,0,(VLOOKUP($D211,$C$5:$AU$493,6,)/VLOOKUP($D211,$C$5:$AU$493,3,))*$E211)</f>
        <v>944.58659737617143</v>
      </c>
      <c r="I211" s="66">
        <f>IF(VLOOKUP($D211,$C$5:$AU$493,3,)=0,0,(VLOOKUP($D211,$C$5:$AU$493,7,)/VLOOKUP($D211,$C$5:$AU$493,3,))*$E211)</f>
        <v>150992.99617531552</v>
      </c>
      <c r="J211" s="66">
        <f>IF(VLOOKUP($D211,$C$5:$AU$493,3,)=0,0,(VLOOKUP($D211,$C$5:$AU$493,8,)/VLOOKUP($D211,$C$5:$AU$493,3,))*$E211)</f>
        <v>2419.4674248582633</v>
      </c>
      <c r="K211" s="66">
        <f>IF(VLOOKUP($D211,$C$5:$AU$493,3,)=0,0,(VLOOKUP($D211,$C$5:$AU$493,9,)/VLOOKUP($D211,$C$5:$AU$493,3,))*$E211)</f>
        <v>3086.4781361633673</v>
      </c>
      <c r="L211" s="66">
        <f>IF(VLOOKUP($D211,$C$5:$AU$493,3,)=0,0,(VLOOKUP($D211,$C$5:$AU$493,10,)/VLOOKUP($D211,$C$5:$AU$493,3,))*$E211)</f>
        <v>1474.8808274820924</v>
      </c>
      <c r="M211" s="66">
        <f>IF(VLOOKUP($D211,$C$5:$AU$493,3,)=0,0,(VLOOKUP($D211,$C$5:$AU$493,11,)/VLOOKUP($D211,$C$5:$AU$493,3,))*$E211)</f>
        <v>149.14525221729022</v>
      </c>
      <c r="N211" s="66">
        <f>IF(VLOOKUP($D211,$C$5:$AU$493,3,)=0,0,(VLOOKUP($D211,$C$5:$AU$493,12,)/VLOOKUP($D211,$C$5:$AU$493,3,))*$E211)</f>
        <v>149.14525221729022</v>
      </c>
      <c r="O211" s="66">
        <f>IF(VLOOKUP($D211,$C$5:$AU$493,3,)=0,0,(VLOOKUP($D211,$C$5:$AU$493,13,)/VLOOKUP($D211,$C$5:$AU$493,3,))*$E211)</f>
        <v>49.715084072430074</v>
      </c>
      <c r="P211" s="66">
        <f>IF(VLOOKUP($D211,$C$5:$AU$493,3,)=0,0,(VLOOKUP($D211,$C$5:$AU$493,14,)/VLOOKUP($D211,$C$5:$AU$493,3,))*$E211)</f>
        <v>762703.96229718602</v>
      </c>
      <c r="Q211" s="66">
        <f>IF(VLOOKUP($D211,$C$5:$AU$493,3,)=0,0,(VLOOKUP($D211,$C$5:$AU$493,15,)/VLOOKUP($D211,$C$5:$AU$493,3,))*$E211)</f>
        <v>0</v>
      </c>
      <c r="R211" s="66">
        <f>IF(VLOOKUP($D211,$C$5:$AU$493,3,)=0,0,(VLOOKUP($D211,$C$5:$AU$493,16,)/VLOOKUP($D211,$C$5:$AU$493,3,))*$E211)</f>
        <v>0</v>
      </c>
      <c r="S211" s="66">
        <f>IF(VLOOKUP($D211,$C$5:$AU$493,3,)=0,0,(VLOOKUP($D211,$C$5:$AU$493,17,)/VLOOKUP($D211,$C$5:$AU$493,3,))*$E211)</f>
        <v>0</v>
      </c>
      <c r="T211" s="66">
        <f>IF(VLOOKUP($D211,$C$5:$AU$493,3,)=0,0,(VLOOKUP($D211,$C$5:$AU$493,18,)/VLOOKUP($D211,$C$5:$AU$493,3,))*$E211)</f>
        <v>0</v>
      </c>
      <c r="U211" s="66">
        <f>IF(VLOOKUP($D211,$C$5:$AU$493,3,)=0,0,(VLOOKUP($D211,$C$5:$AU$493,19,)/VLOOKUP($D211,$C$5:$AU$493,3,))*$E211)</f>
        <v>0</v>
      </c>
      <c r="V211" s="66">
        <f>IF(VLOOKUP($D211,$C$5:$AU$493,3,)=0,0,(VLOOKUP($D211,$C$5:$AU$493,20,)/VLOOKUP($D211,$C$5:$AU$493,3,))*$E211)</f>
        <v>0</v>
      </c>
      <c r="W211" s="66">
        <f>IF(VLOOKUP($D211,$C$5:$AU$493,3,)=0,0,(VLOOKUP($D211,$C$5:$AU$493,21,)/VLOOKUP($D211,$C$5:$AU$493,3,))*$E211)</f>
        <v>0</v>
      </c>
      <c r="X211" s="66">
        <f>IF(VLOOKUP($D211,$C$5:$AU$493,3,)=0,0,(VLOOKUP($D211,$C$5:$AU$493,22,)/VLOOKUP($D211,$C$5:$AU$493,3,))*$E211)</f>
        <v>0</v>
      </c>
      <c r="Y211" s="66">
        <f>IF(VLOOKUP($D211,$C$5:$AU$493,3,)=0,0,(VLOOKUP($D211,$C$5:$AU$493,23,)/VLOOKUP($D211,$C$5:$AU$493,3,))*$E211)</f>
        <v>0</v>
      </c>
      <c r="Z211" s="66">
        <f>IF(VLOOKUP($D211,$C$5:$AU$493,3,)=0,0,(VLOOKUP($D211,$C$5:$AU$493,24,)/VLOOKUP($D211,$C$5:$AU$493,3,))*$E211)</f>
        <v>0</v>
      </c>
      <c r="AA211" s="66">
        <f>IF(VLOOKUP($D211,$C$5:$AU$493,3,)=0,0,(VLOOKUP($D211,$C$5:$AU$493,25,)/VLOOKUP($D211,$C$5:$AU$493,3,))*$E211)</f>
        <v>0</v>
      </c>
      <c r="AB211" s="66">
        <f>IF(VLOOKUP($D211,$C$5:$AU$493,3,)=0,0,(VLOOKUP($D211,$C$5:$AU$493,26,)/VLOOKUP($D211,$C$5:$AU$493,3,))*$E211)</f>
        <v>0</v>
      </c>
      <c r="AC211" s="66">
        <f>IF(VLOOKUP($D211,$C$5:$AU$493,3,)=0,0,(VLOOKUP($D211,$C$5:$AU$493,27,)/VLOOKUP($D211,$C$5:$AU$493,3,))*$E211)</f>
        <v>0</v>
      </c>
      <c r="AD211" s="66">
        <f>IF(VLOOKUP($D211,$C$5:$AU$493,3,)=0,0,(VLOOKUP($D211,$C$5:$AU$493,28,)/VLOOKUP($D211,$C$5:$AU$493,3,))*$E211)</f>
        <v>0</v>
      </c>
      <c r="AE211" s="66">
        <f>IF(VLOOKUP($D211,$C$5:$AU$493,3,)=0,0,(VLOOKUP($D211,$C$5:$AU$493,29,)/VLOOKUP($D211,$C$5:$AU$493,3,))*$E211)</f>
        <v>0</v>
      </c>
      <c r="AF211" s="66">
        <f>IF(VLOOKUP($D211,$C$5:$AU$493,3,)=0,0,(VLOOKUP($D211,$C$5:$AU$493,30,)/VLOOKUP($D211,$C$5:$AU$493,3,))*$E211)</f>
        <v>0</v>
      </c>
      <c r="AG211" s="89">
        <f>SUM(F211:AF211)</f>
        <v>3929263.6010418897</v>
      </c>
      <c r="AH211" s="27" t="str">
        <f>IF(ABS(E211-AG211)&lt;0.01,"ok","err")</f>
        <v>ok</v>
      </c>
    </row>
    <row r="212" spans="1:34" x14ac:dyDescent="0.2">
      <c r="A212" s="14" t="s">
        <v>222</v>
      </c>
      <c r="E212" s="66">
        <f t="shared" ref="E212:T212" si="43">E210+E211</f>
        <v>9777126.3009731658</v>
      </c>
      <c r="F212" s="66">
        <f t="shared" si="43"/>
        <v>7878448.0134710697</v>
      </c>
      <c r="G212" s="66">
        <f t="shared" si="43"/>
        <v>6748.9104707482875</v>
      </c>
      <c r="H212" s="66">
        <f t="shared" si="43"/>
        <v>34533.509395210167</v>
      </c>
      <c r="I212" s="66">
        <f t="shared" si="43"/>
        <v>413051.90656560648</v>
      </c>
      <c r="J212" s="66">
        <f t="shared" si="43"/>
        <v>36268.809777279719</v>
      </c>
      <c r="K212" s="66">
        <f t="shared" si="43"/>
        <v>86811.225742382929</v>
      </c>
      <c r="L212" s="66">
        <f t="shared" si="43"/>
        <v>233301.18264447869</v>
      </c>
      <c r="M212" s="66">
        <f t="shared" si="43"/>
        <v>108405.99855493796</v>
      </c>
      <c r="N212" s="66">
        <f t="shared" si="43"/>
        <v>205563.55149370257</v>
      </c>
      <c r="O212" s="66">
        <f t="shared" si="43"/>
        <v>49.715084072430074</v>
      </c>
      <c r="P212" s="66">
        <f t="shared" si="43"/>
        <v>773943.47777367581</v>
      </c>
      <c r="Q212" s="66">
        <f t="shared" si="43"/>
        <v>0</v>
      </c>
      <c r="R212" s="66">
        <f t="shared" si="43"/>
        <v>0</v>
      </c>
      <c r="S212" s="66">
        <f t="shared" si="43"/>
        <v>0</v>
      </c>
      <c r="T212" s="66">
        <f t="shared" si="43"/>
        <v>0</v>
      </c>
      <c r="U212" s="66">
        <f t="shared" ref="U212:AF212" si="44">U210+U211</f>
        <v>0</v>
      </c>
      <c r="V212" s="66">
        <f t="shared" si="44"/>
        <v>0</v>
      </c>
      <c r="W212" s="66">
        <f t="shared" si="44"/>
        <v>0</v>
      </c>
      <c r="X212" s="66">
        <f t="shared" si="44"/>
        <v>0</v>
      </c>
      <c r="Y212" s="66">
        <f t="shared" si="44"/>
        <v>0</v>
      </c>
      <c r="Z212" s="66">
        <f t="shared" si="44"/>
        <v>0</v>
      </c>
      <c r="AA212" s="66">
        <f t="shared" si="44"/>
        <v>0</v>
      </c>
      <c r="AB212" s="66">
        <f t="shared" si="44"/>
        <v>0</v>
      </c>
      <c r="AC212" s="66">
        <f t="shared" si="44"/>
        <v>0</v>
      </c>
      <c r="AD212" s="66">
        <f t="shared" si="44"/>
        <v>0</v>
      </c>
      <c r="AE212" s="66">
        <f t="shared" si="44"/>
        <v>0</v>
      </c>
      <c r="AF212" s="66">
        <f t="shared" si="44"/>
        <v>0</v>
      </c>
      <c r="AG212" s="89">
        <f>SUM(F212:AF212)</f>
        <v>9777126.3009731639</v>
      </c>
      <c r="AH212" s="27" t="str">
        <f>IF(ABS(E212-AG212)&lt;0.01,"ok","err")</f>
        <v>ok</v>
      </c>
    </row>
    <row r="213" spans="1:34" x14ac:dyDescent="0.2">
      <c r="E213" s="49"/>
    </row>
    <row r="214" spans="1:34" x14ac:dyDescent="0.2">
      <c r="A214" s="13" t="s">
        <v>3</v>
      </c>
      <c r="E214" s="49"/>
    </row>
    <row r="215" spans="1:34" x14ac:dyDescent="0.2">
      <c r="A215" s="92" t="s">
        <v>207</v>
      </c>
      <c r="C215" s="14" t="s">
        <v>290</v>
      </c>
      <c r="D215" s="14" t="s">
        <v>700</v>
      </c>
      <c r="E215" s="66">
        <f>'Func &amp; Classif'!R312</f>
        <v>0</v>
      </c>
      <c r="F215" s="66">
        <f>IF(VLOOKUP($D215,$C$5:$AU$493,3,)=0,0,(VLOOKUP($D215,$C$5:$AU$493,4,)/VLOOKUP($D215,$C$5:$AU$493,3,))*$E215)</f>
        <v>0</v>
      </c>
      <c r="G215" s="66">
        <f>IF(VLOOKUP($D215,$C$5:$AU$493,3,)=0,0,(VLOOKUP($D215,$C$5:$AU$493,5,)/VLOOKUP($D215,$C$5:$AU$493,3,))*$E215)</f>
        <v>0</v>
      </c>
      <c r="H215" s="66">
        <f>IF(VLOOKUP($D215,$C$5:$AU$493,3,)=0,0,(VLOOKUP($D215,$C$5:$AU$493,6,)/VLOOKUP($D215,$C$5:$AU$493,3,))*$E215)</f>
        <v>0</v>
      </c>
      <c r="I215" s="66">
        <f>IF(VLOOKUP($D215,$C$5:$AU$493,3,)=0,0,(VLOOKUP($D215,$C$5:$AU$493,7,)/VLOOKUP($D215,$C$5:$AU$493,3,))*$E215)</f>
        <v>0</v>
      </c>
      <c r="J215" s="66">
        <f>IF(VLOOKUP($D215,$C$5:$AU$493,3,)=0,0,(VLOOKUP($D215,$C$5:$AU$493,8,)/VLOOKUP($D215,$C$5:$AU$493,3,))*$E215)</f>
        <v>0</v>
      </c>
      <c r="K215" s="66">
        <f>IF(VLOOKUP($D215,$C$5:$AU$493,3,)=0,0,(VLOOKUP($D215,$C$5:$AU$493,9,)/VLOOKUP($D215,$C$5:$AU$493,3,))*$E215)</f>
        <v>0</v>
      </c>
      <c r="L215" s="66">
        <f>IF(VLOOKUP($D215,$C$5:$AU$493,3,)=0,0,(VLOOKUP($D215,$C$5:$AU$493,10,)/VLOOKUP($D215,$C$5:$AU$493,3,))*$E215)</f>
        <v>0</v>
      </c>
      <c r="M215" s="66">
        <f>IF(VLOOKUP($D215,$C$5:$AU$493,3,)=0,0,(VLOOKUP($D215,$C$5:$AU$493,11,)/VLOOKUP($D215,$C$5:$AU$493,3,))*$E215)</f>
        <v>0</v>
      </c>
      <c r="N215" s="66">
        <f>IF(VLOOKUP($D215,$C$5:$AU$493,3,)=0,0,(VLOOKUP($D215,$C$5:$AU$493,12,)/VLOOKUP($D215,$C$5:$AU$493,3,))*$E215)</f>
        <v>0</v>
      </c>
      <c r="O215" s="66">
        <f>IF(VLOOKUP($D215,$C$5:$AU$493,3,)=0,0,(VLOOKUP($D215,$C$5:$AU$493,13,)/VLOOKUP($D215,$C$5:$AU$493,3,))*$E215)</f>
        <v>0</v>
      </c>
      <c r="P215" s="66">
        <f>IF(VLOOKUP($D215,$C$5:$AU$493,3,)=0,0,(VLOOKUP($D215,$C$5:$AU$493,14,)/VLOOKUP($D215,$C$5:$AU$493,3,))*$E215)</f>
        <v>0</v>
      </c>
      <c r="Q215" s="66">
        <f>IF(VLOOKUP($D215,$C$5:$AU$493,3,)=0,0,(VLOOKUP($D215,$C$5:$AU$493,15,)/VLOOKUP($D215,$C$5:$AU$493,3,))*$E215)</f>
        <v>0</v>
      </c>
      <c r="R215" s="66">
        <f>IF(VLOOKUP($D215,$C$5:$AU$493,3,)=0,0,(VLOOKUP($D215,$C$5:$AU$493,16,)/VLOOKUP($D215,$C$5:$AU$493,3,))*$E215)</f>
        <v>0</v>
      </c>
      <c r="S215" s="66">
        <f>IF(VLOOKUP($D215,$C$5:$AU$493,3,)=0,0,(VLOOKUP($D215,$C$5:$AU$493,17,)/VLOOKUP($D215,$C$5:$AU$493,3,))*$E215)</f>
        <v>0</v>
      </c>
      <c r="T215" s="66">
        <f>IF(VLOOKUP($D215,$C$5:$AU$493,3,)=0,0,(VLOOKUP($D215,$C$5:$AU$493,18,)/VLOOKUP($D215,$C$5:$AU$493,3,))*$E215)</f>
        <v>0</v>
      </c>
      <c r="U215" s="66">
        <f>IF(VLOOKUP($D215,$C$5:$AU$493,3,)=0,0,(VLOOKUP($D215,$C$5:$AU$493,19,)/VLOOKUP($D215,$C$5:$AU$493,3,))*$E215)</f>
        <v>0</v>
      </c>
      <c r="V215" s="66">
        <f>IF(VLOOKUP($D215,$C$5:$AU$493,3,)=0,0,(VLOOKUP($D215,$C$5:$AU$493,20,)/VLOOKUP($D215,$C$5:$AU$493,3,))*$E215)</f>
        <v>0</v>
      </c>
      <c r="W215" s="66">
        <f>IF(VLOOKUP($D215,$C$5:$AU$493,3,)=0,0,(VLOOKUP($D215,$C$5:$AU$493,21,)/VLOOKUP($D215,$C$5:$AU$493,3,))*$E215)</f>
        <v>0</v>
      </c>
      <c r="X215" s="66">
        <f>IF(VLOOKUP($D215,$C$5:$AU$493,3,)=0,0,(VLOOKUP($D215,$C$5:$AU$493,22,)/VLOOKUP($D215,$C$5:$AU$493,3,))*$E215)</f>
        <v>0</v>
      </c>
      <c r="Y215" s="66">
        <f>IF(VLOOKUP($D215,$C$5:$AU$493,3,)=0,0,(VLOOKUP($D215,$C$5:$AU$493,23,)/VLOOKUP($D215,$C$5:$AU$493,3,))*$E215)</f>
        <v>0</v>
      </c>
      <c r="Z215" s="66">
        <f>IF(VLOOKUP($D215,$C$5:$AU$493,3,)=0,0,(VLOOKUP($D215,$C$5:$AU$493,24,)/VLOOKUP($D215,$C$5:$AU$493,3,))*$E215)</f>
        <v>0</v>
      </c>
      <c r="AA215" s="66">
        <f>IF(VLOOKUP($D215,$C$5:$AU$493,3,)=0,0,(VLOOKUP($D215,$C$5:$AU$493,25,)/VLOOKUP($D215,$C$5:$AU$493,3,))*$E215)</f>
        <v>0</v>
      </c>
      <c r="AB215" s="66">
        <f>IF(VLOOKUP($D215,$C$5:$AU$493,3,)=0,0,(VLOOKUP($D215,$C$5:$AU$493,26,)/VLOOKUP($D215,$C$5:$AU$493,3,))*$E215)</f>
        <v>0</v>
      </c>
      <c r="AC215" s="66">
        <f>IF(VLOOKUP($D215,$C$5:$AU$493,3,)=0,0,(VLOOKUP($D215,$C$5:$AU$493,27,)/VLOOKUP($D215,$C$5:$AU$493,3,))*$E215)</f>
        <v>0</v>
      </c>
      <c r="AD215" s="66">
        <f>IF(VLOOKUP($D215,$C$5:$AU$493,3,)=0,0,(VLOOKUP($D215,$C$5:$AU$493,28,)/VLOOKUP($D215,$C$5:$AU$493,3,))*$E215)</f>
        <v>0</v>
      </c>
      <c r="AE215" s="66">
        <f>IF(VLOOKUP($D215,$C$5:$AU$493,3,)=0,0,(VLOOKUP($D215,$C$5:$AU$493,29,)/VLOOKUP($D215,$C$5:$AU$493,3,))*$E215)</f>
        <v>0</v>
      </c>
      <c r="AF215" s="66">
        <f>IF(VLOOKUP($D215,$C$5:$AU$493,3,)=0,0,(VLOOKUP($D215,$C$5:$AU$493,30,)/VLOOKUP($D215,$C$5:$AU$493,3,))*$E215)</f>
        <v>0</v>
      </c>
      <c r="AG215" s="89">
        <f>SUM(F215:AF215)</f>
        <v>0</v>
      </c>
      <c r="AH215" s="27" t="str">
        <f>IF(ABS(E215-AG215)&lt;0.01,"ok","err")</f>
        <v>ok</v>
      </c>
    </row>
    <row r="216" spans="1:34" x14ac:dyDescent="0.2">
      <c r="A216" s="92" t="s">
        <v>219</v>
      </c>
      <c r="C216" s="14" t="s">
        <v>291</v>
      </c>
      <c r="D216" s="14" t="s">
        <v>700</v>
      </c>
      <c r="E216" s="49">
        <f>'Func &amp; Classif'!S312</f>
        <v>1639004.603470562</v>
      </c>
      <c r="F216" s="66">
        <f>IF(VLOOKUP($D216,$C$5:$AU$493,3,)=0,0,(VLOOKUP($D216,$C$5:$AU$493,4,)/VLOOKUP($D216,$C$5:$AU$493,3,))*$E216)</f>
        <v>1508834.2760136579</v>
      </c>
      <c r="G216" s="66">
        <f>IF(VLOOKUP($D216,$C$5:$AU$493,3,)=0,0,(VLOOKUP($D216,$C$5:$AU$493,5,)/VLOOKUP($D216,$C$5:$AU$493,3,))*$E216)</f>
        <v>2934.4553642456162</v>
      </c>
      <c r="H216" s="66">
        <f>IF(VLOOKUP($D216,$C$5:$AU$493,3,)=0,0,(VLOOKUP($D216,$C$5:$AU$493,6,)/VLOOKUP($D216,$C$5:$AU$493,3,))*$E216)</f>
        <v>474.84444503051844</v>
      </c>
      <c r="I216" s="66">
        <f>IF(VLOOKUP($D216,$C$5:$AU$493,3,)=0,0,(VLOOKUP($D216,$C$5:$AU$493,7,)/VLOOKUP($D216,$C$5:$AU$493,3,))*$E216)</f>
        <v>90898.801067733832</v>
      </c>
      <c r="J216" s="66">
        <f>IF(VLOOKUP($D216,$C$5:$AU$493,3,)=0,0,(VLOOKUP($D216,$C$5:$AU$493,8,)/VLOOKUP($D216,$C$5:$AU$493,3,))*$E216)</f>
        <v>1456.5356918058651</v>
      </c>
      <c r="K216" s="66">
        <f>IF(VLOOKUP($D216,$C$5:$AU$493,3,)=0,0,(VLOOKUP($D216,$C$5:$AU$493,9,)/VLOOKUP($D216,$C$5:$AU$493,3,))*$E216)</f>
        <v>11937.386660256609</v>
      </c>
      <c r="L216" s="66">
        <f>IF(VLOOKUP($D216,$C$5:$AU$493,3,)=0,0,(VLOOKUP($D216,$C$5:$AU$493,10,)/VLOOKUP($D216,$C$5:$AU$493,3,))*$E216)</f>
        <v>13819.892289056681</v>
      </c>
      <c r="M216" s="66">
        <f>IF(VLOOKUP($D216,$C$5:$AU$493,3,)=0,0,(VLOOKUP($D216,$C$5:$AU$493,11,)/VLOOKUP($D216,$C$5:$AU$493,3,))*$E216)</f>
        <v>1484.2827201778634</v>
      </c>
      <c r="N216" s="66">
        <f>IF(VLOOKUP($D216,$C$5:$AU$493,3,)=0,0,(VLOOKUP($D216,$C$5:$AU$493,12,)/VLOOKUP($D216,$C$5:$AU$493,3,))*$E216)</f>
        <v>7164.1292185974307</v>
      </c>
      <c r="O216" s="66">
        <f>IF(VLOOKUP($D216,$C$5:$AU$493,3,)=0,0,(VLOOKUP($D216,$C$5:$AU$493,13,)/VLOOKUP($D216,$C$5:$AU$493,3,))*$E216)</f>
        <v>0</v>
      </c>
      <c r="P216" s="66">
        <f>IF(VLOOKUP($D216,$C$5:$AU$493,3,)=0,0,(VLOOKUP($D216,$C$5:$AU$493,14,)/VLOOKUP($D216,$C$5:$AU$493,3,))*$E216)</f>
        <v>0</v>
      </c>
      <c r="Q216" s="66">
        <f>IF(VLOOKUP($D216,$C$5:$AU$493,3,)=0,0,(VLOOKUP($D216,$C$5:$AU$493,15,)/VLOOKUP($D216,$C$5:$AU$493,3,))*$E216)</f>
        <v>0</v>
      </c>
      <c r="R216" s="66">
        <f>IF(VLOOKUP($D216,$C$5:$AU$493,3,)=0,0,(VLOOKUP($D216,$C$5:$AU$493,16,)/VLOOKUP($D216,$C$5:$AU$493,3,))*$E216)</f>
        <v>0</v>
      </c>
      <c r="S216" s="66">
        <f>IF(VLOOKUP($D216,$C$5:$AU$493,3,)=0,0,(VLOOKUP($D216,$C$5:$AU$493,17,)/VLOOKUP($D216,$C$5:$AU$493,3,))*$E216)</f>
        <v>0</v>
      </c>
      <c r="T216" s="66">
        <f>IF(VLOOKUP($D216,$C$5:$AU$493,3,)=0,0,(VLOOKUP($D216,$C$5:$AU$493,18,)/VLOOKUP($D216,$C$5:$AU$493,3,))*$E216)</f>
        <v>0</v>
      </c>
      <c r="U216" s="66">
        <f>IF(VLOOKUP($D216,$C$5:$AU$493,3,)=0,0,(VLOOKUP($D216,$C$5:$AU$493,19,)/VLOOKUP($D216,$C$5:$AU$493,3,))*$E216)</f>
        <v>0</v>
      </c>
      <c r="V216" s="66">
        <f>IF(VLOOKUP($D216,$C$5:$AU$493,3,)=0,0,(VLOOKUP($D216,$C$5:$AU$493,20,)/VLOOKUP($D216,$C$5:$AU$493,3,))*$E216)</f>
        <v>0</v>
      </c>
      <c r="W216" s="66">
        <f>IF(VLOOKUP($D216,$C$5:$AU$493,3,)=0,0,(VLOOKUP($D216,$C$5:$AU$493,21,)/VLOOKUP($D216,$C$5:$AU$493,3,))*$E216)</f>
        <v>0</v>
      </c>
      <c r="X216" s="66">
        <f>IF(VLOOKUP($D216,$C$5:$AU$493,3,)=0,0,(VLOOKUP($D216,$C$5:$AU$493,22,)/VLOOKUP($D216,$C$5:$AU$493,3,))*$E216)</f>
        <v>0</v>
      </c>
      <c r="Y216" s="66">
        <f>IF(VLOOKUP($D216,$C$5:$AU$493,3,)=0,0,(VLOOKUP($D216,$C$5:$AU$493,23,)/VLOOKUP($D216,$C$5:$AU$493,3,))*$E216)</f>
        <v>0</v>
      </c>
      <c r="Z216" s="66">
        <f>IF(VLOOKUP($D216,$C$5:$AU$493,3,)=0,0,(VLOOKUP($D216,$C$5:$AU$493,24,)/VLOOKUP($D216,$C$5:$AU$493,3,))*$E216)</f>
        <v>0</v>
      </c>
      <c r="AA216" s="66">
        <f>IF(VLOOKUP($D216,$C$5:$AU$493,3,)=0,0,(VLOOKUP($D216,$C$5:$AU$493,25,)/VLOOKUP($D216,$C$5:$AU$493,3,))*$E216)</f>
        <v>0</v>
      </c>
      <c r="AB216" s="66">
        <f>IF(VLOOKUP($D216,$C$5:$AU$493,3,)=0,0,(VLOOKUP($D216,$C$5:$AU$493,26,)/VLOOKUP($D216,$C$5:$AU$493,3,))*$E216)</f>
        <v>0</v>
      </c>
      <c r="AC216" s="66">
        <f>IF(VLOOKUP($D216,$C$5:$AU$493,3,)=0,0,(VLOOKUP($D216,$C$5:$AU$493,27,)/VLOOKUP($D216,$C$5:$AU$493,3,))*$E216)</f>
        <v>0</v>
      </c>
      <c r="AD216" s="66">
        <f>IF(VLOOKUP($D216,$C$5:$AU$493,3,)=0,0,(VLOOKUP($D216,$C$5:$AU$493,28,)/VLOOKUP($D216,$C$5:$AU$493,3,))*$E216)</f>
        <v>0</v>
      </c>
      <c r="AE216" s="66">
        <f>IF(VLOOKUP($D216,$C$5:$AU$493,3,)=0,0,(VLOOKUP($D216,$C$5:$AU$493,29,)/VLOOKUP($D216,$C$5:$AU$493,3,))*$E216)</f>
        <v>0</v>
      </c>
      <c r="AF216" s="66">
        <f>IF(VLOOKUP($D216,$C$5:$AU$493,3,)=0,0,(VLOOKUP($D216,$C$5:$AU$493,30,)/VLOOKUP($D216,$C$5:$AU$493,3,))*$E216)</f>
        <v>0</v>
      </c>
      <c r="AG216" s="89">
        <f>SUM(F216:AF216)</f>
        <v>1639004.6034705625</v>
      </c>
      <c r="AH216" s="27" t="str">
        <f>IF(ABS(E216-AG216)&lt;0.01,"ok","err")</f>
        <v>ok</v>
      </c>
    </row>
    <row r="217" spans="1:34" x14ac:dyDescent="0.2">
      <c r="A217" s="14" t="s">
        <v>226</v>
      </c>
      <c r="E217" s="66">
        <f t="shared" ref="E217:T217" si="45">E215+E216</f>
        <v>1639004.603470562</v>
      </c>
      <c r="F217" s="66">
        <f t="shared" si="45"/>
        <v>1508834.2760136579</v>
      </c>
      <c r="G217" s="66">
        <f t="shared" si="45"/>
        <v>2934.4553642456162</v>
      </c>
      <c r="H217" s="66">
        <f t="shared" si="45"/>
        <v>474.84444503051844</v>
      </c>
      <c r="I217" s="66">
        <f t="shared" si="45"/>
        <v>90898.801067733832</v>
      </c>
      <c r="J217" s="66">
        <f t="shared" si="45"/>
        <v>1456.5356918058651</v>
      </c>
      <c r="K217" s="66">
        <f t="shared" si="45"/>
        <v>11937.386660256609</v>
      </c>
      <c r="L217" s="66">
        <f t="shared" si="45"/>
        <v>13819.892289056681</v>
      </c>
      <c r="M217" s="66">
        <f t="shared" si="45"/>
        <v>1484.2827201778634</v>
      </c>
      <c r="N217" s="66">
        <f t="shared" si="45"/>
        <v>7164.1292185974307</v>
      </c>
      <c r="O217" s="66">
        <f t="shared" si="45"/>
        <v>0</v>
      </c>
      <c r="P217" s="66">
        <f t="shared" si="45"/>
        <v>0</v>
      </c>
      <c r="Q217" s="66">
        <f t="shared" si="45"/>
        <v>0</v>
      </c>
      <c r="R217" s="66">
        <f t="shared" si="45"/>
        <v>0</v>
      </c>
      <c r="S217" s="66">
        <f t="shared" si="45"/>
        <v>0</v>
      </c>
      <c r="T217" s="66">
        <f t="shared" si="45"/>
        <v>0</v>
      </c>
      <c r="U217" s="66">
        <f t="shared" ref="U217:AF217" si="46">U215+U216</f>
        <v>0</v>
      </c>
      <c r="V217" s="66">
        <f t="shared" si="46"/>
        <v>0</v>
      </c>
      <c r="W217" s="66">
        <f t="shared" si="46"/>
        <v>0</v>
      </c>
      <c r="X217" s="66">
        <f t="shared" si="46"/>
        <v>0</v>
      </c>
      <c r="Y217" s="66">
        <f t="shared" si="46"/>
        <v>0</v>
      </c>
      <c r="Z217" s="66">
        <f t="shared" si="46"/>
        <v>0</v>
      </c>
      <c r="AA217" s="66">
        <f t="shared" si="46"/>
        <v>0</v>
      </c>
      <c r="AB217" s="66">
        <f t="shared" si="46"/>
        <v>0</v>
      </c>
      <c r="AC217" s="66">
        <f t="shared" si="46"/>
        <v>0</v>
      </c>
      <c r="AD217" s="66">
        <f t="shared" si="46"/>
        <v>0</v>
      </c>
      <c r="AE217" s="66">
        <f t="shared" si="46"/>
        <v>0</v>
      </c>
      <c r="AF217" s="66">
        <f t="shared" si="46"/>
        <v>0</v>
      </c>
      <c r="AG217" s="89">
        <f>SUM(F217:AF217)</f>
        <v>1639004.6034705625</v>
      </c>
      <c r="AH217" s="27" t="str">
        <f>IF(ABS(E217-AG217)&lt;0.01,"ok","err")</f>
        <v>ok</v>
      </c>
    </row>
    <row r="218" spans="1:34" x14ac:dyDescent="0.2">
      <c r="E218" s="49"/>
    </row>
    <row r="219" spans="1:34" x14ac:dyDescent="0.2">
      <c r="A219" s="13" t="s">
        <v>4</v>
      </c>
      <c r="E219" s="49"/>
    </row>
    <row r="220" spans="1:34" x14ac:dyDescent="0.2">
      <c r="A220" s="92" t="s">
        <v>219</v>
      </c>
      <c r="C220" s="14" t="s">
        <v>292</v>
      </c>
      <c r="D220" s="14" t="s">
        <v>228</v>
      </c>
      <c r="E220" s="66">
        <f>'Func &amp; Classif'!U312</f>
        <v>637043.04471143766</v>
      </c>
      <c r="F220" s="66">
        <f>IF(VLOOKUP($D220,$C$5:$AU$493,3,)=0,0,(VLOOKUP($D220,$C$5:$AU$493,4,)/VLOOKUP($D220,$C$5:$AU$493,3,))*$E220)</f>
        <v>598578.83070499718</v>
      </c>
      <c r="G220" s="66">
        <f>IF(VLOOKUP($D220,$C$5:$AU$493,3,)=0,0,(VLOOKUP($D220,$C$5:$AU$493,5,)/VLOOKUP($D220,$C$5:$AU$493,3,))*$E220)</f>
        <v>1164.145651122687</v>
      </c>
      <c r="H220" s="66">
        <f>IF(VLOOKUP($D220,$C$5:$AU$493,3,)=0,0,(VLOOKUP($D220,$C$5:$AU$493,6,)/VLOOKUP($D220,$C$5:$AU$493,3,))*$E220)</f>
        <v>229.25299550611612</v>
      </c>
      <c r="I220" s="66">
        <f>IF(VLOOKUP($D220,$C$5:$AU$493,3,)=0,0,(VLOOKUP($D220,$C$5:$AU$493,7,)/VLOOKUP($D220,$C$5:$AU$493,3,))*$E220)</f>
        <v>27101.211611593826</v>
      </c>
      <c r="J220" s="66">
        <f>IF(VLOOKUP($D220,$C$5:$AU$493,3,)=0,0,(VLOOKUP($D220,$C$5:$AU$493,8,)/VLOOKUP($D220,$C$5:$AU$493,3,))*$E220)</f>
        <v>587.2094270858413</v>
      </c>
      <c r="K220" s="66">
        <f>IF(VLOOKUP($D220,$C$5:$AU$493,3,)=0,0,(VLOOKUP($D220,$C$5:$AU$493,9,)/VLOOKUP($D220,$C$5:$AU$493,3,))*$E220)</f>
        <v>4428.0469014812816</v>
      </c>
      <c r="L220" s="66">
        <f>IF(VLOOKUP($D220,$C$5:$AU$493,3,)=0,0,(VLOOKUP($D220,$C$5:$AU$493,10,)/VLOOKUP($D220,$C$5:$AU$493,3,))*$E220)</f>
        <v>2115.9526133252834</v>
      </c>
      <c r="M220" s="66">
        <f>IF(VLOOKUP($D220,$C$5:$AU$493,3,)=0,0,(VLOOKUP($D220,$C$5:$AU$493,11,)/VLOOKUP($D220,$C$5:$AU$493,3,))*$E220)</f>
        <v>366.55926481582276</v>
      </c>
      <c r="N220" s="66">
        <f>IF(VLOOKUP($D220,$C$5:$AU$493,3,)=0,0,(VLOOKUP($D220,$C$5:$AU$493,12,)/VLOOKUP($D220,$C$5:$AU$493,3,))*$E220)</f>
        <v>2471.8355415096412</v>
      </c>
      <c r="O220" s="66">
        <f>IF(VLOOKUP($D220,$C$5:$AU$493,3,)=0,0,(VLOOKUP($D220,$C$5:$AU$493,13,)/VLOOKUP($D220,$C$5:$AU$493,3,))*$E220)</f>
        <v>0</v>
      </c>
      <c r="P220" s="66">
        <f>IF(VLOOKUP($D220,$C$5:$AU$493,3,)=0,0,(VLOOKUP($D220,$C$5:$AU$493,14,)/VLOOKUP($D220,$C$5:$AU$493,3,))*$E220)</f>
        <v>0</v>
      </c>
      <c r="Q220" s="66">
        <f>IF(VLOOKUP($D220,$C$5:$AU$493,3,)=0,0,(VLOOKUP($D220,$C$5:$AU$493,15,)/VLOOKUP($D220,$C$5:$AU$493,3,))*$E220)</f>
        <v>0</v>
      </c>
      <c r="R220" s="66">
        <f>IF(VLOOKUP($D220,$C$5:$AU$493,3,)=0,0,(VLOOKUP($D220,$C$5:$AU$493,16,)/VLOOKUP($D220,$C$5:$AU$493,3,))*$E220)</f>
        <v>0</v>
      </c>
      <c r="S220" s="66">
        <f>IF(VLOOKUP($D220,$C$5:$AU$493,3,)=0,0,(VLOOKUP($D220,$C$5:$AU$493,17,)/VLOOKUP($D220,$C$5:$AU$493,3,))*$E220)</f>
        <v>0</v>
      </c>
      <c r="T220" s="66">
        <f>IF(VLOOKUP($D220,$C$5:$AU$493,3,)=0,0,(VLOOKUP($D220,$C$5:$AU$493,18,)/VLOOKUP($D220,$C$5:$AU$493,3,))*$E220)</f>
        <v>0</v>
      </c>
      <c r="U220" s="66">
        <f>IF(VLOOKUP($D220,$C$5:$AU$493,3,)=0,0,(VLOOKUP($D220,$C$5:$AU$493,19,)/VLOOKUP($D220,$C$5:$AU$493,3,))*$E220)</f>
        <v>0</v>
      </c>
      <c r="V220" s="66">
        <f>IF(VLOOKUP($D220,$C$5:$AU$493,3,)=0,0,(VLOOKUP($D220,$C$5:$AU$493,20,)/VLOOKUP($D220,$C$5:$AU$493,3,))*$E220)</f>
        <v>0</v>
      </c>
      <c r="W220" s="66">
        <f>IF(VLOOKUP($D220,$C$5:$AU$493,3,)=0,0,(VLOOKUP($D220,$C$5:$AU$493,21,)/VLOOKUP($D220,$C$5:$AU$493,3,))*$E220)</f>
        <v>0</v>
      </c>
      <c r="X220" s="66">
        <f>IF(VLOOKUP($D220,$C$5:$AU$493,3,)=0,0,(VLOOKUP($D220,$C$5:$AU$493,22,)/VLOOKUP($D220,$C$5:$AU$493,3,))*$E220)</f>
        <v>0</v>
      </c>
      <c r="Y220" s="66">
        <f>IF(VLOOKUP($D220,$C$5:$AU$493,3,)=0,0,(VLOOKUP($D220,$C$5:$AU$493,23,)/VLOOKUP($D220,$C$5:$AU$493,3,))*$E220)</f>
        <v>0</v>
      </c>
      <c r="Z220" s="66">
        <f>IF(VLOOKUP($D220,$C$5:$AU$493,3,)=0,0,(VLOOKUP($D220,$C$5:$AU$493,24,)/VLOOKUP($D220,$C$5:$AU$493,3,))*$E220)</f>
        <v>0</v>
      </c>
      <c r="AA220" s="66">
        <f>IF(VLOOKUP($D220,$C$5:$AU$493,3,)=0,0,(VLOOKUP($D220,$C$5:$AU$493,25,)/VLOOKUP($D220,$C$5:$AU$493,3,))*$E220)</f>
        <v>0</v>
      </c>
      <c r="AB220" s="66">
        <f>IF(VLOOKUP($D220,$C$5:$AU$493,3,)=0,0,(VLOOKUP($D220,$C$5:$AU$493,26,)/VLOOKUP($D220,$C$5:$AU$493,3,))*$E220)</f>
        <v>0</v>
      </c>
      <c r="AC220" s="66">
        <f>IF(VLOOKUP($D220,$C$5:$AU$493,3,)=0,0,(VLOOKUP($D220,$C$5:$AU$493,27,)/VLOOKUP($D220,$C$5:$AU$493,3,))*$E220)</f>
        <v>0</v>
      </c>
      <c r="AD220" s="66">
        <f>IF(VLOOKUP($D220,$C$5:$AU$493,3,)=0,0,(VLOOKUP($D220,$C$5:$AU$493,28,)/VLOOKUP($D220,$C$5:$AU$493,3,))*$E220)</f>
        <v>0</v>
      </c>
      <c r="AE220" s="66">
        <f>IF(VLOOKUP($D220,$C$5:$AU$493,3,)=0,0,(VLOOKUP($D220,$C$5:$AU$493,29,)/VLOOKUP($D220,$C$5:$AU$493,3,))*$E220)</f>
        <v>0</v>
      </c>
      <c r="AF220" s="66">
        <f>IF(VLOOKUP($D220,$C$5:$AU$493,3,)=0,0,(VLOOKUP($D220,$C$5:$AU$493,30,)/VLOOKUP($D220,$C$5:$AU$493,3,))*$E220)</f>
        <v>0</v>
      </c>
      <c r="AG220" s="89">
        <f>SUM(F220:AF220)</f>
        <v>637043.04471143777</v>
      </c>
      <c r="AH220" s="27" t="str">
        <f>IF(ABS(E220-AG220)&lt;0.01,"ok","err")</f>
        <v>ok</v>
      </c>
    </row>
    <row r="221" spans="1:34" x14ac:dyDescent="0.2">
      <c r="E221" s="49"/>
    </row>
    <row r="222" spans="1:34" x14ac:dyDescent="0.2">
      <c r="A222" s="13" t="s">
        <v>5</v>
      </c>
      <c r="E222" s="49"/>
    </row>
    <row r="223" spans="1:34" x14ac:dyDescent="0.2">
      <c r="A223" s="92" t="s">
        <v>219</v>
      </c>
      <c r="C223" s="14" t="s">
        <v>293</v>
      </c>
      <c r="D223" s="14" t="s">
        <v>230</v>
      </c>
      <c r="E223" s="66">
        <f>'Func &amp; Classif'!W312</f>
        <v>644224.31719817629</v>
      </c>
      <c r="F223" s="66">
        <f>IF(VLOOKUP($D223,$C$5:$AU$493,3,)=0,0,(VLOOKUP($D223,$C$5:$AU$493,4,)/VLOOKUP($D223,$C$5:$AU$493,3,))*$E223)</f>
        <v>0</v>
      </c>
      <c r="G223" s="66">
        <f>IF(VLOOKUP($D223,$C$5:$AU$493,3,)=0,0,(VLOOKUP($D223,$C$5:$AU$493,5,)/VLOOKUP($D223,$C$5:$AU$493,3,))*$E223)</f>
        <v>0</v>
      </c>
      <c r="H223" s="66">
        <f>IF(VLOOKUP($D223,$C$5:$AU$493,3,)=0,0,(VLOOKUP($D223,$C$5:$AU$493,6,)/VLOOKUP($D223,$C$5:$AU$493,3,))*$E223)</f>
        <v>0</v>
      </c>
      <c r="I223" s="66">
        <f>IF(VLOOKUP($D223,$C$5:$AU$493,3,)=0,0,(VLOOKUP($D223,$C$5:$AU$493,7,)/VLOOKUP($D223,$C$5:$AU$493,3,))*$E223)</f>
        <v>0</v>
      </c>
      <c r="J223" s="66">
        <f>IF(VLOOKUP($D223,$C$5:$AU$493,3,)=0,0,(VLOOKUP($D223,$C$5:$AU$493,8,)/VLOOKUP($D223,$C$5:$AU$493,3,))*$E223)</f>
        <v>0</v>
      </c>
      <c r="K223" s="66">
        <f>IF(VLOOKUP($D223,$C$5:$AU$493,3,)=0,0,(VLOOKUP($D223,$C$5:$AU$493,9,)/VLOOKUP($D223,$C$5:$AU$493,3,))*$E223)</f>
        <v>0</v>
      </c>
      <c r="L223" s="66">
        <f>IF(VLOOKUP($D223,$C$5:$AU$493,3,)=0,0,(VLOOKUP($D223,$C$5:$AU$493,10,)/VLOOKUP($D223,$C$5:$AU$493,3,))*$E223)</f>
        <v>0</v>
      </c>
      <c r="M223" s="66">
        <f>IF(VLOOKUP($D223,$C$5:$AU$493,3,)=0,0,(VLOOKUP($D223,$C$5:$AU$493,11,)/VLOOKUP($D223,$C$5:$AU$493,3,))*$E223)</f>
        <v>0</v>
      </c>
      <c r="N223" s="66">
        <f>IF(VLOOKUP($D223,$C$5:$AU$493,3,)=0,0,(VLOOKUP($D223,$C$5:$AU$493,12,)/VLOOKUP($D223,$C$5:$AU$493,3,))*$E223)</f>
        <v>0</v>
      </c>
      <c r="O223" s="66">
        <f>IF(VLOOKUP($D223,$C$5:$AU$493,3,)=0,0,(VLOOKUP($D223,$C$5:$AU$493,13,)/VLOOKUP($D223,$C$5:$AU$493,3,))*$E223)</f>
        <v>0</v>
      </c>
      <c r="P223" s="66">
        <f>IF(VLOOKUP($D223,$C$5:$AU$493,3,)=0,0,(VLOOKUP($D223,$C$5:$AU$493,14,)/VLOOKUP($D223,$C$5:$AU$493,3,))*$E223)</f>
        <v>644224.31719817629</v>
      </c>
      <c r="Q223" s="66">
        <f>IF(VLOOKUP($D223,$C$5:$AU$493,3,)=0,0,(VLOOKUP($D223,$C$5:$AU$493,15,)/VLOOKUP($D223,$C$5:$AU$493,3,))*$E223)</f>
        <v>0</v>
      </c>
      <c r="R223" s="66">
        <f>IF(VLOOKUP($D223,$C$5:$AU$493,3,)=0,0,(VLOOKUP($D223,$C$5:$AU$493,16,)/VLOOKUP($D223,$C$5:$AU$493,3,))*$E223)</f>
        <v>0</v>
      </c>
      <c r="S223" s="66">
        <f>IF(VLOOKUP($D223,$C$5:$AU$493,3,)=0,0,(VLOOKUP($D223,$C$5:$AU$493,17,)/VLOOKUP($D223,$C$5:$AU$493,3,))*$E223)</f>
        <v>0</v>
      </c>
      <c r="T223" s="66">
        <f>IF(VLOOKUP($D223,$C$5:$AU$493,3,)=0,0,(VLOOKUP($D223,$C$5:$AU$493,18,)/VLOOKUP($D223,$C$5:$AU$493,3,))*$E223)</f>
        <v>0</v>
      </c>
      <c r="U223" s="66">
        <f>IF(VLOOKUP($D223,$C$5:$AU$493,3,)=0,0,(VLOOKUP($D223,$C$5:$AU$493,19,)/VLOOKUP($D223,$C$5:$AU$493,3,))*$E223)</f>
        <v>0</v>
      </c>
      <c r="V223" s="66">
        <f>IF(VLOOKUP($D223,$C$5:$AU$493,3,)=0,0,(VLOOKUP($D223,$C$5:$AU$493,20,)/VLOOKUP($D223,$C$5:$AU$493,3,))*$E223)</f>
        <v>0</v>
      </c>
      <c r="W223" s="66">
        <f>IF(VLOOKUP($D223,$C$5:$AU$493,3,)=0,0,(VLOOKUP($D223,$C$5:$AU$493,21,)/VLOOKUP($D223,$C$5:$AU$493,3,))*$E223)</f>
        <v>0</v>
      </c>
      <c r="X223" s="66">
        <f>IF(VLOOKUP($D223,$C$5:$AU$493,3,)=0,0,(VLOOKUP($D223,$C$5:$AU$493,22,)/VLOOKUP($D223,$C$5:$AU$493,3,))*$E223)</f>
        <v>0</v>
      </c>
      <c r="Y223" s="66">
        <f>IF(VLOOKUP($D223,$C$5:$AU$493,3,)=0,0,(VLOOKUP($D223,$C$5:$AU$493,23,)/VLOOKUP($D223,$C$5:$AU$493,3,))*$E223)</f>
        <v>0</v>
      </c>
      <c r="Z223" s="66">
        <f>IF(VLOOKUP($D223,$C$5:$AU$493,3,)=0,0,(VLOOKUP($D223,$C$5:$AU$493,24,)/VLOOKUP($D223,$C$5:$AU$493,3,))*$E223)</f>
        <v>0</v>
      </c>
      <c r="AA223" s="66">
        <f>IF(VLOOKUP($D223,$C$5:$AU$493,3,)=0,0,(VLOOKUP($D223,$C$5:$AU$493,25,)/VLOOKUP($D223,$C$5:$AU$493,3,))*$E223)</f>
        <v>0</v>
      </c>
      <c r="AB223" s="66">
        <f>IF(VLOOKUP($D223,$C$5:$AU$493,3,)=0,0,(VLOOKUP($D223,$C$5:$AU$493,26,)/VLOOKUP($D223,$C$5:$AU$493,3,))*$E223)</f>
        <v>0</v>
      </c>
      <c r="AC223" s="66">
        <f>IF(VLOOKUP($D223,$C$5:$AU$493,3,)=0,0,(VLOOKUP($D223,$C$5:$AU$493,27,)/VLOOKUP($D223,$C$5:$AU$493,3,))*$E223)</f>
        <v>0</v>
      </c>
      <c r="AD223" s="66">
        <f>IF(VLOOKUP($D223,$C$5:$AU$493,3,)=0,0,(VLOOKUP($D223,$C$5:$AU$493,28,)/VLOOKUP($D223,$C$5:$AU$493,3,))*$E223)</f>
        <v>0</v>
      </c>
      <c r="AE223" s="66">
        <f>IF(VLOOKUP($D223,$C$5:$AU$493,3,)=0,0,(VLOOKUP($D223,$C$5:$AU$493,29,)/VLOOKUP($D223,$C$5:$AU$493,3,))*$E223)</f>
        <v>0</v>
      </c>
      <c r="AF223" s="66">
        <f>IF(VLOOKUP($D223,$C$5:$AU$493,3,)=0,0,(VLOOKUP($D223,$C$5:$AU$493,30,)/VLOOKUP($D223,$C$5:$AU$493,3,))*$E223)</f>
        <v>0</v>
      </c>
      <c r="AG223" s="89">
        <f>SUM(F223:AF223)</f>
        <v>644224.31719817629</v>
      </c>
      <c r="AH223" s="27" t="str">
        <f>IF(ABS(E223-AG223)&lt;0.01,"ok","err")</f>
        <v>ok</v>
      </c>
    </row>
    <row r="224" spans="1:34" x14ac:dyDescent="0.2">
      <c r="E224" s="49"/>
    </row>
    <row r="225" spans="1:34" x14ac:dyDescent="0.2">
      <c r="A225" s="13" t="s">
        <v>544</v>
      </c>
      <c r="E225" s="49"/>
    </row>
    <row r="226" spans="1:34" x14ac:dyDescent="0.2">
      <c r="A226" s="92" t="s">
        <v>219</v>
      </c>
      <c r="C226" s="14" t="s">
        <v>294</v>
      </c>
      <c r="D226" s="14" t="s">
        <v>232</v>
      </c>
      <c r="E226" s="66">
        <f>'Func &amp; Classif'!Y312</f>
        <v>0</v>
      </c>
      <c r="F226" s="66">
        <f>IF(VLOOKUP($D226,$C$5:$AU$493,3,)=0,0,(VLOOKUP($D226,$C$5:$AU$493,4,)/VLOOKUP($D226,$C$5:$AU$493,3,))*$E226)</f>
        <v>0</v>
      </c>
      <c r="G226" s="66">
        <f>IF(VLOOKUP($D226,$C$5:$AU$493,3,)=0,0,(VLOOKUP($D226,$C$5:$AU$493,5,)/VLOOKUP($D226,$C$5:$AU$493,3,))*$E226)</f>
        <v>0</v>
      </c>
      <c r="H226" s="66">
        <f>IF(VLOOKUP($D226,$C$5:$AU$493,3,)=0,0,(VLOOKUP($D226,$C$5:$AU$493,6,)/VLOOKUP($D226,$C$5:$AU$493,3,))*$E226)</f>
        <v>0</v>
      </c>
      <c r="I226" s="66">
        <f>IF(VLOOKUP($D226,$C$5:$AU$493,3,)=0,0,(VLOOKUP($D226,$C$5:$AU$493,7,)/VLOOKUP($D226,$C$5:$AU$493,3,))*$E226)</f>
        <v>0</v>
      </c>
      <c r="J226" s="66">
        <f>IF(VLOOKUP($D226,$C$5:$AU$493,3,)=0,0,(VLOOKUP($D226,$C$5:$AU$493,8,)/VLOOKUP($D226,$C$5:$AU$493,3,))*$E226)</f>
        <v>0</v>
      </c>
      <c r="K226" s="66">
        <f>IF(VLOOKUP($D226,$C$5:$AU$493,3,)=0,0,(VLOOKUP($D226,$C$5:$AU$493,9,)/VLOOKUP($D226,$C$5:$AU$493,3,))*$E226)</f>
        <v>0</v>
      </c>
      <c r="L226" s="66">
        <f>IF(VLOOKUP($D226,$C$5:$AU$493,3,)=0,0,(VLOOKUP($D226,$C$5:$AU$493,10,)/VLOOKUP($D226,$C$5:$AU$493,3,))*$E226)</f>
        <v>0</v>
      </c>
      <c r="M226" s="66">
        <f>IF(VLOOKUP($D226,$C$5:$AU$493,3,)=0,0,(VLOOKUP($D226,$C$5:$AU$493,11,)/VLOOKUP($D226,$C$5:$AU$493,3,))*$E226)</f>
        <v>0</v>
      </c>
      <c r="N226" s="66">
        <f>IF(VLOOKUP($D226,$C$5:$AU$493,3,)=0,0,(VLOOKUP($D226,$C$5:$AU$493,12,)/VLOOKUP($D226,$C$5:$AU$493,3,))*$E226)</f>
        <v>0</v>
      </c>
      <c r="O226" s="66">
        <f>IF(VLOOKUP($D226,$C$5:$AU$493,3,)=0,0,(VLOOKUP($D226,$C$5:$AU$493,13,)/VLOOKUP($D226,$C$5:$AU$493,3,))*$E226)</f>
        <v>0</v>
      </c>
      <c r="P226" s="66">
        <f>IF(VLOOKUP($D226,$C$5:$AU$493,3,)=0,0,(VLOOKUP($D226,$C$5:$AU$493,14,)/VLOOKUP($D226,$C$5:$AU$493,3,))*$E226)</f>
        <v>0</v>
      </c>
      <c r="Q226" s="66">
        <f>IF(VLOOKUP($D226,$C$5:$AU$493,3,)=0,0,(VLOOKUP($D226,$C$5:$AU$493,15,)/VLOOKUP($D226,$C$5:$AU$493,3,))*$E226)</f>
        <v>0</v>
      </c>
      <c r="R226" s="66">
        <f>IF(VLOOKUP($D226,$C$5:$AU$493,3,)=0,0,(VLOOKUP($D226,$C$5:$AU$493,16,)/VLOOKUP($D226,$C$5:$AU$493,3,))*$E226)</f>
        <v>0</v>
      </c>
      <c r="S226" s="66">
        <f>IF(VLOOKUP($D226,$C$5:$AU$493,3,)=0,0,(VLOOKUP($D226,$C$5:$AU$493,17,)/VLOOKUP($D226,$C$5:$AU$493,3,))*$E226)</f>
        <v>0</v>
      </c>
      <c r="T226" s="66">
        <f>IF(VLOOKUP($D226,$C$5:$AU$493,3,)=0,0,(VLOOKUP($D226,$C$5:$AU$493,18,)/VLOOKUP($D226,$C$5:$AU$493,3,))*$E226)</f>
        <v>0</v>
      </c>
      <c r="U226" s="66">
        <f>IF(VLOOKUP($D226,$C$5:$AU$493,3,)=0,0,(VLOOKUP($D226,$C$5:$AU$493,19,)/VLOOKUP($D226,$C$5:$AU$493,3,))*$E226)</f>
        <v>0</v>
      </c>
      <c r="V226" s="66">
        <f>IF(VLOOKUP($D226,$C$5:$AU$493,3,)=0,0,(VLOOKUP($D226,$C$5:$AU$493,20,)/VLOOKUP($D226,$C$5:$AU$493,3,))*$E226)</f>
        <v>0</v>
      </c>
      <c r="W226" s="66">
        <f>IF(VLOOKUP($D226,$C$5:$AU$493,3,)=0,0,(VLOOKUP($D226,$C$5:$AU$493,21,)/VLOOKUP($D226,$C$5:$AU$493,3,))*$E226)</f>
        <v>0</v>
      </c>
      <c r="X226" s="66">
        <f>IF(VLOOKUP($D226,$C$5:$AU$493,3,)=0,0,(VLOOKUP($D226,$C$5:$AU$493,22,)/VLOOKUP($D226,$C$5:$AU$493,3,))*$E226)</f>
        <v>0</v>
      </c>
      <c r="Y226" s="66">
        <f>IF(VLOOKUP($D226,$C$5:$AU$493,3,)=0,0,(VLOOKUP($D226,$C$5:$AU$493,23,)/VLOOKUP($D226,$C$5:$AU$493,3,))*$E226)</f>
        <v>0</v>
      </c>
      <c r="Z226" s="66">
        <f>IF(VLOOKUP($D226,$C$5:$AU$493,3,)=0,0,(VLOOKUP($D226,$C$5:$AU$493,24,)/VLOOKUP($D226,$C$5:$AU$493,3,))*$E226)</f>
        <v>0</v>
      </c>
      <c r="AA226" s="66">
        <f>IF(VLOOKUP($D226,$C$5:$AU$493,3,)=0,0,(VLOOKUP($D226,$C$5:$AU$493,25,)/VLOOKUP($D226,$C$5:$AU$493,3,))*$E226)</f>
        <v>0</v>
      </c>
      <c r="AB226" s="66">
        <f>IF(VLOOKUP($D226,$C$5:$AU$493,3,)=0,0,(VLOOKUP($D226,$C$5:$AU$493,26,)/VLOOKUP($D226,$C$5:$AU$493,3,))*$E226)</f>
        <v>0</v>
      </c>
      <c r="AC226" s="66">
        <f>IF(VLOOKUP($D226,$C$5:$AU$493,3,)=0,0,(VLOOKUP($D226,$C$5:$AU$493,27,)/VLOOKUP($D226,$C$5:$AU$493,3,))*$E226)</f>
        <v>0</v>
      </c>
      <c r="AD226" s="66">
        <f>IF(VLOOKUP($D226,$C$5:$AU$493,3,)=0,0,(VLOOKUP($D226,$C$5:$AU$493,28,)/VLOOKUP($D226,$C$5:$AU$493,3,))*$E226)</f>
        <v>0</v>
      </c>
      <c r="AE226" s="66">
        <f>IF(VLOOKUP($D226,$C$5:$AU$493,3,)=0,0,(VLOOKUP($D226,$C$5:$AU$493,29,)/VLOOKUP($D226,$C$5:$AU$493,3,))*$E226)</f>
        <v>0</v>
      </c>
      <c r="AF226" s="66">
        <f>IF(VLOOKUP($D226,$C$5:$AU$493,3,)=0,0,(VLOOKUP($D226,$C$5:$AU$493,30,)/VLOOKUP($D226,$C$5:$AU$493,3,))*$E226)</f>
        <v>0</v>
      </c>
      <c r="AG226" s="89">
        <f>SUM(F226:AF226)</f>
        <v>0</v>
      </c>
      <c r="AH226" s="27" t="str">
        <f>IF(ABS(E226-AG226)&lt;0.01,"ok","err")</f>
        <v>ok</v>
      </c>
    </row>
    <row r="227" spans="1:34" x14ac:dyDescent="0.2">
      <c r="E227" s="49"/>
    </row>
    <row r="228" spans="1:34" x14ac:dyDescent="0.2">
      <c r="A228" s="13" t="s">
        <v>469</v>
      </c>
      <c r="E228" s="49"/>
    </row>
    <row r="229" spans="1:34" x14ac:dyDescent="0.2">
      <c r="A229" s="92" t="s">
        <v>219</v>
      </c>
      <c r="C229" s="14" t="s">
        <v>291</v>
      </c>
      <c r="D229" s="14" t="s">
        <v>233</v>
      </c>
      <c r="E229" s="66">
        <f>'Func &amp; Classif'!AA312</f>
        <v>0</v>
      </c>
      <c r="F229" s="66">
        <f>IF(VLOOKUP($D229,$C$5:$AU$493,3,)=0,0,(VLOOKUP($D229,$C$5:$AU$493,4,)/VLOOKUP($D229,$C$5:$AU$493,3,))*$E229)</f>
        <v>0</v>
      </c>
      <c r="G229" s="66">
        <f>IF(VLOOKUP($D229,$C$5:$AU$493,3,)=0,0,(VLOOKUP($D229,$C$5:$AU$493,5,)/VLOOKUP($D229,$C$5:$AU$493,3,))*$E229)</f>
        <v>0</v>
      </c>
      <c r="H229" s="66">
        <f>IF(VLOOKUP($D229,$C$5:$AU$493,3,)=0,0,(VLOOKUP($D229,$C$5:$AU$493,6,)/VLOOKUP($D229,$C$5:$AU$493,3,))*$E229)</f>
        <v>0</v>
      </c>
      <c r="I229" s="66">
        <f>IF(VLOOKUP($D229,$C$5:$AU$493,3,)=0,0,(VLOOKUP($D229,$C$5:$AU$493,7,)/VLOOKUP($D229,$C$5:$AU$493,3,))*$E229)</f>
        <v>0</v>
      </c>
      <c r="J229" s="66">
        <f>IF(VLOOKUP($D229,$C$5:$AU$493,3,)=0,0,(VLOOKUP($D229,$C$5:$AU$493,8,)/VLOOKUP($D229,$C$5:$AU$493,3,))*$E229)</f>
        <v>0</v>
      </c>
      <c r="K229" s="66">
        <f>IF(VLOOKUP($D229,$C$5:$AU$493,3,)=0,0,(VLOOKUP($D229,$C$5:$AU$493,9,)/VLOOKUP($D229,$C$5:$AU$493,3,))*$E229)</f>
        <v>0</v>
      </c>
      <c r="L229" s="66">
        <f>IF(VLOOKUP($D229,$C$5:$AU$493,3,)=0,0,(VLOOKUP($D229,$C$5:$AU$493,10,)/VLOOKUP($D229,$C$5:$AU$493,3,))*$E229)</f>
        <v>0</v>
      </c>
      <c r="M229" s="66">
        <f>IF(VLOOKUP($D229,$C$5:$AU$493,3,)=0,0,(VLOOKUP($D229,$C$5:$AU$493,11,)/VLOOKUP($D229,$C$5:$AU$493,3,))*$E229)</f>
        <v>0</v>
      </c>
      <c r="N229" s="66">
        <f>IF(VLOOKUP($D229,$C$5:$AU$493,3,)=0,0,(VLOOKUP($D229,$C$5:$AU$493,12,)/VLOOKUP($D229,$C$5:$AU$493,3,))*$E229)</f>
        <v>0</v>
      </c>
      <c r="O229" s="66">
        <f>IF(VLOOKUP($D229,$C$5:$AU$493,3,)=0,0,(VLOOKUP($D229,$C$5:$AU$493,13,)/VLOOKUP($D229,$C$5:$AU$493,3,))*$E229)</f>
        <v>0</v>
      </c>
      <c r="P229" s="66">
        <f>IF(VLOOKUP($D229,$C$5:$AU$493,3,)=0,0,(VLOOKUP($D229,$C$5:$AU$493,14,)/VLOOKUP($D229,$C$5:$AU$493,3,))*$E229)</f>
        <v>0</v>
      </c>
      <c r="Q229" s="66">
        <f>IF(VLOOKUP($D229,$C$5:$AU$493,3,)=0,0,(VLOOKUP($D229,$C$5:$AU$493,15,)/VLOOKUP($D229,$C$5:$AU$493,3,))*$E229)</f>
        <v>0</v>
      </c>
      <c r="R229" s="66">
        <f>IF(VLOOKUP($D229,$C$5:$AU$493,3,)=0,0,(VLOOKUP($D229,$C$5:$AU$493,16,)/VLOOKUP($D229,$C$5:$AU$493,3,))*$E229)</f>
        <v>0</v>
      </c>
      <c r="S229" s="66">
        <f>IF(VLOOKUP($D229,$C$5:$AU$493,3,)=0,0,(VLOOKUP($D229,$C$5:$AU$493,17,)/VLOOKUP($D229,$C$5:$AU$493,3,))*$E229)</f>
        <v>0</v>
      </c>
      <c r="T229" s="66">
        <f>IF(VLOOKUP($D229,$C$5:$AU$493,3,)=0,0,(VLOOKUP($D229,$C$5:$AU$493,18,)/VLOOKUP($D229,$C$5:$AU$493,3,))*$E229)</f>
        <v>0</v>
      </c>
      <c r="U229" s="66">
        <f>IF(VLOOKUP($D229,$C$5:$AU$493,3,)=0,0,(VLOOKUP($D229,$C$5:$AU$493,19,)/VLOOKUP($D229,$C$5:$AU$493,3,))*$E229)</f>
        <v>0</v>
      </c>
      <c r="V229" s="66">
        <f>IF(VLOOKUP($D229,$C$5:$AU$493,3,)=0,0,(VLOOKUP($D229,$C$5:$AU$493,20,)/VLOOKUP($D229,$C$5:$AU$493,3,))*$E229)</f>
        <v>0</v>
      </c>
      <c r="W229" s="66">
        <f>IF(VLOOKUP($D229,$C$5:$AU$493,3,)=0,0,(VLOOKUP($D229,$C$5:$AU$493,21,)/VLOOKUP($D229,$C$5:$AU$493,3,))*$E229)</f>
        <v>0</v>
      </c>
      <c r="X229" s="66">
        <f>IF(VLOOKUP($D229,$C$5:$AU$493,3,)=0,0,(VLOOKUP($D229,$C$5:$AU$493,22,)/VLOOKUP($D229,$C$5:$AU$493,3,))*$E229)</f>
        <v>0</v>
      </c>
      <c r="Y229" s="66">
        <f>IF(VLOOKUP($D229,$C$5:$AU$493,3,)=0,0,(VLOOKUP($D229,$C$5:$AU$493,23,)/VLOOKUP($D229,$C$5:$AU$493,3,))*$E229)</f>
        <v>0</v>
      </c>
      <c r="Z229" s="66">
        <f>IF(VLOOKUP($D229,$C$5:$AU$493,3,)=0,0,(VLOOKUP($D229,$C$5:$AU$493,24,)/VLOOKUP($D229,$C$5:$AU$493,3,))*$E229)</f>
        <v>0</v>
      </c>
      <c r="AA229" s="66">
        <f>IF(VLOOKUP($D229,$C$5:$AU$493,3,)=0,0,(VLOOKUP($D229,$C$5:$AU$493,25,)/VLOOKUP($D229,$C$5:$AU$493,3,))*$E229)</f>
        <v>0</v>
      </c>
      <c r="AB229" s="66">
        <f>IF(VLOOKUP($D229,$C$5:$AU$493,3,)=0,0,(VLOOKUP($D229,$C$5:$AU$493,26,)/VLOOKUP($D229,$C$5:$AU$493,3,))*$E229)</f>
        <v>0</v>
      </c>
      <c r="AC229" s="66">
        <f>IF(VLOOKUP($D229,$C$5:$AU$493,3,)=0,0,(VLOOKUP($D229,$C$5:$AU$493,27,)/VLOOKUP($D229,$C$5:$AU$493,3,))*$E229)</f>
        <v>0</v>
      </c>
      <c r="AD229" s="66">
        <f>IF(VLOOKUP($D229,$C$5:$AU$493,3,)=0,0,(VLOOKUP($D229,$C$5:$AU$493,28,)/VLOOKUP($D229,$C$5:$AU$493,3,))*$E229)</f>
        <v>0</v>
      </c>
      <c r="AE229" s="66">
        <f>IF(VLOOKUP($D229,$C$5:$AU$493,3,)=0,0,(VLOOKUP($D229,$C$5:$AU$493,29,)/VLOOKUP($D229,$C$5:$AU$493,3,))*$E229)</f>
        <v>0</v>
      </c>
      <c r="AF229" s="66">
        <f>IF(VLOOKUP($D229,$C$5:$AU$493,3,)=0,0,(VLOOKUP($D229,$C$5:$AU$493,30,)/VLOOKUP($D229,$C$5:$AU$493,3,))*$E229)</f>
        <v>0</v>
      </c>
      <c r="AG229" s="89">
        <f>SUM(F229:AF229)</f>
        <v>0</v>
      </c>
      <c r="AH229" s="27" t="str">
        <f>IF(ABS(E229-AG229)&lt;0.01,"ok","err")</f>
        <v>ok</v>
      </c>
    </row>
    <row r="230" spans="1:34" x14ac:dyDescent="0.2">
      <c r="E230" s="49"/>
    </row>
    <row r="231" spans="1:34" x14ac:dyDescent="0.2">
      <c r="A231" s="14" t="s">
        <v>0</v>
      </c>
      <c r="C231" s="14" t="s">
        <v>295</v>
      </c>
      <c r="E231" s="66">
        <f>E201+E204+E207+E212+E217+E220+E223+E226+E229</f>
        <v>12787113.789999999</v>
      </c>
      <c r="F231" s="66">
        <f t="shared" ref="F231:R231" si="47">F201+F204+F207+F212+F217+F220+F223+F226+F229</f>
        <v>10052764.706895366</v>
      </c>
      <c r="G231" s="66">
        <f t="shared" si="47"/>
        <v>10860.186369590811</v>
      </c>
      <c r="H231" s="66">
        <f t="shared" si="47"/>
        <v>35240.447577553634</v>
      </c>
      <c r="I231" s="66">
        <f t="shared" si="47"/>
        <v>536550.76782732806</v>
      </c>
      <c r="J231" s="66">
        <f t="shared" si="47"/>
        <v>38331.193061371632</v>
      </c>
      <c r="K231" s="66">
        <f t="shared" si="47"/>
        <v>105285.15614018655</v>
      </c>
      <c r="L231" s="66">
        <f t="shared" si="47"/>
        <v>255228.58586120611</v>
      </c>
      <c r="M231" s="66">
        <f t="shared" si="47"/>
        <v>113334.78012244435</v>
      </c>
      <c r="N231" s="66">
        <f t="shared" si="47"/>
        <v>221086.79883455471</v>
      </c>
      <c r="O231" s="66">
        <f t="shared" si="47"/>
        <v>49.715084072430074</v>
      </c>
      <c r="P231" s="66">
        <f t="shared" si="47"/>
        <v>1418381.4522263249</v>
      </c>
      <c r="Q231" s="66">
        <f t="shared" si="47"/>
        <v>0</v>
      </c>
      <c r="R231" s="66">
        <f t="shared" si="47"/>
        <v>0</v>
      </c>
      <c r="S231" s="66">
        <f t="shared" ref="S231:AF231" si="48">S201+S207+S212+S217+S220+S223+S226+S229</f>
        <v>0</v>
      </c>
      <c r="T231" s="66">
        <f t="shared" si="48"/>
        <v>0</v>
      </c>
      <c r="U231" s="66">
        <f t="shared" si="48"/>
        <v>0</v>
      </c>
      <c r="V231" s="66">
        <f t="shared" si="48"/>
        <v>0</v>
      </c>
      <c r="W231" s="66">
        <f t="shared" si="48"/>
        <v>0</v>
      </c>
      <c r="X231" s="66">
        <f t="shared" si="48"/>
        <v>0</v>
      </c>
      <c r="Y231" s="66">
        <f t="shared" si="48"/>
        <v>0</v>
      </c>
      <c r="Z231" s="66">
        <f t="shared" si="48"/>
        <v>0</v>
      </c>
      <c r="AA231" s="66">
        <f t="shared" si="48"/>
        <v>0</v>
      </c>
      <c r="AB231" s="66">
        <f t="shared" si="48"/>
        <v>0</v>
      </c>
      <c r="AC231" s="66">
        <f t="shared" si="48"/>
        <v>0</v>
      </c>
      <c r="AD231" s="66">
        <f t="shared" si="48"/>
        <v>0</v>
      </c>
      <c r="AE231" s="66">
        <f t="shared" si="48"/>
        <v>0</v>
      </c>
      <c r="AF231" s="66">
        <f t="shared" si="48"/>
        <v>0</v>
      </c>
      <c r="AG231" s="89">
        <f>SUM(F231:AF231)</f>
        <v>12787113.789999999</v>
      </c>
      <c r="AH231" s="27" t="str">
        <f>IF(ABS(E231-AG231)&lt;0.01,"ok","err")</f>
        <v>ok</v>
      </c>
    </row>
    <row r="232" spans="1:34" x14ac:dyDescent="0.2">
      <c r="E232" s="139"/>
      <c r="F232" s="139"/>
      <c r="G232" s="139"/>
      <c r="H232" s="139"/>
      <c r="I232" s="139"/>
      <c r="J232" s="139"/>
      <c r="K232" s="139"/>
      <c r="L232" s="139"/>
      <c r="M232" s="47"/>
    </row>
    <row r="234" spans="1:34" x14ac:dyDescent="0.2">
      <c r="A234" s="25" t="s">
        <v>187</v>
      </c>
    </row>
    <row r="236" spans="1:34" x14ac:dyDescent="0.2">
      <c r="A236" s="13" t="s">
        <v>890</v>
      </c>
    </row>
    <row r="237" spans="1:34" x14ac:dyDescent="0.2">
      <c r="A237" s="92" t="s">
        <v>207</v>
      </c>
      <c r="C237" s="14" t="s">
        <v>296</v>
      </c>
      <c r="D237" s="14" t="s">
        <v>656</v>
      </c>
      <c r="E237" s="66">
        <f>'Func &amp; Classif'!H314</f>
        <v>0</v>
      </c>
      <c r="F237" s="66">
        <f>IF(VLOOKUP($D237,$C$5:$AU$493,3,)=0,0,(VLOOKUP($D237,$C$5:$AU$493,4,)/VLOOKUP($D237,$C$5:$AU$493,3,))*$E237)</f>
        <v>0</v>
      </c>
      <c r="G237" s="66">
        <f>IF(VLOOKUP($D237,$C$5:$AU$493,3,)=0,0,(VLOOKUP($D237,$C$5:$AU$493,5,)/VLOOKUP($D237,$C$5:$AU$493,3,))*$E237)</f>
        <v>0</v>
      </c>
      <c r="H237" s="66">
        <f>IF(VLOOKUP($D237,$C$5:$AU$493,3,)=0,0,(VLOOKUP($D237,$C$5:$AU$493,6,)/VLOOKUP($D237,$C$5:$AU$493,3,))*$E237)</f>
        <v>0</v>
      </c>
      <c r="I237" s="66">
        <f>IF(VLOOKUP($D237,$C$5:$AU$493,3,)=0,0,(VLOOKUP($D237,$C$5:$AU$493,7,)/VLOOKUP($D237,$C$5:$AU$493,3,))*$E237)</f>
        <v>0</v>
      </c>
      <c r="J237" s="66">
        <f>IF(VLOOKUP($D237,$C$5:$AU$493,3,)=0,0,(VLOOKUP($D237,$C$5:$AU$493,8,)/VLOOKUP($D237,$C$5:$AU$493,3,))*$E237)</f>
        <v>0</v>
      </c>
      <c r="K237" s="66">
        <f>IF(VLOOKUP($D237,$C$5:$AU$493,3,)=0,0,(VLOOKUP($D237,$C$5:$AU$493,9,)/VLOOKUP($D237,$C$5:$AU$493,3,))*$E237)</f>
        <v>0</v>
      </c>
      <c r="L237" s="66">
        <f>IF(VLOOKUP($D237,$C$5:$AU$493,3,)=0,0,(VLOOKUP($D237,$C$5:$AU$493,10,)/VLOOKUP($D237,$C$5:$AU$493,3,))*$E237)</f>
        <v>0</v>
      </c>
      <c r="M237" s="66">
        <f>IF(VLOOKUP($D237,$C$5:$AU$493,3,)=0,0,(VLOOKUP($D237,$C$5:$AU$493,11,)/VLOOKUP($D237,$C$5:$AU$493,3,))*$E237)</f>
        <v>0</v>
      </c>
      <c r="N237" s="66">
        <f>IF(VLOOKUP($D237,$C$5:$AU$493,3,)=0,0,(VLOOKUP($D237,$C$5:$AU$493,12,)/VLOOKUP($D237,$C$5:$AU$493,3,))*$E237)</f>
        <v>0</v>
      </c>
      <c r="O237" s="66">
        <f>IF(VLOOKUP($D237,$C$5:$AU$493,3,)=0,0,(VLOOKUP($D237,$C$5:$AU$493,13,)/VLOOKUP($D237,$C$5:$AU$493,3,))*$E237)</f>
        <v>0</v>
      </c>
      <c r="P237" s="66">
        <f>IF(VLOOKUP($D237,$C$5:$AU$493,3,)=0,0,(VLOOKUP($D237,$C$5:$AU$493,14,)/VLOOKUP($D237,$C$5:$AU$493,3,))*$E237)</f>
        <v>0</v>
      </c>
      <c r="Q237" s="66">
        <f>IF(VLOOKUP($D237,$C$5:$AU$493,3,)=0,0,(VLOOKUP($D237,$C$5:$AU$493,15,)/VLOOKUP($D237,$C$5:$AU$493,3,))*$E237)</f>
        <v>0</v>
      </c>
      <c r="R237" s="66">
        <f>IF(VLOOKUP($D237,$C$5:$AU$493,3,)=0,0,(VLOOKUP($D237,$C$5:$AU$493,16,)/VLOOKUP($D237,$C$5:$AU$493,3,))*$E237)</f>
        <v>0</v>
      </c>
      <c r="S237" s="66">
        <f>IF(VLOOKUP($D237,$C$5:$AU$493,3,)=0,0,(VLOOKUP($D237,$C$5:$AU$493,17,)/VLOOKUP($D237,$C$5:$AU$493,3,))*$E237)</f>
        <v>0</v>
      </c>
      <c r="T237" s="66">
        <f>IF(VLOOKUP($D237,$C$5:$AU$493,3,)=0,0,(VLOOKUP($D237,$C$5:$AU$493,18,)/VLOOKUP($D237,$C$5:$AU$493,3,))*$E237)</f>
        <v>0</v>
      </c>
      <c r="U237" s="66">
        <f>IF(VLOOKUP($D237,$C$5:$AU$493,3,)=0,0,(VLOOKUP($D237,$C$5:$AU$493,19,)/VLOOKUP($D237,$C$5:$AU$493,3,))*$E237)</f>
        <v>0</v>
      </c>
      <c r="V237" s="66">
        <f>IF(VLOOKUP($D237,$C$5:$AU$493,3,)=0,0,(VLOOKUP($D237,$C$5:$AU$493,20,)/VLOOKUP($D237,$C$5:$AU$493,3,))*$E237)</f>
        <v>0</v>
      </c>
      <c r="W237" s="66">
        <f>IF(VLOOKUP($D237,$C$5:$AU$493,3,)=0,0,(VLOOKUP($D237,$C$5:$AU$493,21,)/VLOOKUP($D237,$C$5:$AU$493,3,))*$E237)</f>
        <v>0</v>
      </c>
      <c r="X237" s="66">
        <f>IF(VLOOKUP($D237,$C$5:$AU$493,3,)=0,0,(VLOOKUP($D237,$C$5:$AU$493,22,)/VLOOKUP($D237,$C$5:$AU$493,3,))*$E237)</f>
        <v>0</v>
      </c>
      <c r="Y237" s="66">
        <f>IF(VLOOKUP($D237,$C$5:$AU$493,3,)=0,0,(VLOOKUP($D237,$C$5:$AU$493,23,)/VLOOKUP($D237,$C$5:$AU$493,3,))*$E237)</f>
        <v>0</v>
      </c>
      <c r="Z237" s="66">
        <f>IF(VLOOKUP($D237,$C$5:$AU$493,3,)=0,0,(VLOOKUP($D237,$C$5:$AU$493,24,)/VLOOKUP($D237,$C$5:$AU$493,3,))*$E237)</f>
        <v>0</v>
      </c>
      <c r="AA237" s="66">
        <f>IF(VLOOKUP($D237,$C$5:$AU$493,3,)=0,0,(VLOOKUP($D237,$C$5:$AU$493,25,)/VLOOKUP($D237,$C$5:$AU$493,3,))*$E237)</f>
        <v>0</v>
      </c>
      <c r="AB237" s="66">
        <f>IF(VLOOKUP($D237,$C$5:$AU$493,3,)=0,0,(VLOOKUP($D237,$C$5:$AU$493,26,)/VLOOKUP($D237,$C$5:$AU$493,3,))*$E237)</f>
        <v>0</v>
      </c>
      <c r="AC237" s="66">
        <f>IF(VLOOKUP($D237,$C$5:$AU$493,3,)=0,0,(VLOOKUP($D237,$C$5:$AU$493,27,)/VLOOKUP($D237,$C$5:$AU$493,3,))*$E237)</f>
        <v>0</v>
      </c>
      <c r="AD237" s="66">
        <f>IF(VLOOKUP($D237,$C$5:$AU$493,3,)=0,0,(VLOOKUP($D237,$C$5:$AU$493,28,)/VLOOKUP($D237,$C$5:$AU$493,3,))*$E237)</f>
        <v>0</v>
      </c>
      <c r="AE237" s="66">
        <f>IF(VLOOKUP($D237,$C$5:$AU$493,3,)=0,0,(VLOOKUP($D237,$C$5:$AU$493,29,)/VLOOKUP($D237,$C$5:$AU$493,3,))*$E237)</f>
        <v>0</v>
      </c>
      <c r="AF237" s="66">
        <f>IF(VLOOKUP($D237,$C$5:$AU$493,3,)=0,0,(VLOOKUP($D237,$C$5:$AU$493,30,)/VLOOKUP($D237,$C$5:$AU$493,3,))*$E237)</f>
        <v>0</v>
      </c>
      <c r="AG237" s="89">
        <f>SUM(F237:AF237)</f>
        <v>0</v>
      </c>
      <c r="AH237" s="27" t="str">
        <f>IF(ABS(E237-AG237)&lt;0.01,"ok","err")</f>
        <v>ok</v>
      </c>
    </row>
    <row r="238" spans="1:34" x14ac:dyDescent="0.2">
      <c r="A238" s="92" t="s">
        <v>210</v>
      </c>
      <c r="C238" s="14" t="s">
        <v>297</v>
      </c>
      <c r="D238" s="14" t="s">
        <v>665</v>
      </c>
      <c r="E238" s="49">
        <f>'Func &amp; Classif'!I314</f>
        <v>0</v>
      </c>
      <c r="F238" s="66">
        <f>IF(VLOOKUP($D238,$C$5:$AU$493,3,)=0,0,(VLOOKUP($D238,$C$5:$AU$493,4,)/VLOOKUP($D238,$C$5:$AU$493,3,))*$E238)</f>
        <v>0</v>
      </c>
      <c r="G238" s="66">
        <f>IF(VLOOKUP($D238,$C$5:$AU$493,3,)=0,0,(VLOOKUP($D238,$C$5:$AU$493,5,)/VLOOKUP($D238,$C$5:$AU$493,3,))*$E238)</f>
        <v>0</v>
      </c>
      <c r="H238" s="66">
        <f>IF(VLOOKUP($D238,$C$5:$AU$493,3,)=0,0,(VLOOKUP($D238,$C$5:$AU$493,6,)/VLOOKUP($D238,$C$5:$AU$493,3,))*$E238)</f>
        <v>0</v>
      </c>
      <c r="I238" s="66">
        <f>IF(VLOOKUP($D238,$C$5:$AU$493,3,)=0,0,(VLOOKUP($D238,$C$5:$AU$493,7,)/VLOOKUP($D238,$C$5:$AU$493,3,))*$E238)</f>
        <v>0</v>
      </c>
      <c r="J238" s="66">
        <f>IF(VLOOKUP($D238,$C$5:$AU$493,3,)=0,0,(VLOOKUP($D238,$C$5:$AU$493,8,)/VLOOKUP($D238,$C$5:$AU$493,3,))*$E238)</f>
        <v>0</v>
      </c>
      <c r="K238" s="66">
        <f>IF(VLOOKUP($D238,$C$5:$AU$493,3,)=0,0,(VLOOKUP($D238,$C$5:$AU$493,9,)/VLOOKUP($D238,$C$5:$AU$493,3,))*$E238)</f>
        <v>0</v>
      </c>
      <c r="L238" s="66">
        <f>IF(VLOOKUP($D238,$C$5:$AU$493,3,)=0,0,(VLOOKUP($D238,$C$5:$AU$493,10,)/VLOOKUP($D238,$C$5:$AU$493,3,))*$E238)</f>
        <v>0</v>
      </c>
      <c r="M238" s="66">
        <f>IF(VLOOKUP($D238,$C$5:$AU$493,3,)=0,0,(VLOOKUP($D238,$C$5:$AU$493,11,)/VLOOKUP($D238,$C$5:$AU$493,3,))*$E238)</f>
        <v>0</v>
      </c>
      <c r="N238" s="66">
        <f>IF(VLOOKUP($D238,$C$5:$AU$493,3,)=0,0,(VLOOKUP($D238,$C$5:$AU$493,12,)/VLOOKUP($D238,$C$5:$AU$493,3,))*$E238)</f>
        <v>0</v>
      </c>
      <c r="O238" s="66">
        <f>IF(VLOOKUP($D238,$C$5:$AU$493,3,)=0,0,(VLOOKUP($D238,$C$5:$AU$493,13,)/VLOOKUP($D238,$C$5:$AU$493,3,))*$E238)</f>
        <v>0</v>
      </c>
      <c r="P238" s="66">
        <f>IF(VLOOKUP($D238,$C$5:$AU$493,3,)=0,0,(VLOOKUP($D238,$C$5:$AU$493,14,)/VLOOKUP($D238,$C$5:$AU$493,3,))*$E238)</f>
        <v>0</v>
      </c>
      <c r="Q238" s="66">
        <f>IF(VLOOKUP($D238,$C$5:$AU$493,3,)=0,0,(VLOOKUP($D238,$C$5:$AU$493,15,)/VLOOKUP($D238,$C$5:$AU$493,3,))*$E238)</f>
        <v>0</v>
      </c>
      <c r="R238" s="66">
        <f>IF(VLOOKUP($D238,$C$5:$AU$493,3,)=0,0,(VLOOKUP($D238,$C$5:$AU$493,16,)/VLOOKUP($D238,$C$5:$AU$493,3,))*$E238)</f>
        <v>0</v>
      </c>
      <c r="S238" s="66">
        <f>IF(VLOOKUP($D238,$C$5:$AU$493,3,)=0,0,(VLOOKUP($D238,$C$5:$AU$493,17,)/VLOOKUP($D238,$C$5:$AU$493,3,))*$E238)</f>
        <v>0</v>
      </c>
      <c r="T238" s="66">
        <f>IF(VLOOKUP($D238,$C$5:$AU$493,3,)=0,0,(VLOOKUP($D238,$C$5:$AU$493,18,)/VLOOKUP($D238,$C$5:$AU$493,3,))*$E238)</f>
        <v>0</v>
      </c>
      <c r="U238" s="66">
        <f>IF(VLOOKUP($D238,$C$5:$AU$493,3,)=0,0,(VLOOKUP($D238,$C$5:$AU$493,19,)/VLOOKUP($D238,$C$5:$AU$493,3,))*$E238)</f>
        <v>0</v>
      </c>
      <c r="V238" s="66">
        <f>IF(VLOOKUP($D238,$C$5:$AU$493,3,)=0,0,(VLOOKUP($D238,$C$5:$AU$493,20,)/VLOOKUP($D238,$C$5:$AU$493,3,))*$E238)</f>
        <v>0</v>
      </c>
      <c r="W238" s="66">
        <f>IF(VLOOKUP($D238,$C$5:$AU$493,3,)=0,0,(VLOOKUP($D238,$C$5:$AU$493,21,)/VLOOKUP($D238,$C$5:$AU$493,3,))*$E238)</f>
        <v>0</v>
      </c>
      <c r="X238" s="66">
        <f>IF(VLOOKUP($D238,$C$5:$AU$493,3,)=0,0,(VLOOKUP($D238,$C$5:$AU$493,22,)/VLOOKUP($D238,$C$5:$AU$493,3,))*$E238)</f>
        <v>0</v>
      </c>
      <c r="Y238" s="66">
        <f>IF(VLOOKUP($D238,$C$5:$AU$493,3,)=0,0,(VLOOKUP($D238,$C$5:$AU$493,23,)/VLOOKUP($D238,$C$5:$AU$493,3,))*$E238)</f>
        <v>0</v>
      </c>
      <c r="Z238" s="66">
        <f>IF(VLOOKUP($D238,$C$5:$AU$493,3,)=0,0,(VLOOKUP($D238,$C$5:$AU$493,24,)/VLOOKUP($D238,$C$5:$AU$493,3,))*$E238)</f>
        <v>0</v>
      </c>
      <c r="AA238" s="66">
        <f>IF(VLOOKUP($D238,$C$5:$AU$493,3,)=0,0,(VLOOKUP($D238,$C$5:$AU$493,25,)/VLOOKUP($D238,$C$5:$AU$493,3,))*$E238)</f>
        <v>0</v>
      </c>
      <c r="AB238" s="66">
        <f>IF(VLOOKUP($D238,$C$5:$AU$493,3,)=0,0,(VLOOKUP($D238,$C$5:$AU$493,26,)/VLOOKUP($D238,$C$5:$AU$493,3,))*$E238)</f>
        <v>0</v>
      </c>
      <c r="AC238" s="66">
        <f>IF(VLOOKUP($D238,$C$5:$AU$493,3,)=0,0,(VLOOKUP($D238,$C$5:$AU$493,27,)/VLOOKUP($D238,$C$5:$AU$493,3,))*$E238)</f>
        <v>0</v>
      </c>
      <c r="AD238" s="66">
        <f>IF(VLOOKUP($D238,$C$5:$AU$493,3,)=0,0,(VLOOKUP($D238,$C$5:$AU$493,28,)/VLOOKUP($D238,$C$5:$AU$493,3,))*$E238)</f>
        <v>0</v>
      </c>
      <c r="AE238" s="66">
        <f>IF(VLOOKUP($D238,$C$5:$AU$493,3,)=0,0,(VLOOKUP($D238,$C$5:$AU$493,29,)/VLOOKUP($D238,$C$5:$AU$493,3,))*$E238)</f>
        <v>0</v>
      </c>
      <c r="AF238" s="66">
        <f>IF(VLOOKUP($D238,$C$5:$AU$493,3,)=0,0,(VLOOKUP($D238,$C$5:$AU$493,30,)/VLOOKUP($D238,$C$5:$AU$493,3,))*$E238)</f>
        <v>0</v>
      </c>
      <c r="AG238" s="89">
        <f>SUM(F238:AF238)</f>
        <v>0</v>
      </c>
      <c r="AH238" s="27" t="str">
        <f>IF(ABS(E238-AG238)&lt;0.01,"ok","err")</f>
        <v>ok</v>
      </c>
    </row>
    <row r="239" spans="1:34" x14ac:dyDescent="0.2">
      <c r="A239" s="14" t="s">
        <v>213</v>
      </c>
      <c r="C239" s="14" t="s">
        <v>298</v>
      </c>
      <c r="E239" s="49">
        <f t="shared" ref="E239:T239" si="49">E237+E238</f>
        <v>0</v>
      </c>
      <c r="F239" s="66">
        <f t="shared" si="49"/>
        <v>0</v>
      </c>
      <c r="G239" s="66">
        <f t="shared" si="49"/>
        <v>0</v>
      </c>
      <c r="H239" s="66">
        <f t="shared" si="49"/>
        <v>0</v>
      </c>
      <c r="I239" s="66">
        <f t="shared" si="49"/>
        <v>0</v>
      </c>
      <c r="J239" s="66">
        <f t="shared" si="49"/>
        <v>0</v>
      </c>
      <c r="K239" s="66">
        <f t="shared" si="49"/>
        <v>0</v>
      </c>
      <c r="L239" s="66">
        <f t="shared" si="49"/>
        <v>0</v>
      </c>
      <c r="M239" s="66">
        <f t="shared" si="49"/>
        <v>0</v>
      </c>
      <c r="N239" s="66">
        <f t="shared" si="49"/>
        <v>0</v>
      </c>
      <c r="O239" s="66">
        <f t="shared" si="49"/>
        <v>0</v>
      </c>
      <c r="P239" s="66">
        <f t="shared" si="49"/>
        <v>0</v>
      </c>
      <c r="Q239" s="66">
        <f t="shared" si="49"/>
        <v>0</v>
      </c>
      <c r="R239" s="66">
        <f t="shared" si="49"/>
        <v>0</v>
      </c>
      <c r="S239" s="66">
        <f t="shared" si="49"/>
        <v>0</v>
      </c>
      <c r="T239" s="66">
        <f t="shared" si="49"/>
        <v>0</v>
      </c>
      <c r="U239" s="66">
        <f t="shared" ref="U239:AF239" si="50">U237+U238</f>
        <v>0</v>
      </c>
      <c r="V239" s="66">
        <f t="shared" si="50"/>
        <v>0</v>
      </c>
      <c r="W239" s="66">
        <f t="shared" si="50"/>
        <v>0</v>
      </c>
      <c r="X239" s="66">
        <f t="shared" si="50"/>
        <v>0</v>
      </c>
      <c r="Y239" s="66">
        <f t="shared" si="50"/>
        <v>0</v>
      </c>
      <c r="Z239" s="66">
        <f t="shared" si="50"/>
        <v>0</v>
      </c>
      <c r="AA239" s="66">
        <f t="shared" si="50"/>
        <v>0</v>
      </c>
      <c r="AB239" s="66">
        <f t="shared" si="50"/>
        <v>0</v>
      </c>
      <c r="AC239" s="66">
        <f t="shared" si="50"/>
        <v>0</v>
      </c>
      <c r="AD239" s="66">
        <f t="shared" si="50"/>
        <v>0</v>
      </c>
      <c r="AE239" s="66">
        <f t="shared" si="50"/>
        <v>0</v>
      </c>
      <c r="AF239" s="66">
        <f t="shared" si="50"/>
        <v>0</v>
      </c>
      <c r="AG239" s="89">
        <f>SUM(F239:AF239)</f>
        <v>0</v>
      </c>
      <c r="AH239" s="27" t="str">
        <f>IF(ABS(E239-AG239)&lt;0.01,"ok","err")</f>
        <v>ok</v>
      </c>
    </row>
    <row r="240" spans="1:34" x14ac:dyDescent="0.2">
      <c r="E240" s="49"/>
      <c r="F240" s="49"/>
    </row>
    <row r="241" spans="1:34" x14ac:dyDescent="0.2">
      <c r="A241" s="13" t="s">
        <v>348</v>
      </c>
      <c r="E241" s="49"/>
      <c r="F241" s="49"/>
    </row>
    <row r="242" spans="1:34" x14ac:dyDescent="0.2">
      <c r="A242" s="92" t="s">
        <v>207</v>
      </c>
      <c r="C242" s="14" t="s">
        <v>885</v>
      </c>
      <c r="D242" s="14" t="s">
        <v>624</v>
      </c>
      <c r="E242" s="66">
        <f>'Func &amp; Classif'!K314</f>
        <v>0</v>
      </c>
      <c r="F242" s="66">
        <f>IF(VLOOKUP($D242,$C$5:$AU$493,3,)=0,0,(VLOOKUP($D242,$C$5:$AU$493,4,)/VLOOKUP($D242,$C$5:$AU$493,3,))*$E242)</f>
        <v>0</v>
      </c>
      <c r="G242" s="66">
        <f>IF(VLOOKUP($D242,$C$5:$AU$493,3,)=0,0,(VLOOKUP($D242,$C$5:$AU$493,5,)/VLOOKUP($D242,$C$5:$AU$493,3,))*$E242)</f>
        <v>0</v>
      </c>
      <c r="H242" s="66">
        <f>IF(VLOOKUP($D242,$C$5:$AU$493,3,)=0,0,(VLOOKUP($D242,$C$5:$AU$493,6,)/VLOOKUP($D242,$C$5:$AU$493,3,))*$E242)</f>
        <v>0</v>
      </c>
      <c r="I242" s="66">
        <f>IF(VLOOKUP($D242,$C$5:$AU$493,3,)=0,0,(VLOOKUP($D242,$C$5:$AU$493,7,)/VLOOKUP($D242,$C$5:$AU$493,3,))*$E242)</f>
        <v>0</v>
      </c>
      <c r="J242" s="66">
        <f>IF(VLOOKUP($D242,$C$5:$AU$493,3,)=0,0,(VLOOKUP($D242,$C$5:$AU$493,8,)/VLOOKUP($D242,$C$5:$AU$493,3,))*$E242)</f>
        <v>0</v>
      </c>
      <c r="K242" s="66">
        <f>IF(VLOOKUP($D242,$C$5:$AU$493,3,)=0,0,(VLOOKUP($D242,$C$5:$AU$493,9,)/VLOOKUP($D242,$C$5:$AU$493,3,))*$E242)</f>
        <v>0</v>
      </c>
      <c r="L242" s="66">
        <f>IF(VLOOKUP($D242,$C$5:$AU$493,3,)=0,0,(VLOOKUP($D242,$C$5:$AU$493,10,)/VLOOKUP($D242,$C$5:$AU$493,3,))*$E242)</f>
        <v>0</v>
      </c>
      <c r="M242" s="66">
        <f>IF(VLOOKUP($D242,$C$5:$AU$493,3,)=0,0,(VLOOKUP($D242,$C$5:$AU$493,11,)/VLOOKUP($D242,$C$5:$AU$493,3,))*$E242)</f>
        <v>0</v>
      </c>
      <c r="N242" s="66">
        <f>IF(VLOOKUP($D242,$C$5:$AU$493,3,)=0,0,(VLOOKUP($D242,$C$5:$AU$493,12,)/VLOOKUP($D242,$C$5:$AU$493,3,))*$E242)</f>
        <v>0</v>
      </c>
      <c r="O242" s="66">
        <f>IF(VLOOKUP($D242,$C$5:$AU$493,3,)=0,0,(VLOOKUP($D242,$C$5:$AU$493,13,)/VLOOKUP($D242,$C$5:$AU$493,3,))*$E242)</f>
        <v>0</v>
      </c>
      <c r="P242" s="66">
        <f>IF(VLOOKUP($D242,$C$5:$AU$493,3,)=0,0,(VLOOKUP($D242,$C$5:$AU$493,14,)/VLOOKUP($D242,$C$5:$AU$493,3,))*$E242)</f>
        <v>0</v>
      </c>
      <c r="Q242" s="66">
        <f>IF(VLOOKUP($D242,$C$5:$AU$493,3,)=0,0,(VLOOKUP($D242,$C$5:$AU$493,15,)/VLOOKUP($D242,$C$5:$AU$493,3,))*$E242)</f>
        <v>0</v>
      </c>
      <c r="R242" s="66">
        <f>IF(VLOOKUP($D242,$C$5:$AU$493,3,)=0,0,(VLOOKUP($D242,$C$5:$AU$493,16,)/VLOOKUP($D242,$C$5:$AU$493,3,))*$E242)</f>
        <v>0</v>
      </c>
      <c r="S242" s="66">
        <f>IF(VLOOKUP($D242,$C$5:$AU$493,3,)=0,0,(VLOOKUP($D242,$C$5:$AU$493,17,)/VLOOKUP($D242,$C$5:$AU$493,3,))*$E242)</f>
        <v>0</v>
      </c>
      <c r="T242" s="66">
        <f>IF(VLOOKUP($D242,$C$5:$AU$493,3,)=0,0,(VLOOKUP($D242,$C$5:$AU$493,18,)/VLOOKUP($D242,$C$5:$AU$493,3,))*$E242)</f>
        <v>0</v>
      </c>
      <c r="U242" s="66">
        <f>IF(VLOOKUP($D242,$C$5:$AU$493,3,)=0,0,(VLOOKUP($D242,$C$5:$AU$493,19,)/VLOOKUP($D242,$C$5:$AU$493,3,))*$E242)</f>
        <v>0</v>
      </c>
      <c r="V242" s="66">
        <f>IF(VLOOKUP($D242,$C$5:$AU$493,3,)=0,0,(VLOOKUP($D242,$C$5:$AU$493,20,)/VLOOKUP($D242,$C$5:$AU$493,3,))*$E242)</f>
        <v>0</v>
      </c>
      <c r="W242" s="66">
        <f>IF(VLOOKUP($D242,$C$5:$AU$493,3,)=0,0,(VLOOKUP($D242,$C$5:$AU$493,21,)/VLOOKUP($D242,$C$5:$AU$493,3,))*$E242)</f>
        <v>0</v>
      </c>
      <c r="X242" s="66">
        <f>IF(VLOOKUP($D242,$C$5:$AU$493,3,)=0,0,(VLOOKUP($D242,$C$5:$AU$493,22,)/VLOOKUP($D242,$C$5:$AU$493,3,))*$E242)</f>
        <v>0</v>
      </c>
      <c r="Y242" s="66">
        <f>IF(VLOOKUP($D242,$C$5:$AU$493,3,)=0,0,(VLOOKUP($D242,$C$5:$AU$493,23,)/VLOOKUP($D242,$C$5:$AU$493,3,))*$E242)</f>
        <v>0</v>
      </c>
      <c r="Z242" s="66">
        <f>IF(VLOOKUP($D242,$C$5:$AU$493,3,)=0,0,(VLOOKUP($D242,$C$5:$AU$493,24,)/VLOOKUP($D242,$C$5:$AU$493,3,))*$E242)</f>
        <v>0</v>
      </c>
      <c r="AA242" s="66">
        <f>IF(VLOOKUP($D242,$C$5:$AU$493,3,)=0,0,(VLOOKUP($D242,$C$5:$AU$493,25,)/VLOOKUP($D242,$C$5:$AU$493,3,))*$E242)</f>
        <v>0</v>
      </c>
      <c r="AB242" s="66">
        <f>IF(VLOOKUP($D242,$C$5:$AU$493,3,)=0,0,(VLOOKUP($D242,$C$5:$AU$493,26,)/VLOOKUP($D242,$C$5:$AU$493,3,))*$E242)</f>
        <v>0</v>
      </c>
      <c r="AC242" s="66">
        <f>IF(VLOOKUP($D242,$C$5:$AU$493,3,)=0,0,(VLOOKUP($D242,$C$5:$AU$493,27,)/VLOOKUP($D242,$C$5:$AU$493,3,))*$E242)</f>
        <v>0</v>
      </c>
      <c r="AD242" s="66">
        <f>IF(VLOOKUP($D242,$C$5:$AU$493,3,)=0,0,(VLOOKUP($D242,$C$5:$AU$493,28,)/VLOOKUP($D242,$C$5:$AU$493,3,))*$E242)</f>
        <v>0</v>
      </c>
      <c r="AE242" s="66">
        <f>IF(VLOOKUP($D242,$C$5:$AU$493,3,)=0,0,(VLOOKUP($D242,$C$5:$AU$493,29,)/VLOOKUP($D242,$C$5:$AU$493,3,))*$E242)</f>
        <v>0</v>
      </c>
      <c r="AF242" s="66">
        <f>IF(VLOOKUP($D242,$C$5:$AU$493,3,)=0,0,(VLOOKUP($D242,$C$5:$AU$493,30,)/VLOOKUP($D242,$C$5:$AU$493,3,))*$E242)</f>
        <v>0</v>
      </c>
      <c r="AG242" s="89">
        <f>SUM(F242:AF242)</f>
        <v>0</v>
      </c>
      <c r="AH242" s="27" t="str">
        <f>IF(ABS(E242-AG242)&lt;0.01,"ok","err")</f>
        <v>ok</v>
      </c>
    </row>
    <row r="243" spans="1:34" x14ac:dyDescent="0.2">
      <c r="E243" s="49"/>
    </row>
    <row r="244" spans="1:34" x14ac:dyDescent="0.2">
      <c r="A244" s="13" t="s">
        <v>1</v>
      </c>
      <c r="E244" s="49"/>
      <c r="F244" s="49"/>
    </row>
    <row r="245" spans="1:34" x14ac:dyDescent="0.2">
      <c r="A245" s="92" t="s">
        <v>207</v>
      </c>
      <c r="C245" s="14" t="s">
        <v>299</v>
      </c>
      <c r="D245" s="14" t="s">
        <v>631</v>
      </c>
      <c r="E245" s="66">
        <f>'Func &amp; Classif'!M314</f>
        <v>0</v>
      </c>
      <c r="F245" s="66">
        <f>IF(VLOOKUP($D245,$C$5:$AU$493,3,)=0,0,(VLOOKUP($D245,$C$5:$AU$493,4,)/VLOOKUP($D245,$C$5:$AU$493,3,))*$E245)</f>
        <v>0</v>
      </c>
      <c r="G245" s="66">
        <f>IF(VLOOKUP($D245,$C$5:$AU$493,3,)=0,0,(VLOOKUP($D245,$C$5:$AU$493,5,)/VLOOKUP($D245,$C$5:$AU$493,3,))*$E245)</f>
        <v>0</v>
      </c>
      <c r="H245" s="66">
        <f>IF(VLOOKUP($D245,$C$5:$AU$493,3,)=0,0,(VLOOKUP($D245,$C$5:$AU$493,6,)/VLOOKUP($D245,$C$5:$AU$493,3,))*$E245)</f>
        <v>0</v>
      </c>
      <c r="I245" s="66">
        <f>IF(VLOOKUP($D245,$C$5:$AU$493,3,)=0,0,(VLOOKUP($D245,$C$5:$AU$493,7,)/VLOOKUP($D245,$C$5:$AU$493,3,))*$E245)</f>
        <v>0</v>
      </c>
      <c r="J245" s="66">
        <f>IF(VLOOKUP($D245,$C$5:$AU$493,3,)=0,0,(VLOOKUP($D245,$C$5:$AU$493,8,)/VLOOKUP($D245,$C$5:$AU$493,3,))*$E245)</f>
        <v>0</v>
      </c>
      <c r="K245" s="66">
        <f>IF(VLOOKUP($D245,$C$5:$AU$493,3,)=0,0,(VLOOKUP($D245,$C$5:$AU$493,9,)/VLOOKUP($D245,$C$5:$AU$493,3,))*$E245)</f>
        <v>0</v>
      </c>
      <c r="L245" s="66">
        <f>IF(VLOOKUP($D245,$C$5:$AU$493,3,)=0,0,(VLOOKUP($D245,$C$5:$AU$493,10,)/VLOOKUP($D245,$C$5:$AU$493,3,))*$E245)</f>
        <v>0</v>
      </c>
      <c r="M245" s="66">
        <f>IF(VLOOKUP($D245,$C$5:$AU$493,3,)=0,0,(VLOOKUP($D245,$C$5:$AU$493,11,)/VLOOKUP($D245,$C$5:$AU$493,3,))*$E245)</f>
        <v>0</v>
      </c>
      <c r="N245" s="66">
        <f>IF(VLOOKUP($D245,$C$5:$AU$493,3,)=0,0,(VLOOKUP($D245,$C$5:$AU$493,12,)/VLOOKUP($D245,$C$5:$AU$493,3,))*$E245)</f>
        <v>0</v>
      </c>
      <c r="O245" s="66">
        <f>IF(VLOOKUP($D245,$C$5:$AU$493,3,)=0,0,(VLOOKUP($D245,$C$5:$AU$493,13,)/VLOOKUP($D245,$C$5:$AU$493,3,))*$E245)</f>
        <v>0</v>
      </c>
      <c r="P245" s="66">
        <f>IF(VLOOKUP($D245,$C$5:$AU$493,3,)=0,0,(VLOOKUP($D245,$C$5:$AU$493,14,)/VLOOKUP($D245,$C$5:$AU$493,3,))*$E245)</f>
        <v>0</v>
      </c>
      <c r="Q245" s="66">
        <f>IF(VLOOKUP($D245,$C$5:$AU$493,3,)=0,0,(VLOOKUP($D245,$C$5:$AU$493,15,)/VLOOKUP($D245,$C$5:$AU$493,3,))*$E245)</f>
        <v>0</v>
      </c>
      <c r="R245" s="66">
        <f>IF(VLOOKUP($D245,$C$5:$AU$493,3,)=0,0,(VLOOKUP($D245,$C$5:$AU$493,16,)/VLOOKUP($D245,$C$5:$AU$493,3,))*$E245)</f>
        <v>0</v>
      </c>
      <c r="S245" s="66">
        <f>IF(VLOOKUP($D245,$C$5:$AU$493,3,)=0,0,(VLOOKUP($D245,$C$5:$AU$493,17,)/VLOOKUP($D245,$C$5:$AU$493,3,))*$E245)</f>
        <v>0</v>
      </c>
      <c r="T245" s="66">
        <f>IF(VLOOKUP($D245,$C$5:$AU$493,3,)=0,0,(VLOOKUP($D245,$C$5:$AU$493,18,)/VLOOKUP($D245,$C$5:$AU$493,3,))*$E245)</f>
        <v>0</v>
      </c>
      <c r="U245" s="66">
        <f>IF(VLOOKUP($D245,$C$5:$AU$493,3,)=0,0,(VLOOKUP($D245,$C$5:$AU$493,19,)/VLOOKUP($D245,$C$5:$AU$493,3,))*$E245)</f>
        <v>0</v>
      </c>
      <c r="V245" s="66">
        <f>IF(VLOOKUP($D245,$C$5:$AU$493,3,)=0,0,(VLOOKUP($D245,$C$5:$AU$493,20,)/VLOOKUP($D245,$C$5:$AU$493,3,))*$E245)</f>
        <v>0</v>
      </c>
      <c r="W245" s="66">
        <f>IF(VLOOKUP($D245,$C$5:$AU$493,3,)=0,0,(VLOOKUP($D245,$C$5:$AU$493,21,)/VLOOKUP($D245,$C$5:$AU$493,3,))*$E245)</f>
        <v>0</v>
      </c>
      <c r="X245" s="66">
        <f>IF(VLOOKUP($D245,$C$5:$AU$493,3,)=0,0,(VLOOKUP($D245,$C$5:$AU$493,22,)/VLOOKUP($D245,$C$5:$AU$493,3,))*$E245)</f>
        <v>0</v>
      </c>
      <c r="Y245" s="66">
        <f>IF(VLOOKUP($D245,$C$5:$AU$493,3,)=0,0,(VLOOKUP($D245,$C$5:$AU$493,23,)/VLOOKUP($D245,$C$5:$AU$493,3,))*$E245)</f>
        <v>0</v>
      </c>
      <c r="Z245" s="66">
        <f>IF(VLOOKUP($D245,$C$5:$AU$493,3,)=0,0,(VLOOKUP($D245,$C$5:$AU$493,24,)/VLOOKUP($D245,$C$5:$AU$493,3,))*$E245)</f>
        <v>0</v>
      </c>
      <c r="AA245" s="66">
        <f>IF(VLOOKUP($D245,$C$5:$AU$493,3,)=0,0,(VLOOKUP($D245,$C$5:$AU$493,25,)/VLOOKUP($D245,$C$5:$AU$493,3,))*$E245)</f>
        <v>0</v>
      </c>
      <c r="AB245" s="66">
        <f>IF(VLOOKUP($D245,$C$5:$AU$493,3,)=0,0,(VLOOKUP($D245,$C$5:$AU$493,26,)/VLOOKUP($D245,$C$5:$AU$493,3,))*$E245)</f>
        <v>0</v>
      </c>
      <c r="AC245" s="66">
        <f>IF(VLOOKUP($D245,$C$5:$AU$493,3,)=0,0,(VLOOKUP($D245,$C$5:$AU$493,27,)/VLOOKUP($D245,$C$5:$AU$493,3,))*$E245)</f>
        <v>0</v>
      </c>
      <c r="AD245" s="66">
        <f>IF(VLOOKUP($D245,$C$5:$AU$493,3,)=0,0,(VLOOKUP($D245,$C$5:$AU$493,28,)/VLOOKUP($D245,$C$5:$AU$493,3,))*$E245)</f>
        <v>0</v>
      </c>
      <c r="AE245" s="66">
        <f>IF(VLOOKUP($D245,$C$5:$AU$493,3,)=0,0,(VLOOKUP($D245,$C$5:$AU$493,29,)/VLOOKUP($D245,$C$5:$AU$493,3,))*$E245)</f>
        <v>0</v>
      </c>
      <c r="AF245" s="66">
        <f>IF(VLOOKUP($D245,$C$5:$AU$493,3,)=0,0,(VLOOKUP($D245,$C$5:$AU$493,30,)/VLOOKUP($D245,$C$5:$AU$493,3,))*$E245)</f>
        <v>0</v>
      </c>
      <c r="AG245" s="89">
        <f>SUM(F245:AF245)</f>
        <v>0</v>
      </c>
      <c r="AH245" s="27" t="str">
        <f>IF(ABS(E245-AG245)&lt;0.01,"ok","err")</f>
        <v>ok</v>
      </c>
    </row>
    <row r="246" spans="1:34" x14ac:dyDescent="0.2">
      <c r="E246" s="49"/>
    </row>
    <row r="247" spans="1:34" x14ac:dyDescent="0.2">
      <c r="A247" s="13" t="s">
        <v>2</v>
      </c>
      <c r="E247" s="49"/>
    </row>
    <row r="248" spans="1:34" x14ac:dyDescent="0.2">
      <c r="A248" s="92" t="s">
        <v>207</v>
      </c>
      <c r="C248" s="14" t="s">
        <v>300</v>
      </c>
      <c r="D248" s="14" t="s">
        <v>628</v>
      </c>
      <c r="E248" s="66">
        <f>'Func &amp; Classif'!O314</f>
        <v>0</v>
      </c>
      <c r="F248" s="66">
        <f>IF(VLOOKUP($D248,$C$5:$AU$493,3,)=0,0,(VLOOKUP($D248,$C$5:$AU$493,4,)/VLOOKUP($D248,$C$5:$AU$493,3,))*$E248)</f>
        <v>0</v>
      </c>
      <c r="G248" s="66">
        <f>IF(VLOOKUP($D248,$C$5:$AU$493,3,)=0,0,(VLOOKUP($D248,$C$5:$AU$493,5,)/VLOOKUP($D248,$C$5:$AU$493,3,))*$E248)</f>
        <v>0</v>
      </c>
      <c r="H248" s="66">
        <f>IF(VLOOKUP($D248,$C$5:$AU$493,3,)=0,0,(VLOOKUP($D248,$C$5:$AU$493,6,)/VLOOKUP($D248,$C$5:$AU$493,3,))*$E248)</f>
        <v>0</v>
      </c>
      <c r="I248" s="66">
        <f>IF(VLOOKUP($D248,$C$5:$AU$493,3,)=0,0,(VLOOKUP($D248,$C$5:$AU$493,7,)/VLOOKUP($D248,$C$5:$AU$493,3,))*$E248)</f>
        <v>0</v>
      </c>
      <c r="J248" s="66">
        <f>IF(VLOOKUP($D248,$C$5:$AU$493,3,)=0,0,(VLOOKUP($D248,$C$5:$AU$493,8,)/VLOOKUP($D248,$C$5:$AU$493,3,))*$E248)</f>
        <v>0</v>
      </c>
      <c r="K248" s="66">
        <f>IF(VLOOKUP($D248,$C$5:$AU$493,3,)=0,0,(VLOOKUP($D248,$C$5:$AU$493,9,)/VLOOKUP($D248,$C$5:$AU$493,3,))*$E248)</f>
        <v>0</v>
      </c>
      <c r="L248" s="66">
        <f>IF(VLOOKUP($D248,$C$5:$AU$493,3,)=0,0,(VLOOKUP($D248,$C$5:$AU$493,10,)/VLOOKUP($D248,$C$5:$AU$493,3,))*$E248)</f>
        <v>0</v>
      </c>
      <c r="M248" s="66">
        <f>IF(VLOOKUP($D248,$C$5:$AU$493,3,)=0,0,(VLOOKUP($D248,$C$5:$AU$493,11,)/VLOOKUP($D248,$C$5:$AU$493,3,))*$E248)</f>
        <v>0</v>
      </c>
      <c r="N248" s="66">
        <f>IF(VLOOKUP($D248,$C$5:$AU$493,3,)=0,0,(VLOOKUP($D248,$C$5:$AU$493,12,)/VLOOKUP($D248,$C$5:$AU$493,3,))*$E248)</f>
        <v>0</v>
      </c>
      <c r="O248" s="66">
        <f>IF(VLOOKUP($D248,$C$5:$AU$493,3,)=0,0,(VLOOKUP($D248,$C$5:$AU$493,13,)/VLOOKUP($D248,$C$5:$AU$493,3,))*$E248)</f>
        <v>0</v>
      </c>
      <c r="P248" s="66">
        <f>IF(VLOOKUP($D248,$C$5:$AU$493,3,)=0,0,(VLOOKUP($D248,$C$5:$AU$493,14,)/VLOOKUP($D248,$C$5:$AU$493,3,))*$E248)</f>
        <v>0</v>
      </c>
      <c r="Q248" s="66">
        <f>IF(VLOOKUP($D248,$C$5:$AU$493,3,)=0,0,(VLOOKUP($D248,$C$5:$AU$493,15,)/VLOOKUP($D248,$C$5:$AU$493,3,))*$E248)</f>
        <v>0</v>
      </c>
      <c r="R248" s="66">
        <f>IF(VLOOKUP($D248,$C$5:$AU$493,3,)=0,0,(VLOOKUP($D248,$C$5:$AU$493,16,)/VLOOKUP($D248,$C$5:$AU$493,3,))*$E248)</f>
        <v>0</v>
      </c>
      <c r="S248" s="66">
        <f>IF(VLOOKUP($D248,$C$5:$AU$493,3,)=0,0,(VLOOKUP($D248,$C$5:$AU$493,17,)/VLOOKUP($D248,$C$5:$AU$493,3,))*$E248)</f>
        <v>0</v>
      </c>
      <c r="T248" s="66">
        <f>IF(VLOOKUP($D248,$C$5:$AU$493,3,)=0,0,(VLOOKUP($D248,$C$5:$AU$493,18,)/VLOOKUP($D248,$C$5:$AU$493,3,))*$E248)</f>
        <v>0</v>
      </c>
      <c r="U248" s="66">
        <f>IF(VLOOKUP($D248,$C$5:$AU$493,3,)=0,0,(VLOOKUP($D248,$C$5:$AU$493,19,)/VLOOKUP($D248,$C$5:$AU$493,3,))*$E248)</f>
        <v>0</v>
      </c>
      <c r="V248" s="66">
        <f>IF(VLOOKUP($D248,$C$5:$AU$493,3,)=0,0,(VLOOKUP($D248,$C$5:$AU$493,20,)/VLOOKUP($D248,$C$5:$AU$493,3,))*$E248)</f>
        <v>0</v>
      </c>
      <c r="W248" s="66">
        <f>IF(VLOOKUP($D248,$C$5:$AU$493,3,)=0,0,(VLOOKUP($D248,$C$5:$AU$493,21,)/VLOOKUP($D248,$C$5:$AU$493,3,))*$E248)</f>
        <v>0</v>
      </c>
      <c r="X248" s="66">
        <f>IF(VLOOKUP($D248,$C$5:$AU$493,3,)=0,0,(VLOOKUP($D248,$C$5:$AU$493,22,)/VLOOKUP($D248,$C$5:$AU$493,3,))*$E248)</f>
        <v>0</v>
      </c>
      <c r="Y248" s="66">
        <f>IF(VLOOKUP($D248,$C$5:$AU$493,3,)=0,0,(VLOOKUP($D248,$C$5:$AU$493,23,)/VLOOKUP($D248,$C$5:$AU$493,3,))*$E248)</f>
        <v>0</v>
      </c>
      <c r="Z248" s="66">
        <f>IF(VLOOKUP($D248,$C$5:$AU$493,3,)=0,0,(VLOOKUP($D248,$C$5:$AU$493,24,)/VLOOKUP($D248,$C$5:$AU$493,3,))*$E248)</f>
        <v>0</v>
      </c>
      <c r="AA248" s="66">
        <f>IF(VLOOKUP($D248,$C$5:$AU$493,3,)=0,0,(VLOOKUP($D248,$C$5:$AU$493,25,)/VLOOKUP($D248,$C$5:$AU$493,3,))*$E248)</f>
        <v>0</v>
      </c>
      <c r="AB248" s="66">
        <f>IF(VLOOKUP($D248,$C$5:$AU$493,3,)=0,0,(VLOOKUP($D248,$C$5:$AU$493,26,)/VLOOKUP($D248,$C$5:$AU$493,3,))*$E248)</f>
        <v>0</v>
      </c>
      <c r="AC248" s="66">
        <f>IF(VLOOKUP($D248,$C$5:$AU$493,3,)=0,0,(VLOOKUP($D248,$C$5:$AU$493,27,)/VLOOKUP($D248,$C$5:$AU$493,3,))*$E248)</f>
        <v>0</v>
      </c>
      <c r="AD248" s="66">
        <f>IF(VLOOKUP($D248,$C$5:$AU$493,3,)=0,0,(VLOOKUP($D248,$C$5:$AU$493,28,)/VLOOKUP($D248,$C$5:$AU$493,3,))*$E248)</f>
        <v>0</v>
      </c>
      <c r="AE248" s="66">
        <f>IF(VLOOKUP($D248,$C$5:$AU$493,3,)=0,0,(VLOOKUP($D248,$C$5:$AU$493,29,)/VLOOKUP($D248,$C$5:$AU$493,3,))*$E248)</f>
        <v>0</v>
      </c>
      <c r="AF248" s="66">
        <f>IF(VLOOKUP($D248,$C$5:$AU$493,3,)=0,0,(VLOOKUP($D248,$C$5:$AU$493,30,)/VLOOKUP($D248,$C$5:$AU$493,3,))*$E248)</f>
        <v>0</v>
      </c>
      <c r="AG248" s="89">
        <f>SUM(F248:AF248)</f>
        <v>0</v>
      </c>
      <c r="AH248" s="27" t="str">
        <f>IF(ABS(E248-AG248)&lt;0.01,"ok","err")</f>
        <v>ok</v>
      </c>
    </row>
    <row r="249" spans="1:34" x14ac:dyDescent="0.2">
      <c r="A249" s="92" t="s">
        <v>219</v>
      </c>
      <c r="C249" s="14" t="s">
        <v>301</v>
      </c>
      <c r="D249" s="14" t="s">
        <v>221</v>
      </c>
      <c r="E249" s="49">
        <f>'Func &amp; Classif'!P314</f>
        <v>0</v>
      </c>
      <c r="F249" s="66">
        <f>IF(VLOOKUP($D249,$C$5:$AU$493,3,)=0,0,(VLOOKUP($D249,$C$5:$AU$493,4,)/VLOOKUP($D249,$C$5:$AU$493,3,))*$E249)</f>
        <v>0</v>
      </c>
      <c r="G249" s="66">
        <f>IF(VLOOKUP($D249,$C$5:$AU$493,3,)=0,0,(VLOOKUP($D249,$C$5:$AU$493,5,)/VLOOKUP($D249,$C$5:$AU$493,3,))*$E249)</f>
        <v>0</v>
      </c>
      <c r="H249" s="66">
        <f>IF(VLOOKUP($D249,$C$5:$AU$493,3,)=0,0,(VLOOKUP($D249,$C$5:$AU$493,6,)/VLOOKUP($D249,$C$5:$AU$493,3,))*$E249)</f>
        <v>0</v>
      </c>
      <c r="I249" s="66">
        <f>IF(VLOOKUP($D249,$C$5:$AU$493,3,)=0,0,(VLOOKUP($D249,$C$5:$AU$493,7,)/VLOOKUP($D249,$C$5:$AU$493,3,))*$E249)</f>
        <v>0</v>
      </c>
      <c r="J249" s="66">
        <f>IF(VLOOKUP($D249,$C$5:$AU$493,3,)=0,0,(VLOOKUP($D249,$C$5:$AU$493,8,)/VLOOKUP($D249,$C$5:$AU$493,3,))*$E249)</f>
        <v>0</v>
      </c>
      <c r="K249" s="66">
        <f>IF(VLOOKUP($D249,$C$5:$AU$493,3,)=0,0,(VLOOKUP($D249,$C$5:$AU$493,9,)/VLOOKUP($D249,$C$5:$AU$493,3,))*$E249)</f>
        <v>0</v>
      </c>
      <c r="L249" s="66">
        <f>IF(VLOOKUP($D249,$C$5:$AU$493,3,)=0,0,(VLOOKUP($D249,$C$5:$AU$493,10,)/VLOOKUP($D249,$C$5:$AU$493,3,))*$E249)</f>
        <v>0</v>
      </c>
      <c r="M249" s="66">
        <f>IF(VLOOKUP($D249,$C$5:$AU$493,3,)=0,0,(VLOOKUP($D249,$C$5:$AU$493,11,)/VLOOKUP($D249,$C$5:$AU$493,3,))*$E249)</f>
        <v>0</v>
      </c>
      <c r="N249" s="66">
        <f>IF(VLOOKUP($D249,$C$5:$AU$493,3,)=0,0,(VLOOKUP($D249,$C$5:$AU$493,12,)/VLOOKUP($D249,$C$5:$AU$493,3,))*$E249)</f>
        <v>0</v>
      </c>
      <c r="O249" s="66">
        <f>IF(VLOOKUP($D249,$C$5:$AU$493,3,)=0,0,(VLOOKUP($D249,$C$5:$AU$493,13,)/VLOOKUP($D249,$C$5:$AU$493,3,))*$E249)</f>
        <v>0</v>
      </c>
      <c r="P249" s="66">
        <f>IF(VLOOKUP($D249,$C$5:$AU$493,3,)=0,0,(VLOOKUP($D249,$C$5:$AU$493,14,)/VLOOKUP($D249,$C$5:$AU$493,3,))*$E249)</f>
        <v>0</v>
      </c>
      <c r="Q249" s="66">
        <f>IF(VLOOKUP($D249,$C$5:$AU$493,3,)=0,0,(VLOOKUP($D249,$C$5:$AU$493,15,)/VLOOKUP($D249,$C$5:$AU$493,3,))*$E249)</f>
        <v>0</v>
      </c>
      <c r="R249" s="66">
        <f>IF(VLOOKUP($D249,$C$5:$AU$493,3,)=0,0,(VLOOKUP($D249,$C$5:$AU$493,16,)/VLOOKUP($D249,$C$5:$AU$493,3,))*$E249)</f>
        <v>0</v>
      </c>
      <c r="S249" s="66">
        <f>IF(VLOOKUP($D249,$C$5:$AU$493,3,)=0,0,(VLOOKUP($D249,$C$5:$AU$493,17,)/VLOOKUP($D249,$C$5:$AU$493,3,))*$E249)</f>
        <v>0</v>
      </c>
      <c r="T249" s="66">
        <f>IF(VLOOKUP($D249,$C$5:$AU$493,3,)=0,0,(VLOOKUP($D249,$C$5:$AU$493,18,)/VLOOKUP($D249,$C$5:$AU$493,3,))*$E249)</f>
        <v>0</v>
      </c>
      <c r="U249" s="66">
        <f>IF(VLOOKUP($D249,$C$5:$AU$493,3,)=0,0,(VLOOKUP($D249,$C$5:$AU$493,19,)/VLOOKUP($D249,$C$5:$AU$493,3,))*$E249)</f>
        <v>0</v>
      </c>
      <c r="V249" s="66">
        <f>IF(VLOOKUP($D249,$C$5:$AU$493,3,)=0,0,(VLOOKUP($D249,$C$5:$AU$493,20,)/VLOOKUP($D249,$C$5:$AU$493,3,))*$E249)</f>
        <v>0</v>
      </c>
      <c r="W249" s="66">
        <f>IF(VLOOKUP($D249,$C$5:$AU$493,3,)=0,0,(VLOOKUP($D249,$C$5:$AU$493,21,)/VLOOKUP($D249,$C$5:$AU$493,3,))*$E249)</f>
        <v>0</v>
      </c>
      <c r="X249" s="66">
        <f>IF(VLOOKUP($D249,$C$5:$AU$493,3,)=0,0,(VLOOKUP($D249,$C$5:$AU$493,22,)/VLOOKUP($D249,$C$5:$AU$493,3,))*$E249)</f>
        <v>0</v>
      </c>
      <c r="Y249" s="66">
        <f>IF(VLOOKUP($D249,$C$5:$AU$493,3,)=0,0,(VLOOKUP($D249,$C$5:$AU$493,23,)/VLOOKUP($D249,$C$5:$AU$493,3,))*$E249)</f>
        <v>0</v>
      </c>
      <c r="Z249" s="66">
        <f>IF(VLOOKUP($D249,$C$5:$AU$493,3,)=0,0,(VLOOKUP($D249,$C$5:$AU$493,24,)/VLOOKUP($D249,$C$5:$AU$493,3,))*$E249)</f>
        <v>0</v>
      </c>
      <c r="AA249" s="66">
        <f>IF(VLOOKUP($D249,$C$5:$AU$493,3,)=0,0,(VLOOKUP($D249,$C$5:$AU$493,25,)/VLOOKUP($D249,$C$5:$AU$493,3,))*$E249)</f>
        <v>0</v>
      </c>
      <c r="AB249" s="66">
        <f>IF(VLOOKUP($D249,$C$5:$AU$493,3,)=0,0,(VLOOKUP($D249,$C$5:$AU$493,26,)/VLOOKUP($D249,$C$5:$AU$493,3,))*$E249)</f>
        <v>0</v>
      </c>
      <c r="AC249" s="66">
        <f>IF(VLOOKUP($D249,$C$5:$AU$493,3,)=0,0,(VLOOKUP($D249,$C$5:$AU$493,27,)/VLOOKUP($D249,$C$5:$AU$493,3,))*$E249)</f>
        <v>0</v>
      </c>
      <c r="AD249" s="66">
        <f>IF(VLOOKUP($D249,$C$5:$AU$493,3,)=0,0,(VLOOKUP($D249,$C$5:$AU$493,28,)/VLOOKUP($D249,$C$5:$AU$493,3,))*$E249)</f>
        <v>0</v>
      </c>
      <c r="AE249" s="66">
        <f>IF(VLOOKUP($D249,$C$5:$AU$493,3,)=0,0,(VLOOKUP($D249,$C$5:$AU$493,29,)/VLOOKUP($D249,$C$5:$AU$493,3,))*$E249)</f>
        <v>0</v>
      </c>
      <c r="AF249" s="66">
        <f>IF(VLOOKUP($D249,$C$5:$AU$493,3,)=0,0,(VLOOKUP($D249,$C$5:$AU$493,30,)/VLOOKUP($D249,$C$5:$AU$493,3,))*$E249)</f>
        <v>0</v>
      </c>
      <c r="AG249" s="89">
        <f>SUM(F249:AF249)</f>
        <v>0</v>
      </c>
      <c r="AH249" s="27" t="str">
        <f>IF(ABS(E249-AG249)&lt;0.01,"ok","err")</f>
        <v>ok</v>
      </c>
    </row>
    <row r="250" spans="1:34" x14ac:dyDescent="0.2">
      <c r="A250" s="14" t="s">
        <v>222</v>
      </c>
      <c r="E250" s="66">
        <f t="shared" ref="E250:T250" si="51">E248+E249</f>
        <v>0</v>
      </c>
      <c r="F250" s="66">
        <f t="shared" si="51"/>
        <v>0</v>
      </c>
      <c r="G250" s="66">
        <f t="shared" si="51"/>
        <v>0</v>
      </c>
      <c r="H250" s="66">
        <f t="shared" si="51"/>
        <v>0</v>
      </c>
      <c r="I250" s="66">
        <f t="shared" si="51"/>
        <v>0</v>
      </c>
      <c r="J250" s="66">
        <f t="shared" si="51"/>
        <v>0</v>
      </c>
      <c r="K250" s="66">
        <f t="shared" si="51"/>
        <v>0</v>
      </c>
      <c r="L250" s="66">
        <f t="shared" si="51"/>
        <v>0</v>
      </c>
      <c r="M250" s="66">
        <f t="shared" si="51"/>
        <v>0</v>
      </c>
      <c r="N250" s="66">
        <f t="shared" si="51"/>
        <v>0</v>
      </c>
      <c r="O250" s="66">
        <f t="shared" si="51"/>
        <v>0</v>
      </c>
      <c r="P250" s="66">
        <f t="shared" si="51"/>
        <v>0</v>
      </c>
      <c r="Q250" s="66">
        <f t="shared" si="51"/>
        <v>0</v>
      </c>
      <c r="R250" s="66">
        <f t="shared" si="51"/>
        <v>0</v>
      </c>
      <c r="S250" s="66">
        <f t="shared" si="51"/>
        <v>0</v>
      </c>
      <c r="T250" s="66">
        <f t="shared" si="51"/>
        <v>0</v>
      </c>
      <c r="U250" s="66">
        <f t="shared" ref="U250:AF250" si="52">U248+U249</f>
        <v>0</v>
      </c>
      <c r="V250" s="66">
        <f t="shared" si="52"/>
        <v>0</v>
      </c>
      <c r="W250" s="66">
        <f t="shared" si="52"/>
        <v>0</v>
      </c>
      <c r="X250" s="66">
        <f t="shared" si="52"/>
        <v>0</v>
      </c>
      <c r="Y250" s="66">
        <f t="shared" si="52"/>
        <v>0</v>
      </c>
      <c r="Z250" s="66">
        <f t="shared" si="52"/>
        <v>0</v>
      </c>
      <c r="AA250" s="66">
        <f t="shared" si="52"/>
        <v>0</v>
      </c>
      <c r="AB250" s="66">
        <f t="shared" si="52"/>
        <v>0</v>
      </c>
      <c r="AC250" s="66">
        <f t="shared" si="52"/>
        <v>0</v>
      </c>
      <c r="AD250" s="66">
        <f t="shared" si="52"/>
        <v>0</v>
      </c>
      <c r="AE250" s="66">
        <f t="shared" si="52"/>
        <v>0</v>
      </c>
      <c r="AF250" s="66">
        <f t="shared" si="52"/>
        <v>0</v>
      </c>
      <c r="AG250" s="89">
        <f>SUM(F250:AF250)</f>
        <v>0</v>
      </c>
      <c r="AH250" s="27" t="str">
        <f>IF(ABS(E250-AG250)&lt;0.01,"ok","err")</f>
        <v>ok</v>
      </c>
    </row>
    <row r="251" spans="1:34" x14ac:dyDescent="0.2">
      <c r="E251" s="49"/>
    </row>
    <row r="252" spans="1:34" x14ac:dyDescent="0.2">
      <c r="A252" s="13" t="s">
        <v>3</v>
      </c>
      <c r="E252" s="49"/>
    </row>
    <row r="253" spans="1:34" x14ac:dyDescent="0.2">
      <c r="A253" s="92" t="s">
        <v>207</v>
      </c>
      <c r="C253" s="14" t="s">
        <v>302</v>
      </c>
      <c r="D253" s="14" t="s">
        <v>700</v>
      </c>
      <c r="E253" s="66">
        <f>'Func &amp; Classif'!R314</f>
        <v>0</v>
      </c>
      <c r="F253" s="66">
        <f>IF(VLOOKUP($D253,$C$5:$AU$493,3,)=0,0,(VLOOKUP($D253,$C$5:$AU$493,4,)/VLOOKUP($D253,$C$5:$AU$493,3,))*$E253)</f>
        <v>0</v>
      </c>
      <c r="G253" s="66">
        <f>IF(VLOOKUP($D253,$C$5:$AU$493,3,)=0,0,(VLOOKUP($D253,$C$5:$AU$493,5,)/VLOOKUP($D253,$C$5:$AU$493,3,))*$E253)</f>
        <v>0</v>
      </c>
      <c r="H253" s="66">
        <f>IF(VLOOKUP($D253,$C$5:$AU$493,3,)=0,0,(VLOOKUP($D253,$C$5:$AU$493,6,)/VLOOKUP($D253,$C$5:$AU$493,3,))*$E253)</f>
        <v>0</v>
      </c>
      <c r="I253" s="66">
        <f>IF(VLOOKUP($D253,$C$5:$AU$493,3,)=0,0,(VLOOKUP($D253,$C$5:$AU$493,7,)/VLOOKUP($D253,$C$5:$AU$493,3,))*$E253)</f>
        <v>0</v>
      </c>
      <c r="J253" s="66">
        <f>IF(VLOOKUP($D253,$C$5:$AU$493,3,)=0,0,(VLOOKUP($D253,$C$5:$AU$493,8,)/VLOOKUP($D253,$C$5:$AU$493,3,))*$E253)</f>
        <v>0</v>
      </c>
      <c r="K253" s="66">
        <f>IF(VLOOKUP($D253,$C$5:$AU$493,3,)=0,0,(VLOOKUP($D253,$C$5:$AU$493,9,)/VLOOKUP($D253,$C$5:$AU$493,3,))*$E253)</f>
        <v>0</v>
      </c>
      <c r="L253" s="66">
        <f>IF(VLOOKUP($D253,$C$5:$AU$493,3,)=0,0,(VLOOKUP($D253,$C$5:$AU$493,10,)/VLOOKUP($D253,$C$5:$AU$493,3,))*$E253)</f>
        <v>0</v>
      </c>
      <c r="M253" s="66">
        <f>IF(VLOOKUP($D253,$C$5:$AU$493,3,)=0,0,(VLOOKUP($D253,$C$5:$AU$493,11,)/VLOOKUP($D253,$C$5:$AU$493,3,))*$E253)</f>
        <v>0</v>
      </c>
      <c r="N253" s="66">
        <f>IF(VLOOKUP($D253,$C$5:$AU$493,3,)=0,0,(VLOOKUP($D253,$C$5:$AU$493,12,)/VLOOKUP($D253,$C$5:$AU$493,3,))*$E253)</f>
        <v>0</v>
      </c>
      <c r="O253" s="66">
        <f>IF(VLOOKUP($D253,$C$5:$AU$493,3,)=0,0,(VLOOKUP($D253,$C$5:$AU$493,13,)/VLOOKUP($D253,$C$5:$AU$493,3,))*$E253)</f>
        <v>0</v>
      </c>
      <c r="P253" s="66">
        <f>IF(VLOOKUP($D253,$C$5:$AU$493,3,)=0,0,(VLOOKUP($D253,$C$5:$AU$493,14,)/VLOOKUP($D253,$C$5:$AU$493,3,))*$E253)</f>
        <v>0</v>
      </c>
      <c r="Q253" s="66">
        <f>IF(VLOOKUP($D253,$C$5:$AU$493,3,)=0,0,(VLOOKUP($D253,$C$5:$AU$493,15,)/VLOOKUP($D253,$C$5:$AU$493,3,))*$E253)</f>
        <v>0</v>
      </c>
      <c r="R253" s="66">
        <f>IF(VLOOKUP($D253,$C$5:$AU$493,3,)=0,0,(VLOOKUP($D253,$C$5:$AU$493,16,)/VLOOKUP($D253,$C$5:$AU$493,3,))*$E253)</f>
        <v>0</v>
      </c>
      <c r="S253" s="66">
        <f>IF(VLOOKUP($D253,$C$5:$AU$493,3,)=0,0,(VLOOKUP($D253,$C$5:$AU$493,17,)/VLOOKUP($D253,$C$5:$AU$493,3,))*$E253)</f>
        <v>0</v>
      </c>
      <c r="T253" s="66">
        <f>IF(VLOOKUP($D253,$C$5:$AU$493,3,)=0,0,(VLOOKUP($D253,$C$5:$AU$493,18,)/VLOOKUP($D253,$C$5:$AU$493,3,))*$E253)</f>
        <v>0</v>
      </c>
      <c r="U253" s="66">
        <f>IF(VLOOKUP($D253,$C$5:$AU$493,3,)=0,0,(VLOOKUP($D253,$C$5:$AU$493,19,)/VLOOKUP($D253,$C$5:$AU$493,3,))*$E253)</f>
        <v>0</v>
      </c>
      <c r="V253" s="66">
        <f>IF(VLOOKUP($D253,$C$5:$AU$493,3,)=0,0,(VLOOKUP($D253,$C$5:$AU$493,20,)/VLOOKUP($D253,$C$5:$AU$493,3,))*$E253)</f>
        <v>0</v>
      </c>
      <c r="W253" s="66">
        <f>IF(VLOOKUP($D253,$C$5:$AU$493,3,)=0,0,(VLOOKUP($D253,$C$5:$AU$493,21,)/VLOOKUP($D253,$C$5:$AU$493,3,))*$E253)</f>
        <v>0</v>
      </c>
      <c r="X253" s="66">
        <f>IF(VLOOKUP($D253,$C$5:$AU$493,3,)=0,0,(VLOOKUP($D253,$C$5:$AU$493,22,)/VLOOKUP($D253,$C$5:$AU$493,3,))*$E253)</f>
        <v>0</v>
      </c>
      <c r="Y253" s="66">
        <f>IF(VLOOKUP($D253,$C$5:$AU$493,3,)=0,0,(VLOOKUP($D253,$C$5:$AU$493,23,)/VLOOKUP($D253,$C$5:$AU$493,3,))*$E253)</f>
        <v>0</v>
      </c>
      <c r="Z253" s="66">
        <f>IF(VLOOKUP($D253,$C$5:$AU$493,3,)=0,0,(VLOOKUP($D253,$C$5:$AU$493,24,)/VLOOKUP($D253,$C$5:$AU$493,3,))*$E253)</f>
        <v>0</v>
      </c>
      <c r="AA253" s="66">
        <f>IF(VLOOKUP($D253,$C$5:$AU$493,3,)=0,0,(VLOOKUP($D253,$C$5:$AU$493,25,)/VLOOKUP($D253,$C$5:$AU$493,3,))*$E253)</f>
        <v>0</v>
      </c>
      <c r="AB253" s="66">
        <f>IF(VLOOKUP($D253,$C$5:$AU$493,3,)=0,0,(VLOOKUP($D253,$C$5:$AU$493,26,)/VLOOKUP($D253,$C$5:$AU$493,3,))*$E253)</f>
        <v>0</v>
      </c>
      <c r="AC253" s="66">
        <f>IF(VLOOKUP($D253,$C$5:$AU$493,3,)=0,0,(VLOOKUP($D253,$C$5:$AU$493,27,)/VLOOKUP($D253,$C$5:$AU$493,3,))*$E253)</f>
        <v>0</v>
      </c>
      <c r="AD253" s="66">
        <f>IF(VLOOKUP($D253,$C$5:$AU$493,3,)=0,0,(VLOOKUP($D253,$C$5:$AU$493,28,)/VLOOKUP($D253,$C$5:$AU$493,3,))*$E253)</f>
        <v>0</v>
      </c>
      <c r="AE253" s="66">
        <f>IF(VLOOKUP($D253,$C$5:$AU$493,3,)=0,0,(VLOOKUP($D253,$C$5:$AU$493,29,)/VLOOKUP($D253,$C$5:$AU$493,3,))*$E253)</f>
        <v>0</v>
      </c>
      <c r="AF253" s="66">
        <f>IF(VLOOKUP($D253,$C$5:$AU$493,3,)=0,0,(VLOOKUP($D253,$C$5:$AU$493,30,)/VLOOKUP($D253,$C$5:$AU$493,3,))*$E253)</f>
        <v>0</v>
      </c>
      <c r="AG253" s="89">
        <f>SUM(F253:AF253)</f>
        <v>0</v>
      </c>
      <c r="AH253" s="27" t="str">
        <f>IF(ABS(E253-AG253)&lt;0.01,"ok","err")</f>
        <v>ok</v>
      </c>
    </row>
    <row r="254" spans="1:34" x14ac:dyDescent="0.2">
      <c r="A254" s="92" t="s">
        <v>219</v>
      </c>
      <c r="C254" s="14" t="s">
        <v>303</v>
      </c>
      <c r="D254" s="14" t="s">
        <v>700</v>
      </c>
      <c r="E254" s="49">
        <f>'Func &amp; Classif'!S314</f>
        <v>0</v>
      </c>
      <c r="F254" s="66">
        <f>IF(VLOOKUP($D254,$C$5:$AU$493,3,)=0,0,(VLOOKUP($D254,$C$5:$AU$493,4,)/VLOOKUP($D254,$C$5:$AU$493,3,))*$E254)</f>
        <v>0</v>
      </c>
      <c r="G254" s="66">
        <f>IF(VLOOKUP($D254,$C$5:$AU$493,3,)=0,0,(VLOOKUP($D254,$C$5:$AU$493,5,)/VLOOKUP($D254,$C$5:$AU$493,3,))*$E254)</f>
        <v>0</v>
      </c>
      <c r="H254" s="66">
        <f>IF(VLOOKUP($D254,$C$5:$AU$493,3,)=0,0,(VLOOKUP($D254,$C$5:$AU$493,6,)/VLOOKUP($D254,$C$5:$AU$493,3,))*$E254)</f>
        <v>0</v>
      </c>
      <c r="I254" s="66">
        <f>IF(VLOOKUP($D254,$C$5:$AU$493,3,)=0,0,(VLOOKUP($D254,$C$5:$AU$493,7,)/VLOOKUP($D254,$C$5:$AU$493,3,))*$E254)</f>
        <v>0</v>
      </c>
      <c r="J254" s="66">
        <f>IF(VLOOKUP($D254,$C$5:$AU$493,3,)=0,0,(VLOOKUP($D254,$C$5:$AU$493,8,)/VLOOKUP($D254,$C$5:$AU$493,3,))*$E254)</f>
        <v>0</v>
      </c>
      <c r="K254" s="66">
        <f>IF(VLOOKUP($D254,$C$5:$AU$493,3,)=0,0,(VLOOKUP($D254,$C$5:$AU$493,9,)/VLOOKUP($D254,$C$5:$AU$493,3,))*$E254)</f>
        <v>0</v>
      </c>
      <c r="L254" s="66">
        <f>IF(VLOOKUP($D254,$C$5:$AU$493,3,)=0,0,(VLOOKUP($D254,$C$5:$AU$493,10,)/VLOOKUP($D254,$C$5:$AU$493,3,))*$E254)</f>
        <v>0</v>
      </c>
      <c r="M254" s="66">
        <f>IF(VLOOKUP($D254,$C$5:$AU$493,3,)=0,0,(VLOOKUP($D254,$C$5:$AU$493,11,)/VLOOKUP($D254,$C$5:$AU$493,3,))*$E254)</f>
        <v>0</v>
      </c>
      <c r="N254" s="66">
        <f>IF(VLOOKUP($D254,$C$5:$AU$493,3,)=0,0,(VLOOKUP($D254,$C$5:$AU$493,12,)/VLOOKUP($D254,$C$5:$AU$493,3,))*$E254)</f>
        <v>0</v>
      </c>
      <c r="O254" s="66">
        <f>IF(VLOOKUP($D254,$C$5:$AU$493,3,)=0,0,(VLOOKUP($D254,$C$5:$AU$493,13,)/VLOOKUP($D254,$C$5:$AU$493,3,))*$E254)</f>
        <v>0</v>
      </c>
      <c r="P254" s="66">
        <f>IF(VLOOKUP($D254,$C$5:$AU$493,3,)=0,0,(VLOOKUP($D254,$C$5:$AU$493,14,)/VLOOKUP($D254,$C$5:$AU$493,3,))*$E254)</f>
        <v>0</v>
      </c>
      <c r="Q254" s="66">
        <f>IF(VLOOKUP($D254,$C$5:$AU$493,3,)=0,0,(VLOOKUP($D254,$C$5:$AU$493,15,)/VLOOKUP($D254,$C$5:$AU$493,3,))*$E254)</f>
        <v>0</v>
      </c>
      <c r="R254" s="66">
        <f>IF(VLOOKUP($D254,$C$5:$AU$493,3,)=0,0,(VLOOKUP($D254,$C$5:$AU$493,16,)/VLOOKUP($D254,$C$5:$AU$493,3,))*$E254)</f>
        <v>0</v>
      </c>
      <c r="S254" s="66">
        <f>IF(VLOOKUP($D254,$C$5:$AU$493,3,)=0,0,(VLOOKUP($D254,$C$5:$AU$493,17,)/VLOOKUP($D254,$C$5:$AU$493,3,))*$E254)</f>
        <v>0</v>
      </c>
      <c r="T254" s="66">
        <f>IF(VLOOKUP($D254,$C$5:$AU$493,3,)=0,0,(VLOOKUP($D254,$C$5:$AU$493,18,)/VLOOKUP($D254,$C$5:$AU$493,3,))*$E254)</f>
        <v>0</v>
      </c>
      <c r="U254" s="66">
        <f>IF(VLOOKUP($D254,$C$5:$AU$493,3,)=0,0,(VLOOKUP($D254,$C$5:$AU$493,19,)/VLOOKUP($D254,$C$5:$AU$493,3,))*$E254)</f>
        <v>0</v>
      </c>
      <c r="V254" s="66">
        <f>IF(VLOOKUP($D254,$C$5:$AU$493,3,)=0,0,(VLOOKUP($D254,$C$5:$AU$493,20,)/VLOOKUP($D254,$C$5:$AU$493,3,))*$E254)</f>
        <v>0</v>
      </c>
      <c r="W254" s="66">
        <f>IF(VLOOKUP($D254,$C$5:$AU$493,3,)=0,0,(VLOOKUP($D254,$C$5:$AU$493,21,)/VLOOKUP($D254,$C$5:$AU$493,3,))*$E254)</f>
        <v>0</v>
      </c>
      <c r="X254" s="66">
        <f>IF(VLOOKUP($D254,$C$5:$AU$493,3,)=0,0,(VLOOKUP($D254,$C$5:$AU$493,22,)/VLOOKUP($D254,$C$5:$AU$493,3,))*$E254)</f>
        <v>0</v>
      </c>
      <c r="Y254" s="66">
        <f>IF(VLOOKUP($D254,$C$5:$AU$493,3,)=0,0,(VLOOKUP($D254,$C$5:$AU$493,23,)/VLOOKUP($D254,$C$5:$AU$493,3,))*$E254)</f>
        <v>0</v>
      </c>
      <c r="Z254" s="66">
        <f>IF(VLOOKUP($D254,$C$5:$AU$493,3,)=0,0,(VLOOKUP($D254,$C$5:$AU$493,24,)/VLOOKUP($D254,$C$5:$AU$493,3,))*$E254)</f>
        <v>0</v>
      </c>
      <c r="AA254" s="66">
        <f>IF(VLOOKUP($D254,$C$5:$AU$493,3,)=0,0,(VLOOKUP($D254,$C$5:$AU$493,25,)/VLOOKUP($D254,$C$5:$AU$493,3,))*$E254)</f>
        <v>0</v>
      </c>
      <c r="AB254" s="66">
        <f>IF(VLOOKUP($D254,$C$5:$AU$493,3,)=0,0,(VLOOKUP($D254,$C$5:$AU$493,26,)/VLOOKUP($D254,$C$5:$AU$493,3,))*$E254)</f>
        <v>0</v>
      </c>
      <c r="AC254" s="66">
        <f>IF(VLOOKUP($D254,$C$5:$AU$493,3,)=0,0,(VLOOKUP($D254,$C$5:$AU$493,27,)/VLOOKUP($D254,$C$5:$AU$493,3,))*$E254)</f>
        <v>0</v>
      </c>
      <c r="AD254" s="66">
        <f>IF(VLOOKUP($D254,$C$5:$AU$493,3,)=0,0,(VLOOKUP($D254,$C$5:$AU$493,28,)/VLOOKUP($D254,$C$5:$AU$493,3,))*$E254)</f>
        <v>0</v>
      </c>
      <c r="AE254" s="66">
        <f>IF(VLOOKUP($D254,$C$5:$AU$493,3,)=0,0,(VLOOKUP($D254,$C$5:$AU$493,29,)/VLOOKUP($D254,$C$5:$AU$493,3,))*$E254)</f>
        <v>0</v>
      </c>
      <c r="AF254" s="66">
        <f>IF(VLOOKUP($D254,$C$5:$AU$493,3,)=0,0,(VLOOKUP($D254,$C$5:$AU$493,30,)/VLOOKUP($D254,$C$5:$AU$493,3,))*$E254)</f>
        <v>0</v>
      </c>
      <c r="AG254" s="89">
        <f>SUM(F254:AF254)</f>
        <v>0</v>
      </c>
      <c r="AH254" s="27" t="str">
        <f>IF(ABS(E254-AG254)&lt;0.01,"ok","err")</f>
        <v>ok</v>
      </c>
    </row>
    <row r="255" spans="1:34" x14ac:dyDescent="0.2">
      <c r="A255" s="14" t="s">
        <v>226</v>
      </c>
      <c r="E255" s="66">
        <f t="shared" ref="E255:T255" si="53">E253+E254</f>
        <v>0</v>
      </c>
      <c r="F255" s="66">
        <f t="shared" si="53"/>
        <v>0</v>
      </c>
      <c r="G255" s="66">
        <f t="shared" si="53"/>
        <v>0</v>
      </c>
      <c r="H255" s="66">
        <f t="shared" si="53"/>
        <v>0</v>
      </c>
      <c r="I255" s="66">
        <f t="shared" si="53"/>
        <v>0</v>
      </c>
      <c r="J255" s="66">
        <f t="shared" si="53"/>
        <v>0</v>
      </c>
      <c r="K255" s="66">
        <f t="shared" si="53"/>
        <v>0</v>
      </c>
      <c r="L255" s="66">
        <f t="shared" si="53"/>
        <v>0</v>
      </c>
      <c r="M255" s="66">
        <f t="shared" si="53"/>
        <v>0</v>
      </c>
      <c r="N255" s="66">
        <f t="shared" si="53"/>
        <v>0</v>
      </c>
      <c r="O255" s="66">
        <f t="shared" si="53"/>
        <v>0</v>
      </c>
      <c r="P255" s="66">
        <f t="shared" si="53"/>
        <v>0</v>
      </c>
      <c r="Q255" s="66">
        <f t="shared" si="53"/>
        <v>0</v>
      </c>
      <c r="R255" s="66">
        <f t="shared" si="53"/>
        <v>0</v>
      </c>
      <c r="S255" s="66">
        <f t="shared" si="53"/>
        <v>0</v>
      </c>
      <c r="T255" s="66">
        <f t="shared" si="53"/>
        <v>0</v>
      </c>
      <c r="U255" s="66">
        <f t="shared" ref="U255:AF255" si="54">U253+U254</f>
        <v>0</v>
      </c>
      <c r="V255" s="66">
        <f t="shared" si="54"/>
        <v>0</v>
      </c>
      <c r="W255" s="66">
        <f t="shared" si="54"/>
        <v>0</v>
      </c>
      <c r="X255" s="66">
        <f t="shared" si="54"/>
        <v>0</v>
      </c>
      <c r="Y255" s="66">
        <f t="shared" si="54"/>
        <v>0</v>
      </c>
      <c r="Z255" s="66">
        <f t="shared" si="54"/>
        <v>0</v>
      </c>
      <c r="AA255" s="66">
        <f t="shared" si="54"/>
        <v>0</v>
      </c>
      <c r="AB255" s="66">
        <f t="shared" si="54"/>
        <v>0</v>
      </c>
      <c r="AC255" s="66">
        <f t="shared" si="54"/>
        <v>0</v>
      </c>
      <c r="AD255" s="66">
        <f t="shared" si="54"/>
        <v>0</v>
      </c>
      <c r="AE255" s="66">
        <f t="shared" si="54"/>
        <v>0</v>
      </c>
      <c r="AF255" s="66">
        <f t="shared" si="54"/>
        <v>0</v>
      </c>
      <c r="AG255" s="89">
        <f>SUM(F255:AF255)</f>
        <v>0</v>
      </c>
      <c r="AH255" s="27" t="str">
        <f>IF(ABS(E255-AG255)&lt;0.01,"ok","err")</f>
        <v>ok</v>
      </c>
    </row>
    <row r="256" spans="1:34" x14ac:dyDescent="0.2">
      <c r="E256" s="49"/>
    </row>
    <row r="257" spans="1:34" x14ac:dyDescent="0.2">
      <c r="A257" s="13" t="s">
        <v>4</v>
      </c>
      <c r="E257" s="49"/>
    </row>
    <row r="258" spans="1:34" x14ac:dyDescent="0.2">
      <c r="A258" s="92" t="s">
        <v>219</v>
      </c>
      <c r="C258" s="14" t="s">
        <v>304</v>
      </c>
      <c r="D258" s="14" t="s">
        <v>228</v>
      </c>
      <c r="E258" s="66">
        <f>'Func &amp; Classif'!U314</f>
        <v>0</v>
      </c>
      <c r="F258" s="66">
        <f>IF(VLOOKUP($D258,$C$5:$AU$493,3,)=0,0,(VLOOKUP($D258,$C$5:$AU$493,4,)/VLOOKUP($D258,$C$5:$AU$493,3,))*$E258)</f>
        <v>0</v>
      </c>
      <c r="G258" s="66">
        <f>IF(VLOOKUP($D258,$C$5:$AU$493,3,)=0,0,(VLOOKUP($D258,$C$5:$AU$493,5,)/VLOOKUP($D258,$C$5:$AU$493,3,))*$E258)</f>
        <v>0</v>
      </c>
      <c r="H258" s="66">
        <f>IF(VLOOKUP($D258,$C$5:$AU$493,3,)=0,0,(VLOOKUP($D258,$C$5:$AU$493,6,)/VLOOKUP($D258,$C$5:$AU$493,3,))*$E258)</f>
        <v>0</v>
      </c>
      <c r="I258" s="66">
        <f>IF(VLOOKUP($D258,$C$5:$AU$493,3,)=0,0,(VLOOKUP($D258,$C$5:$AU$493,7,)/VLOOKUP($D258,$C$5:$AU$493,3,))*$E258)</f>
        <v>0</v>
      </c>
      <c r="J258" s="66">
        <f>IF(VLOOKUP($D258,$C$5:$AU$493,3,)=0,0,(VLOOKUP($D258,$C$5:$AU$493,8,)/VLOOKUP($D258,$C$5:$AU$493,3,))*$E258)</f>
        <v>0</v>
      </c>
      <c r="K258" s="66">
        <f>IF(VLOOKUP($D258,$C$5:$AU$493,3,)=0,0,(VLOOKUP($D258,$C$5:$AU$493,9,)/VLOOKUP($D258,$C$5:$AU$493,3,))*$E258)</f>
        <v>0</v>
      </c>
      <c r="L258" s="66">
        <f>IF(VLOOKUP($D258,$C$5:$AU$493,3,)=0,0,(VLOOKUP($D258,$C$5:$AU$493,10,)/VLOOKUP($D258,$C$5:$AU$493,3,))*$E258)</f>
        <v>0</v>
      </c>
      <c r="M258" s="66">
        <f>IF(VLOOKUP($D258,$C$5:$AU$493,3,)=0,0,(VLOOKUP($D258,$C$5:$AU$493,11,)/VLOOKUP($D258,$C$5:$AU$493,3,))*$E258)</f>
        <v>0</v>
      </c>
      <c r="N258" s="66">
        <f>IF(VLOOKUP($D258,$C$5:$AU$493,3,)=0,0,(VLOOKUP($D258,$C$5:$AU$493,12,)/VLOOKUP($D258,$C$5:$AU$493,3,))*$E258)</f>
        <v>0</v>
      </c>
      <c r="O258" s="66">
        <f>IF(VLOOKUP($D258,$C$5:$AU$493,3,)=0,0,(VLOOKUP($D258,$C$5:$AU$493,13,)/VLOOKUP($D258,$C$5:$AU$493,3,))*$E258)</f>
        <v>0</v>
      </c>
      <c r="P258" s="66">
        <f>IF(VLOOKUP($D258,$C$5:$AU$493,3,)=0,0,(VLOOKUP($D258,$C$5:$AU$493,14,)/VLOOKUP($D258,$C$5:$AU$493,3,))*$E258)</f>
        <v>0</v>
      </c>
      <c r="Q258" s="66">
        <f>IF(VLOOKUP($D258,$C$5:$AU$493,3,)=0,0,(VLOOKUP($D258,$C$5:$AU$493,15,)/VLOOKUP($D258,$C$5:$AU$493,3,))*$E258)</f>
        <v>0</v>
      </c>
      <c r="R258" s="66">
        <f>IF(VLOOKUP($D258,$C$5:$AU$493,3,)=0,0,(VLOOKUP($D258,$C$5:$AU$493,16,)/VLOOKUP($D258,$C$5:$AU$493,3,))*$E258)</f>
        <v>0</v>
      </c>
      <c r="S258" s="66">
        <f>IF(VLOOKUP($D258,$C$5:$AU$493,3,)=0,0,(VLOOKUP($D258,$C$5:$AU$493,17,)/VLOOKUP($D258,$C$5:$AU$493,3,))*$E258)</f>
        <v>0</v>
      </c>
      <c r="T258" s="66">
        <f>IF(VLOOKUP($D258,$C$5:$AU$493,3,)=0,0,(VLOOKUP($D258,$C$5:$AU$493,18,)/VLOOKUP($D258,$C$5:$AU$493,3,))*$E258)</f>
        <v>0</v>
      </c>
      <c r="U258" s="66">
        <f>IF(VLOOKUP($D258,$C$5:$AU$493,3,)=0,0,(VLOOKUP($D258,$C$5:$AU$493,19,)/VLOOKUP($D258,$C$5:$AU$493,3,))*$E258)</f>
        <v>0</v>
      </c>
      <c r="V258" s="66">
        <f>IF(VLOOKUP($D258,$C$5:$AU$493,3,)=0,0,(VLOOKUP($D258,$C$5:$AU$493,20,)/VLOOKUP($D258,$C$5:$AU$493,3,))*$E258)</f>
        <v>0</v>
      </c>
      <c r="W258" s="66">
        <f>IF(VLOOKUP($D258,$C$5:$AU$493,3,)=0,0,(VLOOKUP($D258,$C$5:$AU$493,21,)/VLOOKUP($D258,$C$5:$AU$493,3,))*$E258)</f>
        <v>0</v>
      </c>
      <c r="X258" s="66">
        <f>IF(VLOOKUP($D258,$C$5:$AU$493,3,)=0,0,(VLOOKUP($D258,$C$5:$AU$493,22,)/VLOOKUP($D258,$C$5:$AU$493,3,))*$E258)</f>
        <v>0</v>
      </c>
      <c r="Y258" s="66">
        <f>IF(VLOOKUP($D258,$C$5:$AU$493,3,)=0,0,(VLOOKUP($D258,$C$5:$AU$493,23,)/VLOOKUP($D258,$C$5:$AU$493,3,))*$E258)</f>
        <v>0</v>
      </c>
      <c r="Z258" s="66">
        <f>IF(VLOOKUP($D258,$C$5:$AU$493,3,)=0,0,(VLOOKUP($D258,$C$5:$AU$493,24,)/VLOOKUP($D258,$C$5:$AU$493,3,))*$E258)</f>
        <v>0</v>
      </c>
      <c r="AA258" s="66">
        <f>IF(VLOOKUP($D258,$C$5:$AU$493,3,)=0,0,(VLOOKUP($D258,$C$5:$AU$493,25,)/VLOOKUP($D258,$C$5:$AU$493,3,))*$E258)</f>
        <v>0</v>
      </c>
      <c r="AB258" s="66">
        <f>IF(VLOOKUP($D258,$C$5:$AU$493,3,)=0,0,(VLOOKUP($D258,$C$5:$AU$493,26,)/VLOOKUP($D258,$C$5:$AU$493,3,))*$E258)</f>
        <v>0</v>
      </c>
      <c r="AC258" s="66">
        <f>IF(VLOOKUP($D258,$C$5:$AU$493,3,)=0,0,(VLOOKUP($D258,$C$5:$AU$493,27,)/VLOOKUP($D258,$C$5:$AU$493,3,))*$E258)</f>
        <v>0</v>
      </c>
      <c r="AD258" s="66">
        <f>IF(VLOOKUP($D258,$C$5:$AU$493,3,)=0,0,(VLOOKUP($D258,$C$5:$AU$493,28,)/VLOOKUP($D258,$C$5:$AU$493,3,))*$E258)</f>
        <v>0</v>
      </c>
      <c r="AE258" s="66">
        <f>IF(VLOOKUP($D258,$C$5:$AU$493,3,)=0,0,(VLOOKUP($D258,$C$5:$AU$493,29,)/VLOOKUP($D258,$C$5:$AU$493,3,))*$E258)</f>
        <v>0</v>
      </c>
      <c r="AF258" s="66">
        <f>IF(VLOOKUP($D258,$C$5:$AU$493,3,)=0,0,(VLOOKUP($D258,$C$5:$AU$493,30,)/VLOOKUP($D258,$C$5:$AU$493,3,))*$E258)</f>
        <v>0</v>
      </c>
      <c r="AG258" s="89">
        <f>SUM(F258:AF258)</f>
        <v>0</v>
      </c>
      <c r="AH258" s="27" t="str">
        <f>IF(ABS(E258-AG258)&lt;0.01,"ok","err")</f>
        <v>ok</v>
      </c>
    </row>
    <row r="259" spans="1:34" x14ac:dyDescent="0.2">
      <c r="E259" s="49"/>
    </row>
    <row r="260" spans="1:34" x14ac:dyDescent="0.2">
      <c r="A260" s="13" t="s">
        <v>5</v>
      </c>
      <c r="E260" s="49"/>
    </row>
    <row r="261" spans="1:34" x14ac:dyDescent="0.2">
      <c r="A261" s="92" t="s">
        <v>219</v>
      </c>
      <c r="C261" s="14" t="s">
        <v>305</v>
      </c>
      <c r="D261" s="14" t="s">
        <v>230</v>
      </c>
      <c r="E261" s="66">
        <f>'Func &amp; Classif'!W314</f>
        <v>0</v>
      </c>
      <c r="F261" s="66">
        <f>IF(VLOOKUP($D261,$C$5:$AU$493,3,)=0,0,(VLOOKUP($D261,$C$5:$AU$493,4,)/VLOOKUP($D261,$C$5:$AU$493,3,))*$E261)</f>
        <v>0</v>
      </c>
      <c r="G261" s="66">
        <f>IF(VLOOKUP($D261,$C$5:$AU$493,3,)=0,0,(VLOOKUP($D261,$C$5:$AU$493,5,)/VLOOKUP($D261,$C$5:$AU$493,3,))*$E261)</f>
        <v>0</v>
      </c>
      <c r="H261" s="66">
        <f>IF(VLOOKUP($D261,$C$5:$AU$493,3,)=0,0,(VLOOKUP($D261,$C$5:$AU$493,6,)/VLOOKUP($D261,$C$5:$AU$493,3,))*$E261)</f>
        <v>0</v>
      </c>
      <c r="I261" s="66">
        <f>IF(VLOOKUP($D261,$C$5:$AU$493,3,)=0,0,(VLOOKUP($D261,$C$5:$AU$493,7,)/VLOOKUP($D261,$C$5:$AU$493,3,))*$E261)</f>
        <v>0</v>
      </c>
      <c r="J261" s="66">
        <f>IF(VLOOKUP($D261,$C$5:$AU$493,3,)=0,0,(VLOOKUP($D261,$C$5:$AU$493,8,)/VLOOKUP($D261,$C$5:$AU$493,3,))*$E261)</f>
        <v>0</v>
      </c>
      <c r="K261" s="66">
        <f>IF(VLOOKUP($D261,$C$5:$AU$493,3,)=0,0,(VLOOKUP($D261,$C$5:$AU$493,9,)/VLOOKUP($D261,$C$5:$AU$493,3,))*$E261)</f>
        <v>0</v>
      </c>
      <c r="L261" s="66">
        <f>IF(VLOOKUP($D261,$C$5:$AU$493,3,)=0,0,(VLOOKUP($D261,$C$5:$AU$493,10,)/VLOOKUP($D261,$C$5:$AU$493,3,))*$E261)</f>
        <v>0</v>
      </c>
      <c r="M261" s="66">
        <f>IF(VLOOKUP($D261,$C$5:$AU$493,3,)=0,0,(VLOOKUP($D261,$C$5:$AU$493,11,)/VLOOKUP($D261,$C$5:$AU$493,3,))*$E261)</f>
        <v>0</v>
      </c>
      <c r="N261" s="66">
        <f>IF(VLOOKUP($D261,$C$5:$AU$493,3,)=0,0,(VLOOKUP($D261,$C$5:$AU$493,12,)/VLOOKUP($D261,$C$5:$AU$493,3,))*$E261)</f>
        <v>0</v>
      </c>
      <c r="O261" s="66">
        <f>IF(VLOOKUP($D261,$C$5:$AU$493,3,)=0,0,(VLOOKUP($D261,$C$5:$AU$493,13,)/VLOOKUP($D261,$C$5:$AU$493,3,))*$E261)</f>
        <v>0</v>
      </c>
      <c r="P261" s="66">
        <f>IF(VLOOKUP($D261,$C$5:$AU$493,3,)=0,0,(VLOOKUP($D261,$C$5:$AU$493,14,)/VLOOKUP($D261,$C$5:$AU$493,3,))*$E261)</f>
        <v>0</v>
      </c>
      <c r="Q261" s="66">
        <f>IF(VLOOKUP($D261,$C$5:$AU$493,3,)=0,0,(VLOOKUP($D261,$C$5:$AU$493,15,)/VLOOKUP($D261,$C$5:$AU$493,3,))*$E261)</f>
        <v>0</v>
      </c>
      <c r="R261" s="66">
        <f>IF(VLOOKUP($D261,$C$5:$AU$493,3,)=0,0,(VLOOKUP($D261,$C$5:$AU$493,16,)/VLOOKUP($D261,$C$5:$AU$493,3,))*$E261)</f>
        <v>0</v>
      </c>
      <c r="S261" s="66">
        <f>IF(VLOOKUP($D261,$C$5:$AU$493,3,)=0,0,(VLOOKUP($D261,$C$5:$AU$493,17,)/VLOOKUP($D261,$C$5:$AU$493,3,))*$E261)</f>
        <v>0</v>
      </c>
      <c r="T261" s="66">
        <f>IF(VLOOKUP($D261,$C$5:$AU$493,3,)=0,0,(VLOOKUP($D261,$C$5:$AU$493,18,)/VLOOKUP($D261,$C$5:$AU$493,3,))*$E261)</f>
        <v>0</v>
      </c>
      <c r="U261" s="66">
        <f>IF(VLOOKUP($D261,$C$5:$AU$493,3,)=0,0,(VLOOKUP($D261,$C$5:$AU$493,19,)/VLOOKUP($D261,$C$5:$AU$493,3,))*$E261)</f>
        <v>0</v>
      </c>
      <c r="V261" s="66">
        <f>IF(VLOOKUP($D261,$C$5:$AU$493,3,)=0,0,(VLOOKUP($D261,$C$5:$AU$493,20,)/VLOOKUP($D261,$C$5:$AU$493,3,))*$E261)</f>
        <v>0</v>
      </c>
      <c r="W261" s="66">
        <f>IF(VLOOKUP($D261,$C$5:$AU$493,3,)=0,0,(VLOOKUP($D261,$C$5:$AU$493,21,)/VLOOKUP($D261,$C$5:$AU$493,3,))*$E261)</f>
        <v>0</v>
      </c>
      <c r="X261" s="66">
        <f>IF(VLOOKUP($D261,$C$5:$AU$493,3,)=0,0,(VLOOKUP($D261,$C$5:$AU$493,22,)/VLOOKUP($D261,$C$5:$AU$493,3,))*$E261)</f>
        <v>0</v>
      </c>
      <c r="Y261" s="66">
        <f>IF(VLOOKUP($D261,$C$5:$AU$493,3,)=0,0,(VLOOKUP($D261,$C$5:$AU$493,23,)/VLOOKUP($D261,$C$5:$AU$493,3,))*$E261)</f>
        <v>0</v>
      </c>
      <c r="Z261" s="66">
        <f>IF(VLOOKUP($D261,$C$5:$AU$493,3,)=0,0,(VLOOKUP($D261,$C$5:$AU$493,24,)/VLOOKUP($D261,$C$5:$AU$493,3,))*$E261)</f>
        <v>0</v>
      </c>
      <c r="AA261" s="66">
        <f>IF(VLOOKUP($D261,$C$5:$AU$493,3,)=0,0,(VLOOKUP($D261,$C$5:$AU$493,25,)/VLOOKUP($D261,$C$5:$AU$493,3,))*$E261)</f>
        <v>0</v>
      </c>
      <c r="AB261" s="66">
        <f>IF(VLOOKUP($D261,$C$5:$AU$493,3,)=0,0,(VLOOKUP($D261,$C$5:$AU$493,26,)/VLOOKUP($D261,$C$5:$AU$493,3,))*$E261)</f>
        <v>0</v>
      </c>
      <c r="AC261" s="66">
        <f>IF(VLOOKUP($D261,$C$5:$AU$493,3,)=0,0,(VLOOKUP($D261,$C$5:$AU$493,27,)/VLOOKUP($D261,$C$5:$AU$493,3,))*$E261)</f>
        <v>0</v>
      </c>
      <c r="AD261" s="66">
        <f>IF(VLOOKUP($D261,$C$5:$AU$493,3,)=0,0,(VLOOKUP($D261,$C$5:$AU$493,28,)/VLOOKUP($D261,$C$5:$AU$493,3,))*$E261)</f>
        <v>0</v>
      </c>
      <c r="AE261" s="66">
        <f>IF(VLOOKUP($D261,$C$5:$AU$493,3,)=0,0,(VLOOKUP($D261,$C$5:$AU$493,29,)/VLOOKUP($D261,$C$5:$AU$493,3,))*$E261)</f>
        <v>0</v>
      </c>
      <c r="AF261" s="66">
        <f>IF(VLOOKUP($D261,$C$5:$AU$493,3,)=0,0,(VLOOKUP($D261,$C$5:$AU$493,30,)/VLOOKUP($D261,$C$5:$AU$493,3,))*$E261)</f>
        <v>0</v>
      </c>
      <c r="AG261" s="89">
        <f>SUM(F261:AF261)</f>
        <v>0</v>
      </c>
      <c r="AH261" s="27" t="str">
        <f>IF(ABS(E261-AG261)&lt;0.01,"ok","err")</f>
        <v>ok</v>
      </c>
    </row>
    <row r="262" spans="1:34" x14ac:dyDescent="0.2">
      <c r="E262" s="49"/>
    </row>
    <row r="263" spans="1:34" x14ac:dyDescent="0.2">
      <c r="A263" s="13" t="s">
        <v>544</v>
      </c>
      <c r="E263" s="49"/>
    </row>
    <row r="264" spans="1:34" x14ac:dyDescent="0.2">
      <c r="A264" s="92" t="s">
        <v>219</v>
      </c>
      <c r="C264" s="14" t="s">
        <v>306</v>
      </c>
      <c r="D264" s="14" t="s">
        <v>232</v>
      </c>
      <c r="E264" s="66">
        <f>'Func &amp; Classif'!Y314</f>
        <v>0</v>
      </c>
      <c r="F264" s="66">
        <f>IF(VLOOKUP($D264,$C$5:$AU$493,3,)=0,0,(VLOOKUP($D264,$C$5:$AU$493,4,)/VLOOKUP($D264,$C$5:$AU$493,3,))*$E264)</f>
        <v>0</v>
      </c>
      <c r="G264" s="66">
        <f>IF(VLOOKUP($D264,$C$5:$AU$493,3,)=0,0,(VLOOKUP($D264,$C$5:$AU$493,5,)/VLOOKUP($D264,$C$5:$AU$493,3,))*$E264)</f>
        <v>0</v>
      </c>
      <c r="H264" s="66">
        <f>IF(VLOOKUP($D264,$C$5:$AU$493,3,)=0,0,(VLOOKUP($D264,$C$5:$AU$493,6,)/VLOOKUP($D264,$C$5:$AU$493,3,))*$E264)</f>
        <v>0</v>
      </c>
      <c r="I264" s="66">
        <f>IF(VLOOKUP($D264,$C$5:$AU$493,3,)=0,0,(VLOOKUP($D264,$C$5:$AU$493,7,)/VLOOKUP($D264,$C$5:$AU$493,3,))*$E264)</f>
        <v>0</v>
      </c>
      <c r="J264" s="66">
        <f>IF(VLOOKUP($D264,$C$5:$AU$493,3,)=0,0,(VLOOKUP($D264,$C$5:$AU$493,8,)/VLOOKUP($D264,$C$5:$AU$493,3,))*$E264)</f>
        <v>0</v>
      </c>
      <c r="K264" s="66">
        <f>IF(VLOOKUP($D264,$C$5:$AU$493,3,)=0,0,(VLOOKUP($D264,$C$5:$AU$493,9,)/VLOOKUP($D264,$C$5:$AU$493,3,))*$E264)</f>
        <v>0</v>
      </c>
      <c r="L264" s="66">
        <f>IF(VLOOKUP($D264,$C$5:$AU$493,3,)=0,0,(VLOOKUP($D264,$C$5:$AU$493,10,)/VLOOKUP($D264,$C$5:$AU$493,3,))*$E264)</f>
        <v>0</v>
      </c>
      <c r="M264" s="66">
        <f>IF(VLOOKUP($D264,$C$5:$AU$493,3,)=0,0,(VLOOKUP($D264,$C$5:$AU$493,11,)/VLOOKUP($D264,$C$5:$AU$493,3,))*$E264)</f>
        <v>0</v>
      </c>
      <c r="N264" s="66">
        <f>IF(VLOOKUP($D264,$C$5:$AU$493,3,)=0,0,(VLOOKUP($D264,$C$5:$AU$493,12,)/VLOOKUP($D264,$C$5:$AU$493,3,))*$E264)</f>
        <v>0</v>
      </c>
      <c r="O264" s="66">
        <f>IF(VLOOKUP($D264,$C$5:$AU$493,3,)=0,0,(VLOOKUP($D264,$C$5:$AU$493,13,)/VLOOKUP($D264,$C$5:$AU$493,3,))*$E264)</f>
        <v>0</v>
      </c>
      <c r="P264" s="66">
        <f>IF(VLOOKUP($D264,$C$5:$AU$493,3,)=0,0,(VLOOKUP($D264,$C$5:$AU$493,14,)/VLOOKUP($D264,$C$5:$AU$493,3,))*$E264)</f>
        <v>0</v>
      </c>
      <c r="Q264" s="66">
        <f>IF(VLOOKUP($D264,$C$5:$AU$493,3,)=0,0,(VLOOKUP($D264,$C$5:$AU$493,15,)/VLOOKUP($D264,$C$5:$AU$493,3,))*$E264)</f>
        <v>0</v>
      </c>
      <c r="R264" s="66">
        <f>IF(VLOOKUP($D264,$C$5:$AU$493,3,)=0,0,(VLOOKUP($D264,$C$5:$AU$493,16,)/VLOOKUP($D264,$C$5:$AU$493,3,))*$E264)</f>
        <v>0</v>
      </c>
      <c r="S264" s="66">
        <f>IF(VLOOKUP($D264,$C$5:$AU$493,3,)=0,0,(VLOOKUP($D264,$C$5:$AU$493,17,)/VLOOKUP($D264,$C$5:$AU$493,3,))*$E264)</f>
        <v>0</v>
      </c>
      <c r="T264" s="66">
        <f>IF(VLOOKUP($D264,$C$5:$AU$493,3,)=0,0,(VLOOKUP($D264,$C$5:$AU$493,18,)/VLOOKUP($D264,$C$5:$AU$493,3,))*$E264)</f>
        <v>0</v>
      </c>
      <c r="U264" s="66">
        <f>IF(VLOOKUP($D264,$C$5:$AU$493,3,)=0,0,(VLOOKUP($D264,$C$5:$AU$493,19,)/VLOOKUP($D264,$C$5:$AU$493,3,))*$E264)</f>
        <v>0</v>
      </c>
      <c r="V264" s="66">
        <f>IF(VLOOKUP($D264,$C$5:$AU$493,3,)=0,0,(VLOOKUP($D264,$C$5:$AU$493,20,)/VLOOKUP($D264,$C$5:$AU$493,3,))*$E264)</f>
        <v>0</v>
      </c>
      <c r="W264" s="66">
        <f>IF(VLOOKUP($D264,$C$5:$AU$493,3,)=0,0,(VLOOKUP($D264,$C$5:$AU$493,21,)/VLOOKUP($D264,$C$5:$AU$493,3,))*$E264)</f>
        <v>0</v>
      </c>
      <c r="X264" s="66">
        <f>IF(VLOOKUP($D264,$C$5:$AU$493,3,)=0,0,(VLOOKUP($D264,$C$5:$AU$493,22,)/VLOOKUP($D264,$C$5:$AU$493,3,))*$E264)</f>
        <v>0</v>
      </c>
      <c r="Y264" s="66">
        <f>IF(VLOOKUP($D264,$C$5:$AU$493,3,)=0,0,(VLOOKUP($D264,$C$5:$AU$493,23,)/VLOOKUP($D264,$C$5:$AU$493,3,))*$E264)</f>
        <v>0</v>
      </c>
      <c r="Z264" s="66">
        <f>IF(VLOOKUP($D264,$C$5:$AU$493,3,)=0,0,(VLOOKUP($D264,$C$5:$AU$493,24,)/VLOOKUP($D264,$C$5:$AU$493,3,))*$E264)</f>
        <v>0</v>
      </c>
      <c r="AA264" s="66">
        <f>IF(VLOOKUP($D264,$C$5:$AU$493,3,)=0,0,(VLOOKUP($D264,$C$5:$AU$493,25,)/VLOOKUP($D264,$C$5:$AU$493,3,))*$E264)</f>
        <v>0</v>
      </c>
      <c r="AB264" s="66">
        <f>IF(VLOOKUP($D264,$C$5:$AU$493,3,)=0,0,(VLOOKUP($D264,$C$5:$AU$493,26,)/VLOOKUP($D264,$C$5:$AU$493,3,))*$E264)</f>
        <v>0</v>
      </c>
      <c r="AC264" s="66">
        <f>IF(VLOOKUP($D264,$C$5:$AU$493,3,)=0,0,(VLOOKUP($D264,$C$5:$AU$493,27,)/VLOOKUP($D264,$C$5:$AU$493,3,))*$E264)</f>
        <v>0</v>
      </c>
      <c r="AD264" s="66">
        <f>IF(VLOOKUP($D264,$C$5:$AU$493,3,)=0,0,(VLOOKUP($D264,$C$5:$AU$493,28,)/VLOOKUP($D264,$C$5:$AU$493,3,))*$E264)</f>
        <v>0</v>
      </c>
      <c r="AE264" s="66">
        <f>IF(VLOOKUP($D264,$C$5:$AU$493,3,)=0,0,(VLOOKUP($D264,$C$5:$AU$493,29,)/VLOOKUP($D264,$C$5:$AU$493,3,))*$E264)</f>
        <v>0</v>
      </c>
      <c r="AF264" s="66">
        <f>IF(VLOOKUP($D264,$C$5:$AU$493,3,)=0,0,(VLOOKUP($D264,$C$5:$AU$493,30,)/VLOOKUP($D264,$C$5:$AU$493,3,))*$E264)</f>
        <v>0</v>
      </c>
      <c r="AG264" s="89">
        <f>SUM(F264:AF264)</f>
        <v>0</v>
      </c>
      <c r="AH264" s="27" t="str">
        <f>IF(ABS(E264-AG264)&lt;0.01,"ok","err")</f>
        <v>ok</v>
      </c>
    </row>
    <row r="265" spans="1:34" x14ac:dyDescent="0.2">
      <c r="E265" s="49"/>
    </row>
    <row r="266" spans="1:34" x14ac:dyDescent="0.2">
      <c r="A266" s="13" t="s">
        <v>469</v>
      </c>
      <c r="E266" s="49"/>
    </row>
    <row r="267" spans="1:34" x14ac:dyDescent="0.2">
      <c r="A267" s="92" t="s">
        <v>219</v>
      </c>
      <c r="C267" s="14" t="s">
        <v>303</v>
      </c>
      <c r="D267" s="14" t="s">
        <v>233</v>
      </c>
      <c r="E267" s="66">
        <f>'Func &amp; Classif'!AA314</f>
        <v>0</v>
      </c>
      <c r="F267" s="66">
        <f>IF(VLOOKUP($D267,$C$5:$AU$493,3,)=0,0,(VLOOKUP($D267,$C$5:$AU$493,4,)/VLOOKUP($D267,$C$5:$AU$493,3,))*$E267)</f>
        <v>0</v>
      </c>
      <c r="G267" s="66">
        <f>IF(VLOOKUP($D267,$C$5:$AU$493,3,)=0,0,(VLOOKUP($D267,$C$5:$AU$493,5,)/VLOOKUP($D267,$C$5:$AU$493,3,))*$E267)</f>
        <v>0</v>
      </c>
      <c r="H267" s="66">
        <f>IF(VLOOKUP($D267,$C$5:$AU$493,3,)=0,0,(VLOOKUP($D267,$C$5:$AU$493,6,)/VLOOKUP($D267,$C$5:$AU$493,3,))*$E267)</f>
        <v>0</v>
      </c>
      <c r="I267" s="66">
        <f>IF(VLOOKUP($D267,$C$5:$AU$493,3,)=0,0,(VLOOKUP($D267,$C$5:$AU$493,7,)/VLOOKUP($D267,$C$5:$AU$493,3,))*$E267)</f>
        <v>0</v>
      </c>
      <c r="J267" s="66">
        <f>IF(VLOOKUP($D267,$C$5:$AU$493,3,)=0,0,(VLOOKUP($D267,$C$5:$AU$493,8,)/VLOOKUP($D267,$C$5:$AU$493,3,))*$E267)</f>
        <v>0</v>
      </c>
      <c r="K267" s="66">
        <f>IF(VLOOKUP($D267,$C$5:$AU$493,3,)=0,0,(VLOOKUP($D267,$C$5:$AU$493,9,)/VLOOKUP($D267,$C$5:$AU$493,3,))*$E267)</f>
        <v>0</v>
      </c>
      <c r="L267" s="66">
        <f>IF(VLOOKUP($D267,$C$5:$AU$493,3,)=0,0,(VLOOKUP($D267,$C$5:$AU$493,10,)/VLOOKUP($D267,$C$5:$AU$493,3,))*$E267)</f>
        <v>0</v>
      </c>
      <c r="M267" s="66">
        <f>IF(VLOOKUP($D267,$C$5:$AU$493,3,)=0,0,(VLOOKUP($D267,$C$5:$AU$493,11,)/VLOOKUP($D267,$C$5:$AU$493,3,))*$E267)</f>
        <v>0</v>
      </c>
      <c r="N267" s="66">
        <f>IF(VLOOKUP($D267,$C$5:$AU$493,3,)=0,0,(VLOOKUP($D267,$C$5:$AU$493,12,)/VLOOKUP($D267,$C$5:$AU$493,3,))*$E267)</f>
        <v>0</v>
      </c>
      <c r="O267" s="66">
        <f>IF(VLOOKUP($D267,$C$5:$AU$493,3,)=0,0,(VLOOKUP($D267,$C$5:$AU$493,13,)/VLOOKUP($D267,$C$5:$AU$493,3,))*$E267)</f>
        <v>0</v>
      </c>
      <c r="P267" s="66">
        <f>IF(VLOOKUP($D267,$C$5:$AU$493,3,)=0,0,(VLOOKUP($D267,$C$5:$AU$493,14,)/VLOOKUP($D267,$C$5:$AU$493,3,))*$E267)</f>
        <v>0</v>
      </c>
      <c r="Q267" s="66">
        <f>IF(VLOOKUP($D267,$C$5:$AU$493,3,)=0,0,(VLOOKUP($D267,$C$5:$AU$493,15,)/VLOOKUP($D267,$C$5:$AU$493,3,))*$E267)</f>
        <v>0</v>
      </c>
      <c r="R267" s="66">
        <f>IF(VLOOKUP($D267,$C$5:$AU$493,3,)=0,0,(VLOOKUP($D267,$C$5:$AU$493,16,)/VLOOKUP($D267,$C$5:$AU$493,3,))*$E267)</f>
        <v>0</v>
      </c>
      <c r="S267" s="66">
        <f>IF(VLOOKUP($D267,$C$5:$AU$493,3,)=0,0,(VLOOKUP($D267,$C$5:$AU$493,17,)/VLOOKUP($D267,$C$5:$AU$493,3,))*$E267)</f>
        <v>0</v>
      </c>
      <c r="T267" s="66">
        <f>IF(VLOOKUP($D267,$C$5:$AU$493,3,)=0,0,(VLOOKUP($D267,$C$5:$AU$493,18,)/VLOOKUP($D267,$C$5:$AU$493,3,))*$E267)</f>
        <v>0</v>
      </c>
      <c r="U267" s="66">
        <f>IF(VLOOKUP($D267,$C$5:$AU$493,3,)=0,0,(VLOOKUP($D267,$C$5:$AU$493,19,)/VLOOKUP($D267,$C$5:$AU$493,3,))*$E267)</f>
        <v>0</v>
      </c>
      <c r="V267" s="66">
        <f>IF(VLOOKUP($D267,$C$5:$AU$493,3,)=0,0,(VLOOKUP($D267,$C$5:$AU$493,20,)/VLOOKUP($D267,$C$5:$AU$493,3,))*$E267)</f>
        <v>0</v>
      </c>
      <c r="W267" s="66">
        <f>IF(VLOOKUP($D267,$C$5:$AU$493,3,)=0,0,(VLOOKUP($D267,$C$5:$AU$493,21,)/VLOOKUP($D267,$C$5:$AU$493,3,))*$E267)</f>
        <v>0</v>
      </c>
      <c r="X267" s="66">
        <f>IF(VLOOKUP($D267,$C$5:$AU$493,3,)=0,0,(VLOOKUP($D267,$C$5:$AU$493,22,)/VLOOKUP($D267,$C$5:$AU$493,3,))*$E267)</f>
        <v>0</v>
      </c>
      <c r="Y267" s="66">
        <f>IF(VLOOKUP($D267,$C$5:$AU$493,3,)=0,0,(VLOOKUP($D267,$C$5:$AU$493,23,)/VLOOKUP($D267,$C$5:$AU$493,3,))*$E267)</f>
        <v>0</v>
      </c>
      <c r="Z267" s="66">
        <f>IF(VLOOKUP($D267,$C$5:$AU$493,3,)=0,0,(VLOOKUP($D267,$C$5:$AU$493,24,)/VLOOKUP($D267,$C$5:$AU$493,3,))*$E267)</f>
        <v>0</v>
      </c>
      <c r="AA267" s="66">
        <f>IF(VLOOKUP($D267,$C$5:$AU$493,3,)=0,0,(VLOOKUP($D267,$C$5:$AU$493,25,)/VLOOKUP($D267,$C$5:$AU$493,3,))*$E267)</f>
        <v>0</v>
      </c>
      <c r="AB267" s="66">
        <f>IF(VLOOKUP($D267,$C$5:$AU$493,3,)=0,0,(VLOOKUP($D267,$C$5:$AU$493,26,)/VLOOKUP($D267,$C$5:$AU$493,3,))*$E267)</f>
        <v>0</v>
      </c>
      <c r="AC267" s="66">
        <f>IF(VLOOKUP($D267,$C$5:$AU$493,3,)=0,0,(VLOOKUP($D267,$C$5:$AU$493,27,)/VLOOKUP($D267,$C$5:$AU$493,3,))*$E267)</f>
        <v>0</v>
      </c>
      <c r="AD267" s="66">
        <f>IF(VLOOKUP($D267,$C$5:$AU$493,3,)=0,0,(VLOOKUP($D267,$C$5:$AU$493,28,)/VLOOKUP($D267,$C$5:$AU$493,3,))*$E267)</f>
        <v>0</v>
      </c>
      <c r="AE267" s="66">
        <f>IF(VLOOKUP($D267,$C$5:$AU$493,3,)=0,0,(VLOOKUP($D267,$C$5:$AU$493,29,)/VLOOKUP($D267,$C$5:$AU$493,3,))*$E267)</f>
        <v>0</v>
      </c>
      <c r="AF267" s="66">
        <f>IF(VLOOKUP($D267,$C$5:$AU$493,3,)=0,0,(VLOOKUP($D267,$C$5:$AU$493,30,)/VLOOKUP($D267,$C$5:$AU$493,3,))*$E267)</f>
        <v>0</v>
      </c>
      <c r="AG267" s="89">
        <f>SUM(F267:AF267)</f>
        <v>0</v>
      </c>
      <c r="AH267" s="27" t="str">
        <f>IF(ABS(E267-AG267)&lt;0.01,"ok","err")</f>
        <v>ok</v>
      </c>
    </row>
    <row r="268" spans="1:34" x14ac:dyDescent="0.2">
      <c r="E268" s="49"/>
    </row>
    <row r="269" spans="1:34" x14ac:dyDescent="0.2">
      <c r="A269" s="14" t="s">
        <v>0</v>
      </c>
      <c r="C269" s="14" t="s">
        <v>307</v>
      </c>
      <c r="E269" s="66">
        <f>E239+E242+E245+E250+E255+E258+E261+E264+E267</f>
        <v>0</v>
      </c>
      <c r="F269" s="66">
        <f t="shared" ref="F269:R269" si="55">F239+F242+F245+F250+F255+F258+F261+F264+F267</f>
        <v>0</v>
      </c>
      <c r="G269" s="66">
        <f t="shared" si="55"/>
        <v>0</v>
      </c>
      <c r="H269" s="66">
        <f t="shared" si="55"/>
        <v>0</v>
      </c>
      <c r="I269" s="66">
        <f t="shared" si="55"/>
        <v>0</v>
      </c>
      <c r="J269" s="66">
        <f t="shared" si="55"/>
        <v>0</v>
      </c>
      <c r="K269" s="66">
        <f t="shared" si="55"/>
        <v>0</v>
      </c>
      <c r="L269" s="66">
        <f t="shared" si="55"/>
        <v>0</v>
      </c>
      <c r="M269" s="66">
        <f t="shared" si="55"/>
        <v>0</v>
      </c>
      <c r="N269" s="66">
        <f t="shared" si="55"/>
        <v>0</v>
      </c>
      <c r="O269" s="66">
        <f t="shared" si="55"/>
        <v>0</v>
      </c>
      <c r="P269" s="66">
        <f t="shared" si="55"/>
        <v>0</v>
      </c>
      <c r="Q269" s="66">
        <f t="shared" si="55"/>
        <v>0</v>
      </c>
      <c r="R269" s="66">
        <f t="shared" si="55"/>
        <v>0</v>
      </c>
      <c r="S269" s="66">
        <f t="shared" ref="S269:AF269" si="56">S239+S245+S250+S255+S258+S261+S264+S267</f>
        <v>0</v>
      </c>
      <c r="T269" s="66">
        <f t="shared" si="56"/>
        <v>0</v>
      </c>
      <c r="U269" s="66">
        <f t="shared" si="56"/>
        <v>0</v>
      </c>
      <c r="V269" s="66">
        <f t="shared" si="56"/>
        <v>0</v>
      </c>
      <c r="W269" s="66">
        <f t="shared" si="56"/>
        <v>0</v>
      </c>
      <c r="X269" s="66">
        <f t="shared" si="56"/>
        <v>0</v>
      </c>
      <c r="Y269" s="66">
        <f t="shared" si="56"/>
        <v>0</v>
      </c>
      <c r="Z269" s="66">
        <f t="shared" si="56"/>
        <v>0</v>
      </c>
      <c r="AA269" s="66">
        <f t="shared" si="56"/>
        <v>0</v>
      </c>
      <c r="AB269" s="66">
        <f t="shared" si="56"/>
        <v>0</v>
      </c>
      <c r="AC269" s="66">
        <f t="shared" si="56"/>
        <v>0</v>
      </c>
      <c r="AD269" s="66">
        <f t="shared" si="56"/>
        <v>0</v>
      </c>
      <c r="AE269" s="66">
        <f t="shared" si="56"/>
        <v>0</v>
      </c>
      <c r="AF269" s="66">
        <f t="shared" si="56"/>
        <v>0</v>
      </c>
      <c r="AG269" s="89">
        <f>SUM(F269:AF269)</f>
        <v>0</v>
      </c>
      <c r="AH269" s="27" t="str">
        <f>IF(ABS(E269-AG269)&lt;0.01,"ok","err")</f>
        <v>ok</v>
      </c>
    </row>
    <row r="272" spans="1:34" x14ac:dyDescent="0.2">
      <c r="A272" s="25" t="s">
        <v>308</v>
      </c>
    </row>
    <row r="274" spans="1:34" x14ac:dyDescent="0.2">
      <c r="A274" s="13" t="s">
        <v>890</v>
      </c>
    </row>
    <row r="275" spans="1:34" x14ac:dyDescent="0.2">
      <c r="A275" s="92" t="s">
        <v>207</v>
      </c>
      <c r="C275" s="14" t="s">
        <v>309</v>
      </c>
      <c r="D275" s="14" t="s">
        <v>656</v>
      </c>
      <c r="E275" s="66">
        <f>'Func &amp; Classif'!H316</f>
        <v>0</v>
      </c>
      <c r="F275" s="66">
        <f>IF(VLOOKUP($D275,$C$5:$AU$493,3,)=0,0,(VLOOKUP($D275,$C$5:$AU$493,4,)/VLOOKUP($D275,$C$5:$AU$493,3,))*$E275)</f>
        <v>0</v>
      </c>
      <c r="G275" s="66">
        <f>IF(VLOOKUP($D275,$C$5:$AU$493,3,)=0,0,(VLOOKUP($D275,$C$5:$AU$493,5,)/VLOOKUP($D275,$C$5:$AU$493,3,))*$E275)</f>
        <v>0</v>
      </c>
      <c r="H275" s="66">
        <f>IF(VLOOKUP($D275,$C$5:$AU$493,3,)=0,0,(VLOOKUP($D275,$C$5:$AU$493,6,)/VLOOKUP($D275,$C$5:$AU$493,3,))*$E275)</f>
        <v>0</v>
      </c>
      <c r="I275" s="66">
        <f>IF(VLOOKUP($D275,$C$5:$AU$493,3,)=0,0,(VLOOKUP($D275,$C$5:$AU$493,7,)/VLOOKUP($D275,$C$5:$AU$493,3,))*$E275)</f>
        <v>0</v>
      </c>
      <c r="J275" s="66">
        <f>IF(VLOOKUP($D275,$C$5:$AU$493,3,)=0,0,(VLOOKUP($D275,$C$5:$AU$493,8,)/VLOOKUP($D275,$C$5:$AU$493,3,))*$E275)</f>
        <v>0</v>
      </c>
      <c r="K275" s="66">
        <f>IF(VLOOKUP($D275,$C$5:$AU$493,3,)=0,0,(VLOOKUP($D275,$C$5:$AU$493,9,)/VLOOKUP($D275,$C$5:$AU$493,3,))*$E275)</f>
        <v>0</v>
      </c>
      <c r="L275" s="66">
        <f>IF(VLOOKUP($D275,$C$5:$AU$493,3,)=0,0,(VLOOKUP($D275,$C$5:$AU$493,10,)/VLOOKUP($D275,$C$5:$AU$493,3,))*$E275)</f>
        <v>0</v>
      </c>
      <c r="M275" s="66">
        <f>IF(VLOOKUP($D275,$C$5:$AU$493,3,)=0,0,(VLOOKUP($D275,$C$5:$AU$493,11,)/VLOOKUP($D275,$C$5:$AU$493,3,))*$E275)</f>
        <v>0</v>
      </c>
      <c r="N275" s="66">
        <f>IF(VLOOKUP($D275,$C$5:$AU$493,3,)=0,0,(VLOOKUP($D275,$C$5:$AU$493,12,)/VLOOKUP($D275,$C$5:$AU$493,3,))*$E275)</f>
        <v>0</v>
      </c>
      <c r="O275" s="66">
        <f>IF(VLOOKUP($D275,$C$5:$AU$493,3,)=0,0,(VLOOKUP($D275,$C$5:$AU$493,13,)/VLOOKUP($D275,$C$5:$AU$493,3,))*$E275)</f>
        <v>0</v>
      </c>
      <c r="P275" s="66">
        <f>IF(VLOOKUP($D275,$C$5:$AU$493,3,)=0,0,(VLOOKUP($D275,$C$5:$AU$493,14,)/VLOOKUP($D275,$C$5:$AU$493,3,))*$E275)</f>
        <v>0</v>
      </c>
      <c r="Q275" s="66">
        <f>IF(VLOOKUP($D275,$C$5:$AU$493,3,)=0,0,(VLOOKUP($D275,$C$5:$AU$493,15,)/VLOOKUP($D275,$C$5:$AU$493,3,))*$E275)</f>
        <v>0</v>
      </c>
      <c r="R275" s="66">
        <f>IF(VLOOKUP($D275,$C$5:$AU$493,3,)=0,0,(VLOOKUP($D275,$C$5:$AU$493,16,)/VLOOKUP($D275,$C$5:$AU$493,3,))*$E275)</f>
        <v>0</v>
      </c>
      <c r="S275" s="66">
        <f>IF(VLOOKUP($D275,$C$5:$AU$493,3,)=0,0,(VLOOKUP($D275,$C$5:$AU$493,17,)/VLOOKUP($D275,$C$5:$AU$493,3,))*$E275)</f>
        <v>0</v>
      </c>
      <c r="T275" s="66">
        <f>IF(VLOOKUP($D275,$C$5:$AU$493,3,)=0,0,(VLOOKUP($D275,$C$5:$AU$493,18,)/VLOOKUP($D275,$C$5:$AU$493,3,))*$E275)</f>
        <v>0</v>
      </c>
      <c r="U275" s="66">
        <f>IF(VLOOKUP($D275,$C$5:$AU$493,3,)=0,0,(VLOOKUP($D275,$C$5:$AU$493,19,)/VLOOKUP($D275,$C$5:$AU$493,3,))*$E275)</f>
        <v>0</v>
      </c>
      <c r="V275" s="66">
        <f>IF(VLOOKUP($D275,$C$5:$AU$493,3,)=0,0,(VLOOKUP($D275,$C$5:$AU$493,20,)/VLOOKUP($D275,$C$5:$AU$493,3,))*$E275)</f>
        <v>0</v>
      </c>
      <c r="W275" s="66">
        <f>IF(VLOOKUP($D275,$C$5:$AU$493,3,)=0,0,(VLOOKUP($D275,$C$5:$AU$493,21,)/VLOOKUP($D275,$C$5:$AU$493,3,))*$E275)</f>
        <v>0</v>
      </c>
      <c r="X275" s="66">
        <f>IF(VLOOKUP($D275,$C$5:$AU$493,3,)=0,0,(VLOOKUP($D275,$C$5:$AU$493,22,)/VLOOKUP($D275,$C$5:$AU$493,3,))*$E275)</f>
        <v>0</v>
      </c>
      <c r="Y275" s="66">
        <f>IF(VLOOKUP($D275,$C$5:$AU$493,3,)=0,0,(VLOOKUP($D275,$C$5:$AU$493,23,)/VLOOKUP($D275,$C$5:$AU$493,3,))*$E275)</f>
        <v>0</v>
      </c>
      <c r="Z275" s="66">
        <f>IF(VLOOKUP($D275,$C$5:$AU$493,3,)=0,0,(VLOOKUP($D275,$C$5:$AU$493,24,)/VLOOKUP($D275,$C$5:$AU$493,3,))*$E275)</f>
        <v>0</v>
      </c>
      <c r="AA275" s="66">
        <f>IF(VLOOKUP($D275,$C$5:$AU$493,3,)=0,0,(VLOOKUP($D275,$C$5:$AU$493,25,)/VLOOKUP($D275,$C$5:$AU$493,3,))*$E275)</f>
        <v>0</v>
      </c>
      <c r="AB275" s="66">
        <f>IF(VLOOKUP($D275,$C$5:$AU$493,3,)=0,0,(VLOOKUP($D275,$C$5:$AU$493,26,)/VLOOKUP($D275,$C$5:$AU$493,3,))*$E275)</f>
        <v>0</v>
      </c>
      <c r="AC275" s="66">
        <f>IF(VLOOKUP($D275,$C$5:$AU$493,3,)=0,0,(VLOOKUP($D275,$C$5:$AU$493,27,)/VLOOKUP($D275,$C$5:$AU$493,3,))*$E275)</f>
        <v>0</v>
      </c>
      <c r="AD275" s="66">
        <f>IF(VLOOKUP($D275,$C$5:$AU$493,3,)=0,0,(VLOOKUP($D275,$C$5:$AU$493,28,)/VLOOKUP($D275,$C$5:$AU$493,3,))*$E275)</f>
        <v>0</v>
      </c>
      <c r="AE275" s="66">
        <f>IF(VLOOKUP($D275,$C$5:$AU$493,3,)=0,0,(VLOOKUP($D275,$C$5:$AU$493,29,)/VLOOKUP($D275,$C$5:$AU$493,3,))*$E275)</f>
        <v>0</v>
      </c>
      <c r="AF275" s="66">
        <f>IF(VLOOKUP($D275,$C$5:$AU$493,3,)=0,0,(VLOOKUP($D275,$C$5:$AU$493,30,)/VLOOKUP($D275,$C$5:$AU$493,3,))*$E275)</f>
        <v>0</v>
      </c>
      <c r="AG275" s="89">
        <f>SUM(F275:AF275)</f>
        <v>0</v>
      </c>
      <c r="AH275" s="27" t="str">
        <f>IF(ABS(E275-AG275)&lt;0.01,"ok","err")</f>
        <v>ok</v>
      </c>
    </row>
    <row r="276" spans="1:34" x14ac:dyDescent="0.2">
      <c r="A276" s="92" t="s">
        <v>210</v>
      </c>
      <c r="C276" s="14" t="s">
        <v>310</v>
      </c>
      <c r="D276" s="14" t="s">
        <v>665</v>
      </c>
      <c r="E276" s="49">
        <f>'Func &amp; Classif'!I316</f>
        <v>0</v>
      </c>
      <c r="F276" s="66">
        <f>IF(VLOOKUP($D276,$C$5:$AU$493,3,)=0,0,(VLOOKUP($D276,$C$5:$AU$493,4,)/VLOOKUP($D276,$C$5:$AU$493,3,))*$E276)</f>
        <v>0</v>
      </c>
      <c r="G276" s="66">
        <f>IF(VLOOKUP($D276,$C$5:$AU$493,3,)=0,0,(VLOOKUP($D276,$C$5:$AU$493,5,)/VLOOKUP($D276,$C$5:$AU$493,3,))*$E276)</f>
        <v>0</v>
      </c>
      <c r="H276" s="66">
        <f>IF(VLOOKUP($D276,$C$5:$AU$493,3,)=0,0,(VLOOKUP($D276,$C$5:$AU$493,6,)/VLOOKUP($D276,$C$5:$AU$493,3,))*$E276)</f>
        <v>0</v>
      </c>
      <c r="I276" s="66">
        <f>IF(VLOOKUP($D276,$C$5:$AU$493,3,)=0,0,(VLOOKUP($D276,$C$5:$AU$493,7,)/VLOOKUP($D276,$C$5:$AU$493,3,))*$E276)</f>
        <v>0</v>
      </c>
      <c r="J276" s="66">
        <f>IF(VLOOKUP($D276,$C$5:$AU$493,3,)=0,0,(VLOOKUP($D276,$C$5:$AU$493,8,)/VLOOKUP($D276,$C$5:$AU$493,3,))*$E276)</f>
        <v>0</v>
      </c>
      <c r="K276" s="66">
        <f>IF(VLOOKUP($D276,$C$5:$AU$493,3,)=0,0,(VLOOKUP($D276,$C$5:$AU$493,9,)/VLOOKUP($D276,$C$5:$AU$493,3,))*$E276)</f>
        <v>0</v>
      </c>
      <c r="L276" s="66">
        <f>IF(VLOOKUP($D276,$C$5:$AU$493,3,)=0,0,(VLOOKUP($D276,$C$5:$AU$493,10,)/VLOOKUP($D276,$C$5:$AU$493,3,))*$E276)</f>
        <v>0</v>
      </c>
      <c r="M276" s="66">
        <f>IF(VLOOKUP($D276,$C$5:$AU$493,3,)=0,0,(VLOOKUP($D276,$C$5:$AU$493,11,)/VLOOKUP($D276,$C$5:$AU$493,3,))*$E276)</f>
        <v>0</v>
      </c>
      <c r="N276" s="66">
        <f>IF(VLOOKUP($D276,$C$5:$AU$493,3,)=0,0,(VLOOKUP($D276,$C$5:$AU$493,12,)/VLOOKUP($D276,$C$5:$AU$493,3,))*$E276)</f>
        <v>0</v>
      </c>
      <c r="O276" s="66">
        <f>IF(VLOOKUP($D276,$C$5:$AU$493,3,)=0,0,(VLOOKUP($D276,$C$5:$AU$493,13,)/VLOOKUP($D276,$C$5:$AU$493,3,))*$E276)</f>
        <v>0</v>
      </c>
      <c r="P276" s="66">
        <f>IF(VLOOKUP($D276,$C$5:$AU$493,3,)=0,0,(VLOOKUP($D276,$C$5:$AU$493,14,)/VLOOKUP($D276,$C$5:$AU$493,3,))*$E276)</f>
        <v>0</v>
      </c>
      <c r="Q276" s="66">
        <f>IF(VLOOKUP($D276,$C$5:$AU$493,3,)=0,0,(VLOOKUP($D276,$C$5:$AU$493,15,)/VLOOKUP($D276,$C$5:$AU$493,3,))*$E276)</f>
        <v>0</v>
      </c>
      <c r="R276" s="66">
        <f>IF(VLOOKUP($D276,$C$5:$AU$493,3,)=0,0,(VLOOKUP($D276,$C$5:$AU$493,16,)/VLOOKUP($D276,$C$5:$AU$493,3,))*$E276)</f>
        <v>0</v>
      </c>
      <c r="S276" s="66">
        <f>IF(VLOOKUP($D276,$C$5:$AU$493,3,)=0,0,(VLOOKUP($D276,$C$5:$AU$493,17,)/VLOOKUP($D276,$C$5:$AU$493,3,))*$E276)</f>
        <v>0</v>
      </c>
      <c r="T276" s="66">
        <f>IF(VLOOKUP($D276,$C$5:$AU$493,3,)=0,0,(VLOOKUP($D276,$C$5:$AU$493,18,)/VLOOKUP($D276,$C$5:$AU$493,3,))*$E276)</f>
        <v>0</v>
      </c>
      <c r="U276" s="66">
        <f>IF(VLOOKUP($D276,$C$5:$AU$493,3,)=0,0,(VLOOKUP($D276,$C$5:$AU$493,19,)/VLOOKUP($D276,$C$5:$AU$493,3,))*$E276)</f>
        <v>0</v>
      </c>
      <c r="V276" s="66">
        <f>IF(VLOOKUP($D276,$C$5:$AU$493,3,)=0,0,(VLOOKUP($D276,$C$5:$AU$493,20,)/VLOOKUP($D276,$C$5:$AU$493,3,))*$E276)</f>
        <v>0</v>
      </c>
      <c r="W276" s="66">
        <f>IF(VLOOKUP($D276,$C$5:$AU$493,3,)=0,0,(VLOOKUP($D276,$C$5:$AU$493,21,)/VLOOKUP($D276,$C$5:$AU$493,3,))*$E276)</f>
        <v>0</v>
      </c>
      <c r="X276" s="66">
        <f>IF(VLOOKUP($D276,$C$5:$AU$493,3,)=0,0,(VLOOKUP($D276,$C$5:$AU$493,22,)/VLOOKUP($D276,$C$5:$AU$493,3,))*$E276)</f>
        <v>0</v>
      </c>
      <c r="Y276" s="66">
        <f>IF(VLOOKUP($D276,$C$5:$AU$493,3,)=0,0,(VLOOKUP($D276,$C$5:$AU$493,23,)/VLOOKUP($D276,$C$5:$AU$493,3,))*$E276)</f>
        <v>0</v>
      </c>
      <c r="Z276" s="66">
        <f>IF(VLOOKUP($D276,$C$5:$AU$493,3,)=0,0,(VLOOKUP($D276,$C$5:$AU$493,24,)/VLOOKUP($D276,$C$5:$AU$493,3,))*$E276)</f>
        <v>0</v>
      </c>
      <c r="AA276" s="66">
        <f>IF(VLOOKUP($D276,$C$5:$AU$493,3,)=0,0,(VLOOKUP($D276,$C$5:$AU$493,25,)/VLOOKUP($D276,$C$5:$AU$493,3,))*$E276)</f>
        <v>0</v>
      </c>
      <c r="AB276" s="66">
        <f>IF(VLOOKUP($D276,$C$5:$AU$493,3,)=0,0,(VLOOKUP($D276,$C$5:$AU$493,26,)/VLOOKUP($D276,$C$5:$AU$493,3,))*$E276)</f>
        <v>0</v>
      </c>
      <c r="AC276" s="66">
        <f>IF(VLOOKUP($D276,$C$5:$AU$493,3,)=0,0,(VLOOKUP($D276,$C$5:$AU$493,27,)/VLOOKUP($D276,$C$5:$AU$493,3,))*$E276)</f>
        <v>0</v>
      </c>
      <c r="AD276" s="66">
        <f>IF(VLOOKUP($D276,$C$5:$AU$493,3,)=0,0,(VLOOKUP($D276,$C$5:$AU$493,28,)/VLOOKUP($D276,$C$5:$AU$493,3,))*$E276)</f>
        <v>0</v>
      </c>
      <c r="AE276" s="66">
        <f>IF(VLOOKUP($D276,$C$5:$AU$493,3,)=0,0,(VLOOKUP($D276,$C$5:$AU$493,29,)/VLOOKUP($D276,$C$5:$AU$493,3,))*$E276)</f>
        <v>0</v>
      </c>
      <c r="AF276" s="66">
        <f>IF(VLOOKUP($D276,$C$5:$AU$493,3,)=0,0,(VLOOKUP($D276,$C$5:$AU$493,30,)/VLOOKUP($D276,$C$5:$AU$493,3,))*$E276)</f>
        <v>0</v>
      </c>
      <c r="AG276" s="89">
        <f>SUM(F276:AF276)</f>
        <v>0</v>
      </c>
      <c r="AH276" s="27" t="str">
        <f>IF(ABS(E276-AG276)&lt;0.01,"ok","err")</f>
        <v>ok</v>
      </c>
    </row>
    <row r="277" spans="1:34" x14ac:dyDescent="0.2">
      <c r="A277" s="14" t="s">
        <v>213</v>
      </c>
      <c r="C277" s="14" t="s">
        <v>311</v>
      </c>
      <c r="E277" s="49">
        <f t="shared" ref="E277:T277" si="57">E275+E276</f>
        <v>0</v>
      </c>
      <c r="F277" s="66">
        <f t="shared" si="57"/>
        <v>0</v>
      </c>
      <c r="G277" s="66">
        <f t="shared" si="57"/>
        <v>0</v>
      </c>
      <c r="H277" s="66">
        <f t="shared" si="57"/>
        <v>0</v>
      </c>
      <c r="I277" s="66">
        <f t="shared" si="57"/>
        <v>0</v>
      </c>
      <c r="J277" s="66">
        <f t="shared" si="57"/>
        <v>0</v>
      </c>
      <c r="K277" s="66">
        <f t="shared" si="57"/>
        <v>0</v>
      </c>
      <c r="L277" s="66">
        <f t="shared" si="57"/>
        <v>0</v>
      </c>
      <c r="M277" s="66">
        <f t="shared" si="57"/>
        <v>0</v>
      </c>
      <c r="N277" s="66">
        <f t="shared" si="57"/>
        <v>0</v>
      </c>
      <c r="O277" s="66">
        <f t="shared" si="57"/>
        <v>0</v>
      </c>
      <c r="P277" s="66">
        <f t="shared" si="57"/>
        <v>0</v>
      </c>
      <c r="Q277" s="66">
        <f t="shared" si="57"/>
        <v>0</v>
      </c>
      <c r="R277" s="66">
        <f t="shared" si="57"/>
        <v>0</v>
      </c>
      <c r="S277" s="66">
        <f t="shared" si="57"/>
        <v>0</v>
      </c>
      <c r="T277" s="66">
        <f t="shared" si="57"/>
        <v>0</v>
      </c>
      <c r="U277" s="66">
        <f t="shared" ref="U277:AF277" si="58">U275+U276</f>
        <v>0</v>
      </c>
      <c r="V277" s="66">
        <f t="shared" si="58"/>
        <v>0</v>
      </c>
      <c r="W277" s="66">
        <f t="shared" si="58"/>
        <v>0</v>
      </c>
      <c r="X277" s="66">
        <f t="shared" si="58"/>
        <v>0</v>
      </c>
      <c r="Y277" s="66">
        <f t="shared" si="58"/>
        <v>0</v>
      </c>
      <c r="Z277" s="66">
        <f t="shared" si="58"/>
        <v>0</v>
      </c>
      <c r="AA277" s="66">
        <f t="shared" si="58"/>
        <v>0</v>
      </c>
      <c r="AB277" s="66">
        <f t="shared" si="58"/>
        <v>0</v>
      </c>
      <c r="AC277" s="66">
        <f t="shared" si="58"/>
        <v>0</v>
      </c>
      <c r="AD277" s="66">
        <f t="shared" si="58"/>
        <v>0</v>
      </c>
      <c r="AE277" s="66">
        <f t="shared" si="58"/>
        <v>0</v>
      </c>
      <c r="AF277" s="66">
        <f t="shared" si="58"/>
        <v>0</v>
      </c>
      <c r="AG277" s="89">
        <f>SUM(F277:AF277)</f>
        <v>0</v>
      </c>
      <c r="AH277" s="27" t="str">
        <f>IF(ABS(E277-AG277)&lt;0.01,"ok","err")</f>
        <v>ok</v>
      </c>
    </row>
    <row r="278" spans="1:34" x14ac:dyDescent="0.2">
      <c r="E278" s="49"/>
      <c r="F278" s="49"/>
    </row>
    <row r="279" spans="1:34" x14ac:dyDescent="0.2">
      <c r="A279" s="13" t="s">
        <v>348</v>
      </c>
      <c r="E279" s="49"/>
      <c r="F279" s="49"/>
    </row>
    <row r="280" spans="1:34" x14ac:dyDescent="0.2">
      <c r="A280" s="92" t="s">
        <v>207</v>
      </c>
      <c r="C280" s="14" t="s">
        <v>886</v>
      </c>
      <c r="D280" s="14" t="s">
        <v>624</v>
      </c>
      <c r="E280" s="66">
        <f>'Func &amp; Classif'!K316</f>
        <v>0</v>
      </c>
      <c r="F280" s="66">
        <f>IF(VLOOKUP($D280,$C$5:$AU$493,3,)=0,0,(VLOOKUP($D280,$C$5:$AU$493,4,)/VLOOKUP($D280,$C$5:$AU$493,3,))*$E280)</f>
        <v>0</v>
      </c>
      <c r="G280" s="66">
        <f>IF(VLOOKUP($D280,$C$5:$AU$493,3,)=0,0,(VLOOKUP($D280,$C$5:$AU$493,5,)/VLOOKUP($D280,$C$5:$AU$493,3,))*$E280)</f>
        <v>0</v>
      </c>
      <c r="H280" s="66">
        <f>IF(VLOOKUP($D280,$C$5:$AU$493,3,)=0,0,(VLOOKUP($D280,$C$5:$AU$493,6,)/VLOOKUP($D280,$C$5:$AU$493,3,))*$E280)</f>
        <v>0</v>
      </c>
      <c r="I280" s="66">
        <f>IF(VLOOKUP($D280,$C$5:$AU$493,3,)=0,0,(VLOOKUP($D280,$C$5:$AU$493,7,)/VLOOKUP($D280,$C$5:$AU$493,3,))*$E280)</f>
        <v>0</v>
      </c>
      <c r="J280" s="66">
        <f>IF(VLOOKUP($D280,$C$5:$AU$493,3,)=0,0,(VLOOKUP($D280,$C$5:$AU$493,8,)/VLOOKUP($D280,$C$5:$AU$493,3,))*$E280)</f>
        <v>0</v>
      </c>
      <c r="K280" s="66">
        <f>IF(VLOOKUP($D280,$C$5:$AU$493,3,)=0,0,(VLOOKUP($D280,$C$5:$AU$493,9,)/VLOOKUP($D280,$C$5:$AU$493,3,))*$E280)</f>
        <v>0</v>
      </c>
      <c r="L280" s="66">
        <f>IF(VLOOKUP($D280,$C$5:$AU$493,3,)=0,0,(VLOOKUP($D280,$C$5:$AU$493,10,)/VLOOKUP($D280,$C$5:$AU$493,3,))*$E280)</f>
        <v>0</v>
      </c>
      <c r="M280" s="66">
        <f>IF(VLOOKUP($D280,$C$5:$AU$493,3,)=0,0,(VLOOKUP($D280,$C$5:$AU$493,11,)/VLOOKUP($D280,$C$5:$AU$493,3,))*$E280)</f>
        <v>0</v>
      </c>
      <c r="N280" s="66">
        <f>IF(VLOOKUP($D280,$C$5:$AU$493,3,)=0,0,(VLOOKUP($D280,$C$5:$AU$493,12,)/VLOOKUP($D280,$C$5:$AU$493,3,))*$E280)</f>
        <v>0</v>
      </c>
      <c r="O280" s="66">
        <f>IF(VLOOKUP($D280,$C$5:$AU$493,3,)=0,0,(VLOOKUP($D280,$C$5:$AU$493,13,)/VLOOKUP($D280,$C$5:$AU$493,3,))*$E280)</f>
        <v>0</v>
      </c>
      <c r="P280" s="66">
        <f>IF(VLOOKUP($D280,$C$5:$AU$493,3,)=0,0,(VLOOKUP($D280,$C$5:$AU$493,14,)/VLOOKUP($D280,$C$5:$AU$493,3,))*$E280)</f>
        <v>0</v>
      </c>
      <c r="Q280" s="66">
        <f>IF(VLOOKUP($D280,$C$5:$AU$493,3,)=0,0,(VLOOKUP($D280,$C$5:$AU$493,15,)/VLOOKUP($D280,$C$5:$AU$493,3,))*$E280)</f>
        <v>0</v>
      </c>
      <c r="R280" s="66">
        <f>IF(VLOOKUP($D280,$C$5:$AU$493,3,)=0,0,(VLOOKUP($D280,$C$5:$AU$493,16,)/VLOOKUP($D280,$C$5:$AU$493,3,))*$E280)</f>
        <v>0</v>
      </c>
      <c r="S280" s="66">
        <f>IF(VLOOKUP($D280,$C$5:$AU$493,3,)=0,0,(VLOOKUP($D280,$C$5:$AU$493,17,)/VLOOKUP($D280,$C$5:$AU$493,3,))*$E280)</f>
        <v>0</v>
      </c>
      <c r="T280" s="66">
        <f>IF(VLOOKUP($D280,$C$5:$AU$493,3,)=0,0,(VLOOKUP($D280,$C$5:$AU$493,18,)/VLOOKUP($D280,$C$5:$AU$493,3,))*$E280)</f>
        <v>0</v>
      </c>
      <c r="U280" s="66">
        <f>IF(VLOOKUP($D280,$C$5:$AU$493,3,)=0,0,(VLOOKUP($D280,$C$5:$AU$493,19,)/VLOOKUP($D280,$C$5:$AU$493,3,))*$E280)</f>
        <v>0</v>
      </c>
      <c r="V280" s="66">
        <f>IF(VLOOKUP($D280,$C$5:$AU$493,3,)=0,0,(VLOOKUP($D280,$C$5:$AU$493,20,)/VLOOKUP($D280,$C$5:$AU$493,3,))*$E280)</f>
        <v>0</v>
      </c>
      <c r="W280" s="66">
        <f>IF(VLOOKUP($D280,$C$5:$AU$493,3,)=0,0,(VLOOKUP($D280,$C$5:$AU$493,21,)/VLOOKUP($D280,$C$5:$AU$493,3,))*$E280)</f>
        <v>0</v>
      </c>
      <c r="X280" s="66">
        <f>IF(VLOOKUP($D280,$C$5:$AU$493,3,)=0,0,(VLOOKUP($D280,$C$5:$AU$493,22,)/VLOOKUP($D280,$C$5:$AU$493,3,))*$E280)</f>
        <v>0</v>
      </c>
      <c r="Y280" s="66">
        <f>IF(VLOOKUP($D280,$C$5:$AU$493,3,)=0,0,(VLOOKUP($D280,$C$5:$AU$493,23,)/VLOOKUP($D280,$C$5:$AU$493,3,))*$E280)</f>
        <v>0</v>
      </c>
      <c r="Z280" s="66">
        <f>IF(VLOOKUP($D280,$C$5:$AU$493,3,)=0,0,(VLOOKUP($D280,$C$5:$AU$493,24,)/VLOOKUP($D280,$C$5:$AU$493,3,))*$E280)</f>
        <v>0</v>
      </c>
      <c r="AA280" s="66">
        <f>IF(VLOOKUP($D280,$C$5:$AU$493,3,)=0,0,(VLOOKUP($D280,$C$5:$AU$493,25,)/VLOOKUP($D280,$C$5:$AU$493,3,))*$E280)</f>
        <v>0</v>
      </c>
      <c r="AB280" s="66">
        <f>IF(VLOOKUP($D280,$C$5:$AU$493,3,)=0,0,(VLOOKUP($D280,$C$5:$AU$493,26,)/VLOOKUP($D280,$C$5:$AU$493,3,))*$E280)</f>
        <v>0</v>
      </c>
      <c r="AC280" s="66">
        <f>IF(VLOOKUP($D280,$C$5:$AU$493,3,)=0,0,(VLOOKUP($D280,$C$5:$AU$493,27,)/VLOOKUP($D280,$C$5:$AU$493,3,))*$E280)</f>
        <v>0</v>
      </c>
      <c r="AD280" s="66">
        <f>IF(VLOOKUP($D280,$C$5:$AU$493,3,)=0,0,(VLOOKUP($D280,$C$5:$AU$493,28,)/VLOOKUP($D280,$C$5:$AU$493,3,))*$E280)</f>
        <v>0</v>
      </c>
      <c r="AE280" s="66">
        <f>IF(VLOOKUP($D280,$C$5:$AU$493,3,)=0,0,(VLOOKUP($D280,$C$5:$AU$493,29,)/VLOOKUP($D280,$C$5:$AU$493,3,))*$E280)</f>
        <v>0</v>
      </c>
      <c r="AF280" s="66">
        <f>IF(VLOOKUP($D280,$C$5:$AU$493,3,)=0,0,(VLOOKUP($D280,$C$5:$AU$493,30,)/VLOOKUP($D280,$C$5:$AU$493,3,))*$E280)</f>
        <v>0</v>
      </c>
      <c r="AG280" s="89">
        <f>SUM(F280:AF280)</f>
        <v>0</v>
      </c>
      <c r="AH280" s="27" t="str">
        <f>IF(ABS(E280-AG280)&lt;0.01,"ok","err")</f>
        <v>ok</v>
      </c>
    </row>
    <row r="281" spans="1:34" x14ac:dyDescent="0.2">
      <c r="E281" s="49"/>
    </row>
    <row r="282" spans="1:34" x14ac:dyDescent="0.2">
      <c r="A282" s="13" t="s">
        <v>1</v>
      </c>
      <c r="E282" s="49"/>
      <c r="F282" s="49"/>
    </row>
    <row r="283" spans="1:34" x14ac:dyDescent="0.2">
      <c r="A283" s="92" t="s">
        <v>207</v>
      </c>
      <c r="C283" s="14" t="s">
        <v>312</v>
      </c>
      <c r="D283" s="14" t="s">
        <v>631</v>
      </c>
      <c r="E283" s="66">
        <f>'Func &amp; Classif'!M316</f>
        <v>1.1225741804762237</v>
      </c>
      <c r="F283" s="66">
        <f>IF(VLOOKUP($D283,$C$5:$AU$493,3,)=0,0,(VLOOKUP($D283,$C$5:$AU$493,4,)/VLOOKUP($D283,$C$5:$AU$493,3,))*$E283)</f>
        <v>0.83713760968281592</v>
      </c>
      <c r="G283" s="66">
        <f>IF(VLOOKUP($D283,$C$5:$AU$493,3,)=0,0,(VLOOKUP($D283,$C$5:$AU$493,5,)/VLOOKUP($D283,$C$5:$AU$493,3,))*$E283)</f>
        <v>1.5859570730193732E-4</v>
      </c>
      <c r="H283" s="66">
        <f>IF(VLOOKUP($D283,$C$5:$AU$493,3,)=0,0,(VLOOKUP($D283,$C$5:$AU$493,6,)/VLOOKUP($D283,$C$5:$AU$493,3,))*$E283)</f>
        <v>3.5545057043962238E-5</v>
      </c>
      <c r="I283" s="66">
        <f>IF(VLOOKUP($D283,$C$5:$AU$493,3,)=0,0,(VLOOKUP($D283,$C$5:$AU$493,7,)/VLOOKUP($D283,$C$5:$AU$493,3,))*$E283)</f>
        <v>6.8804875567078649E-2</v>
      </c>
      <c r="J283" s="66">
        <f>IF(VLOOKUP($D283,$C$5:$AU$493,3,)=0,0,(VLOOKUP($D283,$C$5:$AU$493,8,)/VLOOKUP($D283,$C$5:$AU$493,3,))*$E283)</f>
        <v>2.3321184756832844E-4</v>
      </c>
      <c r="K283" s="66">
        <f>IF(VLOOKUP($D283,$C$5:$AU$493,3,)=0,0,(VLOOKUP($D283,$C$5:$AU$493,9,)/VLOOKUP($D283,$C$5:$AU$493,3,))*$E283)</f>
        <v>2.6382770913819801E-2</v>
      </c>
      <c r="L283" s="66">
        <f>IF(VLOOKUP($D283,$C$5:$AU$493,3,)=0,0,(VLOOKUP($D283,$C$5:$AU$493,10,)/VLOOKUP($D283,$C$5:$AU$493,3,))*$E283)</f>
        <v>7.496995381748861E-2</v>
      </c>
      <c r="M283" s="66">
        <f>IF(VLOOKUP($D283,$C$5:$AU$493,3,)=0,0,(VLOOKUP($D283,$C$5:$AU$493,11,)/VLOOKUP($D283,$C$5:$AU$493,3,))*$E283)</f>
        <v>3.8513017189787224E-2</v>
      </c>
      <c r="N283" s="66">
        <f>IF(VLOOKUP($D283,$C$5:$AU$493,3,)=0,0,(VLOOKUP($D283,$C$5:$AU$493,12,)/VLOOKUP($D283,$C$5:$AU$493,3,))*$E283)</f>
        <v>7.3665193599501855E-2</v>
      </c>
      <c r="O283" s="66">
        <f>IF(VLOOKUP($D283,$C$5:$AU$493,3,)=0,0,(VLOOKUP($D283,$C$5:$AU$493,13,)/VLOOKUP($D283,$C$5:$AU$493,3,))*$E283)</f>
        <v>0</v>
      </c>
      <c r="P283" s="66">
        <f>IF(VLOOKUP($D283,$C$5:$AU$493,3,)=0,0,(VLOOKUP($D283,$C$5:$AU$493,14,)/VLOOKUP($D283,$C$5:$AU$493,3,))*$E283)</f>
        <v>2.6734070938175892E-3</v>
      </c>
      <c r="Q283" s="66">
        <f>IF(VLOOKUP($D283,$C$5:$AU$493,3,)=0,0,(VLOOKUP($D283,$C$5:$AU$493,15,)/VLOOKUP($D283,$C$5:$AU$493,3,))*$E283)</f>
        <v>0</v>
      </c>
      <c r="R283" s="66">
        <f>IF(VLOOKUP($D283,$C$5:$AU$493,3,)=0,0,(VLOOKUP($D283,$C$5:$AU$493,16,)/VLOOKUP($D283,$C$5:$AU$493,3,))*$E283)</f>
        <v>0</v>
      </c>
      <c r="S283" s="66">
        <f>IF(VLOOKUP($D283,$C$5:$AU$493,3,)=0,0,(VLOOKUP($D283,$C$5:$AU$493,17,)/VLOOKUP($D283,$C$5:$AU$493,3,))*$E283)</f>
        <v>0</v>
      </c>
      <c r="T283" s="66">
        <f>IF(VLOOKUP($D283,$C$5:$AU$493,3,)=0,0,(VLOOKUP($D283,$C$5:$AU$493,18,)/VLOOKUP($D283,$C$5:$AU$493,3,))*$E283)</f>
        <v>0</v>
      </c>
      <c r="U283" s="66">
        <f>IF(VLOOKUP($D283,$C$5:$AU$493,3,)=0,0,(VLOOKUP($D283,$C$5:$AU$493,19,)/VLOOKUP($D283,$C$5:$AU$493,3,))*$E283)</f>
        <v>0</v>
      </c>
      <c r="V283" s="66">
        <f>IF(VLOOKUP($D283,$C$5:$AU$493,3,)=0,0,(VLOOKUP($D283,$C$5:$AU$493,20,)/VLOOKUP($D283,$C$5:$AU$493,3,))*$E283)</f>
        <v>0</v>
      </c>
      <c r="W283" s="66">
        <f>IF(VLOOKUP($D283,$C$5:$AU$493,3,)=0,0,(VLOOKUP($D283,$C$5:$AU$493,21,)/VLOOKUP($D283,$C$5:$AU$493,3,))*$E283)</f>
        <v>0</v>
      </c>
      <c r="X283" s="66">
        <f>IF(VLOOKUP($D283,$C$5:$AU$493,3,)=0,0,(VLOOKUP($D283,$C$5:$AU$493,22,)/VLOOKUP($D283,$C$5:$AU$493,3,))*$E283)</f>
        <v>0</v>
      </c>
      <c r="Y283" s="66">
        <f>IF(VLOOKUP($D283,$C$5:$AU$493,3,)=0,0,(VLOOKUP($D283,$C$5:$AU$493,23,)/VLOOKUP($D283,$C$5:$AU$493,3,))*$E283)</f>
        <v>0</v>
      </c>
      <c r="Z283" s="66">
        <f>IF(VLOOKUP($D283,$C$5:$AU$493,3,)=0,0,(VLOOKUP($D283,$C$5:$AU$493,24,)/VLOOKUP($D283,$C$5:$AU$493,3,))*$E283)</f>
        <v>0</v>
      </c>
      <c r="AA283" s="66">
        <f>IF(VLOOKUP($D283,$C$5:$AU$493,3,)=0,0,(VLOOKUP($D283,$C$5:$AU$493,25,)/VLOOKUP($D283,$C$5:$AU$493,3,))*$E283)</f>
        <v>0</v>
      </c>
      <c r="AB283" s="66">
        <f>IF(VLOOKUP($D283,$C$5:$AU$493,3,)=0,0,(VLOOKUP($D283,$C$5:$AU$493,26,)/VLOOKUP($D283,$C$5:$AU$493,3,))*$E283)</f>
        <v>0</v>
      </c>
      <c r="AC283" s="66">
        <f>IF(VLOOKUP($D283,$C$5:$AU$493,3,)=0,0,(VLOOKUP($D283,$C$5:$AU$493,27,)/VLOOKUP($D283,$C$5:$AU$493,3,))*$E283)</f>
        <v>0</v>
      </c>
      <c r="AD283" s="66">
        <f>IF(VLOOKUP($D283,$C$5:$AU$493,3,)=0,0,(VLOOKUP($D283,$C$5:$AU$493,28,)/VLOOKUP($D283,$C$5:$AU$493,3,))*$E283)</f>
        <v>0</v>
      </c>
      <c r="AE283" s="66">
        <f>IF(VLOOKUP($D283,$C$5:$AU$493,3,)=0,0,(VLOOKUP($D283,$C$5:$AU$493,29,)/VLOOKUP($D283,$C$5:$AU$493,3,))*$E283)</f>
        <v>0</v>
      </c>
      <c r="AF283" s="66">
        <f>IF(VLOOKUP($D283,$C$5:$AU$493,3,)=0,0,(VLOOKUP($D283,$C$5:$AU$493,30,)/VLOOKUP($D283,$C$5:$AU$493,3,))*$E283)</f>
        <v>0</v>
      </c>
      <c r="AG283" s="89">
        <f>SUM(F283:AF283)</f>
        <v>1.1225741804762239</v>
      </c>
      <c r="AH283" s="27" t="str">
        <f>IF(ABS(E283-AG283)&lt;0.01,"ok","err")</f>
        <v>ok</v>
      </c>
    </row>
    <row r="284" spans="1:34" x14ac:dyDescent="0.2">
      <c r="E284" s="49"/>
    </row>
    <row r="285" spans="1:34" x14ac:dyDescent="0.2">
      <c r="A285" s="13" t="s">
        <v>2</v>
      </c>
      <c r="E285" s="49"/>
    </row>
    <row r="286" spans="1:34" x14ac:dyDescent="0.2">
      <c r="A286" s="92" t="s">
        <v>207</v>
      </c>
      <c r="C286" s="14" t="s">
        <v>313</v>
      </c>
      <c r="D286" s="14" t="s">
        <v>628</v>
      </c>
      <c r="E286" s="66">
        <f>'Func &amp; Classif'!O316</f>
        <v>73.171948522169544</v>
      </c>
      <c r="F286" s="66">
        <f>IF(VLOOKUP($D286,$C$5:$AU$493,3,)=0,0,(VLOOKUP($D286,$C$5:$AU$493,4,)/VLOOKUP($D286,$C$5:$AU$493,3,))*$E286)</f>
        <v>61.023836953666866</v>
      </c>
      <c r="G286" s="66">
        <f>IF(VLOOKUP($D286,$C$5:$AU$493,3,)=0,0,(VLOOKUP($D286,$C$5:$AU$493,5,)/VLOOKUP($D286,$C$5:$AU$493,3,))*$E286)</f>
        <v>1.1405620137652108E-2</v>
      </c>
      <c r="H286" s="66">
        <f>IF(VLOOKUP($D286,$C$5:$AU$493,3,)=0,0,(VLOOKUP($D286,$C$5:$AU$493,6,)/VLOOKUP($D286,$C$5:$AU$493,3,))*$E286)</f>
        <v>0.42028465030602041</v>
      </c>
      <c r="I286" s="66">
        <f>IF(VLOOKUP($D286,$C$5:$AU$493,3,)=0,0,(VLOOKUP($D286,$C$5:$AU$493,7,)/VLOOKUP($D286,$C$5:$AU$493,3,))*$E286)</f>
        <v>3.2790375022107758</v>
      </c>
      <c r="J286" s="66">
        <f>IF(VLOOKUP($D286,$C$5:$AU$493,3,)=0,0,(VLOOKUP($D286,$C$5:$AU$493,8,)/VLOOKUP($D286,$C$5:$AU$493,3,))*$E286)</f>
        <v>0.42354317520994184</v>
      </c>
      <c r="K286" s="66">
        <f>IF(VLOOKUP($D286,$C$5:$AU$493,3,)=0,0,(VLOOKUP($D286,$C$5:$AU$493,9,)/VLOOKUP($D286,$C$5:$AU$493,3,))*$E286)</f>
        <v>1.0476140149367619</v>
      </c>
      <c r="L286" s="66">
        <f>IF(VLOOKUP($D286,$C$5:$AU$493,3,)=0,0,(VLOOKUP($D286,$C$5:$AU$493,10,)/VLOOKUP($D286,$C$5:$AU$493,3,))*$E286)</f>
        <v>2.9007490587693807</v>
      </c>
      <c r="M286" s="66">
        <f>IF(VLOOKUP($D286,$C$5:$AU$493,3,)=0,0,(VLOOKUP($D286,$C$5:$AU$493,11,)/VLOOKUP($D286,$C$5:$AU$493,3,))*$E286)</f>
        <v>1.35457436391792</v>
      </c>
      <c r="N286" s="66">
        <f>IF(VLOOKUP($D286,$C$5:$AU$493,3,)=0,0,(VLOOKUP($D286,$C$5:$AU$493,12,)/VLOOKUP($D286,$C$5:$AU$493,3,))*$E286)</f>
        <v>2.5702676568296696</v>
      </c>
      <c r="O286" s="66">
        <f>IF(VLOOKUP($D286,$C$5:$AU$493,3,)=0,0,(VLOOKUP($D286,$C$5:$AU$493,13,)/VLOOKUP($D286,$C$5:$AU$493,3,))*$E286)</f>
        <v>0</v>
      </c>
      <c r="P286" s="66">
        <f>IF(VLOOKUP($D286,$C$5:$AU$493,3,)=0,0,(VLOOKUP($D286,$C$5:$AU$493,14,)/VLOOKUP($D286,$C$5:$AU$493,3,))*$E286)</f>
        <v>0.14063552618455069</v>
      </c>
      <c r="Q286" s="66">
        <f>IF(VLOOKUP($D286,$C$5:$AU$493,3,)=0,0,(VLOOKUP($D286,$C$5:$AU$493,15,)/VLOOKUP($D286,$C$5:$AU$493,3,))*$E286)</f>
        <v>0</v>
      </c>
      <c r="R286" s="66">
        <f>IF(VLOOKUP($D286,$C$5:$AU$493,3,)=0,0,(VLOOKUP($D286,$C$5:$AU$493,16,)/VLOOKUP($D286,$C$5:$AU$493,3,))*$E286)</f>
        <v>0</v>
      </c>
      <c r="S286" s="66">
        <f>IF(VLOOKUP($D286,$C$5:$AU$493,3,)=0,0,(VLOOKUP($D286,$C$5:$AU$493,17,)/VLOOKUP($D286,$C$5:$AU$493,3,))*$E286)</f>
        <v>0</v>
      </c>
      <c r="T286" s="66">
        <f>IF(VLOOKUP($D286,$C$5:$AU$493,3,)=0,0,(VLOOKUP($D286,$C$5:$AU$493,18,)/VLOOKUP($D286,$C$5:$AU$493,3,))*$E286)</f>
        <v>0</v>
      </c>
      <c r="U286" s="66">
        <f>IF(VLOOKUP($D286,$C$5:$AU$493,3,)=0,0,(VLOOKUP($D286,$C$5:$AU$493,19,)/VLOOKUP($D286,$C$5:$AU$493,3,))*$E286)</f>
        <v>0</v>
      </c>
      <c r="V286" s="66">
        <f>IF(VLOOKUP($D286,$C$5:$AU$493,3,)=0,0,(VLOOKUP($D286,$C$5:$AU$493,20,)/VLOOKUP($D286,$C$5:$AU$493,3,))*$E286)</f>
        <v>0</v>
      </c>
      <c r="W286" s="66">
        <f>IF(VLOOKUP($D286,$C$5:$AU$493,3,)=0,0,(VLOOKUP($D286,$C$5:$AU$493,21,)/VLOOKUP($D286,$C$5:$AU$493,3,))*$E286)</f>
        <v>0</v>
      </c>
      <c r="X286" s="66">
        <f>IF(VLOOKUP($D286,$C$5:$AU$493,3,)=0,0,(VLOOKUP($D286,$C$5:$AU$493,22,)/VLOOKUP($D286,$C$5:$AU$493,3,))*$E286)</f>
        <v>0</v>
      </c>
      <c r="Y286" s="66">
        <f>IF(VLOOKUP($D286,$C$5:$AU$493,3,)=0,0,(VLOOKUP($D286,$C$5:$AU$493,23,)/VLOOKUP($D286,$C$5:$AU$493,3,))*$E286)</f>
        <v>0</v>
      </c>
      <c r="Z286" s="66">
        <f>IF(VLOOKUP($D286,$C$5:$AU$493,3,)=0,0,(VLOOKUP($D286,$C$5:$AU$493,24,)/VLOOKUP($D286,$C$5:$AU$493,3,))*$E286)</f>
        <v>0</v>
      </c>
      <c r="AA286" s="66">
        <f>IF(VLOOKUP($D286,$C$5:$AU$493,3,)=0,0,(VLOOKUP($D286,$C$5:$AU$493,25,)/VLOOKUP($D286,$C$5:$AU$493,3,))*$E286)</f>
        <v>0</v>
      </c>
      <c r="AB286" s="66">
        <f>IF(VLOOKUP($D286,$C$5:$AU$493,3,)=0,0,(VLOOKUP($D286,$C$5:$AU$493,26,)/VLOOKUP($D286,$C$5:$AU$493,3,))*$E286)</f>
        <v>0</v>
      </c>
      <c r="AC286" s="66">
        <f>IF(VLOOKUP($D286,$C$5:$AU$493,3,)=0,0,(VLOOKUP($D286,$C$5:$AU$493,27,)/VLOOKUP($D286,$C$5:$AU$493,3,))*$E286)</f>
        <v>0</v>
      </c>
      <c r="AD286" s="66">
        <f>IF(VLOOKUP($D286,$C$5:$AU$493,3,)=0,0,(VLOOKUP($D286,$C$5:$AU$493,28,)/VLOOKUP($D286,$C$5:$AU$493,3,))*$E286)</f>
        <v>0</v>
      </c>
      <c r="AE286" s="66">
        <f>IF(VLOOKUP($D286,$C$5:$AU$493,3,)=0,0,(VLOOKUP($D286,$C$5:$AU$493,29,)/VLOOKUP($D286,$C$5:$AU$493,3,))*$E286)</f>
        <v>0</v>
      </c>
      <c r="AF286" s="66">
        <f>IF(VLOOKUP($D286,$C$5:$AU$493,3,)=0,0,(VLOOKUP($D286,$C$5:$AU$493,30,)/VLOOKUP($D286,$C$5:$AU$493,3,))*$E286)</f>
        <v>0</v>
      </c>
      <c r="AG286" s="89">
        <f>SUM(F286:AF286)</f>
        <v>73.171948522169529</v>
      </c>
      <c r="AH286" s="27" t="str">
        <f>IF(ABS(E286-AG286)&lt;0.01,"ok","err")</f>
        <v>ok</v>
      </c>
    </row>
    <row r="287" spans="1:34" x14ac:dyDescent="0.2">
      <c r="A287" s="92" t="s">
        <v>219</v>
      </c>
      <c r="C287" s="14" t="s">
        <v>314</v>
      </c>
      <c r="D287" s="14" t="s">
        <v>221</v>
      </c>
      <c r="E287" s="49">
        <f>'Func &amp; Classif'!P316</f>
        <v>49.165291440383932</v>
      </c>
      <c r="F287" s="66">
        <f>IF(VLOOKUP($D287,$C$5:$AU$493,3,)=0,0,(VLOOKUP($D287,$C$5:$AU$493,4,)/VLOOKUP($D287,$C$5:$AU$493,3,))*$E287)</f>
        <v>37.556007009336717</v>
      </c>
      <c r="G287" s="66">
        <f>IF(VLOOKUP($D287,$C$5:$AU$493,3,)=0,0,(VLOOKUP($D287,$C$5:$AU$493,5,)/VLOOKUP($D287,$C$5:$AU$493,3,))*$E287)</f>
        <v>7.3040775902413632E-2</v>
      </c>
      <c r="H287" s="66">
        <f>IF(VLOOKUP($D287,$C$5:$AU$493,3,)=0,0,(VLOOKUP($D287,$C$5:$AU$493,6,)/VLOOKUP($D287,$C$5:$AU$493,3,))*$E287)</f>
        <v>1.1819231302874596E-2</v>
      </c>
      <c r="I287" s="66">
        <f>IF(VLOOKUP($D287,$C$5:$AU$493,3,)=0,0,(VLOOKUP($D287,$C$5:$AU$493,7,)/VLOOKUP($D287,$C$5:$AU$493,3,))*$E287)</f>
        <v>1.889314491511261</v>
      </c>
      <c r="J287" s="66">
        <f>IF(VLOOKUP($D287,$C$5:$AU$493,3,)=0,0,(VLOOKUP($D287,$C$5:$AU$493,8,)/VLOOKUP($D287,$C$5:$AU$493,3,))*$E287)</f>
        <v>3.0273820530170015E-2</v>
      </c>
      <c r="K287" s="66">
        <f>IF(VLOOKUP($D287,$C$5:$AU$493,3,)=0,0,(VLOOKUP($D287,$C$5:$AU$493,9,)/VLOOKUP($D287,$C$5:$AU$493,3,))*$E287)</f>
        <v>3.8619856669480597E-2</v>
      </c>
      <c r="L287" s="66">
        <f>IF(VLOOKUP($D287,$C$5:$AU$493,3,)=0,0,(VLOOKUP($D287,$C$5:$AU$493,10,)/VLOOKUP($D287,$C$5:$AU$493,3,))*$E287)</f>
        <v>1.8454589227295422E-2</v>
      </c>
      <c r="M287" s="66">
        <f>IF(VLOOKUP($D287,$C$5:$AU$493,3,)=0,0,(VLOOKUP($D287,$C$5:$AU$493,11,)/VLOOKUP($D287,$C$5:$AU$493,3,))*$E287)</f>
        <v>1.8661944162433573E-3</v>
      </c>
      <c r="N287" s="66">
        <f>IF(VLOOKUP($D287,$C$5:$AU$493,3,)=0,0,(VLOOKUP($D287,$C$5:$AU$493,12,)/VLOOKUP($D287,$C$5:$AU$493,3,))*$E287)</f>
        <v>1.8661944162433573E-3</v>
      </c>
      <c r="O287" s="66">
        <f>IF(VLOOKUP($D287,$C$5:$AU$493,3,)=0,0,(VLOOKUP($D287,$C$5:$AU$493,13,)/VLOOKUP($D287,$C$5:$AU$493,3,))*$E287)</f>
        <v>6.2206480541445244E-4</v>
      </c>
      <c r="P287" s="66">
        <f>IF(VLOOKUP($D287,$C$5:$AU$493,3,)=0,0,(VLOOKUP($D287,$C$5:$AU$493,14,)/VLOOKUP($D287,$C$5:$AU$493,3,))*$E287)</f>
        <v>9.5434072122658229</v>
      </c>
      <c r="Q287" s="66">
        <f>IF(VLOOKUP($D287,$C$5:$AU$493,3,)=0,0,(VLOOKUP($D287,$C$5:$AU$493,15,)/VLOOKUP($D287,$C$5:$AU$493,3,))*$E287)</f>
        <v>0</v>
      </c>
      <c r="R287" s="66">
        <f>IF(VLOOKUP($D287,$C$5:$AU$493,3,)=0,0,(VLOOKUP($D287,$C$5:$AU$493,16,)/VLOOKUP($D287,$C$5:$AU$493,3,))*$E287)</f>
        <v>0</v>
      </c>
      <c r="S287" s="66">
        <f>IF(VLOOKUP($D287,$C$5:$AU$493,3,)=0,0,(VLOOKUP($D287,$C$5:$AU$493,17,)/VLOOKUP($D287,$C$5:$AU$493,3,))*$E287)</f>
        <v>0</v>
      </c>
      <c r="T287" s="66">
        <f>IF(VLOOKUP($D287,$C$5:$AU$493,3,)=0,0,(VLOOKUP($D287,$C$5:$AU$493,18,)/VLOOKUP($D287,$C$5:$AU$493,3,))*$E287)</f>
        <v>0</v>
      </c>
      <c r="U287" s="66">
        <f>IF(VLOOKUP($D287,$C$5:$AU$493,3,)=0,0,(VLOOKUP($D287,$C$5:$AU$493,19,)/VLOOKUP($D287,$C$5:$AU$493,3,))*$E287)</f>
        <v>0</v>
      </c>
      <c r="V287" s="66">
        <f>IF(VLOOKUP($D287,$C$5:$AU$493,3,)=0,0,(VLOOKUP($D287,$C$5:$AU$493,20,)/VLOOKUP($D287,$C$5:$AU$493,3,))*$E287)</f>
        <v>0</v>
      </c>
      <c r="W287" s="66">
        <f>IF(VLOOKUP($D287,$C$5:$AU$493,3,)=0,0,(VLOOKUP($D287,$C$5:$AU$493,21,)/VLOOKUP($D287,$C$5:$AU$493,3,))*$E287)</f>
        <v>0</v>
      </c>
      <c r="X287" s="66">
        <f>IF(VLOOKUP($D287,$C$5:$AU$493,3,)=0,0,(VLOOKUP($D287,$C$5:$AU$493,22,)/VLOOKUP($D287,$C$5:$AU$493,3,))*$E287)</f>
        <v>0</v>
      </c>
      <c r="Y287" s="66">
        <f>IF(VLOOKUP($D287,$C$5:$AU$493,3,)=0,0,(VLOOKUP($D287,$C$5:$AU$493,23,)/VLOOKUP($D287,$C$5:$AU$493,3,))*$E287)</f>
        <v>0</v>
      </c>
      <c r="Z287" s="66">
        <f>IF(VLOOKUP($D287,$C$5:$AU$493,3,)=0,0,(VLOOKUP($D287,$C$5:$AU$493,24,)/VLOOKUP($D287,$C$5:$AU$493,3,))*$E287)</f>
        <v>0</v>
      </c>
      <c r="AA287" s="66">
        <f>IF(VLOOKUP($D287,$C$5:$AU$493,3,)=0,0,(VLOOKUP($D287,$C$5:$AU$493,25,)/VLOOKUP($D287,$C$5:$AU$493,3,))*$E287)</f>
        <v>0</v>
      </c>
      <c r="AB287" s="66">
        <f>IF(VLOOKUP($D287,$C$5:$AU$493,3,)=0,0,(VLOOKUP($D287,$C$5:$AU$493,26,)/VLOOKUP($D287,$C$5:$AU$493,3,))*$E287)</f>
        <v>0</v>
      </c>
      <c r="AC287" s="66">
        <f>IF(VLOOKUP($D287,$C$5:$AU$493,3,)=0,0,(VLOOKUP($D287,$C$5:$AU$493,27,)/VLOOKUP($D287,$C$5:$AU$493,3,))*$E287)</f>
        <v>0</v>
      </c>
      <c r="AD287" s="66">
        <f>IF(VLOOKUP($D287,$C$5:$AU$493,3,)=0,0,(VLOOKUP($D287,$C$5:$AU$493,28,)/VLOOKUP($D287,$C$5:$AU$493,3,))*$E287)</f>
        <v>0</v>
      </c>
      <c r="AE287" s="66">
        <f>IF(VLOOKUP($D287,$C$5:$AU$493,3,)=0,0,(VLOOKUP($D287,$C$5:$AU$493,29,)/VLOOKUP($D287,$C$5:$AU$493,3,))*$E287)</f>
        <v>0</v>
      </c>
      <c r="AF287" s="66">
        <f>IF(VLOOKUP($D287,$C$5:$AU$493,3,)=0,0,(VLOOKUP($D287,$C$5:$AU$493,30,)/VLOOKUP($D287,$C$5:$AU$493,3,))*$E287)</f>
        <v>0</v>
      </c>
      <c r="AG287" s="89">
        <f>SUM(F287:AF287)</f>
        <v>49.165291440383939</v>
      </c>
      <c r="AH287" s="27" t="str">
        <f>IF(ABS(E287-AG287)&lt;0.01,"ok","err")</f>
        <v>ok</v>
      </c>
    </row>
    <row r="288" spans="1:34" x14ac:dyDescent="0.2">
      <c r="A288" s="14" t="s">
        <v>222</v>
      </c>
      <c r="E288" s="66">
        <f t="shared" ref="E288:T288" si="59">E286+E287</f>
        <v>122.33723996255347</v>
      </c>
      <c r="F288" s="66">
        <f t="shared" si="59"/>
        <v>98.579843963003583</v>
      </c>
      <c r="G288" s="66">
        <f t="shared" si="59"/>
        <v>8.4446396040065735E-2</v>
      </c>
      <c r="H288" s="66">
        <f t="shared" si="59"/>
        <v>0.43210388160889501</v>
      </c>
      <c r="I288" s="66">
        <f t="shared" si="59"/>
        <v>5.1683519937220366</v>
      </c>
      <c r="J288" s="66">
        <f t="shared" si="59"/>
        <v>0.45381699574011186</v>
      </c>
      <c r="K288" s="66">
        <f t="shared" si="59"/>
        <v>1.0862338716062425</v>
      </c>
      <c r="L288" s="66">
        <f t="shared" si="59"/>
        <v>2.9192036479966763</v>
      </c>
      <c r="M288" s="66">
        <f t="shared" si="59"/>
        <v>1.3564405583341632</v>
      </c>
      <c r="N288" s="66">
        <f t="shared" si="59"/>
        <v>2.5721338512459129</v>
      </c>
      <c r="O288" s="66">
        <f t="shared" si="59"/>
        <v>6.2206480541445244E-4</v>
      </c>
      <c r="P288" s="66">
        <f t="shared" si="59"/>
        <v>9.6840427384503744</v>
      </c>
      <c r="Q288" s="66">
        <f t="shared" si="59"/>
        <v>0</v>
      </c>
      <c r="R288" s="66">
        <f t="shared" si="59"/>
        <v>0</v>
      </c>
      <c r="S288" s="66">
        <f t="shared" si="59"/>
        <v>0</v>
      </c>
      <c r="T288" s="66">
        <f t="shared" si="59"/>
        <v>0</v>
      </c>
      <c r="U288" s="66">
        <f t="shared" ref="U288:AF288" si="60">U286+U287</f>
        <v>0</v>
      </c>
      <c r="V288" s="66">
        <f t="shared" si="60"/>
        <v>0</v>
      </c>
      <c r="W288" s="66">
        <f t="shared" si="60"/>
        <v>0</v>
      </c>
      <c r="X288" s="66">
        <f t="shared" si="60"/>
        <v>0</v>
      </c>
      <c r="Y288" s="66">
        <f t="shared" si="60"/>
        <v>0</v>
      </c>
      <c r="Z288" s="66">
        <f t="shared" si="60"/>
        <v>0</v>
      </c>
      <c r="AA288" s="66">
        <f t="shared" si="60"/>
        <v>0</v>
      </c>
      <c r="AB288" s="66">
        <f t="shared" si="60"/>
        <v>0</v>
      </c>
      <c r="AC288" s="66">
        <f t="shared" si="60"/>
        <v>0</v>
      </c>
      <c r="AD288" s="66">
        <f t="shared" si="60"/>
        <v>0</v>
      </c>
      <c r="AE288" s="66">
        <f t="shared" si="60"/>
        <v>0</v>
      </c>
      <c r="AF288" s="66">
        <f t="shared" si="60"/>
        <v>0</v>
      </c>
      <c r="AG288" s="89">
        <f>SUM(F288:AF288)</f>
        <v>122.33723996255347</v>
      </c>
      <c r="AH288" s="27" t="str">
        <f>IF(ABS(E288-AG288)&lt;0.01,"ok","err")</f>
        <v>ok</v>
      </c>
    </row>
    <row r="289" spans="1:34" x14ac:dyDescent="0.2">
      <c r="E289" s="49"/>
    </row>
    <row r="290" spans="1:34" x14ac:dyDescent="0.2">
      <c r="A290" s="13" t="s">
        <v>3</v>
      </c>
      <c r="E290" s="49"/>
    </row>
    <row r="291" spans="1:34" x14ac:dyDescent="0.2">
      <c r="A291" s="92" t="s">
        <v>207</v>
      </c>
      <c r="C291" s="14" t="s">
        <v>315</v>
      </c>
      <c r="D291" s="14" t="s">
        <v>700</v>
      </c>
      <c r="E291" s="66">
        <f>'Func &amp; Classif'!R316</f>
        <v>0</v>
      </c>
      <c r="F291" s="66">
        <f>IF(VLOOKUP($D291,$C$5:$AU$493,3,)=0,0,(VLOOKUP($D291,$C$5:$AU$493,4,)/VLOOKUP($D291,$C$5:$AU$493,3,))*$E291)</f>
        <v>0</v>
      </c>
      <c r="G291" s="66">
        <f>IF(VLOOKUP($D291,$C$5:$AU$493,3,)=0,0,(VLOOKUP($D291,$C$5:$AU$493,5,)/VLOOKUP($D291,$C$5:$AU$493,3,))*$E291)</f>
        <v>0</v>
      </c>
      <c r="H291" s="66">
        <f>IF(VLOOKUP($D291,$C$5:$AU$493,3,)=0,0,(VLOOKUP($D291,$C$5:$AU$493,6,)/VLOOKUP($D291,$C$5:$AU$493,3,))*$E291)</f>
        <v>0</v>
      </c>
      <c r="I291" s="66">
        <f>IF(VLOOKUP($D291,$C$5:$AU$493,3,)=0,0,(VLOOKUP($D291,$C$5:$AU$493,7,)/VLOOKUP($D291,$C$5:$AU$493,3,))*$E291)</f>
        <v>0</v>
      </c>
      <c r="J291" s="66">
        <f>IF(VLOOKUP($D291,$C$5:$AU$493,3,)=0,0,(VLOOKUP($D291,$C$5:$AU$493,8,)/VLOOKUP($D291,$C$5:$AU$493,3,))*$E291)</f>
        <v>0</v>
      </c>
      <c r="K291" s="66">
        <f>IF(VLOOKUP($D291,$C$5:$AU$493,3,)=0,0,(VLOOKUP($D291,$C$5:$AU$493,9,)/VLOOKUP($D291,$C$5:$AU$493,3,))*$E291)</f>
        <v>0</v>
      </c>
      <c r="L291" s="66">
        <f>IF(VLOOKUP($D291,$C$5:$AU$493,3,)=0,0,(VLOOKUP($D291,$C$5:$AU$493,10,)/VLOOKUP($D291,$C$5:$AU$493,3,))*$E291)</f>
        <v>0</v>
      </c>
      <c r="M291" s="66">
        <f>IF(VLOOKUP($D291,$C$5:$AU$493,3,)=0,0,(VLOOKUP($D291,$C$5:$AU$493,11,)/VLOOKUP($D291,$C$5:$AU$493,3,))*$E291)</f>
        <v>0</v>
      </c>
      <c r="N291" s="66">
        <f>IF(VLOOKUP($D291,$C$5:$AU$493,3,)=0,0,(VLOOKUP($D291,$C$5:$AU$493,12,)/VLOOKUP($D291,$C$5:$AU$493,3,))*$E291)</f>
        <v>0</v>
      </c>
      <c r="O291" s="66">
        <f>IF(VLOOKUP($D291,$C$5:$AU$493,3,)=0,0,(VLOOKUP($D291,$C$5:$AU$493,13,)/VLOOKUP($D291,$C$5:$AU$493,3,))*$E291)</f>
        <v>0</v>
      </c>
      <c r="P291" s="66">
        <f>IF(VLOOKUP($D291,$C$5:$AU$493,3,)=0,0,(VLOOKUP($D291,$C$5:$AU$493,14,)/VLOOKUP($D291,$C$5:$AU$493,3,))*$E291)</f>
        <v>0</v>
      </c>
      <c r="Q291" s="66">
        <f>IF(VLOOKUP($D291,$C$5:$AU$493,3,)=0,0,(VLOOKUP($D291,$C$5:$AU$493,15,)/VLOOKUP($D291,$C$5:$AU$493,3,))*$E291)</f>
        <v>0</v>
      </c>
      <c r="R291" s="66">
        <f>IF(VLOOKUP($D291,$C$5:$AU$493,3,)=0,0,(VLOOKUP($D291,$C$5:$AU$493,16,)/VLOOKUP($D291,$C$5:$AU$493,3,))*$E291)</f>
        <v>0</v>
      </c>
      <c r="S291" s="66">
        <f>IF(VLOOKUP($D291,$C$5:$AU$493,3,)=0,0,(VLOOKUP($D291,$C$5:$AU$493,17,)/VLOOKUP($D291,$C$5:$AU$493,3,))*$E291)</f>
        <v>0</v>
      </c>
      <c r="T291" s="66">
        <f>IF(VLOOKUP($D291,$C$5:$AU$493,3,)=0,0,(VLOOKUP($D291,$C$5:$AU$493,18,)/VLOOKUP($D291,$C$5:$AU$493,3,))*$E291)</f>
        <v>0</v>
      </c>
      <c r="U291" s="66">
        <f>IF(VLOOKUP($D291,$C$5:$AU$493,3,)=0,0,(VLOOKUP($D291,$C$5:$AU$493,19,)/VLOOKUP($D291,$C$5:$AU$493,3,))*$E291)</f>
        <v>0</v>
      </c>
      <c r="V291" s="66">
        <f>IF(VLOOKUP($D291,$C$5:$AU$493,3,)=0,0,(VLOOKUP($D291,$C$5:$AU$493,20,)/VLOOKUP($D291,$C$5:$AU$493,3,))*$E291)</f>
        <v>0</v>
      </c>
      <c r="W291" s="66">
        <f>IF(VLOOKUP($D291,$C$5:$AU$493,3,)=0,0,(VLOOKUP($D291,$C$5:$AU$493,21,)/VLOOKUP($D291,$C$5:$AU$493,3,))*$E291)</f>
        <v>0</v>
      </c>
      <c r="X291" s="66">
        <f>IF(VLOOKUP($D291,$C$5:$AU$493,3,)=0,0,(VLOOKUP($D291,$C$5:$AU$493,22,)/VLOOKUP($D291,$C$5:$AU$493,3,))*$E291)</f>
        <v>0</v>
      </c>
      <c r="Y291" s="66">
        <f>IF(VLOOKUP($D291,$C$5:$AU$493,3,)=0,0,(VLOOKUP($D291,$C$5:$AU$493,23,)/VLOOKUP($D291,$C$5:$AU$493,3,))*$E291)</f>
        <v>0</v>
      </c>
      <c r="Z291" s="66">
        <f>IF(VLOOKUP($D291,$C$5:$AU$493,3,)=0,0,(VLOOKUP($D291,$C$5:$AU$493,24,)/VLOOKUP($D291,$C$5:$AU$493,3,))*$E291)</f>
        <v>0</v>
      </c>
      <c r="AA291" s="66">
        <f>IF(VLOOKUP($D291,$C$5:$AU$493,3,)=0,0,(VLOOKUP($D291,$C$5:$AU$493,25,)/VLOOKUP($D291,$C$5:$AU$493,3,))*$E291)</f>
        <v>0</v>
      </c>
      <c r="AB291" s="66">
        <f>IF(VLOOKUP($D291,$C$5:$AU$493,3,)=0,0,(VLOOKUP($D291,$C$5:$AU$493,26,)/VLOOKUP($D291,$C$5:$AU$493,3,))*$E291)</f>
        <v>0</v>
      </c>
      <c r="AC291" s="66">
        <f>IF(VLOOKUP($D291,$C$5:$AU$493,3,)=0,0,(VLOOKUP($D291,$C$5:$AU$493,27,)/VLOOKUP($D291,$C$5:$AU$493,3,))*$E291)</f>
        <v>0</v>
      </c>
      <c r="AD291" s="66">
        <f>IF(VLOOKUP($D291,$C$5:$AU$493,3,)=0,0,(VLOOKUP($D291,$C$5:$AU$493,28,)/VLOOKUP($D291,$C$5:$AU$493,3,))*$E291)</f>
        <v>0</v>
      </c>
      <c r="AE291" s="66">
        <f>IF(VLOOKUP($D291,$C$5:$AU$493,3,)=0,0,(VLOOKUP($D291,$C$5:$AU$493,29,)/VLOOKUP($D291,$C$5:$AU$493,3,))*$E291)</f>
        <v>0</v>
      </c>
      <c r="AF291" s="66">
        <f>IF(VLOOKUP($D291,$C$5:$AU$493,3,)=0,0,(VLOOKUP($D291,$C$5:$AU$493,30,)/VLOOKUP($D291,$C$5:$AU$493,3,))*$E291)</f>
        <v>0</v>
      </c>
      <c r="AG291" s="89">
        <f>SUM(F291:AF291)</f>
        <v>0</v>
      </c>
      <c r="AH291" s="27" t="str">
        <f>IF(ABS(E291-AG291)&lt;0.01,"ok","err")</f>
        <v>ok</v>
      </c>
    </row>
    <row r="292" spans="1:34" x14ac:dyDescent="0.2">
      <c r="A292" s="92" t="s">
        <v>219</v>
      </c>
      <c r="C292" s="14" t="s">
        <v>316</v>
      </c>
      <c r="D292" s="14" t="s">
        <v>700</v>
      </c>
      <c r="E292" s="49">
        <f>'Func &amp; Classif'!S316</f>
        <v>20.508203873212739</v>
      </c>
      <c r="F292" s="66">
        <f>IF(VLOOKUP($D292,$C$5:$AU$493,3,)=0,0,(VLOOKUP($D292,$C$5:$AU$493,4,)/VLOOKUP($D292,$C$5:$AU$493,3,))*$E292)</f>
        <v>18.879435041156803</v>
      </c>
      <c r="G292" s="66">
        <f>IF(VLOOKUP($D292,$C$5:$AU$493,3,)=0,0,(VLOOKUP($D292,$C$5:$AU$493,5,)/VLOOKUP($D292,$C$5:$AU$493,3,))*$E292)</f>
        <v>3.6717657009236543E-2</v>
      </c>
      <c r="H292" s="66">
        <f>IF(VLOOKUP($D292,$C$5:$AU$493,3,)=0,0,(VLOOKUP($D292,$C$5:$AU$493,6,)/VLOOKUP($D292,$C$5:$AU$493,3,))*$E292)</f>
        <v>5.941537117179512E-3</v>
      </c>
      <c r="I292" s="66">
        <f>IF(VLOOKUP($D292,$C$5:$AU$493,3,)=0,0,(VLOOKUP($D292,$C$5:$AU$493,7,)/VLOOKUP($D292,$C$5:$AU$493,3,))*$E292)</f>
        <v>1.1373800538328844</v>
      </c>
      <c r="J292" s="66">
        <f>IF(VLOOKUP($D292,$C$5:$AU$493,3,)=0,0,(VLOOKUP($D292,$C$5:$AU$493,8,)/VLOOKUP($D292,$C$5:$AU$493,3,))*$E292)</f>
        <v>1.8225043940031955E-2</v>
      </c>
      <c r="K292" s="66">
        <f>IF(VLOOKUP($D292,$C$5:$AU$493,3,)=0,0,(VLOOKUP($D292,$C$5:$AU$493,9,)/VLOOKUP($D292,$C$5:$AU$493,3,))*$E292)</f>
        <v>0.14936770697502788</v>
      </c>
      <c r="L292" s="66">
        <f>IF(VLOOKUP($D292,$C$5:$AU$493,3,)=0,0,(VLOOKUP($D292,$C$5:$AU$493,10,)/VLOOKUP($D292,$C$5:$AU$493,3,))*$E292)</f>
        <v>0.17292274101590441</v>
      </c>
      <c r="M292" s="66">
        <f>IF(VLOOKUP($D292,$C$5:$AU$493,3,)=0,0,(VLOOKUP($D292,$C$5:$AU$493,11,)/VLOOKUP($D292,$C$5:$AU$493,3,))*$E292)</f>
        <v>1.8572231320423578E-2</v>
      </c>
      <c r="N292" s="66">
        <f>IF(VLOOKUP($D292,$C$5:$AU$493,3,)=0,0,(VLOOKUP($D292,$C$5:$AU$493,12,)/VLOOKUP($D292,$C$5:$AU$493,3,))*$E292)</f>
        <v>8.9641860845252511E-2</v>
      </c>
      <c r="O292" s="66">
        <f>IF(VLOOKUP($D292,$C$5:$AU$493,3,)=0,0,(VLOOKUP($D292,$C$5:$AU$493,13,)/VLOOKUP($D292,$C$5:$AU$493,3,))*$E292)</f>
        <v>0</v>
      </c>
      <c r="P292" s="66">
        <f>IF(VLOOKUP($D292,$C$5:$AU$493,3,)=0,0,(VLOOKUP($D292,$C$5:$AU$493,14,)/VLOOKUP($D292,$C$5:$AU$493,3,))*$E292)</f>
        <v>0</v>
      </c>
      <c r="Q292" s="66">
        <f>IF(VLOOKUP($D292,$C$5:$AU$493,3,)=0,0,(VLOOKUP($D292,$C$5:$AU$493,15,)/VLOOKUP($D292,$C$5:$AU$493,3,))*$E292)</f>
        <v>0</v>
      </c>
      <c r="R292" s="66">
        <f>IF(VLOOKUP($D292,$C$5:$AU$493,3,)=0,0,(VLOOKUP($D292,$C$5:$AU$493,16,)/VLOOKUP($D292,$C$5:$AU$493,3,))*$E292)</f>
        <v>0</v>
      </c>
      <c r="S292" s="66">
        <f>IF(VLOOKUP($D292,$C$5:$AU$493,3,)=0,0,(VLOOKUP($D292,$C$5:$AU$493,17,)/VLOOKUP($D292,$C$5:$AU$493,3,))*$E292)</f>
        <v>0</v>
      </c>
      <c r="T292" s="66">
        <f>IF(VLOOKUP($D292,$C$5:$AU$493,3,)=0,0,(VLOOKUP($D292,$C$5:$AU$493,18,)/VLOOKUP($D292,$C$5:$AU$493,3,))*$E292)</f>
        <v>0</v>
      </c>
      <c r="U292" s="66">
        <f>IF(VLOOKUP($D292,$C$5:$AU$493,3,)=0,0,(VLOOKUP($D292,$C$5:$AU$493,19,)/VLOOKUP($D292,$C$5:$AU$493,3,))*$E292)</f>
        <v>0</v>
      </c>
      <c r="V292" s="66">
        <f>IF(VLOOKUP($D292,$C$5:$AU$493,3,)=0,0,(VLOOKUP($D292,$C$5:$AU$493,20,)/VLOOKUP($D292,$C$5:$AU$493,3,))*$E292)</f>
        <v>0</v>
      </c>
      <c r="W292" s="66">
        <f>IF(VLOOKUP($D292,$C$5:$AU$493,3,)=0,0,(VLOOKUP($D292,$C$5:$AU$493,21,)/VLOOKUP($D292,$C$5:$AU$493,3,))*$E292)</f>
        <v>0</v>
      </c>
      <c r="X292" s="66">
        <f>IF(VLOOKUP($D292,$C$5:$AU$493,3,)=0,0,(VLOOKUP($D292,$C$5:$AU$493,22,)/VLOOKUP($D292,$C$5:$AU$493,3,))*$E292)</f>
        <v>0</v>
      </c>
      <c r="Y292" s="66">
        <f>IF(VLOOKUP($D292,$C$5:$AU$493,3,)=0,0,(VLOOKUP($D292,$C$5:$AU$493,23,)/VLOOKUP($D292,$C$5:$AU$493,3,))*$E292)</f>
        <v>0</v>
      </c>
      <c r="Z292" s="66">
        <f>IF(VLOOKUP($D292,$C$5:$AU$493,3,)=0,0,(VLOOKUP($D292,$C$5:$AU$493,24,)/VLOOKUP($D292,$C$5:$AU$493,3,))*$E292)</f>
        <v>0</v>
      </c>
      <c r="AA292" s="66">
        <f>IF(VLOOKUP($D292,$C$5:$AU$493,3,)=0,0,(VLOOKUP($D292,$C$5:$AU$493,25,)/VLOOKUP($D292,$C$5:$AU$493,3,))*$E292)</f>
        <v>0</v>
      </c>
      <c r="AB292" s="66">
        <f>IF(VLOOKUP($D292,$C$5:$AU$493,3,)=0,0,(VLOOKUP($D292,$C$5:$AU$493,26,)/VLOOKUP($D292,$C$5:$AU$493,3,))*$E292)</f>
        <v>0</v>
      </c>
      <c r="AC292" s="66">
        <f>IF(VLOOKUP($D292,$C$5:$AU$493,3,)=0,0,(VLOOKUP($D292,$C$5:$AU$493,27,)/VLOOKUP($D292,$C$5:$AU$493,3,))*$E292)</f>
        <v>0</v>
      </c>
      <c r="AD292" s="66">
        <f>IF(VLOOKUP($D292,$C$5:$AU$493,3,)=0,0,(VLOOKUP($D292,$C$5:$AU$493,28,)/VLOOKUP($D292,$C$5:$AU$493,3,))*$E292)</f>
        <v>0</v>
      </c>
      <c r="AE292" s="66">
        <f>IF(VLOOKUP($D292,$C$5:$AU$493,3,)=0,0,(VLOOKUP($D292,$C$5:$AU$493,29,)/VLOOKUP($D292,$C$5:$AU$493,3,))*$E292)</f>
        <v>0</v>
      </c>
      <c r="AF292" s="66">
        <f>IF(VLOOKUP($D292,$C$5:$AU$493,3,)=0,0,(VLOOKUP($D292,$C$5:$AU$493,30,)/VLOOKUP($D292,$C$5:$AU$493,3,))*$E292)</f>
        <v>0</v>
      </c>
      <c r="AG292" s="89">
        <f>SUM(F292:AF292)</f>
        <v>20.508203873212743</v>
      </c>
      <c r="AH292" s="27" t="str">
        <f>IF(ABS(E292-AG292)&lt;0.01,"ok","err")</f>
        <v>ok</v>
      </c>
    </row>
    <row r="293" spans="1:34" x14ac:dyDescent="0.2">
      <c r="A293" s="14" t="s">
        <v>226</v>
      </c>
      <c r="E293" s="66">
        <f t="shared" ref="E293:T293" si="61">E291+E292</f>
        <v>20.508203873212739</v>
      </c>
      <c r="F293" s="66">
        <f t="shared" si="61"/>
        <v>18.879435041156803</v>
      </c>
      <c r="G293" s="66">
        <f t="shared" si="61"/>
        <v>3.6717657009236543E-2</v>
      </c>
      <c r="H293" s="66">
        <f t="shared" si="61"/>
        <v>5.941537117179512E-3</v>
      </c>
      <c r="I293" s="66">
        <f t="shared" si="61"/>
        <v>1.1373800538328844</v>
      </c>
      <c r="J293" s="66">
        <f t="shared" si="61"/>
        <v>1.8225043940031955E-2</v>
      </c>
      <c r="K293" s="66">
        <f t="shared" si="61"/>
        <v>0.14936770697502788</v>
      </c>
      <c r="L293" s="66">
        <f t="shared" si="61"/>
        <v>0.17292274101590441</v>
      </c>
      <c r="M293" s="66">
        <f t="shared" si="61"/>
        <v>1.8572231320423578E-2</v>
      </c>
      <c r="N293" s="66">
        <f t="shared" si="61"/>
        <v>8.9641860845252511E-2</v>
      </c>
      <c r="O293" s="66">
        <f t="shared" si="61"/>
        <v>0</v>
      </c>
      <c r="P293" s="66">
        <f t="shared" si="61"/>
        <v>0</v>
      </c>
      <c r="Q293" s="66">
        <f t="shared" si="61"/>
        <v>0</v>
      </c>
      <c r="R293" s="66">
        <f t="shared" si="61"/>
        <v>0</v>
      </c>
      <c r="S293" s="66">
        <f t="shared" si="61"/>
        <v>0</v>
      </c>
      <c r="T293" s="66">
        <f t="shared" si="61"/>
        <v>0</v>
      </c>
      <c r="U293" s="66">
        <f t="shared" ref="U293:AF293" si="62">U291+U292</f>
        <v>0</v>
      </c>
      <c r="V293" s="66">
        <f t="shared" si="62"/>
        <v>0</v>
      </c>
      <c r="W293" s="66">
        <f t="shared" si="62"/>
        <v>0</v>
      </c>
      <c r="X293" s="66">
        <f t="shared" si="62"/>
        <v>0</v>
      </c>
      <c r="Y293" s="66">
        <f t="shared" si="62"/>
        <v>0</v>
      </c>
      <c r="Z293" s="66">
        <f t="shared" si="62"/>
        <v>0</v>
      </c>
      <c r="AA293" s="66">
        <f t="shared" si="62"/>
        <v>0</v>
      </c>
      <c r="AB293" s="66">
        <f t="shared" si="62"/>
        <v>0</v>
      </c>
      <c r="AC293" s="66">
        <f t="shared" si="62"/>
        <v>0</v>
      </c>
      <c r="AD293" s="66">
        <f t="shared" si="62"/>
        <v>0</v>
      </c>
      <c r="AE293" s="66">
        <f t="shared" si="62"/>
        <v>0</v>
      </c>
      <c r="AF293" s="66">
        <f t="shared" si="62"/>
        <v>0</v>
      </c>
      <c r="AG293" s="89">
        <f>SUM(F293:AF293)</f>
        <v>20.508203873212743</v>
      </c>
      <c r="AH293" s="27" t="str">
        <f>IF(ABS(E293-AG293)&lt;0.01,"ok","err")</f>
        <v>ok</v>
      </c>
    </row>
    <row r="294" spans="1:34" x14ac:dyDescent="0.2">
      <c r="E294" s="49"/>
    </row>
    <row r="295" spans="1:34" x14ac:dyDescent="0.2">
      <c r="A295" s="13" t="s">
        <v>4</v>
      </c>
      <c r="E295" s="49"/>
    </row>
    <row r="296" spans="1:34" x14ac:dyDescent="0.2">
      <c r="A296" s="92" t="s">
        <v>219</v>
      </c>
      <c r="C296" s="14" t="s">
        <v>317</v>
      </c>
      <c r="D296" s="14" t="s">
        <v>228</v>
      </c>
      <c r="E296" s="66">
        <f>'Func &amp; Classif'!U316</f>
        <v>7.9710628080545138</v>
      </c>
      <c r="F296" s="66">
        <f>IF(VLOOKUP($D296,$C$5:$AU$493,3,)=0,0,(VLOOKUP($D296,$C$5:$AU$493,4,)/VLOOKUP($D296,$C$5:$AU$493,3,))*$E296)</f>
        <v>7.4897756042256605</v>
      </c>
      <c r="G296" s="66">
        <f>IF(VLOOKUP($D296,$C$5:$AU$493,3,)=0,0,(VLOOKUP($D296,$C$5:$AU$493,5,)/VLOOKUP($D296,$C$5:$AU$493,3,))*$E296)</f>
        <v>1.4566485231819453E-2</v>
      </c>
      <c r="H296" s="66">
        <f>IF(VLOOKUP($D296,$C$5:$AU$493,3,)=0,0,(VLOOKUP($D296,$C$5:$AU$493,6,)/VLOOKUP($D296,$C$5:$AU$493,3,))*$E296)</f>
        <v>2.8685503142753038E-3</v>
      </c>
      <c r="I296" s="66">
        <f>IF(VLOOKUP($D296,$C$5:$AU$493,3,)=0,0,(VLOOKUP($D296,$C$5:$AU$493,7,)/VLOOKUP($D296,$C$5:$AU$493,3,))*$E296)</f>
        <v>0.33910653561604154</v>
      </c>
      <c r="J296" s="66">
        <f>IF(VLOOKUP($D296,$C$5:$AU$493,3,)=0,0,(VLOOKUP($D296,$C$5:$AU$493,8,)/VLOOKUP($D296,$C$5:$AU$493,3,))*$E296)</f>
        <v>7.3475148400735848E-3</v>
      </c>
      <c r="K296" s="66">
        <f>IF(VLOOKUP($D296,$C$5:$AU$493,3,)=0,0,(VLOOKUP($D296,$C$5:$AU$493,9,)/VLOOKUP($D296,$C$5:$AU$493,3,))*$E296)</f>
        <v>5.5406365804851795E-2</v>
      </c>
      <c r="L296" s="66">
        <f>IF(VLOOKUP($D296,$C$5:$AU$493,3,)=0,0,(VLOOKUP($D296,$C$5:$AU$493,10,)/VLOOKUP($D296,$C$5:$AU$493,3,))*$E296)</f>
        <v>2.6476062049029848E-2</v>
      </c>
      <c r="M296" s="66">
        <f>IF(VLOOKUP($D296,$C$5:$AU$493,3,)=0,0,(VLOOKUP($D296,$C$5:$AU$493,11,)/VLOOKUP($D296,$C$5:$AU$493,3,))*$E296)</f>
        <v>4.5866083100314396E-3</v>
      </c>
      <c r="N296" s="66">
        <f>IF(VLOOKUP($D296,$C$5:$AU$493,3,)=0,0,(VLOOKUP($D296,$C$5:$AU$493,12,)/VLOOKUP($D296,$C$5:$AU$493,3,))*$E296)</f>
        <v>3.0929081662730906E-2</v>
      </c>
      <c r="O296" s="66">
        <f>IF(VLOOKUP($D296,$C$5:$AU$493,3,)=0,0,(VLOOKUP($D296,$C$5:$AU$493,13,)/VLOOKUP($D296,$C$5:$AU$493,3,))*$E296)</f>
        <v>0</v>
      </c>
      <c r="P296" s="66">
        <f>IF(VLOOKUP($D296,$C$5:$AU$493,3,)=0,0,(VLOOKUP($D296,$C$5:$AU$493,14,)/VLOOKUP($D296,$C$5:$AU$493,3,))*$E296)</f>
        <v>0</v>
      </c>
      <c r="Q296" s="66">
        <f>IF(VLOOKUP($D296,$C$5:$AU$493,3,)=0,0,(VLOOKUP($D296,$C$5:$AU$493,15,)/VLOOKUP($D296,$C$5:$AU$493,3,))*$E296)</f>
        <v>0</v>
      </c>
      <c r="R296" s="66">
        <f>IF(VLOOKUP($D296,$C$5:$AU$493,3,)=0,0,(VLOOKUP($D296,$C$5:$AU$493,16,)/VLOOKUP($D296,$C$5:$AU$493,3,))*$E296)</f>
        <v>0</v>
      </c>
      <c r="S296" s="66">
        <f>IF(VLOOKUP($D296,$C$5:$AU$493,3,)=0,0,(VLOOKUP($D296,$C$5:$AU$493,17,)/VLOOKUP($D296,$C$5:$AU$493,3,))*$E296)</f>
        <v>0</v>
      </c>
      <c r="T296" s="66">
        <f>IF(VLOOKUP($D296,$C$5:$AU$493,3,)=0,0,(VLOOKUP($D296,$C$5:$AU$493,18,)/VLOOKUP($D296,$C$5:$AU$493,3,))*$E296)</f>
        <v>0</v>
      </c>
      <c r="U296" s="66">
        <f>IF(VLOOKUP($D296,$C$5:$AU$493,3,)=0,0,(VLOOKUP($D296,$C$5:$AU$493,19,)/VLOOKUP($D296,$C$5:$AU$493,3,))*$E296)</f>
        <v>0</v>
      </c>
      <c r="V296" s="66">
        <f>IF(VLOOKUP($D296,$C$5:$AU$493,3,)=0,0,(VLOOKUP($D296,$C$5:$AU$493,20,)/VLOOKUP($D296,$C$5:$AU$493,3,))*$E296)</f>
        <v>0</v>
      </c>
      <c r="W296" s="66">
        <f>IF(VLOOKUP($D296,$C$5:$AU$493,3,)=0,0,(VLOOKUP($D296,$C$5:$AU$493,21,)/VLOOKUP($D296,$C$5:$AU$493,3,))*$E296)</f>
        <v>0</v>
      </c>
      <c r="X296" s="66">
        <f>IF(VLOOKUP($D296,$C$5:$AU$493,3,)=0,0,(VLOOKUP($D296,$C$5:$AU$493,22,)/VLOOKUP($D296,$C$5:$AU$493,3,))*$E296)</f>
        <v>0</v>
      </c>
      <c r="Y296" s="66">
        <f>IF(VLOOKUP($D296,$C$5:$AU$493,3,)=0,0,(VLOOKUP($D296,$C$5:$AU$493,23,)/VLOOKUP($D296,$C$5:$AU$493,3,))*$E296)</f>
        <v>0</v>
      </c>
      <c r="Z296" s="66">
        <f>IF(VLOOKUP($D296,$C$5:$AU$493,3,)=0,0,(VLOOKUP($D296,$C$5:$AU$493,24,)/VLOOKUP($D296,$C$5:$AU$493,3,))*$E296)</f>
        <v>0</v>
      </c>
      <c r="AA296" s="66">
        <f>IF(VLOOKUP($D296,$C$5:$AU$493,3,)=0,0,(VLOOKUP($D296,$C$5:$AU$493,25,)/VLOOKUP($D296,$C$5:$AU$493,3,))*$E296)</f>
        <v>0</v>
      </c>
      <c r="AB296" s="66">
        <f>IF(VLOOKUP($D296,$C$5:$AU$493,3,)=0,0,(VLOOKUP($D296,$C$5:$AU$493,26,)/VLOOKUP($D296,$C$5:$AU$493,3,))*$E296)</f>
        <v>0</v>
      </c>
      <c r="AC296" s="66">
        <f>IF(VLOOKUP($D296,$C$5:$AU$493,3,)=0,0,(VLOOKUP($D296,$C$5:$AU$493,27,)/VLOOKUP($D296,$C$5:$AU$493,3,))*$E296)</f>
        <v>0</v>
      </c>
      <c r="AD296" s="66">
        <f>IF(VLOOKUP($D296,$C$5:$AU$493,3,)=0,0,(VLOOKUP($D296,$C$5:$AU$493,28,)/VLOOKUP($D296,$C$5:$AU$493,3,))*$E296)</f>
        <v>0</v>
      </c>
      <c r="AE296" s="66">
        <f>IF(VLOOKUP($D296,$C$5:$AU$493,3,)=0,0,(VLOOKUP($D296,$C$5:$AU$493,29,)/VLOOKUP($D296,$C$5:$AU$493,3,))*$E296)</f>
        <v>0</v>
      </c>
      <c r="AF296" s="66">
        <f>IF(VLOOKUP($D296,$C$5:$AU$493,3,)=0,0,(VLOOKUP($D296,$C$5:$AU$493,30,)/VLOOKUP($D296,$C$5:$AU$493,3,))*$E296)</f>
        <v>0</v>
      </c>
      <c r="AG296" s="89">
        <f>SUM(F296:AF296)</f>
        <v>7.9710628080545147</v>
      </c>
      <c r="AH296" s="27" t="str">
        <f>IF(ABS(E296-AG296)&lt;0.01,"ok","err")</f>
        <v>ok</v>
      </c>
    </row>
    <row r="297" spans="1:34" x14ac:dyDescent="0.2">
      <c r="E297" s="49"/>
    </row>
    <row r="298" spans="1:34" x14ac:dyDescent="0.2">
      <c r="A298" s="13" t="s">
        <v>5</v>
      </c>
      <c r="E298" s="49"/>
    </row>
    <row r="299" spans="1:34" x14ac:dyDescent="0.2">
      <c r="A299" s="92" t="s">
        <v>219</v>
      </c>
      <c r="C299" s="14" t="s">
        <v>318</v>
      </c>
      <c r="D299" s="14" t="s">
        <v>230</v>
      </c>
      <c r="E299" s="66">
        <f>'Func &amp; Classif'!W316</f>
        <v>8.0609191757030754</v>
      </c>
      <c r="F299" s="66">
        <f>IF(VLOOKUP($D299,$C$5:$AU$493,3,)=0,0,(VLOOKUP($D299,$C$5:$AU$493,4,)/VLOOKUP($D299,$C$5:$AU$493,3,))*$E299)</f>
        <v>0</v>
      </c>
      <c r="G299" s="66">
        <f>IF(VLOOKUP($D299,$C$5:$AU$493,3,)=0,0,(VLOOKUP($D299,$C$5:$AU$493,5,)/VLOOKUP($D299,$C$5:$AU$493,3,))*$E299)</f>
        <v>0</v>
      </c>
      <c r="H299" s="66">
        <f>IF(VLOOKUP($D299,$C$5:$AU$493,3,)=0,0,(VLOOKUP($D299,$C$5:$AU$493,6,)/VLOOKUP($D299,$C$5:$AU$493,3,))*$E299)</f>
        <v>0</v>
      </c>
      <c r="I299" s="66">
        <f>IF(VLOOKUP($D299,$C$5:$AU$493,3,)=0,0,(VLOOKUP($D299,$C$5:$AU$493,7,)/VLOOKUP($D299,$C$5:$AU$493,3,))*$E299)</f>
        <v>0</v>
      </c>
      <c r="J299" s="66">
        <f>IF(VLOOKUP($D299,$C$5:$AU$493,3,)=0,0,(VLOOKUP($D299,$C$5:$AU$493,8,)/VLOOKUP($D299,$C$5:$AU$493,3,))*$E299)</f>
        <v>0</v>
      </c>
      <c r="K299" s="66">
        <f>IF(VLOOKUP($D299,$C$5:$AU$493,3,)=0,0,(VLOOKUP($D299,$C$5:$AU$493,9,)/VLOOKUP($D299,$C$5:$AU$493,3,))*$E299)</f>
        <v>0</v>
      </c>
      <c r="L299" s="66">
        <f>IF(VLOOKUP($D299,$C$5:$AU$493,3,)=0,0,(VLOOKUP($D299,$C$5:$AU$493,10,)/VLOOKUP($D299,$C$5:$AU$493,3,))*$E299)</f>
        <v>0</v>
      </c>
      <c r="M299" s="66">
        <f>IF(VLOOKUP($D299,$C$5:$AU$493,3,)=0,0,(VLOOKUP($D299,$C$5:$AU$493,11,)/VLOOKUP($D299,$C$5:$AU$493,3,))*$E299)</f>
        <v>0</v>
      </c>
      <c r="N299" s="66">
        <f>IF(VLOOKUP($D299,$C$5:$AU$493,3,)=0,0,(VLOOKUP($D299,$C$5:$AU$493,12,)/VLOOKUP($D299,$C$5:$AU$493,3,))*$E299)</f>
        <v>0</v>
      </c>
      <c r="O299" s="66">
        <f>IF(VLOOKUP($D299,$C$5:$AU$493,3,)=0,0,(VLOOKUP($D299,$C$5:$AU$493,13,)/VLOOKUP($D299,$C$5:$AU$493,3,))*$E299)</f>
        <v>0</v>
      </c>
      <c r="P299" s="66">
        <f>IF(VLOOKUP($D299,$C$5:$AU$493,3,)=0,0,(VLOOKUP($D299,$C$5:$AU$493,14,)/VLOOKUP($D299,$C$5:$AU$493,3,))*$E299)</f>
        <v>8.0609191757030754</v>
      </c>
      <c r="Q299" s="66">
        <f>IF(VLOOKUP($D299,$C$5:$AU$493,3,)=0,0,(VLOOKUP($D299,$C$5:$AU$493,15,)/VLOOKUP($D299,$C$5:$AU$493,3,))*$E299)</f>
        <v>0</v>
      </c>
      <c r="R299" s="66">
        <f>IF(VLOOKUP($D299,$C$5:$AU$493,3,)=0,0,(VLOOKUP($D299,$C$5:$AU$493,16,)/VLOOKUP($D299,$C$5:$AU$493,3,))*$E299)</f>
        <v>0</v>
      </c>
      <c r="S299" s="66">
        <f>IF(VLOOKUP($D299,$C$5:$AU$493,3,)=0,0,(VLOOKUP($D299,$C$5:$AU$493,17,)/VLOOKUP($D299,$C$5:$AU$493,3,))*$E299)</f>
        <v>0</v>
      </c>
      <c r="T299" s="66">
        <f>IF(VLOOKUP($D299,$C$5:$AU$493,3,)=0,0,(VLOOKUP($D299,$C$5:$AU$493,18,)/VLOOKUP($D299,$C$5:$AU$493,3,))*$E299)</f>
        <v>0</v>
      </c>
      <c r="U299" s="66">
        <f>IF(VLOOKUP($D299,$C$5:$AU$493,3,)=0,0,(VLOOKUP($D299,$C$5:$AU$493,19,)/VLOOKUP($D299,$C$5:$AU$493,3,))*$E299)</f>
        <v>0</v>
      </c>
      <c r="V299" s="66">
        <f>IF(VLOOKUP($D299,$C$5:$AU$493,3,)=0,0,(VLOOKUP($D299,$C$5:$AU$493,20,)/VLOOKUP($D299,$C$5:$AU$493,3,))*$E299)</f>
        <v>0</v>
      </c>
      <c r="W299" s="66">
        <f>IF(VLOOKUP($D299,$C$5:$AU$493,3,)=0,0,(VLOOKUP($D299,$C$5:$AU$493,21,)/VLOOKUP($D299,$C$5:$AU$493,3,))*$E299)</f>
        <v>0</v>
      </c>
      <c r="X299" s="66">
        <f>IF(VLOOKUP($D299,$C$5:$AU$493,3,)=0,0,(VLOOKUP($D299,$C$5:$AU$493,22,)/VLOOKUP($D299,$C$5:$AU$493,3,))*$E299)</f>
        <v>0</v>
      </c>
      <c r="Y299" s="66">
        <f>IF(VLOOKUP($D299,$C$5:$AU$493,3,)=0,0,(VLOOKUP($D299,$C$5:$AU$493,23,)/VLOOKUP($D299,$C$5:$AU$493,3,))*$E299)</f>
        <v>0</v>
      </c>
      <c r="Z299" s="66">
        <f>IF(VLOOKUP($D299,$C$5:$AU$493,3,)=0,0,(VLOOKUP($D299,$C$5:$AU$493,24,)/VLOOKUP($D299,$C$5:$AU$493,3,))*$E299)</f>
        <v>0</v>
      </c>
      <c r="AA299" s="66">
        <f>IF(VLOOKUP($D299,$C$5:$AU$493,3,)=0,0,(VLOOKUP($D299,$C$5:$AU$493,25,)/VLOOKUP($D299,$C$5:$AU$493,3,))*$E299)</f>
        <v>0</v>
      </c>
      <c r="AB299" s="66">
        <f>IF(VLOOKUP($D299,$C$5:$AU$493,3,)=0,0,(VLOOKUP($D299,$C$5:$AU$493,26,)/VLOOKUP($D299,$C$5:$AU$493,3,))*$E299)</f>
        <v>0</v>
      </c>
      <c r="AC299" s="66">
        <f>IF(VLOOKUP($D299,$C$5:$AU$493,3,)=0,0,(VLOOKUP($D299,$C$5:$AU$493,27,)/VLOOKUP($D299,$C$5:$AU$493,3,))*$E299)</f>
        <v>0</v>
      </c>
      <c r="AD299" s="66">
        <f>IF(VLOOKUP($D299,$C$5:$AU$493,3,)=0,0,(VLOOKUP($D299,$C$5:$AU$493,28,)/VLOOKUP($D299,$C$5:$AU$493,3,))*$E299)</f>
        <v>0</v>
      </c>
      <c r="AE299" s="66">
        <f>IF(VLOOKUP($D299,$C$5:$AU$493,3,)=0,0,(VLOOKUP($D299,$C$5:$AU$493,29,)/VLOOKUP($D299,$C$5:$AU$493,3,))*$E299)</f>
        <v>0</v>
      </c>
      <c r="AF299" s="66">
        <f>IF(VLOOKUP($D299,$C$5:$AU$493,3,)=0,0,(VLOOKUP($D299,$C$5:$AU$493,30,)/VLOOKUP($D299,$C$5:$AU$493,3,))*$E299)</f>
        <v>0</v>
      </c>
      <c r="AG299" s="89">
        <f>SUM(F299:AF299)</f>
        <v>8.0609191757030754</v>
      </c>
      <c r="AH299" s="27" t="str">
        <f>IF(ABS(E299-AG299)&lt;0.01,"ok","err")</f>
        <v>ok</v>
      </c>
    </row>
    <row r="300" spans="1:34" x14ac:dyDescent="0.2">
      <c r="E300" s="49"/>
    </row>
    <row r="301" spans="1:34" x14ac:dyDescent="0.2">
      <c r="A301" s="13" t="s">
        <v>544</v>
      </c>
      <c r="E301" s="49"/>
    </row>
    <row r="302" spans="1:34" x14ac:dyDescent="0.2">
      <c r="A302" s="92" t="s">
        <v>219</v>
      </c>
      <c r="C302" s="14" t="s">
        <v>319</v>
      </c>
      <c r="D302" s="14" t="s">
        <v>232</v>
      </c>
      <c r="E302" s="66">
        <f>'Func &amp; Classif'!Y316</f>
        <v>0</v>
      </c>
      <c r="F302" s="66">
        <f>IF(VLOOKUP($D302,$C$5:$AU$493,3,)=0,0,(VLOOKUP($D302,$C$5:$AU$493,4,)/VLOOKUP($D302,$C$5:$AU$493,3,))*$E302)</f>
        <v>0</v>
      </c>
      <c r="G302" s="66">
        <f>IF(VLOOKUP($D302,$C$5:$AU$493,3,)=0,0,(VLOOKUP($D302,$C$5:$AU$493,5,)/VLOOKUP($D302,$C$5:$AU$493,3,))*$E302)</f>
        <v>0</v>
      </c>
      <c r="H302" s="66">
        <f>IF(VLOOKUP($D302,$C$5:$AU$493,3,)=0,0,(VLOOKUP($D302,$C$5:$AU$493,6,)/VLOOKUP($D302,$C$5:$AU$493,3,))*$E302)</f>
        <v>0</v>
      </c>
      <c r="I302" s="66">
        <f>IF(VLOOKUP($D302,$C$5:$AU$493,3,)=0,0,(VLOOKUP($D302,$C$5:$AU$493,7,)/VLOOKUP($D302,$C$5:$AU$493,3,))*$E302)</f>
        <v>0</v>
      </c>
      <c r="J302" s="66">
        <f>IF(VLOOKUP($D302,$C$5:$AU$493,3,)=0,0,(VLOOKUP($D302,$C$5:$AU$493,8,)/VLOOKUP($D302,$C$5:$AU$493,3,))*$E302)</f>
        <v>0</v>
      </c>
      <c r="K302" s="66">
        <f>IF(VLOOKUP($D302,$C$5:$AU$493,3,)=0,0,(VLOOKUP($D302,$C$5:$AU$493,9,)/VLOOKUP($D302,$C$5:$AU$493,3,))*$E302)</f>
        <v>0</v>
      </c>
      <c r="L302" s="66">
        <f>IF(VLOOKUP($D302,$C$5:$AU$493,3,)=0,0,(VLOOKUP($D302,$C$5:$AU$493,10,)/VLOOKUP($D302,$C$5:$AU$493,3,))*$E302)</f>
        <v>0</v>
      </c>
      <c r="M302" s="66">
        <f>IF(VLOOKUP($D302,$C$5:$AU$493,3,)=0,0,(VLOOKUP($D302,$C$5:$AU$493,11,)/VLOOKUP($D302,$C$5:$AU$493,3,))*$E302)</f>
        <v>0</v>
      </c>
      <c r="N302" s="66">
        <f>IF(VLOOKUP($D302,$C$5:$AU$493,3,)=0,0,(VLOOKUP($D302,$C$5:$AU$493,12,)/VLOOKUP($D302,$C$5:$AU$493,3,))*$E302)</f>
        <v>0</v>
      </c>
      <c r="O302" s="66">
        <f>IF(VLOOKUP($D302,$C$5:$AU$493,3,)=0,0,(VLOOKUP($D302,$C$5:$AU$493,13,)/VLOOKUP($D302,$C$5:$AU$493,3,))*$E302)</f>
        <v>0</v>
      </c>
      <c r="P302" s="66">
        <f>IF(VLOOKUP($D302,$C$5:$AU$493,3,)=0,0,(VLOOKUP($D302,$C$5:$AU$493,14,)/VLOOKUP($D302,$C$5:$AU$493,3,))*$E302)</f>
        <v>0</v>
      </c>
      <c r="Q302" s="66">
        <f>IF(VLOOKUP($D302,$C$5:$AU$493,3,)=0,0,(VLOOKUP($D302,$C$5:$AU$493,15,)/VLOOKUP($D302,$C$5:$AU$493,3,))*$E302)</f>
        <v>0</v>
      </c>
      <c r="R302" s="66">
        <f>IF(VLOOKUP($D302,$C$5:$AU$493,3,)=0,0,(VLOOKUP($D302,$C$5:$AU$493,16,)/VLOOKUP($D302,$C$5:$AU$493,3,))*$E302)</f>
        <v>0</v>
      </c>
      <c r="S302" s="66">
        <f>IF(VLOOKUP($D302,$C$5:$AU$493,3,)=0,0,(VLOOKUP($D302,$C$5:$AU$493,17,)/VLOOKUP($D302,$C$5:$AU$493,3,))*$E302)</f>
        <v>0</v>
      </c>
      <c r="T302" s="66">
        <f>IF(VLOOKUP($D302,$C$5:$AU$493,3,)=0,0,(VLOOKUP($D302,$C$5:$AU$493,18,)/VLOOKUP($D302,$C$5:$AU$493,3,))*$E302)</f>
        <v>0</v>
      </c>
      <c r="U302" s="66">
        <f>IF(VLOOKUP($D302,$C$5:$AU$493,3,)=0,0,(VLOOKUP($D302,$C$5:$AU$493,19,)/VLOOKUP($D302,$C$5:$AU$493,3,))*$E302)</f>
        <v>0</v>
      </c>
      <c r="V302" s="66">
        <f>IF(VLOOKUP($D302,$C$5:$AU$493,3,)=0,0,(VLOOKUP($D302,$C$5:$AU$493,20,)/VLOOKUP($D302,$C$5:$AU$493,3,))*$E302)</f>
        <v>0</v>
      </c>
      <c r="W302" s="66">
        <f>IF(VLOOKUP($D302,$C$5:$AU$493,3,)=0,0,(VLOOKUP($D302,$C$5:$AU$493,21,)/VLOOKUP($D302,$C$5:$AU$493,3,))*$E302)</f>
        <v>0</v>
      </c>
      <c r="X302" s="66">
        <f>IF(VLOOKUP($D302,$C$5:$AU$493,3,)=0,0,(VLOOKUP($D302,$C$5:$AU$493,22,)/VLOOKUP($D302,$C$5:$AU$493,3,))*$E302)</f>
        <v>0</v>
      </c>
      <c r="Y302" s="66">
        <f>IF(VLOOKUP($D302,$C$5:$AU$493,3,)=0,0,(VLOOKUP($D302,$C$5:$AU$493,23,)/VLOOKUP($D302,$C$5:$AU$493,3,))*$E302)</f>
        <v>0</v>
      </c>
      <c r="Z302" s="66">
        <f>IF(VLOOKUP($D302,$C$5:$AU$493,3,)=0,0,(VLOOKUP($D302,$C$5:$AU$493,24,)/VLOOKUP($D302,$C$5:$AU$493,3,))*$E302)</f>
        <v>0</v>
      </c>
      <c r="AA302" s="66">
        <f>IF(VLOOKUP($D302,$C$5:$AU$493,3,)=0,0,(VLOOKUP($D302,$C$5:$AU$493,25,)/VLOOKUP($D302,$C$5:$AU$493,3,))*$E302)</f>
        <v>0</v>
      </c>
      <c r="AB302" s="66">
        <f>IF(VLOOKUP($D302,$C$5:$AU$493,3,)=0,0,(VLOOKUP($D302,$C$5:$AU$493,26,)/VLOOKUP($D302,$C$5:$AU$493,3,))*$E302)</f>
        <v>0</v>
      </c>
      <c r="AC302" s="66">
        <f>IF(VLOOKUP($D302,$C$5:$AU$493,3,)=0,0,(VLOOKUP($D302,$C$5:$AU$493,27,)/VLOOKUP($D302,$C$5:$AU$493,3,))*$E302)</f>
        <v>0</v>
      </c>
      <c r="AD302" s="66">
        <f>IF(VLOOKUP($D302,$C$5:$AU$493,3,)=0,0,(VLOOKUP($D302,$C$5:$AU$493,28,)/VLOOKUP($D302,$C$5:$AU$493,3,))*$E302)</f>
        <v>0</v>
      </c>
      <c r="AE302" s="66">
        <f>IF(VLOOKUP($D302,$C$5:$AU$493,3,)=0,0,(VLOOKUP($D302,$C$5:$AU$493,29,)/VLOOKUP($D302,$C$5:$AU$493,3,))*$E302)</f>
        <v>0</v>
      </c>
      <c r="AF302" s="66">
        <f>IF(VLOOKUP($D302,$C$5:$AU$493,3,)=0,0,(VLOOKUP($D302,$C$5:$AU$493,30,)/VLOOKUP($D302,$C$5:$AU$493,3,))*$E302)</f>
        <v>0</v>
      </c>
      <c r="AG302" s="89">
        <f>SUM(F302:AF302)</f>
        <v>0</v>
      </c>
      <c r="AH302" s="27" t="str">
        <f>IF(ABS(E302-AG302)&lt;0.01,"ok","err")</f>
        <v>ok</v>
      </c>
    </row>
    <row r="303" spans="1:34" x14ac:dyDescent="0.2">
      <c r="E303" s="49"/>
    </row>
    <row r="304" spans="1:34" x14ac:dyDescent="0.2">
      <c r="A304" s="13" t="s">
        <v>469</v>
      </c>
      <c r="E304" s="49"/>
    </row>
    <row r="305" spans="1:41" x14ac:dyDescent="0.2">
      <c r="A305" s="92" t="s">
        <v>219</v>
      </c>
      <c r="C305" s="14" t="s">
        <v>316</v>
      </c>
      <c r="D305" s="14" t="s">
        <v>233</v>
      </c>
      <c r="E305" s="66">
        <f>'Func &amp; Classif'!AA316</f>
        <v>0</v>
      </c>
      <c r="F305" s="66">
        <f>IF(VLOOKUP($D305,$C$5:$AU$493,3,)=0,0,(VLOOKUP($D305,$C$5:$AU$493,4,)/VLOOKUP($D305,$C$5:$AU$493,3,))*$E305)</f>
        <v>0</v>
      </c>
      <c r="G305" s="66">
        <f>IF(VLOOKUP($D305,$C$5:$AU$493,3,)=0,0,(VLOOKUP($D305,$C$5:$AU$493,5,)/VLOOKUP($D305,$C$5:$AU$493,3,))*$E305)</f>
        <v>0</v>
      </c>
      <c r="H305" s="66">
        <f>IF(VLOOKUP($D305,$C$5:$AU$493,3,)=0,0,(VLOOKUP($D305,$C$5:$AU$493,6,)/VLOOKUP($D305,$C$5:$AU$493,3,))*$E305)</f>
        <v>0</v>
      </c>
      <c r="I305" s="66">
        <f>IF(VLOOKUP($D305,$C$5:$AU$493,3,)=0,0,(VLOOKUP($D305,$C$5:$AU$493,7,)/VLOOKUP($D305,$C$5:$AU$493,3,))*$E305)</f>
        <v>0</v>
      </c>
      <c r="J305" s="66">
        <f>IF(VLOOKUP($D305,$C$5:$AU$493,3,)=0,0,(VLOOKUP($D305,$C$5:$AU$493,8,)/VLOOKUP($D305,$C$5:$AU$493,3,))*$E305)</f>
        <v>0</v>
      </c>
      <c r="K305" s="66">
        <f>IF(VLOOKUP($D305,$C$5:$AU$493,3,)=0,0,(VLOOKUP($D305,$C$5:$AU$493,9,)/VLOOKUP($D305,$C$5:$AU$493,3,))*$E305)</f>
        <v>0</v>
      </c>
      <c r="L305" s="66">
        <f>IF(VLOOKUP($D305,$C$5:$AU$493,3,)=0,0,(VLOOKUP($D305,$C$5:$AU$493,10,)/VLOOKUP($D305,$C$5:$AU$493,3,))*$E305)</f>
        <v>0</v>
      </c>
      <c r="M305" s="66">
        <f>IF(VLOOKUP($D305,$C$5:$AU$493,3,)=0,0,(VLOOKUP($D305,$C$5:$AU$493,11,)/VLOOKUP($D305,$C$5:$AU$493,3,))*$E305)</f>
        <v>0</v>
      </c>
      <c r="N305" s="66">
        <f>IF(VLOOKUP($D305,$C$5:$AU$493,3,)=0,0,(VLOOKUP($D305,$C$5:$AU$493,12,)/VLOOKUP($D305,$C$5:$AU$493,3,))*$E305)</f>
        <v>0</v>
      </c>
      <c r="O305" s="66">
        <f>IF(VLOOKUP($D305,$C$5:$AU$493,3,)=0,0,(VLOOKUP($D305,$C$5:$AU$493,13,)/VLOOKUP($D305,$C$5:$AU$493,3,))*$E305)</f>
        <v>0</v>
      </c>
      <c r="P305" s="66">
        <f>IF(VLOOKUP($D305,$C$5:$AU$493,3,)=0,0,(VLOOKUP($D305,$C$5:$AU$493,14,)/VLOOKUP($D305,$C$5:$AU$493,3,))*$E305)</f>
        <v>0</v>
      </c>
      <c r="Q305" s="66">
        <f>IF(VLOOKUP($D305,$C$5:$AU$493,3,)=0,0,(VLOOKUP($D305,$C$5:$AU$493,15,)/VLOOKUP($D305,$C$5:$AU$493,3,))*$E305)</f>
        <v>0</v>
      </c>
      <c r="R305" s="66">
        <f>IF(VLOOKUP($D305,$C$5:$AU$493,3,)=0,0,(VLOOKUP($D305,$C$5:$AU$493,16,)/VLOOKUP($D305,$C$5:$AU$493,3,))*$E305)</f>
        <v>0</v>
      </c>
      <c r="S305" s="66">
        <f>IF(VLOOKUP($D305,$C$5:$AU$493,3,)=0,0,(VLOOKUP($D305,$C$5:$AU$493,17,)/VLOOKUP($D305,$C$5:$AU$493,3,))*$E305)</f>
        <v>0</v>
      </c>
      <c r="T305" s="66">
        <f>IF(VLOOKUP($D305,$C$5:$AU$493,3,)=0,0,(VLOOKUP($D305,$C$5:$AU$493,18,)/VLOOKUP($D305,$C$5:$AU$493,3,))*$E305)</f>
        <v>0</v>
      </c>
      <c r="U305" s="66">
        <f>IF(VLOOKUP($D305,$C$5:$AU$493,3,)=0,0,(VLOOKUP($D305,$C$5:$AU$493,19,)/VLOOKUP($D305,$C$5:$AU$493,3,))*$E305)</f>
        <v>0</v>
      </c>
      <c r="V305" s="66">
        <f>IF(VLOOKUP($D305,$C$5:$AU$493,3,)=0,0,(VLOOKUP($D305,$C$5:$AU$493,20,)/VLOOKUP($D305,$C$5:$AU$493,3,))*$E305)</f>
        <v>0</v>
      </c>
      <c r="W305" s="66">
        <f>IF(VLOOKUP($D305,$C$5:$AU$493,3,)=0,0,(VLOOKUP($D305,$C$5:$AU$493,21,)/VLOOKUP($D305,$C$5:$AU$493,3,))*$E305)</f>
        <v>0</v>
      </c>
      <c r="X305" s="66">
        <f>IF(VLOOKUP($D305,$C$5:$AU$493,3,)=0,0,(VLOOKUP($D305,$C$5:$AU$493,22,)/VLOOKUP($D305,$C$5:$AU$493,3,))*$E305)</f>
        <v>0</v>
      </c>
      <c r="Y305" s="66">
        <f>IF(VLOOKUP($D305,$C$5:$AU$493,3,)=0,0,(VLOOKUP($D305,$C$5:$AU$493,23,)/VLOOKUP($D305,$C$5:$AU$493,3,))*$E305)</f>
        <v>0</v>
      </c>
      <c r="Z305" s="66">
        <f>IF(VLOOKUP($D305,$C$5:$AU$493,3,)=0,0,(VLOOKUP($D305,$C$5:$AU$493,24,)/VLOOKUP($D305,$C$5:$AU$493,3,))*$E305)</f>
        <v>0</v>
      </c>
      <c r="AA305" s="66">
        <f>IF(VLOOKUP($D305,$C$5:$AU$493,3,)=0,0,(VLOOKUP($D305,$C$5:$AU$493,25,)/VLOOKUP($D305,$C$5:$AU$493,3,))*$E305)</f>
        <v>0</v>
      </c>
      <c r="AB305" s="66">
        <f>IF(VLOOKUP($D305,$C$5:$AU$493,3,)=0,0,(VLOOKUP($D305,$C$5:$AU$493,26,)/VLOOKUP($D305,$C$5:$AU$493,3,))*$E305)</f>
        <v>0</v>
      </c>
      <c r="AC305" s="66">
        <f>IF(VLOOKUP($D305,$C$5:$AU$493,3,)=0,0,(VLOOKUP($D305,$C$5:$AU$493,27,)/VLOOKUP($D305,$C$5:$AU$493,3,))*$E305)</f>
        <v>0</v>
      </c>
      <c r="AD305" s="66">
        <f>IF(VLOOKUP($D305,$C$5:$AU$493,3,)=0,0,(VLOOKUP($D305,$C$5:$AU$493,28,)/VLOOKUP($D305,$C$5:$AU$493,3,))*$E305)</f>
        <v>0</v>
      </c>
      <c r="AE305" s="66">
        <f>IF(VLOOKUP($D305,$C$5:$AU$493,3,)=0,0,(VLOOKUP($D305,$C$5:$AU$493,29,)/VLOOKUP($D305,$C$5:$AU$493,3,))*$E305)</f>
        <v>0</v>
      </c>
      <c r="AF305" s="66">
        <f>IF(VLOOKUP($D305,$C$5:$AU$493,3,)=0,0,(VLOOKUP($D305,$C$5:$AU$493,30,)/VLOOKUP($D305,$C$5:$AU$493,3,))*$E305)</f>
        <v>0</v>
      </c>
      <c r="AG305" s="89">
        <f>SUM(F305:AF305)</f>
        <v>0</v>
      </c>
      <c r="AH305" s="27" t="str">
        <f>IF(ABS(E305-AG305)&lt;0.01,"ok","err")</f>
        <v>ok</v>
      </c>
    </row>
    <row r="306" spans="1:41" x14ac:dyDescent="0.2">
      <c r="E306" s="49"/>
    </row>
    <row r="307" spans="1:41" x14ac:dyDescent="0.2">
      <c r="A307" s="14" t="s">
        <v>0</v>
      </c>
      <c r="C307" s="14" t="s">
        <v>320</v>
      </c>
      <c r="E307" s="66">
        <f>E277+E280+E283+E288+E293+E296+E299+E302+E305</f>
        <v>160.00000000000003</v>
      </c>
      <c r="F307" s="66">
        <f t="shared" ref="F307:R307" si="63">F277+F280+F283+F288+F293+F296+F299+F302+F305</f>
        <v>125.78619221806886</v>
      </c>
      <c r="G307" s="66">
        <f t="shared" si="63"/>
        <v>0.13588913398842367</v>
      </c>
      <c r="H307" s="66">
        <f t="shared" si="63"/>
        <v>0.44094951409739375</v>
      </c>
      <c r="I307" s="66">
        <f t="shared" si="63"/>
        <v>6.7136434587380407</v>
      </c>
      <c r="J307" s="66">
        <f t="shared" si="63"/>
        <v>0.47962276636778567</v>
      </c>
      <c r="K307" s="66">
        <f t="shared" si="63"/>
        <v>1.317390715299942</v>
      </c>
      <c r="L307" s="66">
        <f t="shared" si="63"/>
        <v>3.1935724048790988</v>
      </c>
      <c r="M307" s="66">
        <f t="shared" si="63"/>
        <v>1.4181124151544053</v>
      </c>
      <c r="N307" s="66">
        <f t="shared" si="63"/>
        <v>2.7663699873533982</v>
      </c>
      <c r="O307" s="66">
        <f t="shared" si="63"/>
        <v>6.2206480541445244E-4</v>
      </c>
      <c r="P307" s="66">
        <f t="shared" si="63"/>
        <v>17.747635321247266</v>
      </c>
      <c r="Q307" s="66">
        <f t="shared" si="63"/>
        <v>0</v>
      </c>
      <c r="R307" s="66">
        <f t="shared" si="63"/>
        <v>0</v>
      </c>
      <c r="S307" s="66">
        <f t="shared" ref="S307:AF307" si="64">S277+S283+S288+S293+S296+S299+S302+S305</f>
        <v>0</v>
      </c>
      <c r="T307" s="66">
        <f t="shared" si="64"/>
        <v>0</v>
      </c>
      <c r="U307" s="66">
        <f t="shared" si="64"/>
        <v>0</v>
      </c>
      <c r="V307" s="66">
        <f t="shared" si="64"/>
        <v>0</v>
      </c>
      <c r="W307" s="66">
        <f t="shared" si="64"/>
        <v>0</v>
      </c>
      <c r="X307" s="66">
        <f t="shared" si="64"/>
        <v>0</v>
      </c>
      <c r="Y307" s="66">
        <f t="shared" si="64"/>
        <v>0</v>
      </c>
      <c r="Z307" s="66">
        <f t="shared" si="64"/>
        <v>0</v>
      </c>
      <c r="AA307" s="66">
        <f t="shared" si="64"/>
        <v>0</v>
      </c>
      <c r="AB307" s="66">
        <f t="shared" si="64"/>
        <v>0</v>
      </c>
      <c r="AC307" s="66">
        <f t="shared" si="64"/>
        <v>0</v>
      </c>
      <c r="AD307" s="66">
        <f t="shared" si="64"/>
        <v>0</v>
      </c>
      <c r="AE307" s="66">
        <f t="shared" si="64"/>
        <v>0</v>
      </c>
      <c r="AF307" s="66">
        <f t="shared" si="64"/>
        <v>0</v>
      </c>
      <c r="AG307" s="89">
        <f>SUM(F307:AF307)</f>
        <v>160.00000000000003</v>
      </c>
      <c r="AH307" s="27" t="str">
        <f>IF(ABS(E307-AG307)&lt;0.01,"ok","err")</f>
        <v>ok</v>
      </c>
    </row>
    <row r="308" spans="1:41" x14ac:dyDescent="0.2">
      <c r="E308" s="139"/>
      <c r="F308" s="139"/>
      <c r="G308" s="139"/>
      <c r="H308" s="139"/>
      <c r="I308" s="139"/>
      <c r="J308" s="139"/>
      <c r="K308" s="139"/>
      <c r="L308" s="139"/>
      <c r="M308" s="47"/>
    </row>
    <row r="309" spans="1:41" x14ac:dyDescent="0.2"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89"/>
      <c r="AH309" s="27"/>
    </row>
    <row r="310" spans="1:41" x14ac:dyDescent="0.2">
      <c r="A310" s="25" t="s">
        <v>581</v>
      </c>
      <c r="F310" s="215"/>
      <c r="G310" s="215"/>
      <c r="H310" s="215"/>
      <c r="I310" s="215"/>
      <c r="J310" s="215"/>
      <c r="K310" s="215"/>
      <c r="L310" s="215"/>
      <c r="M310" s="215"/>
      <c r="N310" s="215"/>
    </row>
    <row r="311" spans="1:41" x14ac:dyDescent="0.2">
      <c r="E311" s="89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41" x14ac:dyDescent="0.2">
      <c r="A312" s="13" t="s">
        <v>321</v>
      </c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AJ312" s="31"/>
      <c r="AK312" s="178"/>
      <c r="AL312" s="31"/>
      <c r="AM312" s="31"/>
      <c r="AN312" s="31"/>
      <c r="AO312" s="31"/>
    </row>
    <row r="313" spans="1:41" x14ac:dyDescent="0.2">
      <c r="A313" s="14" t="s">
        <v>762</v>
      </c>
      <c r="C313" s="14" t="s">
        <v>322</v>
      </c>
      <c r="D313" s="14" t="s">
        <v>560</v>
      </c>
      <c r="E313" s="66">
        <v>154067757</v>
      </c>
      <c r="F313" s="66">
        <f>IF(VLOOKUP($D313,$C$5:$AU$493,3,)=0,0,(VLOOKUP($D313,$C$5:$AU$493,4,)/VLOOKUP($D313,$C$5:$AU$493,3,))*$E313)</f>
        <v>102972322.50948638</v>
      </c>
      <c r="G313" s="66">
        <f>IF(VLOOKUP($D313,$C$5:$AU$493,3,)=0,0,(VLOOKUP($D313,$C$5:$AU$493,5,)/VLOOKUP($D313,$C$5:$AU$493,3,))*$E313)</f>
        <v>40099.261010633563</v>
      </c>
      <c r="H313" s="66">
        <f>IF(VLOOKUP($D313,$C$5:$AU$493,3,)=0,0,(VLOOKUP($D313,$C$5:$AU$493,6,)/VLOOKUP($D313,$C$5:$AU$493,3,))*$E313)</f>
        <v>24551.86153874256</v>
      </c>
      <c r="I313" s="66">
        <f>IF(VLOOKUP($D313,$C$5:$AU$493,3,)=0,0,(VLOOKUP($D313,$C$5:$AU$493,7,)/VLOOKUP($D313,$C$5:$AU$493,3,))*$E313)</f>
        <v>11678002.543868693</v>
      </c>
      <c r="J313" s="66">
        <f>IF(VLOOKUP($D313,$C$5:$AU$493,3,)=0,0,(VLOOKUP($D313,$C$5:$AU$493,8,)/VLOOKUP($D313,$C$5:$AU$493,3,))*$E313)</f>
        <v>202364.99511879971</v>
      </c>
      <c r="K313" s="66">
        <f>IF(VLOOKUP($D313,$C$5:$AU$493,3,)=0,0,(VLOOKUP($D313,$C$5:$AU$493,9,)/VLOOKUP($D313,$C$5:$AU$493,3,))*$E313)</f>
        <v>3796007.5883797542</v>
      </c>
      <c r="L313" s="66">
        <f>IF(VLOOKUP($D313,$C$5:$AU$493,3,)=0,0,(VLOOKUP($D313,$C$5:$AU$493,10,)/VLOOKUP($D313,$C$5:$AU$493,3,))*$E313)</f>
        <v>10515875.79011015</v>
      </c>
      <c r="M313" s="66">
        <f>IF(VLOOKUP($D313,$C$5:$AU$493,3,)=0,0,(VLOOKUP($D313,$C$5:$AU$493,11,)/VLOOKUP($D313,$C$5:$AU$493,3,))*$E313)</f>
        <v>5452130.4053975632</v>
      </c>
      <c r="N313" s="66">
        <f>IF(VLOOKUP($D313,$C$5:$AU$493,3,)=0,0,(VLOOKUP($D313,$C$5:$AU$493,12,)/VLOOKUP($D313,$C$5:$AU$493,3,))*$E313)</f>
        <v>10672644.68247545</v>
      </c>
      <c r="O313" s="66">
        <f>IF(VLOOKUP($D313,$C$5:$AU$493,3,)=0,0,(VLOOKUP($D313,$C$5:$AU$493,13,)/VLOOKUP($D313,$C$5:$AU$493,3,))*$E313)</f>
        <v>6237157.2886838084</v>
      </c>
      <c r="P313" s="66">
        <f>IF(VLOOKUP($D313,$C$5:$AU$493,3,)=0,0,(VLOOKUP($D313,$C$5:$AU$493,14,)/VLOOKUP($D313,$C$5:$AU$493,3,))*$E313)</f>
        <v>2476600.0739300386</v>
      </c>
      <c r="Q313" s="66">
        <f>IF(VLOOKUP($D313,$C$5:$AU$493,3,)=0,0,(VLOOKUP($D313,$C$5:$AU$493,15,)/VLOOKUP($D313,$C$5:$AU$493,3,))*$E313)</f>
        <v>0</v>
      </c>
      <c r="R313" s="66">
        <f>IF(VLOOKUP($D313,$C$5:$AU$493,3,)=0,0,(VLOOKUP($D313,$C$5:$AU$493,16,)/VLOOKUP($D313,$C$5:$AU$493,3,))*$E313)</f>
        <v>0</v>
      </c>
      <c r="S313" s="66">
        <f>IF(VLOOKUP($D313,$C$5:$AU$493,3,)=0,0,(VLOOKUP($D313,$C$5:$AU$493,17,)/VLOOKUP($D313,$C$5:$AU$493,3,))*$E313)</f>
        <v>0</v>
      </c>
      <c r="T313" s="66">
        <f>IF(VLOOKUP($D313,$C$5:$AU$493,3,)=0,0,(VLOOKUP($D313,$C$5:$AU$493,18,)/VLOOKUP($D313,$C$5:$AU$493,3,))*$E313)</f>
        <v>0</v>
      </c>
      <c r="U313" s="66">
        <f>IF(VLOOKUP($D313,$C$5:$AU$493,3,)=0,0,(VLOOKUP($D313,$C$5:$AU$493,19,)/VLOOKUP($D313,$C$5:$AU$493,3,))*$E313)</f>
        <v>0</v>
      </c>
      <c r="V313" s="66">
        <f>IF(VLOOKUP($D313,$C$5:$AU$493,3,)=0,0,(VLOOKUP($D313,$C$5:$AU$493,20,)/VLOOKUP($D313,$C$5:$AU$493,3,))*$E313)</f>
        <v>0</v>
      </c>
      <c r="W313" s="66">
        <f>IF(VLOOKUP($D313,$C$5:$AU$493,3,)=0,0,(VLOOKUP($D313,$C$5:$AU$493,21,)/VLOOKUP($D313,$C$5:$AU$493,3,))*$E313)</f>
        <v>0</v>
      </c>
      <c r="X313" s="66">
        <f>IF(VLOOKUP($D313,$C$5:$AU$493,3,)=0,0,(VLOOKUP($D313,$C$5:$AU$493,22,)/VLOOKUP($D313,$C$5:$AU$493,3,))*$E313)</f>
        <v>0</v>
      </c>
      <c r="Y313" s="66">
        <f>IF(VLOOKUP($D313,$C$5:$AU$493,3,)=0,0,(VLOOKUP($D313,$C$5:$AU$493,23,)/VLOOKUP($D313,$C$5:$AU$493,3,))*$E313)</f>
        <v>0</v>
      </c>
      <c r="Z313" s="66">
        <f>IF(VLOOKUP($D313,$C$5:$AU$493,3,)=0,0,(VLOOKUP($D313,$C$5:$AU$493,24,)/VLOOKUP($D313,$C$5:$AU$493,3,))*$E313)</f>
        <v>0</v>
      </c>
      <c r="AA313" s="66">
        <f>IF(VLOOKUP($D313,$C$5:$AU$493,3,)=0,0,(VLOOKUP($D313,$C$5:$AU$493,25,)/VLOOKUP($D313,$C$5:$AU$493,3,))*$E313)</f>
        <v>0</v>
      </c>
      <c r="AB313" s="66">
        <f>IF(VLOOKUP($D313,$C$5:$AU$493,3,)=0,0,(VLOOKUP($D313,$C$5:$AU$493,26,)/VLOOKUP($D313,$C$5:$AU$493,3,))*$E313)</f>
        <v>0</v>
      </c>
      <c r="AC313" s="66">
        <f>IF(VLOOKUP($D313,$C$5:$AU$493,3,)=0,0,(VLOOKUP($D313,$C$5:$AU$493,27,)/VLOOKUP($D313,$C$5:$AU$493,3,))*$E313)</f>
        <v>0</v>
      </c>
      <c r="AD313" s="66">
        <f>IF(VLOOKUP($D313,$C$5:$AU$493,3,)=0,0,(VLOOKUP($D313,$C$5:$AU$493,28,)/VLOOKUP($D313,$C$5:$AU$493,3,))*$E313)</f>
        <v>0</v>
      </c>
      <c r="AE313" s="66">
        <f>IF(VLOOKUP($D313,$C$5:$AU$493,3,)=0,0,(VLOOKUP($D313,$C$5:$AU$493,29,)/VLOOKUP($D313,$C$5:$AU$493,3,))*$E313)</f>
        <v>0</v>
      </c>
      <c r="AF313" s="66">
        <f>IF(VLOOKUP($D313,$C$5:$AU$493,3,)=0,0,(VLOOKUP($D313,$C$5:$AU$493,30,)/VLOOKUP($D313,$C$5:$AU$493,3,))*$E313)</f>
        <v>0</v>
      </c>
      <c r="AG313" s="89">
        <f t="shared" ref="AG313:AG314" si="65">SUM(F313:AF313)</f>
        <v>154067756.99999997</v>
      </c>
      <c r="AH313" s="27" t="str">
        <f t="shared" ref="AH313:AH314" si="66">IF(ABS(E313-AG313)&lt;0.01,"ok","err")</f>
        <v>ok</v>
      </c>
      <c r="AJ313" s="179"/>
      <c r="AK313" s="179"/>
      <c r="AL313" s="179"/>
      <c r="AM313" s="179"/>
      <c r="AN313" s="179"/>
      <c r="AO313" s="179"/>
    </row>
    <row r="314" spans="1:41" x14ac:dyDescent="0.2">
      <c r="A314" s="14" t="s">
        <v>763</v>
      </c>
      <c r="D314" s="14" t="s">
        <v>940</v>
      </c>
      <c r="E314" s="66">
        <v>3355383.33</v>
      </c>
      <c r="F314" s="66">
        <f>IF(VLOOKUP($D314,$C$5:$AU$493,3,)=0,0,(VLOOKUP($D314,$C$5:$AU$493,4,)/VLOOKUP($D314,$C$5:$AU$493,3,))*$E314)</f>
        <v>3006609.889150796</v>
      </c>
      <c r="G314" s="66">
        <f>IF(VLOOKUP($D314,$C$5:$AU$493,3,)=0,0,(VLOOKUP($D314,$C$5:$AU$493,5,)/VLOOKUP($D314,$C$5:$AU$493,3,))*$E314)</f>
        <v>1170.8275754497322</v>
      </c>
      <c r="H314" s="66">
        <f>IF(VLOOKUP($D314,$C$5:$AU$493,3,)=0,0,(VLOOKUP($D314,$C$5:$AU$493,6,)/VLOOKUP($D314,$C$5:$AU$493,3,))*$E314)</f>
        <v>716.87097950659461</v>
      </c>
      <c r="I314" s="66">
        <f>IF(VLOOKUP($D314,$C$5:$AU$493,3,)=0,0,(VLOOKUP($D314,$C$5:$AU$493,7,)/VLOOKUP($D314,$C$5:$AU$493,3,))*$E314)</f>
        <v>340977.04196862347</v>
      </c>
      <c r="J314" s="66">
        <f>IF(VLOOKUP($D314,$C$5:$AU$493,3,)=0,0,(VLOOKUP($D314,$C$5:$AU$493,8,)/VLOOKUP($D314,$C$5:$AU$493,3,))*$E314)</f>
        <v>5908.700325624719</v>
      </c>
      <c r="K314" s="66">
        <f>IF(VLOOKUP($D314,$C$5:$AU$493,3,)=0,0,(VLOOKUP($D314,$C$5:$AU$493,9,)/VLOOKUP($D314,$C$5:$AU$493,3,))*$E314)</f>
        <v>0</v>
      </c>
      <c r="L314" s="66">
        <f>IF(VLOOKUP($D314,$C$5:$AU$493,3,)=0,0,(VLOOKUP($D314,$C$5:$AU$493,10,)/VLOOKUP($D314,$C$5:$AU$493,3,))*$E314)</f>
        <v>0</v>
      </c>
      <c r="M314" s="66">
        <f>IF(VLOOKUP($D314,$C$5:$AU$493,3,)=0,0,(VLOOKUP($D314,$C$5:$AU$493,11,)/VLOOKUP($D314,$C$5:$AU$493,3,))*$E314)</f>
        <v>0</v>
      </c>
      <c r="N314" s="66">
        <f>IF(VLOOKUP($D314,$C$5:$AU$493,3,)=0,0,(VLOOKUP($D314,$C$5:$AU$493,12,)/VLOOKUP($D314,$C$5:$AU$493,3,))*$E314)</f>
        <v>0</v>
      </c>
      <c r="O314" s="66">
        <f>IF(VLOOKUP($D314,$C$5:$AU$493,3,)=0,0,(VLOOKUP($D314,$C$5:$AU$493,13,)/VLOOKUP($D314,$C$5:$AU$493,3,))*$E314)</f>
        <v>0</v>
      </c>
      <c r="P314" s="66">
        <f>IF(VLOOKUP($D314,$C$5:$AU$493,3,)=0,0,(VLOOKUP($D314,$C$5:$AU$493,14,)/VLOOKUP($D314,$C$5:$AU$493,3,))*$E314)</f>
        <v>0</v>
      </c>
      <c r="Q314" s="66">
        <f>IF(VLOOKUP($D314,$C$5:$AU$493,3,)=0,0,(VLOOKUP($D314,$C$5:$AU$493,15,)/VLOOKUP($D314,$C$5:$AU$493,3,))*$E314)</f>
        <v>0</v>
      </c>
      <c r="R314" s="66">
        <f>IF(VLOOKUP($D314,$C$5:$AU$493,3,)=0,0,(VLOOKUP($D314,$C$5:$AU$493,16,)/VLOOKUP($D314,$C$5:$AU$493,3,))*$E314)</f>
        <v>0</v>
      </c>
      <c r="S314" s="66">
        <f>IF(VLOOKUP($D314,$C$5:$AU$493,3,)=0,0,(VLOOKUP($D314,$C$5:$AU$493,17,)/VLOOKUP($D314,$C$5:$AU$493,3,))*$E314)</f>
        <v>0</v>
      </c>
      <c r="T314" s="66">
        <f>IF(VLOOKUP($D314,$C$5:$AU$493,3,)=0,0,(VLOOKUP($D314,$C$5:$AU$493,18,)/VLOOKUP($D314,$C$5:$AU$493,3,))*$E314)</f>
        <v>0</v>
      </c>
      <c r="U314" s="66">
        <f>IF(VLOOKUP($D314,$C$5:$AU$493,3,)=0,0,(VLOOKUP($D314,$C$5:$AU$493,19,)/VLOOKUP($D314,$C$5:$AU$493,3,))*$E314)</f>
        <v>0</v>
      </c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89">
        <f t="shared" si="65"/>
        <v>3355383.3300000005</v>
      </c>
      <c r="AH314" s="27" t="str">
        <f t="shared" si="66"/>
        <v>ok</v>
      </c>
      <c r="AJ314" s="179"/>
      <c r="AK314" s="179"/>
      <c r="AL314" s="179"/>
      <c r="AM314" s="179"/>
      <c r="AN314" s="179"/>
      <c r="AO314" s="179"/>
    </row>
    <row r="315" spans="1:41" x14ac:dyDescent="0.2">
      <c r="B315" s="14">
        <v>50801894.68</v>
      </c>
      <c r="AG315" s="89"/>
    </row>
    <row r="316" spans="1:41" x14ac:dyDescent="0.2">
      <c r="A316" s="14" t="s">
        <v>323</v>
      </c>
      <c r="C316" s="14" t="s">
        <v>324</v>
      </c>
      <c r="E316" s="89">
        <f t="shared" ref="E316:AF316" si="67">SUM(E313:E315)</f>
        <v>157423140.33000001</v>
      </c>
      <c r="F316" s="89">
        <f t="shared" si="67"/>
        <v>105978932.39863718</v>
      </c>
      <c r="G316" s="89">
        <f t="shared" si="67"/>
        <v>41270.088586083293</v>
      </c>
      <c r="H316" s="89">
        <f t="shared" si="67"/>
        <v>25268.732518249155</v>
      </c>
      <c r="I316" s="89">
        <f t="shared" si="67"/>
        <v>12018979.585837316</v>
      </c>
      <c r="J316" s="89">
        <f t="shared" si="67"/>
        <v>208273.69544442443</v>
      </c>
      <c r="K316" s="89">
        <f t="shared" si="67"/>
        <v>3796007.5883797542</v>
      </c>
      <c r="L316" s="89">
        <f t="shared" si="67"/>
        <v>10515875.79011015</v>
      </c>
      <c r="M316" s="89">
        <f t="shared" si="67"/>
        <v>5452130.4053975632</v>
      </c>
      <c r="N316" s="89">
        <f t="shared" si="67"/>
        <v>10672644.68247545</v>
      </c>
      <c r="O316" s="89">
        <f t="shared" si="67"/>
        <v>6237157.2886838084</v>
      </c>
      <c r="P316" s="89">
        <f t="shared" si="67"/>
        <v>2476600.0739300386</v>
      </c>
      <c r="Q316" s="89">
        <f t="shared" si="67"/>
        <v>0</v>
      </c>
      <c r="R316" s="89">
        <f t="shared" si="67"/>
        <v>0</v>
      </c>
      <c r="S316" s="89">
        <f t="shared" si="67"/>
        <v>0</v>
      </c>
      <c r="T316" s="89">
        <f t="shared" si="67"/>
        <v>0</v>
      </c>
      <c r="U316" s="89">
        <f t="shared" si="67"/>
        <v>0</v>
      </c>
      <c r="V316" s="89">
        <f t="shared" si="67"/>
        <v>0</v>
      </c>
      <c r="W316" s="89">
        <f t="shared" si="67"/>
        <v>0</v>
      </c>
      <c r="X316" s="89">
        <f t="shared" si="67"/>
        <v>0</v>
      </c>
      <c r="Y316" s="89">
        <f t="shared" si="67"/>
        <v>0</v>
      </c>
      <c r="Z316" s="89">
        <f t="shared" si="67"/>
        <v>0</v>
      </c>
      <c r="AA316" s="89">
        <f t="shared" si="67"/>
        <v>0</v>
      </c>
      <c r="AB316" s="89">
        <f t="shared" si="67"/>
        <v>0</v>
      </c>
      <c r="AC316" s="89">
        <f t="shared" si="67"/>
        <v>0</v>
      </c>
      <c r="AD316" s="89">
        <f t="shared" si="67"/>
        <v>0</v>
      </c>
      <c r="AE316" s="89">
        <f t="shared" si="67"/>
        <v>0</v>
      </c>
      <c r="AF316" s="89">
        <f t="shared" si="67"/>
        <v>0</v>
      </c>
      <c r="AG316" s="89">
        <f>SUM(F316:AF316)</f>
        <v>157423140.32999998</v>
      </c>
      <c r="AH316" s="27" t="str">
        <f>IF(ABS(E316-AG316)&lt;0.01,"ok","err")</f>
        <v>ok</v>
      </c>
    </row>
    <row r="318" spans="1:41" x14ac:dyDescent="0.2">
      <c r="A318" s="13" t="s">
        <v>325</v>
      </c>
      <c r="AJ318" s="31"/>
      <c r="AK318" s="178"/>
      <c r="AL318" s="31"/>
      <c r="AM318" s="31"/>
      <c r="AN318" s="31"/>
      <c r="AO318" s="31"/>
    </row>
    <row r="319" spans="1:41" x14ac:dyDescent="0.2">
      <c r="A319" s="92" t="s">
        <v>326</v>
      </c>
      <c r="E319" s="89">
        <f t="shared" ref="E319:AF319" si="68">E155</f>
        <v>140958727.28999999</v>
      </c>
      <c r="F319" s="89">
        <f t="shared" si="68"/>
        <v>94869585.040483788</v>
      </c>
      <c r="G319" s="89">
        <f t="shared" si="68"/>
        <v>33460.24895051169</v>
      </c>
      <c r="H319" s="89">
        <f t="shared" si="68"/>
        <v>72836.971305912535</v>
      </c>
      <c r="I319" s="89">
        <f t="shared" si="68"/>
        <v>8121462.3703161376</v>
      </c>
      <c r="J319" s="89">
        <f t="shared" si="68"/>
        <v>159074.09875801319</v>
      </c>
      <c r="K319" s="89">
        <f t="shared" si="68"/>
        <v>3275920.1550759948</v>
      </c>
      <c r="L319" s="89">
        <f t="shared" si="68"/>
        <v>10165662.734195996</v>
      </c>
      <c r="M319" s="89">
        <f t="shared" si="68"/>
        <v>5276677.8108039265</v>
      </c>
      <c r="N319" s="89">
        <f t="shared" si="68"/>
        <v>10307606.293631744</v>
      </c>
      <c r="O319" s="89">
        <f t="shared" si="68"/>
        <v>6202644.4566860264</v>
      </c>
      <c r="P319" s="89">
        <f t="shared" si="68"/>
        <v>2473797.1097919261</v>
      </c>
      <c r="Q319" s="89">
        <f t="shared" si="68"/>
        <v>0</v>
      </c>
      <c r="R319" s="89">
        <f t="shared" si="68"/>
        <v>0</v>
      </c>
      <c r="S319" s="89">
        <f t="shared" si="68"/>
        <v>0</v>
      </c>
      <c r="T319" s="89">
        <f t="shared" si="68"/>
        <v>0</v>
      </c>
      <c r="U319" s="89">
        <f t="shared" si="68"/>
        <v>0</v>
      </c>
      <c r="V319" s="89">
        <f t="shared" si="68"/>
        <v>0</v>
      </c>
      <c r="W319" s="89">
        <f t="shared" si="68"/>
        <v>0</v>
      </c>
      <c r="X319" s="89">
        <f t="shared" si="68"/>
        <v>0</v>
      </c>
      <c r="Y319" s="89">
        <f t="shared" si="68"/>
        <v>0</v>
      </c>
      <c r="Z319" s="89">
        <f t="shared" si="68"/>
        <v>0</v>
      </c>
      <c r="AA319" s="89">
        <f t="shared" si="68"/>
        <v>0</v>
      </c>
      <c r="AB319" s="89">
        <f t="shared" si="68"/>
        <v>0</v>
      </c>
      <c r="AC319" s="89">
        <f t="shared" si="68"/>
        <v>0</v>
      </c>
      <c r="AD319" s="89">
        <f t="shared" si="68"/>
        <v>0</v>
      </c>
      <c r="AE319" s="89">
        <f t="shared" si="68"/>
        <v>0</v>
      </c>
      <c r="AF319" s="89">
        <f t="shared" si="68"/>
        <v>0</v>
      </c>
      <c r="AG319" s="89">
        <f>SUM(F319:AF319)</f>
        <v>140958727.28999996</v>
      </c>
      <c r="AH319" s="27" t="str">
        <f>IF(ABS(E319-AG319)&lt;0.01,"ok","err")</f>
        <v>ok</v>
      </c>
      <c r="AI319" s="67">
        <f>M319/AG319</f>
        <v>3.7434204410401697E-2</v>
      </c>
      <c r="AJ319" s="179"/>
      <c r="AK319" s="179"/>
      <c r="AL319" s="179"/>
      <c r="AM319" s="179"/>
      <c r="AN319" s="179"/>
      <c r="AO319" s="179"/>
    </row>
    <row r="320" spans="1:41" x14ac:dyDescent="0.2">
      <c r="A320" s="92" t="s">
        <v>327</v>
      </c>
      <c r="E320" s="49">
        <f t="shared" ref="E320:AF320" si="69">E231</f>
        <v>12787113.789999999</v>
      </c>
      <c r="F320" s="49">
        <f t="shared" si="69"/>
        <v>10052764.706895366</v>
      </c>
      <c r="G320" s="49">
        <f t="shared" si="69"/>
        <v>10860.186369590811</v>
      </c>
      <c r="H320" s="49">
        <f t="shared" si="69"/>
        <v>35240.447577553634</v>
      </c>
      <c r="I320" s="49">
        <f t="shared" si="69"/>
        <v>536550.76782732806</v>
      </c>
      <c r="J320" s="49">
        <f t="shared" si="69"/>
        <v>38331.193061371632</v>
      </c>
      <c r="K320" s="49">
        <f t="shared" si="69"/>
        <v>105285.15614018655</v>
      </c>
      <c r="L320" s="49">
        <f t="shared" si="69"/>
        <v>255228.58586120611</v>
      </c>
      <c r="M320" s="49">
        <f t="shared" si="69"/>
        <v>113334.78012244435</v>
      </c>
      <c r="N320" s="49">
        <f t="shared" si="69"/>
        <v>221086.79883455471</v>
      </c>
      <c r="O320" s="49">
        <f t="shared" si="69"/>
        <v>49.715084072430074</v>
      </c>
      <c r="P320" s="49">
        <f t="shared" si="69"/>
        <v>1418381.4522263249</v>
      </c>
      <c r="Q320" s="49">
        <f t="shared" si="69"/>
        <v>0</v>
      </c>
      <c r="R320" s="49">
        <f t="shared" si="69"/>
        <v>0</v>
      </c>
      <c r="S320" s="49">
        <f t="shared" si="69"/>
        <v>0</v>
      </c>
      <c r="T320" s="49">
        <f t="shared" si="69"/>
        <v>0</v>
      </c>
      <c r="U320" s="49">
        <f t="shared" si="69"/>
        <v>0</v>
      </c>
      <c r="V320" s="49">
        <f t="shared" si="69"/>
        <v>0</v>
      </c>
      <c r="W320" s="49">
        <f t="shared" si="69"/>
        <v>0</v>
      </c>
      <c r="X320" s="49">
        <f t="shared" si="69"/>
        <v>0</v>
      </c>
      <c r="Y320" s="49">
        <f t="shared" si="69"/>
        <v>0</v>
      </c>
      <c r="Z320" s="49">
        <f t="shared" si="69"/>
        <v>0</v>
      </c>
      <c r="AA320" s="49">
        <f t="shared" si="69"/>
        <v>0</v>
      </c>
      <c r="AB320" s="49">
        <f t="shared" si="69"/>
        <v>0</v>
      </c>
      <c r="AC320" s="49">
        <f t="shared" si="69"/>
        <v>0</v>
      </c>
      <c r="AD320" s="49">
        <f t="shared" si="69"/>
        <v>0</v>
      </c>
      <c r="AE320" s="49">
        <f t="shared" si="69"/>
        <v>0</v>
      </c>
      <c r="AF320" s="49">
        <f t="shared" si="69"/>
        <v>0</v>
      </c>
      <c r="AG320" s="89">
        <f>SUM(F320:AF320)</f>
        <v>12787113.789999999</v>
      </c>
      <c r="AH320" s="27" t="str">
        <f>IF(ABS(E320-AG320)&lt;0.01,"ok","err")</f>
        <v>ok</v>
      </c>
      <c r="AI320" s="67">
        <f t="shared" ref="AI320:AI328" si="70">M320/AG320</f>
        <v>8.8632025947150313E-3</v>
      </c>
      <c r="AJ320" s="179"/>
      <c r="AK320" s="179"/>
      <c r="AL320" s="179"/>
      <c r="AM320" s="179"/>
      <c r="AN320" s="179"/>
      <c r="AO320" s="179"/>
    </row>
    <row r="321" spans="1:41" x14ac:dyDescent="0.2">
      <c r="A321" s="92" t="s">
        <v>328</v>
      </c>
      <c r="D321" s="14" t="s">
        <v>246</v>
      </c>
      <c r="E321" s="49">
        <f t="shared" ref="E321:AF321" si="71">E269</f>
        <v>0</v>
      </c>
      <c r="F321" s="49">
        <f t="shared" si="71"/>
        <v>0</v>
      </c>
      <c r="G321" s="49">
        <f t="shared" si="71"/>
        <v>0</v>
      </c>
      <c r="H321" s="49">
        <f t="shared" si="71"/>
        <v>0</v>
      </c>
      <c r="I321" s="49">
        <f t="shared" si="71"/>
        <v>0</v>
      </c>
      <c r="J321" s="49">
        <f t="shared" si="71"/>
        <v>0</v>
      </c>
      <c r="K321" s="49">
        <f t="shared" si="71"/>
        <v>0</v>
      </c>
      <c r="L321" s="49">
        <f t="shared" si="71"/>
        <v>0</v>
      </c>
      <c r="M321" s="49">
        <f t="shared" si="71"/>
        <v>0</v>
      </c>
      <c r="N321" s="49">
        <f t="shared" si="71"/>
        <v>0</v>
      </c>
      <c r="O321" s="49">
        <f t="shared" si="71"/>
        <v>0</v>
      </c>
      <c r="P321" s="49">
        <f t="shared" si="71"/>
        <v>0</v>
      </c>
      <c r="Q321" s="49">
        <f t="shared" si="71"/>
        <v>0</v>
      </c>
      <c r="R321" s="49">
        <f t="shared" si="71"/>
        <v>0</v>
      </c>
      <c r="S321" s="49">
        <f t="shared" si="71"/>
        <v>0</v>
      </c>
      <c r="T321" s="49">
        <f t="shared" si="71"/>
        <v>0</v>
      </c>
      <c r="U321" s="49">
        <f t="shared" si="71"/>
        <v>0</v>
      </c>
      <c r="V321" s="49">
        <f t="shared" si="71"/>
        <v>0</v>
      </c>
      <c r="W321" s="49">
        <f t="shared" si="71"/>
        <v>0</v>
      </c>
      <c r="X321" s="49">
        <f t="shared" si="71"/>
        <v>0</v>
      </c>
      <c r="Y321" s="49">
        <f t="shared" si="71"/>
        <v>0</v>
      </c>
      <c r="Z321" s="49">
        <f t="shared" si="71"/>
        <v>0</v>
      </c>
      <c r="AA321" s="49">
        <f t="shared" si="71"/>
        <v>0</v>
      </c>
      <c r="AB321" s="49">
        <f t="shared" si="71"/>
        <v>0</v>
      </c>
      <c r="AC321" s="49">
        <f t="shared" si="71"/>
        <v>0</v>
      </c>
      <c r="AD321" s="49">
        <f t="shared" si="71"/>
        <v>0</v>
      </c>
      <c r="AE321" s="49">
        <f t="shared" si="71"/>
        <v>0</v>
      </c>
      <c r="AF321" s="49">
        <f t="shared" si="71"/>
        <v>0</v>
      </c>
      <c r="AG321" s="89">
        <f>SUM(F321:AF321)</f>
        <v>0</v>
      </c>
      <c r="AH321" s="27" t="str">
        <f>IF(ABS(E321-AG321)&lt;0.01,"ok","err")</f>
        <v>ok</v>
      </c>
      <c r="AI321" s="67"/>
      <c r="AJ321" s="179"/>
      <c r="AK321" s="179"/>
      <c r="AL321" s="179"/>
      <c r="AM321" s="179"/>
      <c r="AN321" s="179"/>
      <c r="AO321" s="179"/>
    </row>
    <row r="322" spans="1:41" x14ac:dyDescent="0.2">
      <c r="A322" s="92" t="s">
        <v>329</v>
      </c>
      <c r="E322" s="49">
        <f t="shared" ref="E322:AF322" si="72">E307</f>
        <v>160.00000000000003</v>
      </c>
      <c r="F322" s="49">
        <f t="shared" si="72"/>
        <v>125.78619221806886</v>
      </c>
      <c r="G322" s="49">
        <f t="shared" si="72"/>
        <v>0.13588913398842367</v>
      </c>
      <c r="H322" s="49">
        <f t="shared" si="72"/>
        <v>0.44094951409739375</v>
      </c>
      <c r="I322" s="49">
        <f t="shared" si="72"/>
        <v>6.7136434587380407</v>
      </c>
      <c r="J322" s="49">
        <f t="shared" si="72"/>
        <v>0.47962276636778567</v>
      </c>
      <c r="K322" s="49">
        <f t="shared" si="72"/>
        <v>1.317390715299942</v>
      </c>
      <c r="L322" s="49">
        <f t="shared" si="72"/>
        <v>3.1935724048790988</v>
      </c>
      <c r="M322" s="49">
        <f t="shared" si="72"/>
        <v>1.4181124151544053</v>
      </c>
      <c r="N322" s="49">
        <f t="shared" si="72"/>
        <v>2.7663699873533982</v>
      </c>
      <c r="O322" s="49">
        <f t="shared" si="72"/>
        <v>6.2206480541445244E-4</v>
      </c>
      <c r="P322" s="49">
        <f t="shared" si="72"/>
        <v>17.747635321247266</v>
      </c>
      <c r="Q322" s="49">
        <f t="shared" si="72"/>
        <v>0</v>
      </c>
      <c r="R322" s="49">
        <f t="shared" si="72"/>
        <v>0</v>
      </c>
      <c r="S322" s="49">
        <f t="shared" si="72"/>
        <v>0</v>
      </c>
      <c r="T322" s="49">
        <f t="shared" si="72"/>
        <v>0</v>
      </c>
      <c r="U322" s="49">
        <f t="shared" si="72"/>
        <v>0</v>
      </c>
      <c r="V322" s="49">
        <f t="shared" si="72"/>
        <v>0</v>
      </c>
      <c r="W322" s="49">
        <f t="shared" si="72"/>
        <v>0</v>
      </c>
      <c r="X322" s="49">
        <f t="shared" si="72"/>
        <v>0</v>
      </c>
      <c r="Y322" s="49">
        <f t="shared" si="72"/>
        <v>0</v>
      </c>
      <c r="Z322" s="49">
        <f t="shared" si="72"/>
        <v>0</v>
      </c>
      <c r="AA322" s="49">
        <f t="shared" si="72"/>
        <v>0</v>
      </c>
      <c r="AB322" s="49">
        <f t="shared" si="72"/>
        <v>0</v>
      </c>
      <c r="AC322" s="49">
        <f t="shared" si="72"/>
        <v>0</v>
      </c>
      <c r="AD322" s="49">
        <f t="shared" si="72"/>
        <v>0</v>
      </c>
      <c r="AE322" s="49">
        <f t="shared" si="72"/>
        <v>0</v>
      </c>
      <c r="AF322" s="49">
        <f t="shared" si="72"/>
        <v>0</v>
      </c>
      <c r="AG322" s="89">
        <f>SUM(F322:AF322)</f>
        <v>160.00000000000003</v>
      </c>
      <c r="AH322" s="27" t="str">
        <f>IF(ABS(E322-AG322)&lt;0.01,"ok","err")</f>
        <v>ok</v>
      </c>
      <c r="AI322" s="67">
        <f t="shared" si="70"/>
        <v>8.8632025947150313E-3</v>
      </c>
      <c r="AJ322" s="179"/>
      <c r="AK322" s="179"/>
      <c r="AL322" s="179"/>
      <c r="AM322" s="179"/>
      <c r="AN322" s="179"/>
      <c r="AO322" s="179"/>
    </row>
    <row r="323" spans="1:41" x14ac:dyDescent="0.2">
      <c r="A323" s="92"/>
      <c r="AG323" s="89"/>
      <c r="AH323" s="27"/>
      <c r="AI323" s="67"/>
      <c r="AJ323" s="179"/>
      <c r="AK323" s="179"/>
      <c r="AL323" s="179"/>
      <c r="AM323" s="179"/>
      <c r="AN323" s="179"/>
      <c r="AO323" s="179"/>
    </row>
    <row r="324" spans="1:41" x14ac:dyDescent="0.2">
      <c r="A324" s="14" t="s">
        <v>330</v>
      </c>
      <c r="C324" s="14" t="s">
        <v>196</v>
      </c>
      <c r="E324" s="89">
        <f t="shared" ref="E324:T324" si="73">SUM(E319:E323)</f>
        <v>153746001.07999998</v>
      </c>
      <c r="F324" s="89">
        <f t="shared" si="73"/>
        <v>104922475.53357138</v>
      </c>
      <c r="G324" s="89">
        <f t="shared" si="73"/>
        <v>44320.571209236492</v>
      </c>
      <c r="H324" s="89">
        <f t="shared" si="73"/>
        <v>108077.85983298026</v>
      </c>
      <c r="I324" s="89">
        <f t="shared" si="73"/>
        <v>8658019.8517869245</v>
      </c>
      <c r="J324" s="89">
        <f t="shared" si="73"/>
        <v>197405.77144215119</v>
      </c>
      <c r="K324" s="89">
        <f t="shared" si="73"/>
        <v>3381206.6286068964</v>
      </c>
      <c r="L324" s="89">
        <f t="shared" si="73"/>
        <v>10420894.513629608</v>
      </c>
      <c r="M324" s="89">
        <f t="shared" si="73"/>
        <v>5390014.0090387855</v>
      </c>
      <c r="N324" s="89">
        <f t="shared" si="73"/>
        <v>10528695.858836286</v>
      </c>
      <c r="O324" s="89">
        <f t="shared" si="73"/>
        <v>6202694.1723921634</v>
      </c>
      <c r="P324" s="89">
        <f t="shared" si="73"/>
        <v>3892196.3096535723</v>
      </c>
      <c r="Q324" s="89">
        <f t="shared" si="73"/>
        <v>0</v>
      </c>
      <c r="R324" s="89">
        <f t="shared" si="73"/>
        <v>0</v>
      </c>
      <c r="S324" s="89">
        <f t="shared" si="73"/>
        <v>0</v>
      </c>
      <c r="T324" s="89">
        <f t="shared" si="73"/>
        <v>0</v>
      </c>
      <c r="U324" s="89">
        <f t="shared" ref="U324:AF324" si="74">SUM(U319:U323)</f>
        <v>0</v>
      </c>
      <c r="V324" s="89">
        <f t="shared" si="74"/>
        <v>0</v>
      </c>
      <c r="W324" s="89">
        <f t="shared" si="74"/>
        <v>0</v>
      </c>
      <c r="X324" s="89">
        <f t="shared" si="74"/>
        <v>0</v>
      </c>
      <c r="Y324" s="89">
        <f t="shared" si="74"/>
        <v>0</v>
      </c>
      <c r="Z324" s="89">
        <f t="shared" si="74"/>
        <v>0</v>
      </c>
      <c r="AA324" s="89">
        <f t="shared" si="74"/>
        <v>0</v>
      </c>
      <c r="AB324" s="89">
        <f t="shared" si="74"/>
        <v>0</v>
      </c>
      <c r="AC324" s="89">
        <f t="shared" si="74"/>
        <v>0</v>
      </c>
      <c r="AD324" s="89">
        <f t="shared" si="74"/>
        <v>0</v>
      </c>
      <c r="AE324" s="89">
        <f t="shared" si="74"/>
        <v>0</v>
      </c>
      <c r="AF324" s="89">
        <f t="shared" si="74"/>
        <v>0</v>
      </c>
      <c r="AG324" s="89">
        <f>SUM(F324:AF324)</f>
        <v>153746001.07999998</v>
      </c>
      <c r="AH324" s="27" t="str">
        <f>IF(ABS(E324-AG324)&lt;0.01,"ok","err")</f>
        <v>ok</v>
      </c>
      <c r="AI324" s="67">
        <f t="shared" si="70"/>
        <v>3.5057913514343397E-2</v>
      </c>
      <c r="AJ324" s="179"/>
      <c r="AK324" s="179"/>
      <c r="AL324" s="179"/>
      <c r="AM324" s="179"/>
      <c r="AN324" s="179"/>
      <c r="AO324" s="179"/>
    </row>
    <row r="325" spans="1:41" x14ac:dyDescent="0.2">
      <c r="A325" s="92"/>
      <c r="AI325" s="67"/>
    </row>
    <row r="326" spans="1:41" x14ac:dyDescent="0.2">
      <c r="A326" s="14" t="s">
        <v>331</v>
      </c>
      <c r="C326" s="14" t="s">
        <v>181</v>
      </c>
      <c r="E326" s="89">
        <f>E316-E324</f>
        <v>3677139.2500000298</v>
      </c>
      <c r="F326" s="89">
        <f t="shared" ref="F326:R326" si="75">F316-F324</f>
        <v>1056456.8650657982</v>
      </c>
      <c r="G326" s="89">
        <f t="shared" si="75"/>
        <v>-3050.4826231531988</v>
      </c>
      <c r="H326" s="89">
        <f t="shared" si="75"/>
        <v>-82809.1273147311</v>
      </c>
      <c r="I326" s="89">
        <f t="shared" si="75"/>
        <v>3360959.7340503912</v>
      </c>
      <c r="J326" s="89">
        <f t="shared" si="75"/>
        <v>10867.924002273241</v>
      </c>
      <c r="K326" s="89">
        <f t="shared" si="75"/>
        <v>414800.95977285784</v>
      </c>
      <c r="L326" s="89">
        <f t="shared" si="75"/>
        <v>94981.276480542496</v>
      </c>
      <c r="M326" s="89">
        <f t="shared" si="75"/>
        <v>62116.396358777769</v>
      </c>
      <c r="N326" s="89">
        <f t="shared" si="75"/>
        <v>143948.82363916375</v>
      </c>
      <c r="O326" s="89">
        <f t="shared" si="75"/>
        <v>34463.116291644983</v>
      </c>
      <c r="P326" s="89">
        <f t="shared" si="75"/>
        <v>-1415596.2357235337</v>
      </c>
      <c r="Q326" s="89">
        <f>Q316-Q324</f>
        <v>0</v>
      </c>
      <c r="R326" s="89">
        <f t="shared" si="75"/>
        <v>0</v>
      </c>
      <c r="S326" s="89">
        <f>S316-S324</f>
        <v>0</v>
      </c>
      <c r="T326" s="89">
        <f>T316-T324</f>
        <v>0</v>
      </c>
      <c r="U326" s="89">
        <f t="shared" ref="U326:AF326" si="76">U316-U324</f>
        <v>0</v>
      </c>
      <c r="V326" s="89">
        <f t="shared" si="76"/>
        <v>0</v>
      </c>
      <c r="W326" s="89">
        <f t="shared" si="76"/>
        <v>0</v>
      </c>
      <c r="X326" s="89">
        <f t="shared" si="76"/>
        <v>0</v>
      </c>
      <c r="Y326" s="89">
        <f t="shared" si="76"/>
        <v>0</v>
      </c>
      <c r="Z326" s="89">
        <f t="shared" si="76"/>
        <v>0</v>
      </c>
      <c r="AA326" s="89">
        <f t="shared" si="76"/>
        <v>0</v>
      </c>
      <c r="AB326" s="89">
        <f t="shared" si="76"/>
        <v>0</v>
      </c>
      <c r="AC326" s="89">
        <f t="shared" si="76"/>
        <v>0</v>
      </c>
      <c r="AD326" s="89">
        <f t="shared" si="76"/>
        <v>0</v>
      </c>
      <c r="AE326" s="89">
        <f t="shared" si="76"/>
        <v>0</v>
      </c>
      <c r="AF326" s="89">
        <f t="shared" si="76"/>
        <v>0</v>
      </c>
      <c r="AG326" s="89">
        <f>SUM(F326:AF326)</f>
        <v>3677139.2500000317</v>
      </c>
      <c r="AH326" s="27" t="str">
        <f>IF(ABS(E326-AG326)&lt;0.01,"ok","err")</f>
        <v>ok</v>
      </c>
      <c r="AI326" s="67">
        <f t="shared" si="70"/>
        <v>1.6892587453351742E-2</v>
      </c>
    </row>
    <row r="327" spans="1:41" x14ac:dyDescent="0.2">
      <c r="AI327" s="67"/>
    </row>
    <row r="328" spans="1:41" x14ac:dyDescent="0.2">
      <c r="A328" s="13" t="s">
        <v>247</v>
      </c>
      <c r="E328" s="89">
        <f t="shared" ref="E328:AF328" si="77">E117</f>
        <v>208265098.57324994</v>
      </c>
      <c r="F328" s="89">
        <f t="shared" si="77"/>
        <v>163775065.45959878</v>
      </c>
      <c r="G328" s="89">
        <f t="shared" si="77"/>
        <v>176989.2809134546</v>
      </c>
      <c r="H328" s="89">
        <f t="shared" si="77"/>
        <v>573960.49943178694</v>
      </c>
      <c r="I328" s="89">
        <f t="shared" si="77"/>
        <v>8738557.185052475</v>
      </c>
      <c r="J328" s="89">
        <f t="shared" si="77"/>
        <v>624287.78641707217</v>
      </c>
      <c r="K328" s="89">
        <f t="shared" si="77"/>
        <v>1712865.479060913</v>
      </c>
      <c r="L328" s="89">
        <f t="shared" si="77"/>
        <v>4153973.1421757797</v>
      </c>
      <c r="M328" s="89">
        <f t="shared" si="77"/>
        <v>1845188.8151157945</v>
      </c>
      <c r="N328" s="89">
        <f t="shared" si="77"/>
        <v>3598813.3258976643</v>
      </c>
      <c r="O328" s="89">
        <f t="shared" si="77"/>
        <v>814.61920352687321</v>
      </c>
      <c r="P328" s="89">
        <f t="shared" si="77"/>
        <v>23064582.980382718</v>
      </c>
      <c r="Q328" s="89">
        <f t="shared" si="77"/>
        <v>0</v>
      </c>
      <c r="R328" s="89">
        <f t="shared" si="77"/>
        <v>0</v>
      </c>
      <c r="S328" s="89">
        <f t="shared" si="77"/>
        <v>0</v>
      </c>
      <c r="T328" s="89">
        <f t="shared" si="77"/>
        <v>0</v>
      </c>
      <c r="U328" s="89">
        <f t="shared" si="77"/>
        <v>0</v>
      </c>
      <c r="V328" s="89">
        <f t="shared" si="77"/>
        <v>0</v>
      </c>
      <c r="W328" s="89">
        <f t="shared" si="77"/>
        <v>0</v>
      </c>
      <c r="X328" s="89">
        <f t="shared" si="77"/>
        <v>0</v>
      </c>
      <c r="Y328" s="89">
        <f t="shared" si="77"/>
        <v>0</v>
      </c>
      <c r="Z328" s="89">
        <f t="shared" si="77"/>
        <v>0</v>
      </c>
      <c r="AA328" s="89">
        <f t="shared" si="77"/>
        <v>0</v>
      </c>
      <c r="AB328" s="89">
        <f t="shared" si="77"/>
        <v>0</v>
      </c>
      <c r="AC328" s="89">
        <f t="shared" si="77"/>
        <v>0</v>
      </c>
      <c r="AD328" s="89">
        <f t="shared" si="77"/>
        <v>0</v>
      </c>
      <c r="AE328" s="89">
        <f t="shared" si="77"/>
        <v>0</v>
      </c>
      <c r="AF328" s="89">
        <f t="shared" si="77"/>
        <v>0</v>
      </c>
      <c r="AG328" s="89">
        <f>SUM(F328:AF328)</f>
        <v>208265098.57324997</v>
      </c>
      <c r="AH328" s="27" t="str">
        <f>IF(ABS(E328-AG328)&lt;0.01,"ok","err")</f>
        <v>ok</v>
      </c>
      <c r="AI328" s="67">
        <f t="shared" si="70"/>
        <v>8.8598081375925505E-3</v>
      </c>
    </row>
    <row r="329" spans="1:41" ht="13.5" thickBot="1" x14ac:dyDescent="0.25"/>
    <row r="330" spans="1:41" s="13" customFormat="1" ht="13.5" thickBot="1" x14ac:dyDescent="0.25">
      <c r="A330" s="180" t="s">
        <v>332</v>
      </c>
      <c r="B330" s="181"/>
      <c r="C330" s="181"/>
      <c r="D330" s="181"/>
      <c r="E330" s="99">
        <f>E326/E328</f>
        <v>1.7656051230814967E-2</v>
      </c>
      <c r="F330" s="99">
        <f t="shared" ref="F330:R330" si="78">F326/F328</f>
        <v>6.4506575656134452E-3</v>
      </c>
      <c r="G330" s="99">
        <f t="shared" si="78"/>
        <v>-1.7235408875664309E-2</v>
      </c>
      <c r="H330" s="99">
        <f t="shared" si="78"/>
        <v>-0.14427670091706835</v>
      </c>
      <c r="I330" s="99">
        <f t="shared" si="78"/>
        <v>0.38461266120674914</v>
      </c>
      <c r="J330" s="99">
        <f t="shared" si="78"/>
        <v>1.7408516134276304E-2</v>
      </c>
      <c r="K330" s="99">
        <f t="shared" si="78"/>
        <v>0.24216785547004807</v>
      </c>
      <c r="L330" s="99">
        <f t="shared" si="78"/>
        <v>2.286516383945442E-2</v>
      </c>
      <c r="M330" s="99">
        <f t="shared" si="78"/>
        <v>3.3663978368999418E-2</v>
      </c>
      <c r="N330" s="99">
        <f t="shared" si="78"/>
        <v>3.9998969272255346E-2</v>
      </c>
      <c r="O330" s="99">
        <f t="shared" si="78"/>
        <v>42.305799006993446</v>
      </c>
      <c r="P330" s="99">
        <f t="shared" si="78"/>
        <v>-6.1375323235956646E-2</v>
      </c>
      <c r="Q330" s="99" t="e">
        <f>Q326/Q328</f>
        <v>#DIV/0!</v>
      </c>
      <c r="R330" s="99" t="e">
        <f t="shared" si="78"/>
        <v>#DIV/0!</v>
      </c>
      <c r="S330" s="99" t="e">
        <f>S326/S328</f>
        <v>#DIV/0!</v>
      </c>
      <c r="T330" s="99" t="e">
        <f>T326/T328</f>
        <v>#DIV/0!</v>
      </c>
      <c r="U330" s="99" t="e">
        <f t="shared" ref="U330:AG330" si="79">U326/U328</f>
        <v>#DIV/0!</v>
      </c>
      <c r="V330" s="99" t="e">
        <f t="shared" si="79"/>
        <v>#DIV/0!</v>
      </c>
      <c r="W330" s="99" t="e">
        <f t="shared" si="79"/>
        <v>#DIV/0!</v>
      </c>
      <c r="X330" s="99" t="e">
        <f t="shared" si="79"/>
        <v>#DIV/0!</v>
      </c>
      <c r="Y330" s="99" t="e">
        <f t="shared" si="79"/>
        <v>#DIV/0!</v>
      </c>
      <c r="Z330" s="99" t="e">
        <f t="shared" si="79"/>
        <v>#DIV/0!</v>
      </c>
      <c r="AA330" s="99" t="e">
        <f t="shared" si="79"/>
        <v>#DIV/0!</v>
      </c>
      <c r="AB330" s="99" t="e">
        <f t="shared" si="79"/>
        <v>#DIV/0!</v>
      </c>
      <c r="AC330" s="99" t="e">
        <f t="shared" si="79"/>
        <v>#DIV/0!</v>
      </c>
      <c r="AD330" s="99" t="e">
        <f t="shared" si="79"/>
        <v>#DIV/0!</v>
      </c>
      <c r="AE330" s="99" t="e">
        <f t="shared" si="79"/>
        <v>#DIV/0!</v>
      </c>
      <c r="AF330" s="99" t="e">
        <f t="shared" si="79"/>
        <v>#DIV/0!</v>
      </c>
      <c r="AG330" s="99">
        <f t="shared" si="79"/>
        <v>1.7656051230814974E-2</v>
      </c>
      <c r="AH330" s="27" t="str">
        <f>IF(ABS(E330-AG330)&lt;0.01,"ok","err")</f>
        <v>ok</v>
      </c>
      <c r="AK330" s="182"/>
    </row>
    <row r="331" spans="1:41" s="13" customFormat="1" x14ac:dyDescent="0.2">
      <c r="A331" s="13" t="s">
        <v>936</v>
      </c>
      <c r="E331" s="183">
        <f>E330/$E$330</f>
        <v>1</v>
      </c>
      <c r="F331" s="183">
        <f t="shared" ref="F331:AF331" si="80">F330/$E$330</f>
        <v>0.36535109018913375</v>
      </c>
      <c r="G331" s="183">
        <f t="shared" si="80"/>
        <v>-0.97617573999691876</v>
      </c>
      <c r="H331" s="183">
        <f t="shared" si="80"/>
        <v>-8.1715157614214071</v>
      </c>
      <c r="I331" s="183">
        <f t="shared" si="80"/>
        <v>21.783617196096923</v>
      </c>
      <c r="J331" s="183">
        <f t="shared" si="80"/>
        <v>0.9859801552848555</v>
      </c>
      <c r="K331" s="183">
        <f t="shared" si="80"/>
        <v>13.715855958063512</v>
      </c>
      <c r="L331" s="183">
        <f t="shared" si="80"/>
        <v>1.2950327080807305</v>
      </c>
      <c r="M331" s="183">
        <f t="shared" si="80"/>
        <v>1.9066538677825051</v>
      </c>
      <c r="N331" s="183">
        <f t="shared" si="80"/>
        <v>2.2654538520167784</v>
      </c>
      <c r="O331" s="183">
        <f t="shared" si="80"/>
        <v>2396.1076264412663</v>
      </c>
      <c r="P331" s="183">
        <f t="shared" si="80"/>
        <v>-3.4761636355494243</v>
      </c>
      <c r="Q331" s="183" t="e">
        <f t="shared" si="80"/>
        <v>#DIV/0!</v>
      </c>
      <c r="R331" s="183" t="e">
        <f t="shared" si="80"/>
        <v>#DIV/0!</v>
      </c>
      <c r="S331" s="183" t="e">
        <f t="shared" si="80"/>
        <v>#DIV/0!</v>
      </c>
      <c r="T331" s="183" t="e">
        <f t="shared" si="80"/>
        <v>#DIV/0!</v>
      </c>
      <c r="U331" s="183" t="e">
        <f t="shared" si="80"/>
        <v>#DIV/0!</v>
      </c>
      <c r="V331" s="183" t="e">
        <f t="shared" si="80"/>
        <v>#DIV/0!</v>
      </c>
      <c r="W331" s="183" t="e">
        <f t="shared" si="80"/>
        <v>#DIV/0!</v>
      </c>
      <c r="X331" s="183" t="e">
        <f t="shared" si="80"/>
        <v>#DIV/0!</v>
      </c>
      <c r="Y331" s="183" t="e">
        <f t="shared" si="80"/>
        <v>#DIV/0!</v>
      </c>
      <c r="Z331" s="183" t="e">
        <f t="shared" si="80"/>
        <v>#DIV/0!</v>
      </c>
      <c r="AA331" s="183" t="e">
        <f t="shared" si="80"/>
        <v>#DIV/0!</v>
      </c>
      <c r="AB331" s="183" t="e">
        <f t="shared" si="80"/>
        <v>#DIV/0!</v>
      </c>
      <c r="AC331" s="183" t="e">
        <f t="shared" si="80"/>
        <v>#DIV/0!</v>
      </c>
      <c r="AD331" s="183" t="e">
        <f t="shared" si="80"/>
        <v>#DIV/0!</v>
      </c>
      <c r="AE331" s="183" t="e">
        <f t="shared" si="80"/>
        <v>#DIV/0!</v>
      </c>
      <c r="AF331" s="183" t="e">
        <f t="shared" si="80"/>
        <v>#DIV/0!</v>
      </c>
      <c r="AG331" s="184"/>
      <c r="AH331" s="27"/>
      <c r="AK331" s="182"/>
    </row>
    <row r="334" spans="1:41" x14ac:dyDescent="0.2">
      <c r="A334" s="25" t="s">
        <v>862</v>
      </c>
    </row>
    <row r="336" spans="1:41" x14ac:dyDescent="0.2">
      <c r="A336" s="13" t="s">
        <v>321</v>
      </c>
    </row>
    <row r="338" spans="1:52" x14ac:dyDescent="0.2">
      <c r="A338" s="14" t="s">
        <v>567</v>
      </c>
      <c r="E338" s="89">
        <f t="shared" ref="E338:AF338" si="81">E316</f>
        <v>157423140.33000001</v>
      </c>
      <c r="F338" s="89">
        <f t="shared" si="81"/>
        <v>105978932.39863718</v>
      </c>
      <c r="G338" s="89">
        <f t="shared" si="81"/>
        <v>41270.088586083293</v>
      </c>
      <c r="H338" s="89">
        <f t="shared" si="81"/>
        <v>25268.732518249155</v>
      </c>
      <c r="I338" s="89">
        <f t="shared" si="81"/>
        <v>12018979.585837316</v>
      </c>
      <c r="J338" s="89">
        <f t="shared" si="81"/>
        <v>208273.69544442443</v>
      </c>
      <c r="K338" s="89">
        <f t="shared" si="81"/>
        <v>3796007.5883797542</v>
      </c>
      <c r="L338" s="89">
        <f t="shared" si="81"/>
        <v>10515875.79011015</v>
      </c>
      <c r="M338" s="89">
        <f t="shared" si="81"/>
        <v>5452130.4053975632</v>
      </c>
      <c r="N338" s="89">
        <f t="shared" si="81"/>
        <v>10672644.68247545</v>
      </c>
      <c r="O338" s="89">
        <f t="shared" si="81"/>
        <v>6237157.2886838084</v>
      </c>
      <c r="P338" s="89">
        <f t="shared" si="81"/>
        <v>2476600.0739300386</v>
      </c>
      <c r="Q338" s="89">
        <f t="shared" si="81"/>
        <v>0</v>
      </c>
      <c r="R338" s="89">
        <f t="shared" si="81"/>
        <v>0</v>
      </c>
      <c r="S338" s="89">
        <f t="shared" si="81"/>
        <v>0</v>
      </c>
      <c r="T338" s="89">
        <f t="shared" si="81"/>
        <v>0</v>
      </c>
      <c r="U338" s="89">
        <f t="shared" si="81"/>
        <v>0</v>
      </c>
      <c r="V338" s="89">
        <f t="shared" si="81"/>
        <v>0</v>
      </c>
      <c r="W338" s="89">
        <f t="shared" si="81"/>
        <v>0</v>
      </c>
      <c r="X338" s="89">
        <f t="shared" si="81"/>
        <v>0</v>
      </c>
      <c r="Y338" s="89">
        <f t="shared" si="81"/>
        <v>0</v>
      </c>
      <c r="Z338" s="89">
        <f t="shared" si="81"/>
        <v>0</v>
      </c>
      <c r="AA338" s="89">
        <f t="shared" si="81"/>
        <v>0</v>
      </c>
      <c r="AB338" s="89">
        <f t="shared" si="81"/>
        <v>0</v>
      </c>
      <c r="AC338" s="89">
        <f t="shared" si="81"/>
        <v>0</v>
      </c>
      <c r="AD338" s="89">
        <f t="shared" si="81"/>
        <v>0</v>
      </c>
      <c r="AE338" s="89">
        <f t="shared" si="81"/>
        <v>0</v>
      </c>
      <c r="AF338" s="89">
        <f t="shared" si="81"/>
        <v>0</v>
      </c>
      <c r="AG338" s="89">
        <f>SUM(F338:AF338)</f>
        <v>157423140.32999998</v>
      </c>
      <c r="AH338" s="27" t="str">
        <f>IF(ABS(E338-AG338)&lt;0.01,"ok","err")</f>
        <v>ok</v>
      </c>
    </row>
    <row r="339" spans="1:52" x14ac:dyDescent="0.2"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27"/>
    </row>
    <row r="340" spans="1:52" x14ac:dyDescent="0.2">
      <c r="A340" s="14" t="s">
        <v>568</v>
      </c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27"/>
      <c r="AK340" s="164" t="s">
        <v>1049</v>
      </c>
      <c r="AL340" s="185"/>
    </row>
    <row r="341" spans="1:52" s="274" customFormat="1" x14ac:dyDescent="0.2">
      <c r="A341" s="275">
        <v>1.01</v>
      </c>
      <c r="B341" s="274" t="s">
        <v>948</v>
      </c>
      <c r="C341" s="274" t="s">
        <v>948</v>
      </c>
      <c r="E341" s="276">
        <f>$AK341*AP341</f>
        <v>0</v>
      </c>
      <c r="F341" s="276">
        <f t="shared" ref="F341" si="82">$AK341*AQ341</f>
        <v>0</v>
      </c>
      <c r="G341" s="276">
        <f t="shared" ref="G341" si="83">$AK341*AR341</f>
        <v>0</v>
      </c>
      <c r="H341" s="276">
        <f t="shared" ref="H341" si="84">$AK341*AS341</f>
        <v>0</v>
      </c>
      <c r="I341" s="276">
        <f t="shared" ref="I341" si="85">$AK341*AT341</f>
        <v>0</v>
      </c>
      <c r="J341" s="276">
        <f t="shared" ref="J341" si="86">$AK341*AU341</f>
        <v>0</v>
      </c>
      <c r="K341" s="276">
        <f t="shared" ref="K341" si="87">$AK341*AV341</f>
        <v>0</v>
      </c>
      <c r="L341" s="276">
        <f t="shared" ref="L341" si="88">$AK341*AW341</f>
        <v>0</v>
      </c>
      <c r="M341" s="276">
        <f t="shared" ref="M341" si="89">$AK341*AX341</f>
        <v>0</v>
      </c>
      <c r="N341" s="276">
        <f t="shared" ref="N341" si="90">$AK341*AY341</f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276">
        <f t="shared" ref="AG341" si="91">SUM(F341:AF341)</f>
        <v>0</v>
      </c>
      <c r="AH341" s="275" t="str">
        <f t="shared" ref="AH341:AH345" si="92">IF(ABS(E341-AG341)&lt;0.01,"ok","err")</f>
        <v>ok</v>
      </c>
      <c r="AK341" s="49">
        <v>1</v>
      </c>
      <c r="AP341" s="49">
        <v>0</v>
      </c>
      <c r="AQ341" s="274">
        <v>0</v>
      </c>
      <c r="AR341" s="274">
        <v>0</v>
      </c>
      <c r="AS341" s="274">
        <v>0</v>
      </c>
      <c r="AT341" s="274">
        <v>0</v>
      </c>
      <c r="AU341" s="274">
        <v>0</v>
      </c>
      <c r="AV341" s="274">
        <v>0</v>
      </c>
      <c r="AW341" s="274">
        <v>0</v>
      </c>
      <c r="AX341" s="274">
        <v>0</v>
      </c>
      <c r="AY341" s="274">
        <v>0</v>
      </c>
      <c r="AZ341" s="274">
        <v>0</v>
      </c>
    </row>
    <row r="342" spans="1:52" s="274" customFormat="1" x14ac:dyDescent="0.2">
      <c r="A342" s="275">
        <v>1.02</v>
      </c>
      <c r="B342" s="274" t="s">
        <v>949</v>
      </c>
      <c r="C342" s="274" t="s">
        <v>949</v>
      </c>
      <c r="E342" s="276">
        <f>$AK342*AP342</f>
        <v>0</v>
      </c>
      <c r="F342" s="276">
        <f t="shared" ref="F342:N343" si="93">$AK342*AQ342</f>
        <v>0</v>
      </c>
      <c r="G342" s="276">
        <f t="shared" si="93"/>
        <v>0</v>
      </c>
      <c r="H342" s="276">
        <f t="shared" si="93"/>
        <v>0</v>
      </c>
      <c r="I342" s="276">
        <f t="shared" si="93"/>
        <v>0</v>
      </c>
      <c r="J342" s="276">
        <f t="shared" si="93"/>
        <v>0</v>
      </c>
      <c r="K342" s="276">
        <f t="shared" si="93"/>
        <v>0</v>
      </c>
      <c r="L342" s="276">
        <f t="shared" si="93"/>
        <v>0</v>
      </c>
      <c r="M342" s="276">
        <f t="shared" si="93"/>
        <v>0</v>
      </c>
      <c r="N342" s="276">
        <f t="shared" si="93"/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276">
        <f t="shared" ref="AG342" si="94">SUM(F342:AF342)</f>
        <v>0</v>
      </c>
      <c r="AH342" s="275" t="str">
        <f t="shared" si="92"/>
        <v>ok</v>
      </c>
      <c r="AK342" s="49">
        <f>AK341</f>
        <v>1</v>
      </c>
      <c r="AP342" s="49">
        <v>0</v>
      </c>
      <c r="AQ342" s="274">
        <v>0</v>
      </c>
      <c r="AR342" s="274">
        <v>0</v>
      </c>
      <c r="AS342" s="274">
        <v>0</v>
      </c>
      <c r="AT342" s="274">
        <v>0</v>
      </c>
      <c r="AU342" s="274">
        <v>0</v>
      </c>
      <c r="AV342" s="274">
        <v>0</v>
      </c>
      <c r="AW342" s="274">
        <v>0</v>
      </c>
      <c r="AX342" s="274">
        <v>0</v>
      </c>
      <c r="AY342" s="274">
        <v>0</v>
      </c>
    </row>
    <row r="343" spans="1:52" s="274" customFormat="1" x14ac:dyDescent="0.2">
      <c r="A343" s="275">
        <v>1.0900000000000001</v>
      </c>
      <c r="B343" s="274" t="s">
        <v>1009</v>
      </c>
      <c r="C343" s="274" t="s">
        <v>950</v>
      </c>
      <c r="E343" s="276">
        <f>$AK343*AP343</f>
        <v>1156970.4201261536</v>
      </c>
      <c r="F343" s="276">
        <f t="shared" si="93"/>
        <v>631139.04139429121</v>
      </c>
      <c r="G343" s="276">
        <f t="shared" si="93"/>
        <v>-129.06234918381978</v>
      </c>
      <c r="H343" s="276">
        <f t="shared" si="93"/>
        <v>0</v>
      </c>
      <c r="I343" s="276">
        <f t="shared" si="93"/>
        <v>94651.398107886125</v>
      </c>
      <c r="J343" s="276">
        <f t="shared" si="93"/>
        <v>1214.7878767123375</v>
      </c>
      <c r="K343" s="276">
        <f t="shared" si="93"/>
        <v>46211.34004026834</v>
      </c>
      <c r="L343" s="276">
        <f t="shared" si="93"/>
        <v>383882.91505617945</v>
      </c>
      <c r="M343" s="276">
        <f t="shared" si="93"/>
        <v>0</v>
      </c>
      <c r="N343" s="276">
        <f t="shared" si="93"/>
        <v>0</v>
      </c>
      <c r="O343" s="276">
        <f t="shared" ref="O343:P343" si="95">$AK343*AZ343</f>
        <v>0</v>
      </c>
      <c r="P343" s="276">
        <f t="shared" si="95"/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276">
        <f>SUM(F343:AF343)</f>
        <v>1156970.4201261536</v>
      </c>
      <c r="AH343" s="275" t="str">
        <f>IF(ABS(E343-AG343)&lt;0.01,"ok","err")</f>
        <v>ok</v>
      </c>
      <c r="AK343" s="49">
        <f>AK346</f>
        <v>1</v>
      </c>
      <c r="AP343" s="49">
        <v>1156970.4201261536</v>
      </c>
      <c r="AQ343" s="274">
        <v>631139.04139429121</v>
      </c>
      <c r="AR343" s="274">
        <v>-129.06234918381978</v>
      </c>
      <c r="AS343" s="274">
        <v>0</v>
      </c>
      <c r="AT343" s="274">
        <v>94651.398107886125</v>
      </c>
      <c r="AU343" s="274">
        <v>1214.7878767123375</v>
      </c>
      <c r="AV343" s="274">
        <v>46211.34004026834</v>
      </c>
      <c r="AW343" s="274">
        <v>383882.91505617945</v>
      </c>
      <c r="AX343" s="274">
        <v>0</v>
      </c>
      <c r="AY343" s="274">
        <v>0</v>
      </c>
      <c r="AZ343" s="274">
        <v>0</v>
      </c>
    </row>
    <row r="344" spans="1:52" s="274" customFormat="1" x14ac:dyDescent="0.2">
      <c r="A344" s="275">
        <v>4</v>
      </c>
      <c r="B344" s="274" t="s">
        <v>1011</v>
      </c>
      <c r="E344" s="276">
        <f>$AK344*AP344</f>
        <v>0</v>
      </c>
      <c r="F344" s="276">
        <f t="shared" ref="F344" si="96">$AK344*AQ344</f>
        <v>0</v>
      </c>
      <c r="G344" s="276">
        <f t="shared" ref="G344" si="97">$AK344*AR344</f>
        <v>0</v>
      </c>
      <c r="H344" s="276">
        <f t="shared" ref="H344" si="98">$AK344*AS344</f>
        <v>0</v>
      </c>
      <c r="I344" s="276">
        <f t="shared" ref="I344" si="99">$AK344*AT344</f>
        <v>0</v>
      </c>
      <c r="J344" s="276">
        <f t="shared" ref="J344" si="100">$AK344*AU344</f>
        <v>0</v>
      </c>
      <c r="K344" s="276">
        <f t="shared" ref="K344" si="101">$AK344*AV344</f>
        <v>0</v>
      </c>
      <c r="L344" s="276">
        <f t="shared" ref="L344" si="102">$AK344*AW344</f>
        <v>0</v>
      </c>
      <c r="M344" s="276">
        <f t="shared" ref="M344" si="103">$AK344*AX344</f>
        <v>0</v>
      </c>
      <c r="N344" s="276">
        <f t="shared" ref="N344" si="104">$AK344*AY344</f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276">
        <f t="shared" ref="AG344" si="105">SUM(F344:AF344)</f>
        <v>0</v>
      </c>
      <c r="AH344" s="275" t="str">
        <f t="shared" ref="AH344" si="106">IF(ABS(E344-AG344)&lt;0.01,"ok","err")</f>
        <v>ok</v>
      </c>
      <c r="AK344" s="49">
        <f>AK342</f>
        <v>1</v>
      </c>
      <c r="AP344" s="274">
        <v>0</v>
      </c>
      <c r="AQ344" s="274">
        <v>0</v>
      </c>
      <c r="AR344" s="274">
        <v>0</v>
      </c>
      <c r="AS344" s="274">
        <v>0</v>
      </c>
      <c r="AT344" s="274">
        <v>0</v>
      </c>
      <c r="AU344" s="274">
        <v>0</v>
      </c>
      <c r="AV344" s="274">
        <v>0</v>
      </c>
      <c r="AW344" s="274">
        <v>0</v>
      </c>
      <c r="AX344" s="274">
        <v>0</v>
      </c>
    </row>
    <row r="345" spans="1:52" s="274" customFormat="1" x14ac:dyDescent="0.2">
      <c r="A345" s="275">
        <v>5</v>
      </c>
      <c r="B345" s="274" t="s">
        <v>1012</v>
      </c>
      <c r="D345" s="274" t="s">
        <v>560</v>
      </c>
      <c r="E345" s="276">
        <v>0</v>
      </c>
      <c r="F345" s="66">
        <f>IF(VLOOKUP($D345,$C$5:$AU$511,3,)=0,0,(VLOOKUP($D345,$C$5:$AU$511,4,)/VLOOKUP($D345,$C$5:$AU$511,3,))*$E345)</f>
        <v>0</v>
      </c>
      <c r="G345" s="66">
        <f>IF(VLOOKUP($D345,$C$5:$AU$511,3,)=0,0,(VLOOKUP($D345,$C$5:$AU$511,5,)/VLOOKUP($D345,$C$5:$AU$511,3,))*$E345)</f>
        <v>0</v>
      </c>
      <c r="H345" s="66">
        <f>IF(VLOOKUP($D345,$C$5:$AU$511,3,)=0,0,(VLOOKUP($D345,$C$5:$AU$511,6,)/VLOOKUP($D345,$C$5:$AU$511,3,))*$E345)</f>
        <v>0</v>
      </c>
      <c r="I345" s="66">
        <f>IF(VLOOKUP($D345,$C$5:$AU$511,3,)=0,0,(VLOOKUP($D345,$C$5:$AU$511,7,)/VLOOKUP($D345,$C$5:$AU$511,3,))*$E345)</f>
        <v>0</v>
      </c>
      <c r="J345" s="66">
        <f>IF(VLOOKUP($D345,$C$5:$AU$511,3,)=0,0,(VLOOKUP($D345,$C$5:$AU$511,8,)/VLOOKUP($D345,$C$5:$AU$511,3,))*$E345)</f>
        <v>0</v>
      </c>
      <c r="K345" s="66">
        <f>IF(VLOOKUP($D345,$C$5:$AU$511,3,)=0,0,(VLOOKUP($D345,$C$5:$AU$511,9,)/VLOOKUP($D345,$C$5:$AU$511,3,))*$E345)</f>
        <v>0</v>
      </c>
      <c r="L345" s="66">
        <f>IF(VLOOKUP($D345,$C$5:$AU$511,3,)=0,0,(VLOOKUP($D345,$C$5:$AU$511,10,)/VLOOKUP($D345,$C$5:$AU$511,3,))*$E345)</f>
        <v>0</v>
      </c>
      <c r="M345" s="66">
        <f>IF(VLOOKUP($D345,$C$5:$AU$511,3,)=0,0,(VLOOKUP($D345,$C$5:$AU$511,11,)/VLOOKUP($D345,$C$5:$AU$511,3,))*$E345)</f>
        <v>0</v>
      </c>
      <c r="N345" s="66">
        <f>IF(VLOOKUP($D345,$C$5:$AU$511,3,)=0,0,(VLOOKUP($D345,$C$5:$AU$511,12,)/VLOOKUP($D345,$C$5:$AU$511,3,))*$E345)</f>
        <v>0</v>
      </c>
      <c r="O345" s="66">
        <f>IF(VLOOKUP($D345,$C$5:$AU$511,3,)=0,0,(VLOOKUP($D345,$C$5:$AU$511,13,)/VLOOKUP($D345,$C$5:$AU$511,3,))*$E345)</f>
        <v>0</v>
      </c>
      <c r="P345" s="66">
        <f>IF(VLOOKUP($D345,$C$5:$AU$511,3,)=0,0,(VLOOKUP($D345,$C$5:$AU$511,14,)/VLOOKUP($D345,$C$5:$AU$511,3,))*$E345)</f>
        <v>0</v>
      </c>
      <c r="Q345" s="66">
        <f>IF(VLOOKUP($D345,$C$5:$AU$511,3,)=0,0,(VLOOKUP($D345,$C$5:$AU$511,15,)/VLOOKUP($D345,$C$5:$AU$511,3,))*$E345)</f>
        <v>0</v>
      </c>
      <c r="R345" s="66">
        <f>IF(VLOOKUP($D345,$C$5:$AU$511,3,)=0,0,(VLOOKUP($D345,$C$5:$AU$511,16,)/VLOOKUP($D345,$C$5:$AU$511,3,))*$E345)</f>
        <v>0</v>
      </c>
      <c r="S345" s="66">
        <f>IF(VLOOKUP($D345,$C$5:$AU$511,3,)=0,0,(VLOOKUP($D345,$C$5:$AU$511,17,)/VLOOKUP($D345,$C$5:$AU$511,3,))*$E345)</f>
        <v>0</v>
      </c>
      <c r="T345" s="66">
        <f>IF(VLOOKUP($D345,$C$5:$AU$511,3,)=0,0,(VLOOKUP($D345,$C$5:$AU$511,18,)/VLOOKUP($D345,$C$5:$AU$511,3,))*$E345)</f>
        <v>0</v>
      </c>
      <c r="U345" s="66">
        <f>IF(VLOOKUP($D345,$C$5:$AU$511,3,)=0,0,(VLOOKUP($D345,$C$5:$AU$511,19,)/VLOOKUP($D345,$C$5:$AU$511,3,))*$E345)</f>
        <v>0</v>
      </c>
      <c r="V345" s="66">
        <f>IF(VLOOKUP($D345,$C$5:$AU$511,3,)=0,0,(VLOOKUP($D345,$C$5:$AU$511,20,)/VLOOKUP($D345,$C$5:$AU$511,3,))*$E345)</f>
        <v>0</v>
      </c>
      <c r="W345" s="66">
        <f>IF(VLOOKUP($D345,$C$5:$AU$511,3,)=0,0,(VLOOKUP($D345,$C$5:$AU$511,21,)/VLOOKUP($D345,$C$5:$AU$511,3,))*$E345)</f>
        <v>0</v>
      </c>
      <c r="X345" s="66">
        <f>IF(VLOOKUP($D345,$C$5:$AU$511,3,)=0,0,(VLOOKUP($D345,$C$5:$AU$511,22,)/VLOOKUP($D345,$C$5:$AU$511,3,))*$E345)</f>
        <v>0</v>
      </c>
      <c r="Y345" s="66">
        <f>IF(VLOOKUP($D345,$C$5:$AU$511,3,)=0,0,(VLOOKUP($D345,$C$5:$AU$511,23,)/VLOOKUP($D345,$C$5:$AU$511,3,))*$E345)</f>
        <v>0</v>
      </c>
      <c r="Z345" s="66">
        <f>IF(VLOOKUP($D345,$C$5:$AU$511,3,)=0,0,(VLOOKUP($D345,$C$5:$AU$511,24,)/VLOOKUP($D345,$C$5:$AU$511,3,))*$E345)</f>
        <v>0</v>
      </c>
      <c r="AA345" s="66">
        <f>IF(VLOOKUP($D345,$C$5:$AU$511,3,)=0,0,(VLOOKUP($D345,$C$5:$AU$511,25,)/VLOOKUP($D345,$C$5:$AU$511,3,))*$E345)</f>
        <v>0</v>
      </c>
      <c r="AB345" s="66">
        <f>IF(VLOOKUP($D345,$C$5:$AU$511,3,)=0,0,(VLOOKUP($D345,$C$5:$AU$511,26,)/VLOOKUP($D345,$C$5:$AU$511,3,))*$E345)</f>
        <v>0</v>
      </c>
      <c r="AC345" s="66">
        <f>IF(VLOOKUP($D345,$C$5:$AU$511,3,)=0,0,(VLOOKUP($D345,$C$5:$AU$511,27,)/VLOOKUP($D345,$C$5:$AU$511,3,))*$E345)</f>
        <v>0</v>
      </c>
      <c r="AD345" s="66">
        <f>IF(VLOOKUP($D345,$C$5:$AU$511,3,)=0,0,(VLOOKUP($D345,$C$5:$AU$511,28,)/VLOOKUP($D345,$C$5:$AU$511,3,))*$E345)</f>
        <v>0</v>
      </c>
      <c r="AE345" s="66">
        <f>IF(VLOOKUP($D345,$C$5:$AU$511,3,)=0,0,(VLOOKUP($D345,$C$5:$AU$511,29,)/VLOOKUP($D345,$C$5:$AU$511,3,))*$E345)</f>
        <v>0</v>
      </c>
      <c r="AF345" s="66">
        <f>IF(VLOOKUP($D345,$C$5:$AU$511,3,)=0,0,(VLOOKUP($D345,$C$5:$AU$511,30,)/VLOOKUP($D345,$C$5:$AU$511,3,))*$E345)</f>
        <v>0</v>
      </c>
      <c r="AG345" s="276">
        <f t="shared" ref="AG345" si="107">SUM(F345:AF345)</f>
        <v>0</v>
      </c>
      <c r="AH345" s="275" t="str">
        <f t="shared" si="92"/>
        <v>ok</v>
      </c>
      <c r="AK345" s="49">
        <f t="shared" ref="AK345:AK346" si="108">AK344</f>
        <v>1</v>
      </c>
    </row>
    <row r="346" spans="1:52" s="274" customFormat="1" x14ac:dyDescent="0.2">
      <c r="A346" s="275">
        <v>6</v>
      </c>
      <c r="B346" s="274" t="s">
        <v>1012</v>
      </c>
      <c r="D346" s="274" t="s">
        <v>560</v>
      </c>
      <c r="E346" s="276">
        <v>0</v>
      </c>
      <c r="F346" s="276">
        <v>0</v>
      </c>
      <c r="G346" s="276">
        <v>0</v>
      </c>
      <c r="H346" s="276">
        <v>0</v>
      </c>
      <c r="I346" s="276">
        <v>0</v>
      </c>
      <c r="J346" s="276">
        <v>0</v>
      </c>
      <c r="K346" s="27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0</v>
      </c>
      <c r="AE346" s="66">
        <v>0</v>
      </c>
      <c r="AF346" s="66">
        <v>0</v>
      </c>
      <c r="AG346" s="276">
        <f t="shared" ref="AG346:AG348" si="109">SUM(F346:AF346)</f>
        <v>0</v>
      </c>
      <c r="AH346" s="275" t="str">
        <f t="shared" ref="AH346:AH349" si="110">IF(ABS(E346-AG346)&lt;0.01,"ok","err")</f>
        <v>ok</v>
      </c>
      <c r="AK346" s="49">
        <f t="shared" si="108"/>
        <v>1</v>
      </c>
      <c r="AP346" s="274" t="s">
        <v>1051</v>
      </c>
    </row>
    <row r="347" spans="1:52" s="274" customFormat="1" x14ac:dyDescent="0.2">
      <c r="A347" s="275">
        <v>7</v>
      </c>
      <c r="B347" s="274" t="s">
        <v>1012</v>
      </c>
      <c r="D347" s="274" t="s">
        <v>560</v>
      </c>
      <c r="E347" s="276">
        <v>0</v>
      </c>
      <c r="F347" s="66">
        <f>IF(VLOOKUP($D347,$C$5:$AU$511,3,)=0,0,(VLOOKUP($D347,$C$5:$AU$511,4,)/VLOOKUP($D347,$C$5:$AU$511,3,))*$E347)</f>
        <v>0</v>
      </c>
      <c r="G347" s="66">
        <f>IF(VLOOKUP($D347,$C$5:$AU$511,3,)=0,0,(VLOOKUP($D347,$C$5:$AU$511,5,)/VLOOKUP($D347,$C$5:$AU$511,3,))*$E347)</f>
        <v>0</v>
      </c>
      <c r="H347" s="66">
        <f>IF(VLOOKUP($D347,$C$5:$AU$511,3,)=0,0,(VLOOKUP($D347,$C$5:$AU$511,6,)/VLOOKUP($D347,$C$5:$AU$511,3,))*$E347)</f>
        <v>0</v>
      </c>
      <c r="I347" s="66">
        <f>IF(VLOOKUP($D347,$C$5:$AU$511,3,)=0,0,(VLOOKUP($D347,$C$5:$AU$511,7,)/VLOOKUP($D347,$C$5:$AU$511,3,))*$E347)</f>
        <v>0</v>
      </c>
      <c r="J347" s="66">
        <f>IF(VLOOKUP($D347,$C$5:$AU$511,3,)=0,0,(VLOOKUP($D347,$C$5:$AU$511,8,)/VLOOKUP($D347,$C$5:$AU$511,3,))*$E347)</f>
        <v>0</v>
      </c>
      <c r="K347" s="66">
        <f>IF(VLOOKUP($D347,$C$5:$AU$511,3,)=0,0,(VLOOKUP($D347,$C$5:$AU$511,9,)/VLOOKUP($D347,$C$5:$AU$511,3,))*$E347)</f>
        <v>0</v>
      </c>
      <c r="L347" s="66">
        <f>IF(VLOOKUP($D347,$C$5:$AU$511,3,)=0,0,(VLOOKUP($D347,$C$5:$AU$511,10,)/VLOOKUP($D347,$C$5:$AU$511,3,))*$E347)</f>
        <v>0</v>
      </c>
      <c r="M347" s="66">
        <f>IF(VLOOKUP($D347,$C$5:$AU$511,3,)=0,0,(VLOOKUP($D347,$C$5:$AU$511,11,)/VLOOKUP($D347,$C$5:$AU$511,3,))*$E347)</f>
        <v>0</v>
      </c>
      <c r="N347" s="66">
        <f>IF(VLOOKUP($D347,$C$5:$AU$511,3,)=0,0,(VLOOKUP($D347,$C$5:$AU$511,12,)/VLOOKUP($D347,$C$5:$AU$511,3,))*$E347)</f>
        <v>0</v>
      </c>
      <c r="O347" s="66">
        <f>IF(VLOOKUP($D347,$C$5:$AU$511,3,)=0,0,(VLOOKUP($D347,$C$5:$AU$511,13,)/VLOOKUP($D347,$C$5:$AU$511,3,))*$E347)</f>
        <v>0</v>
      </c>
      <c r="P347" s="66">
        <f>IF(VLOOKUP($D347,$C$5:$AU$511,3,)=0,0,(VLOOKUP($D347,$C$5:$AU$511,14,)/VLOOKUP($D347,$C$5:$AU$511,3,))*$E347)</f>
        <v>0</v>
      </c>
      <c r="Q347" s="66">
        <f>IF(VLOOKUP($D347,$C$5:$AU$511,3,)=0,0,(VLOOKUP($D347,$C$5:$AU$511,15,)/VLOOKUP($D347,$C$5:$AU$511,3,))*$E347)</f>
        <v>0</v>
      </c>
      <c r="R347" s="66">
        <f>IF(VLOOKUP($D347,$C$5:$AU$511,3,)=0,0,(VLOOKUP($D347,$C$5:$AU$511,16,)/VLOOKUP($D347,$C$5:$AU$511,3,))*$E347)</f>
        <v>0</v>
      </c>
      <c r="S347" s="66">
        <f>IF(VLOOKUP($D347,$C$5:$AU$511,3,)=0,0,(VLOOKUP($D347,$C$5:$AU$511,17,)/VLOOKUP($D347,$C$5:$AU$511,3,))*$E347)</f>
        <v>0</v>
      </c>
      <c r="T347" s="66">
        <f>IF(VLOOKUP($D347,$C$5:$AU$511,3,)=0,0,(VLOOKUP($D347,$C$5:$AU$511,18,)/VLOOKUP($D347,$C$5:$AU$511,3,))*$E347)</f>
        <v>0</v>
      </c>
      <c r="U347" s="66">
        <f>IF(VLOOKUP($D347,$C$5:$AU$511,3,)=0,0,(VLOOKUP($D347,$C$5:$AU$511,19,)/VLOOKUP($D347,$C$5:$AU$511,3,))*$E347)</f>
        <v>0</v>
      </c>
      <c r="V347" s="66">
        <f>IF(VLOOKUP($D347,$C$5:$AU$511,3,)=0,0,(VLOOKUP($D347,$C$5:$AU$511,20,)/VLOOKUP($D347,$C$5:$AU$511,3,))*$E347)</f>
        <v>0</v>
      </c>
      <c r="W347" s="66">
        <f>IF(VLOOKUP($D347,$C$5:$AU$511,3,)=0,0,(VLOOKUP($D347,$C$5:$AU$511,21,)/VLOOKUP($D347,$C$5:$AU$511,3,))*$E347)</f>
        <v>0</v>
      </c>
      <c r="X347" s="66">
        <f>IF(VLOOKUP($D347,$C$5:$AU$511,3,)=0,0,(VLOOKUP($D347,$C$5:$AU$511,22,)/VLOOKUP($D347,$C$5:$AU$511,3,))*$E347)</f>
        <v>0</v>
      </c>
      <c r="Y347" s="66">
        <f>IF(VLOOKUP($D347,$C$5:$AU$511,3,)=0,0,(VLOOKUP($D347,$C$5:$AU$511,23,)/VLOOKUP($D347,$C$5:$AU$511,3,))*$E347)</f>
        <v>0</v>
      </c>
      <c r="Z347" s="66">
        <f>IF(VLOOKUP($D347,$C$5:$AU$511,3,)=0,0,(VLOOKUP($D347,$C$5:$AU$511,24,)/VLOOKUP($D347,$C$5:$AU$511,3,))*$E347)</f>
        <v>0</v>
      </c>
      <c r="AA347" s="66">
        <f>IF(VLOOKUP($D347,$C$5:$AU$511,3,)=0,0,(VLOOKUP($D347,$C$5:$AU$511,25,)/VLOOKUP($D347,$C$5:$AU$511,3,))*$E347)</f>
        <v>0</v>
      </c>
      <c r="AB347" s="66">
        <f>IF(VLOOKUP($D347,$C$5:$AU$511,3,)=0,0,(VLOOKUP($D347,$C$5:$AU$511,26,)/VLOOKUP($D347,$C$5:$AU$511,3,))*$E347)</f>
        <v>0</v>
      </c>
      <c r="AC347" s="66">
        <f>IF(VLOOKUP($D347,$C$5:$AU$511,3,)=0,0,(VLOOKUP($D347,$C$5:$AU$511,27,)/VLOOKUP($D347,$C$5:$AU$511,3,))*$E347)</f>
        <v>0</v>
      </c>
      <c r="AD347" s="66">
        <f>IF(VLOOKUP($D347,$C$5:$AU$511,3,)=0,0,(VLOOKUP($D347,$C$5:$AU$511,28,)/VLOOKUP($D347,$C$5:$AU$511,3,))*$E347)</f>
        <v>0</v>
      </c>
      <c r="AE347" s="66">
        <f>IF(VLOOKUP($D347,$C$5:$AU$511,3,)=0,0,(VLOOKUP($D347,$C$5:$AU$511,29,)/VLOOKUP($D347,$C$5:$AU$511,3,))*$E347)</f>
        <v>0</v>
      </c>
      <c r="AF347" s="66">
        <f>IF(VLOOKUP($D347,$C$5:$AU$511,3,)=0,0,(VLOOKUP($D347,$C$5:$AU$511,30,)/VLOOKUP($D347,$C$5:$AU$511,3,))*$E347)</f>
        <v>0</v>
      </c>
      <c r="AG347" s="276">
        <f t="shared" si="109"/>
        <v>0</v>
      </c>
      <c r="AH347" s="275" t="str">
        <f t="shared" si="110"/>
        <v>ok</v>
      </c>
      <c r="AK347" s="49">
        <f>AK343</f>
        <v>1</v>
      </c>
      <c r="AP347" s="277">
        <v>2930371.7002661675</v>
      </c>
      <c r="AQ347" s="274">
        <f>SUM(AP347:AP357)</f>
        <v>3186465.7937661675</v>
      </c>
    </row>
    <row r="348" spans="1:52" s="274" customFormat="1" x14ac:dyDescent="0.2">
      <c r="A348" s="275"/>
      <c r="B348" s="274" t="s">
        <v>1032</v>
      </c>
      <c r="E348" s="276">
        <f>AQ347*AK348</f>
        <v>0</v>
      </c>
      <c r="F348" s="276">
        <f>AP347*AK348</f>
        <v>0</v>
      </c>
      <c r="G348" s="276">
        <f>AP348*AK348</f>
        <v>0</v>
      </c>
      <c r="H348" s="276">
        <f>AP349*AK348</f>
        <v>0</v>
      </c>
      <c r="I348" s="276">
        <f>AP350*AK348</f>
        <v>0</v>
      </c>
      <c r="J348" s="276">
        <f>AP351*AK348</f>
        <v>0</v>
      </c>
      <c r="K348" s="276">
        <f>AP352*AK348</f>
        <v>0</v>
      </c>
      <c r="L348" s="66">
        <f>AP353*AK348</f>
        <v>0</v>
      </c>
      <c r="M348" s="66">
        <f>AP354*AK348</f>
        <v>0</v>
      </c>
      <c r="N348" s="66">
        <f>AP355*AK348</f>
        <v>0</v>
      </c>
      <c r="O348" s="66">
        <f>AP356*AK348</f>
        <v>0</v>
      </c>
      <c r="P348" s="66">
        <f>AP357*AK348</f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278">
        <f t="shared" si="109"/>
        <v>0</v>
      </c>
      <c r="AH348" s="275" t="str">
        <f t="shared" si="110"/>
        <v>ok</v>
      </c>
      <c r="AK348" s="49">
        <v>0</v>
      </c>
      <c r="AM348" s="274" t="s">
        <v>1050</v>
      </c>
      <c r="AP348" s="279">
        <v>9158.5</v>
      </c>
    </row>
    <row r="349" spans="1:52" x14ac:dyDescent="0.2">
      <c r="B349" s="24" t="s">
        <v>897</v>
      </c>
      <c r="E349" s="177">
        <f t="shared" ref="E349:AG349" si="111">SUM(E341:E348)</f>
        <v>1156970.4201261536</v>
      </c>
      <c r="F349" s="177">
        <f t="shared" si="111"/>
        <v>631139.04139429121</v>
      </c>
      <c r="G349" s="177">
        <f t="shared" si="111"/>
        <v>-129.06234918381978</v>
      </c>
      <c r="H349" s="177">
        <f t="shared" si="111"/>
        <v>0</v>
      </c>
      <c r="I349" s="177">
        <f t="shared" si="111"/>
        <v>94651.398107886125</v>
      </c>
      <c r="J349" s="177">
        <f t="shared" si="111"/>
        <v>1214.7878767123375</v>
      </c>
      <c r="K349" s="177">
        <f t="shared" si="111"/>
        <v>46211.34004026834</v>
      </c>
      <c r="L349" s="177">
        <f t="shared" si="111"/>
        <v>383882.91505617945</v>
      </c>
      <c r="M349" s="177">
        <f t="shared" si="111"/>
        <v>0</v>
      </c>
      <c r="N349" s="177">
        <f t="shared" si="111"/>
        <v>0</v>
      </c>
      <c r="O349" s="177">
        <f t="shared" si="111"/>
        <v>0</v>
      </c>
      <c r="P349" s="177">
        <f t="shared" si="111"/>
        <v>0</v>
      </c>
      <c r="Q349" s="177">
        <f t="shared" si="111"/>
        <v>0</v>
      </c>
      <c r="R349" s="177">
        <f t="shared" si="111"/>
        <v>0</v>
      </c>
      <c r="S349" s="177">
        <f t="shared" si="111"/>
        <v>0</v>
      </c>
      <c r="T349" s="177">
        <f t="shared" si="111"/>
        <v>0</v>
      </c>
      <c r="U349" s="177">
        <f t="shared" si="111"/>
        <v>0</v>
      </c>
      <c r="V349" s="177">
        <f t="shared" si="111"/>
        <v>0</v>
      </c>
      <c r="W349" s="177">
        <f t="shared" si="111"/>
        <v>0</v>
      </c>
      <c r="X349" s="177">
        <f t="shared" si="111"/>
        <v>0</v>
      </c>
      <c r="Y349" s="177">
        <f t="shared" si="111"/>
        <v>0</v>
      </c>
      <c r="Z349" s="177">
        <f t="shared" si="111"/>
        <v>0</v>
      </c>
      <c r="AA349" s="177">
        <f t="shared" si="111"/>
        <v>0</v>
      </c>
      <c r="AB349" s="177">
        <f t="shared" si="111"/>
        <v>0</v>
      </c>
      <c r="AC349" s="177">
        <f t="shared" si="111"/>
        <v>0</v>
      </c>
      <c r="AD349" s="177">
        <f t="shared" si="111"/>
        <v>0</v>
      </c>
      <c r="AE349" s="177">
        <f t="shared" si="111"/>
        <v>0</v>
      </c>
      <c r="AF349" s="177">
        <f t="shared" si="111"/>
        <v>0</v>
      </c>
      <c r="AG349" s="177">
        <f t="shared" si="111"/>
        <v>1156970.4201261536</v>
      </c>
      <c r="AH349" s="27" t="str">
        <f t="shared" si="110"/>
        <v>ok</v>
      </c>
      <c r="AP349" s="263">
        <v>2876.4134999999987</v>
      </c>
    </row>
    <row r="350" spans="1:52" x14ac:dyDescent="0.2">
      <c r="A350" s="14" t="s">
        <v>749</v>
      </c>
      <c r="B350" s="14" t="s">
        <v>749</v>
      </c>
      <c r="AP350" s="263">
        <v>0</v>
      </c>
    </row>
    <row r="351" spans="1:52" x14ac:dyDescent="0.2">
      <c r="A351" s="14" t="s">
        <v>569</v>
      </c>
      <c r="E351" s="89">
        <f t="shared" ref="E351:AG351" si="112">E338+E349</f>
        <v>158580110.75012615</v>
      </c>
      <c r="F351" s="89">
        <f t="shared" si="112"/>
        <v>106610071.44003147</v>
      </c>
      <c r="G351" s="89">
        <f t="shared" si="112"/>
        <v>41141.026236899474</v>
      </c>
      <c r="H351" s="89">
        <f t="shared" si="112"/>
        <v>25268.732518249155</v>
      </c>
      <c r="I351" s="89">
        <f t="shared" si="112"/>
        <v>12113630.983945202</v>
      </c>
      <c r="J351" s="89">
        <f t="shared" si="112"/>
        <v>209488.48332113677</v>
      </c>
      <c r="K351" s="89">
        <f t="shared" si="112"/>
        <v>3842218.9284200226</v>
      </c>
      <c r="L351" s="89">
        <f t="shared" si="112"/>
        <v>10899758.705166331</v>
      </c>
      <c r="M351" s="89">
        <f t="shared" si="112"/>
        <v>5452130.4053975632</v>
      </c>
      <c r="N351" s="89">
        <f t="shared" si="112"/>
        <v>10672644.68247545</v>
      </c>
      <c r="O351" s="89">
        <f t="shared" si="112"/>
        <v>6237157.2886838084</v>
      </c>
      <c r="P351" s="89">
        <f t="shared" si="112"/>
        <v>2476600.0739300386</v>
      </c>
      <c r="Q351" s="89">
        <f t="shared" si="112"/>
        <v>0</v>
      </c>
      <c r="R351" s="89">
        <f t="shared" si="112"/>
        <v>0</v>
      </c>
      <c r="S351" s="89">
        <f t="shared" si="112"/>
        <v>0</v>
      </c>
      <c r="T351" s="89">
        <f t="shared" si="112"/>
        <v>0</v>
      </c>
      <c r="U351" s="89">
        <f t="shared" si="112"/>
        <v>0</v>
      </c>
      <c r="V351" s="89">
        <f t="shared" si="112"/>
        <v>0</v>
      </c>
      <c r="W351" s="89">
        <f t="shared" si="112"/>
        <v>0</v>
      </c>
      <c r="X351" s="89">
        <f t="shared" si="112"/>
        <v>0</v>
      </c>
      <c r="Y351" s="89">
        <f t="shared" si="112"/>
        <v>0</v>
      </c>
      <c r="Z351" s="89">
        <f t="shared" si="112"/>
        <v>0</v>
      </c>
      <c r="AA351" s="89">
        <f t="shared" si="112"/>
        <v>0</v>
      </c>
      <c r="AB351" s="89">
        <f t="shared" si="112"/>
        <v>0</v>
      </c>
      <c r="AC351" s="89">
        <f t="shared" si="112"/>
        <v>0</v>
      </c>
      <c r="AD351" s="89">
        <f t="shared" si="112"/>
        <v>0</v>
      </c>
      <c r="AE351" s="89">
        <f t="shared" si="112"/>
        <v>0</v>
      </c>
      <c r="AF351" s="89">
        <f t="shared" si="112"/>
        <v>0</v>
      </c>
      <c r="AG351" s="89">
        <f t="shared" si="112"/>
        <v>158580110.75012612</v>
      </c>
      <c r="AH351" s="27" t="str">
        <f>IF(ABS(E351-AG351)&lt;0.01,"ok","err")</f>
        <v>ok</v>
      </c>
      <c r="AP351" s="263">
        <v>0</v>
      </c>
    </row>
    <row r="352" spans="1:52" x14ac:dyDescent="0.2">
      <c r="AP352" s="263">
        <v>0</v>
      </c>
    </row>
    <row r="353" spans="1:52" x14ac:dyDescent="0.2">
      <c r="A353" s="13" t="s">
        <v>325</v>
      </c>
      <c r="AP353" s="263">
        <v>0</v>
      </c>
    </row>
    <row r="354" spans="1:52" x14ac:dyDescent="0.2">
      <c r="AP354" s="263">
        <v>0</v>
      </c>
    </row>
    <row r="355" spans="1:52" x14ac:dyDescent="0.2">
      <c r="A355" s="14" t="s">
        <v>570</v>
      </c>
      <c r="C355" s="14" t="s">
        <v>196</v>
      </c>
      <c r="E355" s="89">
        <f t="shared" ref="E355:U355" si="113">E324</f>
        <v>153746001.07999998</v>
      </c>
      <c r="F355" s="89">
        <f t="shared" si="113"/>
        <v>104922475.53357138</v>
      </c>
      <c r="G355" s="89">
        <f t="shared" si="113"/>
        <v>44320.571209236492</v>
      </c>
      <c r="H355" s="89">
        <f t="shared" si="113"/>
        <v>108077.85983298026</v>
      </c>
      <c r="I355" s="89">
        <f t="shared" si="113"/>
        <v>8658019.8517869245</v>
      </c>
      <c r="J355" s="89">
        <f t="shared" si="113"/>
        <v>197405.77144215119</v>
      </c>
      <c r="K355" s="89">
        <f t="shared" si="113"/>
        <v>3381206.6286068964</v>
      </c>
      <c r="L355" s="89">
        <f t="shared" si="113"/>
        <v>10420894.513629608</v>
      </c>
      <c r="M355" s="89">
        <f t="shared" si="113"/>
        <v>5390014.0090387855</v>
      </c>
      <c r="N355" s="89">
        <f t="shared" si="113"/>
        <v>10528695.858836286</v>
      </c>
      <c r="O355" s="89">
        <f t="shared" si="113"/>
        <v>6202694.1723921634</v>
      </c>
      <c r="P355" s="89">
        <f t="shared" si="113"/>
        <v>3892196.3096535723</v>
      </c>
      <c r="Q355" s="89">
        <f t="shared" si="113"/>
        <v>0</v>
      </c>
      <c r="R355" s="89">
        <f t="shared" si="113"/>
        <v>0</v>
      </c>
      <c r="S355" s="89">
        <f t="shared" si="113"/>
        <v>0</v>
      </c>
      <c r="T355" s="89">
        <f t="shared" si="113"/>
        <v>0</v>
      </c>
      <c r="U355" s="89">
        <f t="shared" si="113"/>
        <v>0</v>
      </c>
      <c r="V355" s="89">
        <f t="shared" ref="V355:AE355" si="114">V324-V125</f>
        <v>0</v>
      </c>
      <c r="W355" s="89">
        <f t="shared" si="114"/>
        <v>0</v>
      </c>
      <c r="X355" s="89">
        <f t="shared" si="114"/>
        <v>0</v>
      </c>
      <c r="Y355" s="89">
        <f t="shared" si="114"/>
        <v>0</v>
      </c>
      <c r="Z355" s="89">
        <f t="shared" si="114"/>
        <v>0</v>
      </c>
      <c r="AA355" s="89">
        <f t="shared" si="114"/>
        <v>0</v>
      </c>
      <c r="AB355" s="89">
        <f t="shared" si="114"/>
        <v>0</v>
      </c>
      <c r="AC355" s="89">
        <f t="shared" si="114"/>
        <v>0</v>
      </c>
      <c r="AD355" s="89">
        <f t="shared" si="114"/>
        <v>0</v>
      </c>
      <c r="AE355" s="89">
        <f t="shared" si="114"/>
        <v>0</v>
      </c>
      <c r="AF355" s="89">
        <f>AF324</f>
        <v>0</v>
      </c>
      <c r="AG355" s="89">
        <f>SUM(F355:AF355)</f>
        <v>153746001.07999998</v>
      </c>
      <c r="AH355" s="27" t="str">
        <f>IF(ABS(E355-AG355)&lt;0.01,"ok","err")</f>
        <v>ok</v>
      </c>
      <c r="AP355" s="263">
        <v>0</v>
      </c>
    </row>
    <row r="356" spans="1:52" x14ac:dyDescent="0.2">
      <c r="AP356" s="263">
        <v>0</v>
      </c>
    </row>
    <row r="357" spans="1:52" x14ac:dyDescent="0.2">
      <c r="A357" s="14" t="s">
        <v>568</v>
      </c>
      <c r="AK357" s="186" t="s">
        <v>1052</v>
      </c>
      <c r="AP357" s="264">
        <v>244059.18000000017</v>
      </c>
    </row>
    <row r="358" spans="1:52" s="274" customFormat="1" x14ac:dyDescent="0.2">
      <c r="A358" s="275">
        <v>1.01</v>
      </c>
      <c r="B358" s="274" t="s">
        <v>1079</v>
      </c>
      <c r="D358" s="274" t="s">
        <v>948</v>
      </c>
      <c r="E358" s="276">
        <f>AK358*AP358</f>
        <v>0</v>
      </c>
      <c r="F358" s="66">
        <f t="shared" ref="F358:F366" si="115">IF(VLOOKUP($D358,$C$5:$AU$511,3,)=0,0,(VLOOKUP($D358,$C$5:$AU$511,4,)/VLOOKUP($D358,$C$5:$AU$511,3,))*$E358)</f>
        <v>0</v>
      </c>
      <c r="G358" s="66">
        <f t="shared" ref="G358:G366" si="116">IF(VLOOKUP($D358,$C$5:$AU$511,3,)=0,0,(VLOOKUP($D358,$C$5:$AU$511,5,)/VLOOKUP($D358,$C$5:$AU$511,3,))*$E358)</f>
        <v>0</v>
      </c>
      <c r="H358" s="66">
        <f t="shared" ref="H358:H366" si="117">IF(VLOOKUP($D358,$C$5:$AU$511,3,)=0,0,(VLOOKUP($D358,$C$5:$AU$511,6,)/VLOOKUP($D358,$C$5:$AU$511,3,))*$E358)</f>
        <v>0</v>
      </c>
      <c r="I358" s="66">
        <f t="shared" ref="I358:I366" si="118">IF(VLOOKUP($D358,$C$5:$AU$511,3,)=0,0,(VLOOKUP($D358,$C$5:$AU$511,7,)/VLOOKUP($D358,$C$5:$AU$511,3,))*$E358)</f>
        <v>0</v>
      </c>
      <c r="J358" s="66">
        <f t="shared" ref="J358:J366" si="119">IF(VLOOKUP($D358,$C$5:$AU$511,3,)=0,0,(VLOOKUP($D358,$C$5:$AU$511,8,)/VLOOKUP($D358,$C$5:$AU$511,3,))*$E358)</f>
        <v>0</v>
      </c>
      <c r="K358" s="66">
        <f t="shared" ref="K358:K366" si="120">IF(VLOOKUP($D358,$C$5:$AU$511,3,)=0,0,(VLOOKUP($D358,$C$5:$AU$511,9,)/VLOOKUP($D358,$C$5:$AU$511,3,))*$E358)</f>
        <v>0</v>
      </c>
      <c r="L358" s="66">
        <f t="shared" ref="L358:L366" si="121">IF(VLOOKUP($D358,$C$5:$AU$511,3,)=0,0,(VLOOKUP($D358,$C$5:$AU$511,10,)/VLOOKUP($D358,$C$5:$AU$511,3,))*$E358)</f>
        <v>0</v>
      </c>
      <c r="M358" s="66">
        <f t="shared" ref="M358:M366" si="122">IF(VLOOKUP($D358,$C$5:$AU$511,3,)=0,0,(VLOOKUP($D358,$C$5:$AU$511,11,)/VLOOKUP($D358,$C$5:$AU$511,3,))*$E358)</f>
        <v>0</v>
      </c>
      <c r="N358" s="66">
        <f t="shared" ref="N358:N366" si="123">IF(VLOOKUP($D358,$C$5:$AU$511,3,)=0,0,(VLOOKUP($D358,$C$5:$AU$511,12,)/VLOOKUP($D358,$C$5:$AU$511,3,))*$E358)</f>
        <v>0</v>
      </c>
      <c r="O358" s="66">
        <f t="shared" ref="O358:O366" si="124">IF(VLOOKUP($D358,$C$5:$AU$511,3,)=0,0,(VLOOKUP($D358,$C$5:$AU$511,13,)/VLOOKUP($D358,$C$5:$AU$511,3,))*$E358)</f>
        <v>0</v>
      </c>
      <c r="P358" s="66">
        <f t="shared" ref="P358:P364" si="125">IF(VLOOKUP($D358,$C$5:$AU$511,3,)=0,0,(VLOOKUP($D358,$C$5:$AU$511,14,)/VLOOKUP($D358,$C$5:$AU$511,3,))*$E358)</f>
        <v>0</v>
      </c>
      <c r="Q358" s="66">
        <f t="shared" ref="Q358:Q374" si="126">IF(VLOOKUP($D358,$C$5:$AU$511,3,)=0,0,(VLOOKUP($D358,$C$5:$AU$511,15,)/VLOOKUP($D358,$C$5:$AU$511,3,))*$E358)</f>
        <v>0</v>
      </c>
      <c r="R358" s="66">
        <f t="shared" ref="R358:R374" si="127">IF(VLOOKUP($D358,$C$5:$AU$511,3,)=0,0,(VLOOKUP($D358,$C$5:$AU$511,16,)/VLOOKUP($D358,$C$5:$AU$511,3,))*$E358)</f>
        <v>0</v>
      </c>
      <c r="S358" s="66">
        <f t="shared" ref="S358:S374" si="128">IF(VLOOKUP($D358,$C$5:$AU$511,3,)=0,0,(VLOOKUP($D358,$C$5:$AU$511,17,)/VLOOKUP($D358,$C$5:$AU$511,3,))*$E358)</f>
        <v>0</v>
      </c>
      <c r="T358" s="66">
        <f t="shared" ref="T358:T374" si="129">IF(VLOOKUP($D358,$C$5:$AU$511,3,)=0,0,(VLOOKUP($D358,$C$5:$AU$511,18,)/VLOOKUP($D358,$C$5:$AU$511,3,))*$E358)</f>
        <v>0</v>
      </c>
      <c r="U358" s="66">
        <f t="shared" ref="U358:U374" si="130">IF(VLOOKUP($D358,$C$5:$AU$511,3,)=0,0,(VLOOKUP($D358,$C$5:$AU$511,19,)/VLOOKUP($D358,$C$5:$AU$511,3,))*$E358)</f>
        <v>0</v>
      </c>
      <c r="V358" s="66">
        <f t="shared" ref="V358:V364" si="131">IF(VLOOKUP($D358,$C$5:$AU$511,3,)=0,0,(VLOOKUP($D358,$C$5:$AU$511,20,)/VLOOKUP($D358,$C$5:$AU$511,3,))*$E358)</f>
        <v>0</v>
      </c>
      <c r="W358" s="66">
        <f t="shared" ref="W358:W364" si="132">IF(VLOOKUP($D358,$C$5:$AU$511,3,)=0,0,(VLOOKUP($D358,$C$5:$AU$511,21,)/VLOOKUP($D358,$C$5:$AU$511,3,))*$E358)</f>
        <v>0</v>
      </c>
      <c r="X358" s="66">
        <f t="shared" ref="X358:X364" si="133">IF(VLOOKUP($D358,$C$5:$AU$511,3,)=0,0,(VLOOKUP($D358,$C$5:$AU$511,22,)/VLOOKUP($D358,$C$5:$AU$511,3,))*$E358)</f>
        <v>0</v>
      </c>
      <c r="Y358" s="66">
        <f t="shared" ref="Y358:Y364" si="134">IF(VLOOKUP($D358,$C$5:$AU$511,3,)=0,0,(VLOOKUP($D358,$C$5:$AU$511,23,)/VLOOKUP($D358,$C$5:$AU$511,3,))*$E358)</f>
        <v>0</v>
      </c>
      <c r="Z358" s="66">
        <f t="shared" ref="Z358:Z364" si="135">IF(VLOOKUP($D358,$C$5:$AU$511,3,)=0,0,(VLOOKUP($D358,$C$5:$AU$511,24,)/VLOOKUP($D358,$C$5:$AU$511,3,))*$E358)</f>
        <v>0</v>
      </c>
      <c r="AA358" s="66">
        <f t="shared" ref="AA358:AA364" si="136">IF(VLOOKUP($D358,$C$5:$AU$511,3,)=0,0,(VLOOKUP($D358,$C$5:$AU$511,25,)/VLOOKUP($D358,$C$5:$AU$511,3,))*$E358)</f>
        <v>0</v>
      </c>
      <c r="AB358" s="66">
        <f t="shared" ref="AB358:AB364" si="137">IF(VLOOKUP($D358,$C$5:$AU$511,3,)=0,0,(VLOOKUP($D358,$C$5:$AU$511,26,)/VLOOKUP($D358,$C$5:$AU$511,3,))*$E358)</f>
        <v>0</v>
      </c>
      <c r="AC358" s="66">
        <f t="shared" ref="AC358:AC364" si="138">IF(VLOOKUP($D358,$C$5:$AU$511,3,)=0,0,(VLOOKUP($D358,$C$5:$AU$511,27,)/VLOOKUP($D358,$C$5:$AU$511,3,))*$E358)</f>
        <v>0</v>
      </c>
      <c r="AD358" s="66">
        <f t="shared" ref="AD358:AD364" si="139">IF(VLOOKUP($D358,$C$5:$AU$511,3,)=0,0,(VLOOKUP($D358,$C$5:$AU$511,28,)/VLOOKUP($D358,$C$5:$AU$511,3,))*$E358)</f>
        <v>0</v>
      </c>
      <c r="AE358" s="66">
        <f t="shared" ref="AE358:AE364" si="140">IF(VLOOKUP($D358,$C$5:$AU$511,3,)=0,0,(VLOOKUP($D358,$C$5:$AU$511,29,)/VLOOKUP($D358,$C$5:$AU$511,3,))*$E358)</f>
        <v>0</v>
      </c>
      <c r="AF358" s="66">
        <f t="shared" ref="AF358:AF364" si="141">IF(VLOOKUP($D358,$C$5:$AU$511,3,)=0,0,(VLOOKUP($D358,$C$5:$AU$511,30,)/VLOOKUP($D358,$C$5:$AU$511,3,))*$E358)</f>
        <v>0</v>
      </c>
      <c r="AG358" s="276">
        <f t="shared" ref="AG358:AG375" si="142">SUM(F358:AF358)</f>
        <v>0</v>
      </c>
      <c r="AH358" s="275" t="str">
        <f t="shared" ref="AH358:AH375" si="143">IF(ABS(E358-AG358)&lt;0.01,"ok","err")</f>
        <v>ok</v>
      </c>
      <c r="AK358" s="49">
        <f>AK341</f>
        <v>1</v>
      </c>
      <c r="AP358" s="49"/>
    </row>
    <row r="359" spans="1:52" s="274" customFormat="1" x14ac:dyDescent="0.2">
      <c r="A359" s="275">
        <v>1.02</v>
      </c>
      <c r="B359" s="274" t="s">
        <v>1080</v>
      </c>
      <c r="D359" s="274" t="s">
        <v>949</v>
      </c>
      <c r="E359" s="276">
        <f t="shared" ref="E359:E373" si="144">AK359*AP359</f>
        <v>0</v>
      </c>
      <c r="F359" s="66">
        <f t="shared" si="115"/>
        <v>0</v>
      </c>
      <c r="G359" s="66">
        <f t="shared" si="116"/>
        <v>0</v>
      </c>
      <c r="H359" s="66">
        <f t="shared" si="117"/>
        <v>0</v>
      </c>
      <c r="I359" s="66">
        <f t="shared" si="118"/>
        <v>0</v>
      </c>
      <c r="J359" s="66">
        <f t="shared" si="119"/>
        <v>0</v>
      </c>
      <c r="K359" s="66">
        <f t="shared" si="120"/>
        <v>0</v>
      </c>
      <c r="L359" s="66">
        <f t="shared" si="121"/>
        <v>0</v>
      </c>
      <c r="M359" s="66">
        <f t="shared" si="122"/>
        <v>0</v>
      </c>
      <c r="N359" s="66">
        <f t="shared" si="123"/>
        <v>0</v>
      </c>
      <c r="O359" s="66">
        <f t="shared" si="124"/>
        <v>0</v>
      </c>
      <c r="P359" s="66">
        <f t="shared" si="125"/>
        <v>0</v>
      </c>
      <c r="Q359" s="66">
        <f t="shared" si="126"/>
        <v>0</v>
      </c>
      <c r="R359" s="66">
        <f t="shared" si="127"/>
        <v>0</v>
      </c>
      <c r="S359" s="66">
        <f t="shared" si="128"/>
        <v>0</v>
      </c>
      <c r="T359" s="66">
        <f t="shared" si="129"/>
        <v>0</v>
      </c>
      <c r="U359" s="66">
        <f t="shared" si="130"/>
        <v>0</v>
      </c>
      <c r="V359" s="66">
        <f t="shared" si="131"/>
        <v>0</v>
      </c>
      <c r="W359" s="66">
        <f t="shared" si="132"/>
        <v>0</v>
      </c>
      <c r="X359" s="66">
        <f t="shared" si="133"/>
        <v>0</v>
      </c>
      <c r="Y359" s="66">
        <f t="shared" si="134"/>
        <v>0</v>
      </c>
      <c r="Z359" s="66">
        <f t="shared" si="135"/>
        <v>0</v>
      </c>
      <c r="AA359" s="66">
        <f t="shared" si="136"/>
        <v>0</v>
      </c>
      <c r="AB359" s="66">
        <f t="shared" si="137"/>
        <v>0</v>
      </c>
      <c r="AC359" s="66">
        <f t="shared" si="138"/>
        <v>0</v>
      </c>
      <c r="AD359" s="66">
        <f t="shared" si="139"/>
        <v>0</v>
      </c>
      <c r="AE359" s="66">
        <f t="shared" si="140"/>
        <v>0</v>
      </c>
      <c r="AF359" s="66">
        <f t="shared" si="141"/>
        <v>0</v>
      </c>
      <c r="AG359" s="276">
        <f t="shared" si="142"/>
        <v>0</v>
      </c>
      <c r="AH359" s="275" t="str">
        <f t="shared" si="143"/>
        <v>ok</v>
      </c>
      <c r="AK359" s="49">
        <f>AK$358</f>
        <v>1</v>
      </c>
      <c r="AP359" s="49"/>
    </row>
    <row r="360" spans="1:52" s="274" customFormat="1" x14ac:dyDescent="0.2">
      <c r="A360" s="275">
        <v>1.03</v>
      </c>
      <c r="B360" s="274" t="s">
        <v>1181</v>
      </c>
      <c r="D360" s="274" t="s">
        <v>259</v>
      </c>
      <c r="E360" s="276">
        <f t="shared" si="144"/>
        <v>23333.33</v>
      </c>
      <c r="F360" s="66">
        <f t="shared" si="115"/>
        <v>18348.814440439575</v>
      </c>
      <c r="G360" s="66">
        <f t="shared" si="116"/>
        <v>19.829291255749428</v>
      </c>
      <c r="H360" s="66">
        <f t="shared" si="117"/>
        <v>64.304628245218865</v>
      </c>
      <c r="I360" s="66">
        <f t="shared" si="118"/>
        <v>979.03892644300151</v>
      </c>
      <c r="J360" s="66">
        <f t="shared" si="119"/>
        <v>69.943130343156042</v>
      </c>
      <c r="K360" s="66">
        <f t="shared" si="120"/>
        <v>191.90375988264512</v>
      </c>
      <c r="L360" s="66">
        <f t="shared" si="121"/>
        <v>465.39735558924707</v>
      </c>
      <c r="M360" s="66">
        <f t="shared" si="122"/>
        <v>206.72882701113241</v>
      </c>
      <c r="N360" s="66">
        <f t="shared" si="123"/>
        <v>403.1990934478801</v>
      </c>
      <c r="O360" s="66">
        <f t="shared" si="124"/>
        <v>9.1267230229381796E-2</v>
      </c>
      <c r="P360" s="66">
        <f t="shared" si="125"/>
        <v>2584.0792801121684</v>
      </c>
      <c r="Q360" s="66">
        <f t="shared" si="126"/>
        <v>0</v>
      </c>
      <c r="R360" s="66">
        <f t="shared" si="127"/>
        <v>0</v>
      </c>
      <c r="S360" s="66">
        <f t="shared" si="128"/>
        <v>0</v>
      </c>
      <c r="T360" s="66">
        <f t="shared" si="129"/>
        <v>0</v>
      </c>
      <c r="U360" s="66">
        <f t="shared" si="130"/>
        <v>0</v>
      </c>
      <c r="V360" s="66">
        <f t="shared" si="131"/>
        <v>0</v>
      </c>
      <c r="W360" s="66">
        <f t="shared" si="132"/>
        <v>0</v>
      </c>
      <c r="X360" s="66">
        <f t="shared" si="133"/>
        <v>0</v>
      </c>
      <c r="Y360" s="66">
        <f t="shared" si="134"/>
        <v>0</v>
      </c>
      <c r="Z360" s="66">
        <f t="shared" si="135"/>
        <v>0</v>
      </c>
      <c r="AA360" s="66">
        <f t="shared" si="136"/>
        <v>0</v>
      </c>
      <c r="AB360" s="66">
        <f t="shared" si="137"/>
        <v>0</v>
      </c>
      <c r="AC360" s="66">
        <f t="shared" si="138"/>
        <v>0</v>
      </c>
      <c r="AD360" s="66">
        <f t="shared" si="139"/>
        <v>0</v>
      </c>
      <c r="AE360" s="66">
        <f t="shared" si="140"/>
        <v>0</v>
      </c>
      <c r="AF360" s="66">
        <f t="shared" si="141"/>
        <v>0</v>
      </c>
      <c r="AG360" s="276">
        <f t="shared" si="142"/>
        <v>23333.33</v>
      </c>
      <c r="AH360" s="275" t="str">
        <f t="shared" si="143"/>
        <v>ok</v>
      </c>
      <c r="AK360" s="49">
        <f t="shared" ref="AK360:AK373" si="145">AK$358</f>
        <v>1</v>
      </c>
      <c r="AP360" s="49">
        <v>23333.33</v>
      </c>
    </row>
    <row r="361" spans="1:52" s="274" customFormat="1" x14ac:dyDescent="0.2">
      <c r="A361" s="275">
        <v>1.04</v>
      </c>
      <c r="B361" s="274" t="s">
        <v>1182</v>
      </c>
      <c r="D361" s="274" t="s">
        <v>950</v>
      </c>
      <c r="E361" s="276">
        <f t="shared" si="144"/>
        <v>838570.79982670024</v>
      </c>
      <c r="F361" s="276">
        <f t="shared" ref="F361" si="146">$AK361*AQ361</f>
        <v>408817.35139445914</v>
      </c>
      <c r="G361" s="276">
        <f t="shared" ref="G361" si="147">$AK361*AR361</f>
        <v>-37.544412244012697</v>
      </c>
      <c r="H361" s="276">
        <f t="shared" ref="H361" si="148">$AK361*AS361</f>
        <v>0</v>
      </c>
      <c r="I361" s="276">
        <f t="shared" ref="I361" si="149">$AK361*AT361</f>
        <v>52436.343446249492</v>
      </c>
      <c r="J361" s="276">
        <f t="shared" ref="J361" si="150">$AK361*AU361</f>
        <v>641.29253290576264</v>
      </c>
      <c r="K361" s="276">
        <f t="shared" ref="K361" si="151">$AK361*AV361</f>
        <v>36583.848971952189</v>
      </c>
      <c r="L361" s="276">
        <f t="shared" ref="L361" si="152">$AK361*AW361</f>
        <v>340129.50789337768</v>
      </c>
      <c r="M361" s="276">
        <f t="shared" ref="M361" si="153">$AK361*AX361</f>
        <v>0</v>
      </c>
      <c r="N361" s="276">
        <f t="shared" ref="N361" si="154">$AK361*AY361</f>
        <v>0</v>
      </c>
      <c r="O361" s="276">
        <f t="shared" ref="O361" si="155">$AK361*AZ361</f>
        <v>0</v>
      </c>
      <c r="P361" s="276">
        <f t="shared" ref="P361" si="156">$AK361*BA361</f>
        <v>0</v>
      </c>
      <c r="Q361" s="66">
        <f t="shared" si="126"/>
        <v>0</v>
      </c>
      <c r="R361" s="66">
        <f t="shared" si="127"/>
        <v>0</v>
      </c>
      <c r="S361" s="66">
        <f t="shared" si="128"/>
        <v>0</v>
      </c>
      <c r="T361" s="66">
        <f t="shared" si="129"/>
        <v>0</v>
      </c>
      <c r="U361" s="66">
        <f t="shared" si="130"/>
        <v>0</v>
      </c>
      <c r="V361" s="66">
        <f t="shared" si="131"/>
        <v>0</v>
      </c>
      <c r="W361" s="66">
        <f t="shared" si="132"/>
        <v>0</v>
      </c>
      <c r="X361" s="66">
        <f t="shared" si="133"/>
        <v>0</v>
      </c>
      <c r="Y361" s="66">
        <f t="shared" si="134"/>
        <v>0</v>
      </c>
      <c r="Z361" s="66">
        <f t="shared" si="135"/>
        <v>0</v>
      </c>
      <c r="AA361" s="66">
        <f t="shared" si="136"/>
        <v>0</v>
      </c>
      <c r="AB361" s="66">
        <f t="shared" si="137"/>
        <v>0</v>
      </c>
      <c r="AC361" s="66">
        <f t="shared" si="138"/>
        <v>0</v>
      </c>
      <c r="AD361" s="66">
        <f t="shared" si="139"/>
        <v>0</v>
      </c>
      <c r="AE361" s="66">
        <f t="shared" si="140"/>
        <v>0</v>
      </c>
      <c r="AF361" s="66">
        <f t="shared" si="141"/>
        <v>0</v>
      </c>
      <c r="AG361" s="276">
        <f t="shared" si="142"/>
        <v>838570.79982670024</v>
      </c>
      <c r="AH361" s="275" t="str">
        <f t="shared" si="143"/>
        <v>ok</v>
      </c>
      <c r="AK361" s="49">
        <f t="shared" si="145"/>
        <v>1</v>
      </c>
      <c r="AP361" s="49">
        <v>838570.79982670024</v>
      </c>
      <c r="AQ361" s="49">
        <v>408817.35139445914</v>
      </c>
      <c r="AR361" s="49">
        <v>-37.544412244012697</v>
      </c>
      <c r="AS361" s="49">
        <v>0</v>
      </c>
      <c r="AT361" s="49">
        <v>52436.343446249492</v>
      </c>
      <c r="AU361" s="49">
        <v>641.29253290576264</v>
      </c>
      <c r="AV361" s="49">
        <v>36583.848971952189</v>
      </c>
      <c r="AW361" s="49">
        <v>340129.50789337768</v>
      </c>
      <c r="AX361" s="49">
        <v>0</v>
      </c>
      <c r="AY361" s="49">
        <v>0</v>
      </c>
      <c r="AZ361" s="49">
        <v>0</v>
      </c>
    </row>
    <row r="362" spans="1:52" s="274" customFormat="1" x14ac:dyDescent="0.2">
      <c r="A362" s="275">
        <v>1.05</v>
      </c>
      <c r="B362" s="274" t="s">
        <v>1183</v>
      </c>
      <c r="D362" s="274" t="s">
        <v>259</v>
      </c>
      <c r="E362" s="276">
        <f t="shared" si="144"/>
        <v>0</v>
      </c>
      <c r="F362" s="66">
        <f t="shared" si="115"/>
        <v>0</v>
      </c>
      <c r="G362" s="66">
        <f t="shared" si="116"/>
        <v>0</v>
      </c>
      <c r="H362" s="66">
        <f t="shared" si="117"/>
        <v>0</v>
      </c>
      <c r="I362" s="66">
        <f t="shared" si="118"/>
        <v>0</v>
      </c>
      <c r="J362" s="66">
        <f t="shared" si="119"/>
        <v>0</v>
      </c>
      <c r="K362" s="66">
        <f t="shared" si="120"/>
        <v>0</v>
      </c>
      <c r="L362" s="66">
        <f t="shared" si="121"/>
        <v>0</v>
      </c>
      <c r="M362" s="66">
        <f t="shared" si="122"/>
        <v>0</v>
      </c>
      <c r="N362" s="66">
        <f t="shared" si="123"/>
        <v>0</v>
      </c>
      <c r="O362" s="66">
        <f t="shared" si="124"/>
        <v>0</v>
      </c>
      <c r="P362" s="66">
        <f t="shared" si="125"/>
        <v>0</v>
      </c>
      <c r="Q362" s="66">
        <f t="shared" si="126"/>
        <v>0</v>
      </c>
      <c r="R362" s="66">
        <f t="shared" si="127"/>
        <v>0</v>
      </c>
      <c r="S362" s="66">
        <f t="shared" si="128"/>
        <v>0</v>
      </c>
      <c r="T362" s="66">
        <f t="shared" si="129"/>
        <v>0</v>
      </c>
      <c r="U362" s="66">
        <f t="shared" si="130"/>
        <v>0</v>
      </c>
      <c r="V362" s="66">
        <f t="shared" si="131"/>
        <v>0</v>
      </c>
      <c r="W362" s="66">
        <f t="shared" si="132"/>
        <v>0</v>
      </c>
      <c r="X362" s="66">
        <f t="shared" si="133"/>
        <v>0</v>
      </c>
      <c r="Y362" s="66">
        <f t="shared" si="134"/>
        <v>0</v>
      </c>
      <c r="Z362" s="66">
        <f t="shared" si="135"/>
        <v>0</v>
      </c>
      <c r="AA362" s="66">
        <f t="shared" si="136"/>
        <v>0</v>
      </c>
      <c r="AB362" s="66">
        <f t="shared" si="137"/>
        <v>0</v>
      </c>
      <c r="AC362" s="66">
        <f t="shared" si="138"/>
        <v>0</v>
      </c>
      <c r="AD362" s="66">
        <f t="shared" si="139"/>
        <v>0</v>
      </c>
      <c r="AE362" s="66">
        <f t="shared" si="140"/>
        <v>0</v>
      </c>
      <c r="AF362" s="66">
        <f t="shared" si="141"/>
        <v>0</v>
      </c>
      <c r="AG362" s="276">
        <f t="shared" si="142"/>
        <v>0</v>
      </c>
      <c r="AH362" s="275" t="str">
        <f t="shared" si="143"/>
        <v>ok</v>
      </c>
      <c r="AK362" s="49">
        <f t="shared" si="145"/>
        <v>1</v>
      </c>
      <c r="AP362" s="49">
        <v>0</v>
      </c>
    </row>
    <row r="363" spans="1:52" s="274" customFormat="1" x14ac:dyDescent="0.2">
      <c r="A363" s="275">
        <v>1.06</v>
      </c>
      <c r="B363" s="274" t="s">
        <v>1184</v>
      </c>
      <c r="D363" s="274" t="s">
        <v>283</v>
      </c>
      <c r="E363" s="276">
        <f t="shared" si="144"/>
        <v>0</v>
      </c>
      <c r="F363" s="66">
        <f t="shared" si="115"/>
        <v>0</v>
      </c>
      <c r="G363" s="66">
        <f t="shared" si="116"/>
        <v>0</v>
      </c>
      <c r="H363" s="66">
        <f t="shared" si="117"/>
        <v>0</v>
      </c>
      <c r="I363" s="66">
        <f t="shared" si="118"/>
        <v>0</v>
      </c>
      <c r="J363" s="66">
        <f t="shared" si="119"/>
        <v>0</v>
      </c>
      <c r="K363" s="66">
        <f t="shared" si="120"/>
        <v>0</v>
      </c>
      <c r="L363" s="66">
        <f t="shared" si="121"/>
        <v>0</v>
      </c>
      <c r="M363" s="66">
        <f t="shared" si="122"/>
        <v>0</v>
      </c>
      <c r="N363" s="66">
        <f t="shared" si="123"/>
        <v>0</v>
      </c>
      <c r="O363" s="66">
        <f t="shared" si="124"/>
        <v>0</v>
      </c>
      <c r="P363" s="66">
        <f t="shared" si="125"/>
        <v>0</v>
      </c>
      <c r="Q363" s="66">
        <f t="shared" si="126"/>
        <v>0</v>
      </c>
      <c r="R363" s="66">
        <f t="shared" si="127"/>
        <v>0</v>
      </c>
      <c r="S363" s="66">
        <f t="shared" si="128"/>
        <v>0</v>
      </c>
      <c r="T363" s="66">
        <f t="shared" si="129"/>
        <v>0</v>
      </c>
      <c r="U363" s="66">
        <f t="shared" si="130"/>
        <v>0</v>
      </c>
      <c r="V363" s="66">
        <f t="shared" si="131"/>
        <v>0</v>
      </c>
      <c r="W363" s="66">
        <f t="shared" si="132"/>
        <v>0</v>
      </c>
      <c r="X363" s="66">
        <f t="shared" si="133"/>
        <v>0</v>
      </c>
      <c r="Y363" s="66">
        <f t="shared" si="134"/>
        <v>0</v>
      </c>
      <c r="Z363" s="66">
        <f t="shared" si="135"/>
        <v>0</v>
      </c>
      <c r="AA363" s="66">
        <f t="shared" si="136"/>
        <v>0</v>
      </c>
      <c r="AB363" s="66">
        <f t="shared" si="137"/>
        <v>0</v>
      </c>
      <c r="AC363" s="66">
        <f t="shared" si="138"/>
        <v>0</v>
      </c>
      <c r="AD363" s="66">
        <f t="shared" si="139"/>
        <v>0</v>
      </c>
      <c r="AE363" s="66">
        <f t="shared" si="140"/>
        <v>0</v>
      </c>
      <c r="AF363" s="66">
        <f t="shared" si="141"/>
        <v>0</v>
      </c>
      <c r="AG363" s="276">
        <f t="shared" si="142"/>
        <v>0</v>
      </c>
      <c r="AH363" s="275" t="str">
        <f t="shared" si="143"/>
        <v>ok</v>
      </c>
      <c r="AK363" s="49">
        <f t="shared" si="145"/>
        <v>1</v>
      </c>
      <c r="AP363" s="49">
        <v>0</v>
      </c>
    </row>
    <row r="364" spans="1:52" s="274" customFormat="1" x14ac:dyDescent="0.2">
      <c r="A364" s="275">
        <v>1.07</v>
      </c>
      <c r="B364" s="274" t="s">
        <v>1185</v>
      </c>
      <c r="D364" s="274" t="s">
        <v>295</v>
      </c>
      <c r="E364" s="276">
        <f t="shared" si="144"/>
        <v>294695.17000000004</v>
      </c>
      <c r="F364" s="66">
        <f t="shared" si="115"/>
        <v>231678.645620978</v>
      </c>
      <c r="G364" s="66">
        <f t="shared" si="116"/>
        <v>250.28669651169557</v>
      </c>
      <c r="H364" s="66">
        <f t="shared" si="117"/>
        <v>812.16057511468023</v>
      </c>
      <c r="I364" s="66">
        <f t="shared" si="118"/>
        <v>12365.48937745122</v>
      </c>
      <c r="J364" s="66">
        <f t="shared" si="119"/>
        <v>883.3907041914058</v>
      </c>
      <c r="K364" s="66">
        <f t="shared" si="120"/>
        <v>2426.4292550108626</v>
      </c>
      <c r="L364" s="66">
        <f t="shared" si="121"/>
        <v>5882.0647672697178</v>
      </c>
      <c r="M364" s="66">
        <f t="shared" si="122"/>
        <v>2611.9429953939875</v>
      </c>
      <c r="N364" s="66">
        <f t="shared" si="123"/>
        <v>5095.2242106625463</v>
      </c>
      <c r="O364" s="66">
        <f t="shared" si="124"/>
        <v>1.1457468348914315</v>
      </c>
      <c r="P364" s="66">
        <f t="shared" si="125"/>
        <v>32688.390050581052</v>
      </c>
      <c r="Q364" s="66">
        <f t="shared" si="126"/>
        <v>0</v>
      </c>
      <c r="R364" s="66">
        <f t="shared" si="127"/>
        <v>0</v>
      </c>
      <c r="S364" s="66">
        <f t="shared" si="128"/>
        <v>0</v>
      </c>
      <c r="T364" s="66">
        <f t="shared" si="129"/>
        <v>0</v>
      </c>
      <c r="U364" s="66">
        <f t="shared" si="130"/>
        <v>0</v>
      </c>
      <c r="V364" s="66">
        <f t="shared" si="131"/>
        <v>0</v>
      </c>
      <c r="W364" s="66">
        <f t="shared" si="132"/>
        <v>0</v>
      </c>
      <c r="X364" s="66">
        <f t="shared" si="133"/>
        <v>0</v>
      </c>
      <c r="Y364" s="66">
        <f t="shared" si="134"/>
        <v>0</v>
      </c>
      <c r="Z364" s="66">
        <f t="shared" si="135"/>
        <v>0</v>
      </c>
      <c r="AA364" s="66">
        <f t="shared" si="136"/>
        <v>0</v>
      </c>
      <c r="AB364" s="66">
        <f t="shared" si="137"/>
        <v>0</v>
      </c>
      <c r="AC364" s="66">
        <f t="shared" si="138"/>
        <v>0</v>
      </c>
      <c r="AD364" s="66">
        <f t="shared" si="139"/>
        <v>0</v>
      </c>
      <c r="AE364" s="66">
        <f t="shared" si="140"/>
        <v>0</v>
      </c>
      <c r="AF364" s="66">
        <f t="shared" si="141"/>
        <v>0</v>
      </c>
      <c r="AG364" s="276">
        <f t="shared" si="142"/>
        <v>294695.17000000004</v>
      </c>
      <c r="AH364" s="275" t="str">
        <f t="shared" si="143"/>
        <v>ok</v>
      </c>
      <c r="AK364" s="49">
        <f t="shared" si="145"/>
        <v>1</v>
      </c>
      <c r="AP364" s="49">
        <v>294695.17000000004</v>
      </c>
    </row>
    <row r="365" spans="1:52" s="274" customFormat="1" x14ac:dyDescent="0.2">
      <c r="A365" s="275">
        <v>1.08</v>
      </c>
      <c r="B365" s="274" t="s">
        <v>1186</v>
      </c>
      <c r="D365" s="274" t="s">
        <v>259</v>
      </c>
      <c r="E365" s="276">
        <f t="shared" si="144"/>
        <v>-619597.05000000005</v>
      </c>
      <c r="F365" s="66">
        <f t="shared" si="115"/>
        <v>-487237.41096079134</v>
      </c>
      <c r="G365" s="66">
        <f t="shared" si="116"/>
        <v>-526.5502337494537</v>
      </c>
      <c r="H365" s="66">
        <f t="shared" si="117"/>
        <v>-1707.5555851686956</v>
      </c>
      <c r="I365" s="66">
        <f t="shared" si="118"/>
        <v>-25997.559313619218</v>
      </c>
      <c r="J365" s="66">
        <f t="shared" si="119"/>
        <v>-1857.2812893995404</v>
      </c>
      <c r="K365" s="66">
        <f t="shared" si="120"/>
        <v>-5095.8437354289026</v>
      </c>
      <c r="L365" s="66">
        <f t="shared" si="121"/>
        <v>-12358.237276929547</v>
      </c>
      <c r="M365" s="66">
        <f t="shared" si="122"/>
        <v>-5489.510985618339</v>
      </c>
      <c r="N365" s="66">
        <f t="shared" si="123"/>
        <v>-10706.61448078696</v>
      </c>
      <c r="O365" s="66">
        <f t="shared" si="124"/>
        <v>-2.4235249152948075</v>
      </c>
      <c r="P365" s="66">
        <f>IF(VLOOKUP($D365,$C$5:$AU$511,3,)=0,0,(VLOOKUP($D365,$C$5:$AU$511,14,)/VLOOKUP($D365,$C$5:$AU$511,3,))*$E365)</f>
        <v>-68618.062613592803</v>
      </c>
      <c r="Q365" s="66">
        <f>IF(VLOOKUP($D365,$C$5:$AU$511,3,)=0,0,(VLOOKUP($D365,$C$5:$AU$511,15,)/VLOOKUP($D365,$C$5:$AU$511,3,))*$E365)</f>
        <v>0</v>
      </c>
      <c r="R365" s="66">
        <f>IF(VLOOKUP($D365,$C$5:$AU$511,3,)=0,0,(VLOOKUP($D365,$C$5:$AU$511,16,)/VLOOKUP($D365,$C$5:$AU$511,3,))*$E365)</f>
        <v>0</v>
      </c>
      <c r="S365" s="66">
        <f>IF(VLOOKUP($D365,$C$5:$AU$511,3,)=0,0,(VLOOKUP($D365,$C$5:$AU$511,17,)/VLOOKUP($D365,$C$5:$AU$511,3,))*$E365)</f>
        <v>0</v>
      </c>
      <c r="T365" s="66">
        <f>IF(VLOOKUP($D365,$C$5:$AU$511,3,)=0,0,(VLOOKUP($D365,$C$5:$AU$511,18,)/VLOOKUP($D365,$C$5:$AU$511,3,))*$E365)</f>
        <v>0</v>
      </c>
      <c r="U365" s="66">
        <f>IF(VLOOKUP($D365,$C$5:$AU$511,3,)=0,0,(VLOOKUP($D365,$C$5:$AU$511,19,)/VLOOKUP($D365,$C$5:$AU$511,3,))*$E365)</f>
        <v>0</v>
      </c>
      <c r="V365" s="66">
        <f>IF(VLOOKUP($D365,$C$5:$AU$511,3,)=0,0,(VLOOKUP($D365,$C$5:$AU$511,20,)/VLOOKUP($D365,$C$5:$AU$511,3,))*$E365)</f>
        <v>0</v>
      </c>
      <c r="W365" s="66">
        <f>IF(VLOOKUP($D365,$C$5:$AU$511,3,)=0,0,(VLOOKUP($D365,$C$5:$AU$511,21,)/VLOOKUP($D365,$C$5:$AU$511,3,))*$E365)</f>
        <v>0</v>
      </c>
      <c r="X365" s="66">
        <f>IF(VLOOKUP($D365,$C$5:$AU$511,3,)=0,0,(VLOOKUP($D365,$C$5:$AU$511,22,)/VLOOKUP($D365,$C$5:$AU$511,3,))*$E365)</f>
        <v>0</v>
      </c>
      <c r="Y365" s="66">
        <f>IF(VLOOKUP($D365,$C$5:$AU$511,3,)=0,0,(VLOOKUP($D365,$C$5:$AU$511,23,)/VLOOKUP($D365,$C$5:$AU$511,3,))*$E365)</f>
        <v>0</v>
      </c>
      <c r="Z365" s="66">
        <f>IF(VLOOKUP($D365,$C$5:$AU$511,3,)=0,0,(VLOOKUP($D365,$C$5:$AU$511,24,)/VLOOKUP($D365,$C$5:$AU$511,3,))*$E365)</f>
        <v>0</v>
      </c>
      <c r="AA365" s="66">
        <f>IF(VLOOKUP($D365,$C$5:$AU$511,3,)=0,0,(VLOOKUP($D365,$C$5:$AU$511,25,)/VLOOKUP($D365,$C$5:$AU$511,3,))*$E365)</f>
        <v>0</v>
      </c>
      <c r="AB365" s="66">
        <f>IF(VLOOKUP($D365,$C$5:$AU$511,3,)=0,0,(VLOOKUP($D365,$C$5:$AU$511,26,)/VLOOKUP($D365,$C$5:$AU$511,3,))*$E365)</f>
        <v>0</v>
      </c>
      <c r="AC365" s="66">
        <f>IF(VLOOKUP($D365,$C$5:$AU$511,3,)=0,0,(VLOOKUP($D365,$C$5:$AU$511,27,)/VLOOKUP($D365,$C$5:$AU$511,3,))*$E365)</f>
        <v>0</v>
      </c>
      <c r="AD365" s="66">
        <f>IF(VLOOKUP($D365,$C$5:$AU$511,3,)=0,0,(VLOOKUP($D365,$C$5:$AU$511,28,)/VLOOKUP($D365,$C$5:$AU$511,3,))*$E365)</f>
        <v>0</v>
      </c>
      <c r="AE365" s="66">
        <f>IF(VLOOKUP($D365,$C$5:$AU$511,3,)=0,0,(VLOOKUP($D365,$C$5:$AU$511,29,)/VLOOKUP($D365,$C$5:$AU$511,3,))*$E365)</f>
        <v>0</v>
      </c>
      <c r="AF365" s="66">
        <f>IF(VLOOKUP($D365,$C$5:$AU$511,3,)=0,0,(VLOOKUP($D365,$C$5:$AU$511,30,)/VLOOKUP($D365,$C$5:$AU$511,3,))*$E365)</f>
        <v>0</v>
      </c>
      <c r="AG365" s="276">
        <f>SUM(F365:AF365)</f>
        <v>-619597.05000000005</v>
      </c>
      <c r="AH365" s="275" t="str">
        <f>IF(ABS(E365-AG365)&lt;0.01,"ok","err")</f>
        <v>ok</v>
      </c>
      <c r="AK365" s="49">
        <f>AK364</f>
        <v>1</v>
      </c>
      <c r="AP365" s="49">
        <v>-619597.05000000005</v>
      </c>
    </row>
    <row r="366" spans="1:52" s="274" customFormat="1" x14ac:dyDescent="0.2">
      <c r="A366" s="275">
        <v>1.0900000000000001</v>
      </c>
      <c r="B366" s="274" t="s">
        <v>1187</v>
      </c>
      <c r="D366" s="274" t="s">
        <v>259</v>
      </c>
      <c r="E366" s="276">
        <f t="shared" ref="E366" si="157">AK366*AP366</f>
        <v>-23187.01999999999</v>
      </c>
      <c r="F366" s="66">
        <f t="shared" si="115"/>
        <v>-18233.759493683971</v>
      </c>
      <c r="G366" s="66">
        <f t="shared" si="116"/>
        <v>-19.704953083545593</v>
      </c>
      <c r="H366" s="66">
        <f t="shared" si="117"/>
        <v>-63.901410609392393</v>
      </c>
      <c r="I366" s="66">
        <f t="shared" si="118"/>
        <v>-972.89993190909274</v>
      </c>
      <c r="J366" s="66">
        <f t="shared" si="119"/>
        <v>-69.504556877623784</v>
      </c>
      <c r="K366" s="66">
        <f t="shared" si="120"/>
        <v>-190.70044089180962</v>
      </c>
      <c r="L366" s="66">
        <f t="shared" si="121"/>
        <v>-462.47911429680113</v>
      </c>
      <c r="M366" s="66">
        <f t="shared" si="122"/>
        <v>-205.43254848252113</v>
      </c>
      <c r="N366" s="66">
        <f t="shared" si="123"/>
        <v>-400.67086197117425</v>
      </c>
      <c r="O366" s="66">
        <f t="shared" si="124"/>
        <v>-9.0694945499561322E-2</v>
      </c>
      <c r="P366" s="66">
        <f>IF(VLOOKUP($D366,$C$5:$AU$511,3,)=0,0,(VLOOKUP($D366,$C$5:$AU$511,14,)/VLOOKUP($D366,$C$5:$AU$511,3,))*$E366)</f>
        <v>-2567.87599324856</v>
      </c>
      <c r="Q366" s="66">
        <f>IF(VLOOKUP($D366,$C$5:$AU$511,3,)=0,0,(VLOOKUP($D366,$C$5:$AU$511,15,)/VLOOKUP($D366,$C$5:$AU$511,3,))*$E366)</f>
        <v>0</v>
      </c>
      <c r="R366" s="66">
        <f>IF(VLOOKUP($D366,$C$5:$AU$511,3,)=0,0,(VLOOKUP($D366,$C$5:$AU$511,16,)/VLOOKUP($D366,$C$5:$AU$511,3,))*$E366)</f>
        <v>0</v>
      </c>
      <c r="S366" s="66">
        <f>IF(VLOOKUP($D366,$C$5:$AU$511,3,)=0,0,(VLOOKUP($D366,$C$5:$AU$511,17,)/VLOOKUP($D366,$C$5:$AU$511,3,))*$E366)</f>
        <v>0</v>
      </c>
      <c r="T366" s="66">
        <f>IF(VLOOKUP($D366,$C$5:$AU$511,3,)=0,0,(VLOOKUP($D366,$C$5:$AU$511,18,)/VLOOKUP($D366,$C$5:$AU$511,3,))*$E366)</f>
        <v>0</v>
      </c>
      <c r="U366" s="66">
        <f>IF(VLOOKUP($D366,$C$5:$AU$511,3,)=0,0,(VLOOKUP($D366,$C$5:$AU$511,19,)/VLOOKUP($D366,$C$5:$AU$511,3,))*$E366)</f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  <c r="AG366" s="276">
        <f t="shared" si="142"/>
        <v>-23187.019999999993</v>
      </c>
      <c r="AH366" s="275" t="str">
        <f>IF(ABS(E366-AG366)&lt;0.01,"ok","err")</f>
        <v>ok</v>
      </c>
      <c r="AK366" s="49">
        <f t="shared" si="145"/>
        <v>1</v>
      </c>
      <c r="AP366" s="49">
        <v>-23187.01999999999</v>
      </c>
      <c r="AQ366" s="274">
        <v>0</v>
      </c>
      <c r="AR366" s="274">
        <v>0</v>
      </c>
      <c r="AS366" s="274">
        <v>0</v>
      </c>
      <c r="AT366" s="274">
        <v>0</v>
      </c>
      <c r="AU366" s="274">
        <v>0</v>
      </c>
      <c r="AV366" s="274">
        <v>0</v>
      </c>
      <c r="AW366" s="274">
        <v>0</v>
      </c>
      <c r="AX366" s="274">
        <v>0</v>
      </c>
    </row>
    <row r="367" spans="1:52" s="274" customFormat="1" x14ac:dyDescent="0.2">
      <c r="A367" s="280">
        <v>1.1000000000000001</v>
      </c>
      <c r="B367" s="274" t="s">
        <v>1188</v>
      </c>
      <c r="D367" s="274" t="s">
        <v>283</v>
      </c>
      <c r="E367" s="276">
        <f t="shared" si="144"/>
        <v>-23543.494504673436</v>
      </c>
      <c r="F367" s="66">
        <f t="shared" ref="F367:F374" si="158">IF(VLOOKUP($D367,$C$5:$AU$511,3,)=0,0,(VLOOKUP($D367,$C$5:$AU$511,4,)/VLOOKUP($D367,$C$5:$AU$511,3,))*$E367)</f>
        <v>-18979.26371932555</v>
      </c>
      <c r="G367" s="66">
        <f t="shared" ref="G367:G374" si="159">IF(VLOOKUP($D367,$C$5:$AU$511,3,)=0,0,(VLOOKUP($D367,$C$5:$AU$511,5,)/VLOOKUP($D367,$C$5:$AU$511,3,))*$E367)</f>
        <v>-23.166893220436162</v>
      </c>
      <c r="H367" s="66">
        <f t="shared" ref="H367:H374" si="160">IF(VLOOKUP($D367,$C$5:$AU$511,3,)=0,0,(VLOOKUP($D367,$C$5:$AU$511,6,)/VLOOKUP($D367,$C$5:$AU$511,3,))*$E367)</f>
        <v>-57.301344338251447</v>
      </c>
      <c r="I367" s="66">
        <f t="shared" ref="I367:I374" si="161">IF(VLOOKUP($D367,$C$5:$AU$511,3,)=0,0,(VLOOKUP($D367,$C$5:$AU$511,7,)/VLOOKUP($D367,$C$5:$AU$511,3,))*$E367)</f>
        <v>-979.81228982321682</v>
      </c>
      <c r="J367" s="66">
        <f t="shared" ref="J367:J374" si="162">IF(VLOOKUP($D367,$C$5:$AU$511,3,)=0,0,(VLOOKUP($D367,$C$5:$AU$511,8,)/VLOOKUP($D367,$C$5:$AU$511,3,))*$E367)</f>
        <v>-63.430835686944135</v>
      </c>
      <c r="K367" s="66">
        <f t="shared" ref="K367:K374" si="163">IF(VLOOKUP($D367,$C$5:$AU$511,3,)=0,0,(VLOOKUP($D367,$C$5:$AU$511,9,)/VLOOKUP($D367,$C$5:$AU$511,3,))*$E367)</f>
        <v>-158.16719450464873</v>
      </c>
      <c r="L367" s="66">
        <f t="shared" ref="L367:L374" si="164">IF(VLOOKUP($D367,$C$5:$AU$511,3,)=0,0,(VLOOKUP($D367,$C$5:$AU$511,10,)/VLOOKUP($D367,$C$5:$AU$511,3,))*$E367)</f>
        <v>-386.41399447969093</v>
      </c>
      <c r="M367" s="66">
        <f t="shared" ref="M367:M374" si="165">IF(VLOOKUP($D367,$C$5:$AU$511,3,)=0,0,(VLOOKUP($D367,$C$5:$AU$511,11,)/VLOOKUP($D367,$C$5:$AU$511,3,))*$E367)</f>
        <v>-175.87923646755127</v>
      </c>
      <c r="N367" s="66">
        <f t="shared" ref="N367:N374" si="166">IF(VLOOKUP($D367,$C$5:$AU$511,3,)=0,0,(VLOOKUP($D367,$C$5:$AU$511,12,)/VLOOKUP($D367,$C$5:$AU$511,3,))*$E367)</f>
        <v>-338.8300540263582</v>
      </c>
      <c r="O367" s="66">
        <f t="shared" ref="O367:O374" si="167">IF(VLOOKUP($D367,$C$5:$AU$511,3,)=0,0,(VLOOKUP($D367,$C$5:$AU$511,13,)/VLOOKUP($D367,$C$5:$AU$511,3,))*$E367)</f>
        <v>-0.15392214704503523</v>
      </c>
      <c r="P367" s="66">
        <f t="shared" ref="P367:P374" si="168">IF(VLOOKUP($D367,$C$5:$AU$511,3,)=0,0,(VLOOKUP($D367,$C$5:$AU$511,14,)/VLOOKUP($D367,$C$5:$AU$511,3,))*$E367)</f>
        <v>-2381.0750206537436</v>
      </c>
      <c r="Q367" s="66">
        <f t="shared" si="126"/>
        <v>0</v>
      </c>
      <c r="R367" s="66">
        <f t="shared" si="127"/>
        <v>0</v>
      </c>
      <c r="S367" s="66">
        <f t="shared" si="128"/>
        <v>0</v>
      </c>
      <c r="T367" s="66">
        <f t="shared" si="129"/>
        <v>0</v>
      </c>
      <c r="U367" s="66">
        <f t="shared" si="130"/>
        <v>0</v>
      </c>
      <c r="V367" s="66">
        <f t="shared" ref="V367:V374" si="169">IF(VLOOKUP($D367,$C$5:$AU$511,3,)=0,0,(VLOOKUP($D367,$C$5:$AU$511,20,)/VLOOKUP($D367,$C$5:$AU$511,3,))*$E367)</f>
        <v>0</v>
      </c>
      <c r="W367" s="66">
        <f t="shared" ref="W367:W374" si="170">IF(VLOOKUP($D367,$C$5:$AU$511,3,)=0,0,(VLOOKUP($D367,$C$5:$AU$511,21,)/VLOOKUP($D367,$C$5:$AU$511,3,))*$E367)</f>
        <v>0</v>
      </c>
      <c r="X367" s="66">
        <f t="shared" ref="X367:X374" si="171">IF(VLOOKUP($D367,$C$5:$AU$511,3,)=0,0,(VLOOKUP($D367,$C$5:$AU$511,22,)/VLOOKUP($D367,$C$5:$AU$511,3,))*$E367)</f>
        <v>0</v>
      </c>
      <c r="Y367" s="66">
        <f t="shared" ref="Y367:Y374" si="172">IF(VLOOKUP($D367,$C$5:$AU$511,3,)=0,0,(VLOOKUP($D367,$C$5:$AU$511,23,)/VLOOKUP($D367,$C$5:$AU$511,3,))*$E367)</f>
        <v>0</v>
      </c>
      <c r="Z367" s="66">
        <f t="shared" ref="Z367:Z374" si="173">IF(VLOOKUP($D367,$C$5:$AU$511,3,)=0,0,(VLOOKUP($D367,$C$5:$AU$511,24,)/VLOOKUP($D367,$C$5:$AU$511,3,))*$E367)</f>
        <v>0</v>
      </c>
      <c r="AA367" s="66">
        <f t="shared" ref="AA367:AA374" si="174">IF(VLOOKUP($D367,$C$5:$AU$511,3,)=0,0,(VLOOKUP($D367,$C$5:$AU$511,25,)/VLOOKUP($D367,$C$5:$AU$511,3,))*$E367)</f>
        <v>0</v>
      </c>
      <c r="AB367" s="66">
        <f t="shared" ref="AB367:AB374" si="175">IF(VLOOKUP($D367,$C$5:$AU$511,3,)=0,0,(VLOOKUP($D367,$C$5:$AU$511,26,)/VLOOKUP($D367,$C$5:$AU$511,3,))*$E367)</f>
        <v>0</v>
      </c>
      <c r="AC367" s="66">
        <f t="shared" ref="AC367:AC374" si="176">IF(VLOOKUP($D367,$C$5:$AU$511,3,)=0,0,(VLOOKUP($D367,$C$5:$AU$511,27,)/VLOOKUP($D367,$C$5:$AU$511,3,))*$E367)</f>
        <v>0</v>
      </c>
      <c r="AD367" s="66">
        <f t="shared" ref="AD367:AD374" si="177">IF(VLOOKUP($D367,$C$5:$AU$511,3,)=0,0,(VLOOKUP($D367,$C$5:$AU$511,28,)/VLOOKUP($D367,$C$5:$AU$511,3,))*$E367)</f>
        <v>0</v>
      </c>
      <c r="AE367" s="66">
        <f t="shared" ref="AE367:AE374" si="178">IF(VLOOKUP($D367,$C$5:$AU$511,3,)=0,0,(VLOOKUP($D367,$C$5:$AU$511,29,)/VLOOKUP($D367,$C$5:$AU$511,3,))*$E367)</f>
        <v>0</v>
      </c>
      <c r="AF367" s="66">
        <f t="shared" ref="AF367:AF374" si="179">IF(VLOOKUP($D367,$C$5:$AU$511,3,)=0,0,(VLOOKUP($D367,$C$5:$AU$511,30,)/VLOOKUP($D367,$C$5:$AU$511,3,))*$E367)</f>
        <v>0</v>
      </c>
      <c r="AG367" s="276">
        <f t="shared" si="142"/>
        <v>-23543.494504673439</v>
      </c>
      <c r="AH367" s="275" t="str">
        <f t="shared" si="143"/>
        <v>ok</v>
      </c>
      <c r="AK367" s="49">
        <f t="shared" si="145"/>
        <v>1</v>
      </c>
      <c r="AP367" s="49">
        <v>-23543.494504673436</v>
      </c>
    </row>
    <row r="368" spans="1:52" s="274" customFormat="1" x14ac:dyDescent="0.2">
      <c r="A368" s="275">
        <v>1.1100000000000001</v>
      </c>
      <c r="B368" s="274" t="s">
        <v>1030</v>
      </c>
      <c r="D368" s="274" t="s">
        <v>259</v>
      </c>
      <c r="E368" s="276">
        <f t="shared" si="144"/>
        <v>0</v>
      </c>
      <c r="F368" s="66">
        <f t="shared" si="158"/>
        <v>0</v>
      </c>
      <c r="G368" s="66">
        <f t="shared" si="159"/>
        <v>0</v>
      </c>
      <c r="H368" s="66">
        <f t="shared" si="160"/>
        <v>0</v>
      </c>
      <c r="I368" s="66">
        <f t="shared" si="161"/>
        <v>0</v>
      </c>
      <c r="J368" s="66">
        <f t="shared" si="162"/>
        <v>0</v>
      </c>
      <c r="K368" s="66">
        <f t="shared" si="163"/>
        <v>0</v>
      </c>
      <c r="L368" s="66">
        <f t="shared" si="164"/>
        <v>0</v>
      </c>
      <c r="M368" s="66">
        <f t="shared" si="165"/>
        <v>0</v>
      </c>
      <c r="N368" s="66">
        <f t="shared" si="166"/>
        <v>0</v>
      </c>
      <c r="O368" s="66">
        <f t="shared" si="167"/>
        <v>0</v>
      </c>
      <c r="P368" s="66">
        <f t="shared" si="168"/>
        <v>0</v>
      </c>
      <c r="Q368" s="66">
        <f t="shared" si="126"/>
        <v>0</v>
      </c>
      <c r="R368" s="66">
        <f t="shared" si="127"/>
        <v>0</v>
      </c>
      <c r="S368" s="66">
        <f t="shared" si="128"/>
        <v>0</v>
      </c>
      <c r="T368" s="66">
        <f t="shared" si="129"/>
        <v>0</v>
      </c>
      <c r="U368" s="66">
        <f t="shared" si="130"/>
        <v>0</v>
      </c>
      <c r="V368" s="66">
        <f t="shared" si="169"/>
        <v>0</v>
      </c>
      <c r="W368" s="66">
        <f t="shared" si="170"/>
        <v>0</v>
      </c>
      <c r="X368" s="66">
        <f t="shared" si="171"/>
        <v>0</v>
      </c>
      <c r="Y368" s="66">
        <f t="shared" si="172"/>
        <v>0</v>
      </c>
      <c r="Z368" s="66">
        <f t="shared" si="173"/>
        <v>0</v>
      </c>
      <c r="AA368" s="66">
        <f t="shared" si="174"/>
        <v>0</v>
      </c>
      <c r="AB368" s="66">
        <f t="shared" si="175"/>
        <v>0</v>
      </c>
      <c r="AC368" s="66">
        <f t="shared" si="176"/>
        <v>0</v>
      </c>
      <c r="AD368" s="66">
        <f t="shared" si="177"/>
        <v>0</v>
      </c>
      <c r="AE368" s="66">
        <f t="shared" si="178"/>
        <v>0</v>
      </c>
      <c r="AF368" s="66">
        <f t="shared" si="179"/>
        <v>0</v>
      </c>
      <c r="AG368" s="276">
        <f t="shared" si="142"/>
        <v>0</v>
      </c>
      <c r="AH368" s="275" t="str">
        <f t="shared" si="143"/>
        <v>ok</v>
      </c>
      <c r="AK368" s="49">
        <v>0</v>
      </c>
      <c r="AP368" s="49">
        <v>432949.29999999981</v>
      </c>
    </row>
    <row r="369" spans="1:42" s="274" customFormat="1" x14ac:dyDescent="0.2">
      <c r="A369" s="275">
        <v>1.1200000000000001</v>
      </c>
      <c r="B369" s="274" t="s">
        <v>1010</v>
      </c>
      <c r="D369" s="274" t="s">
        <v>283</v>
      </c>
      <c r="E369" s="276">
        <f t="shared" si="144"/>
        <v>318895.00950387097</v>
      </c>
      <c r="F369" s="66">
        <f t="shared" si="158"/>
        <v>257072.81826618311</v>
      </c>
      <c r="G369" s="66">
        <f t="shared" si="159"/>
        <v>313.79397107934244</v>
      </c>
      <c r="H369" s="66">
        <f t="shared" si="160"/>
        <v>776.14275755470476</v>
      </c>
      <c r="I369" s="66">
        <f t="shared" si="161"/>
        <v>13271.489897693855</v>
      </c>
      <c r="J369" s="66">
        <f t="shared" si="162"/>
        <v>859.16629518236005</v>
      </c>
      <c r="K369" s="66">
        <f t="shared" si="163"/>
        <v>2142.3637423386049</v>
      </c>
      <c r="L369" s="66">
        <f t="shared" si="164"/>
        <v>5233.9509080765074</v>
      </c>
      <c r="M369" s="66">
        <f t="shared" si="165"/>
        <v>2382.272129301788</v>
      </c>
      <c r="N369" s="66">
        <f t="shared" si="166"/>
        <v>4589.429716029802</v>
      </c>
      <c r="O369" s="66">
        <f t="shared" si="167"/>
        <v>2.0848648672370729</v>
      </c>
      <c r="P369" s="66">
        <f t="shared" si="168"/>
        <v>32251.496955563674</v>
      </c>
      <c r="Q369" s="66">
        <f t="shared" si="126"/>
        <v>0</v>
      </c>
      <c r="R369" s="66">
        <f t="shared" si="127"/>
        <v>0</v>
      </c>
      <c r="S369" s="66">
        <f t="shared" si="128"/>
        <v>0</v>
      </c>
      <c r="T369" s="66">
        <f t="shared" si="129"/>
        <v>0</v>
      </c>
      <c r="U369" s="66">
        <f t="shared" si="130"/>
        <v>0</v>
      </c>
      <c r="V369" s="66">
        <f t="shared" si="169"/>
        <v>0</v>
      </c>
      <c r="W369" s="66">
        <f t="shared" si="170"/>
        <v>0</v>
      </c>
      <c r="X369" s="66">
        <f t="shared" si="171"/>
        <v>0</v>
      </c>
      <c r="Y369" s="66">
        <f t="shared" si="172"/>
        <v>0</v>
      </c>
      <c r="Z369" s="66">
        <f t="shared" si="173"/>
        <v>0</v>
      </c>
      <c r="AA369" s="66">
        <f t="shared" si="174"/>
        <v>0</v>
      </c>
      <c r="AB369" s="66">
        <f t="shared" si="175"/>
        <v>0</v>
      </c>
      <c r="AC369" s="66">
        <f t="shared" si="176"/>
        <v>0</v>
      </c>
      <c r="AD369" s="66">
        <f t="shared" si="177"/>
        <v>0</v>
      </c>
      <c r="AE369" s="66">
        <f t="shared" si="178"/>
        <v>0</v>
      </c>
      <c r="AF369" s="66">
        <f t="shared" si="179"/>
        <v>0</v>
      </c>
      <c r="AG369" s="276">
        <f t="shared" ref="AG369" si="180">SUM(F369:AF369)</f>
        <v>318895.00950387091</v>
      </c>
      <c r="AH369" s="275" t="str">
        <f t="shared" ref="AH369" si="181">IF(ABS(E369-AG369)&lt;0.01,"ok","err")</f>
        <v>ok</v>
      </c>
      <c r="AK369" s="49">
        <f t="shared" si="145"/>
        <v>1</v>
      </c>
      <c r="AP369" s="49">
        <v>318895.00950387097</v>
      </c>
    </row>
    <row r="370" spans="1:42" s="274" customFormat="1" x14ac:dyDescent="0.2">
      <c r="A370" s="275">
        <v>1.1299999999999999</v>
      </c>
      <c r="B370" s="274" t="s">
        <v>1189</v>
      </c>
      <c r="D370" s="274" t="s">
        <v>283</v>
      </c>
      <c r="E370" s="276">
        <f t="shared" si="144"/>
        <v>16573.196741963144</v>
      </c>
      <c r="F370" s="66">
        <f t="shared" si="158"/>
        <v>13360.254212710319</v>
      </c>
      <c r="G370" s="66">
        <f t="shared" si="159"/>
        <v>16.308092206368336</v>
      </c>
      <c r="H370" s="66">
        <f t="shared" si="160"/>
        <v>40.33668209739664</v>
      </c>
      <c r="I370" s="66">
        <f t="shared" si="161"/>
        <v>689.72861467995676</v>
      </c>
      <c r="J370" s="66">
        <f t="shared" si="162"/>
        <v>44.651473430938054</v>
      </c>
      <c r="K370" s="66">
        <f t="shared" si="163"/>
        <v>111.34014248095389</v>
      </c>
      <c r="L370" s="66">
        <f t="shared" si="164"/>
        <v>272.01209034999232</v>
      </c>
      <c r="M370" s="66">
        <f t="shared" si="165"/>
        <v>123.80834919065968</v>
      </c>
      <c r="N370" s="66">
        <f t="shared" si="166"/>
        <v>238.51587309412147</v>
      </c>
      <c r="O370" s="66">
        <f t="shared" si="167"/>
        <v>0.10835188571587681</v>
      </c>
      <c r="P370" s="66">
        <f t="shared" si="168"/>
        <v>1676.1328598367227</v>
      </c>
      <c r="Q370" s="66">
        <f t="shared" si="126"/>
        <v>0</v>
      </c>
      <c r="R370" s="66">
        <f t="shared" si="127"/>
        <v>0</v>
      </c>
      <c r="S370" s="66">
        <f t="shared" si="128"/>
        <v>0</v>
      </c>
      <c r="T370" s="66">
        <f t="shared" si="129"/>
        <v>0</v>
      </c>
      <c r="U370" s="66">
        <f t="shared" si="130"/>
        <v>0</v>
      </c>
      <c r="V370" s="66">
        <f t="shared" si="169"/>
        <v>0</v>
      </c>
      <c r="W370" s="66">
        <f t="shared" si="170"/>
        <v>0</v>
      </c>
      <c r="X370" s="66">
        <f t="shared" si="171"/>
        <v>0</v>
      </c>
      <c r="Y370" s="66">
        <f t="shared" si="172"/>
        <v>0</v>
      </c>
      <c r="Z370" s="66">
        <f t="shared" si="173"/>
        <v>0</v>
      </c>
      <c r="AA370" s="66">
        <f t="shared" si="174"/>
        <v>0</v>
      </c>
      <c r="AB370" s="66">
        <f t="shared" si="175"/>
        <v>0</v>
      </c>
      <c r="AC370" s="66">
        <f t="shared" si="176"/>
        <v>0</v>
      </c>
      <c r="AD370" s="66">
        <f t="shared" si="177"/>
        <v>0</v>
      </c>
      <c r="AE370" s="66">
        <f t="shared" si="178"/>
        <v>0</v>
      </c>
      <c r="AF370" s="66">
        <f t="shared" si="179"/>
        <v>0</v>
      </c>
      <c r="AG370" s="276">
        <f t="shared" si="142"/>
        <v>16573.196741963147</v>
      </c>
      <c r="AH370" s="275" t="str">
        <f t="shared" si="143"/>
        <v>ok</v>
      </c>
      <c r="AK370" s="49">
        <f t="shared" si="145"/>
        <v>1</v>
      </c>
      <c r="AP370" s="49">
        <v>16573.196741963144</v>
      </c>
    </row>
    <row r="371" spans="1:42" s="274" customFormat="1" x14ac:dyDescent="0.2">
      <c r="A371" s="275">
        <v>1.1399999999999999</v>
      </c>
      <c r="B371" s="274" t="s">
        <v>1190</v>
      </c>
      <c r="D371" s="274" t="s">
        <v>259</v>
      </c>
      <c r="E371" s="276">
        <f t="shared" si="144"/>
        <v>-3326</v>
      </c>
      <c r="F371" s="66">
        <f t="shared" si="158"/>
        <v>-2615.4928091662023</v>
      </c>
      <c r="G371" s="66">
        <f t="shared" si="159"/>
        <v>-2.8265242345015733</v>
      </c>
      <c r="H371" s="66">
        <f t="shared" si="160"/>
        <v>-9.1661667470351595</v>
      </c>
      <c r="I371" s="66">
        <f t="shared" si="161"/>
        <v>-139.55502576569322</v>
      </c>
      <c r="J371" s="66">
        <f t="shared" si="162"/>
        <v>-9.9698950608994519</v>
      </c>
      <c r="K371" s="66">
        <f t="shared" si="163"/>
        <v>-27.354514137916777</v>
      </c>
      <c r="L371" s="66">
        <f t="shared" si="164"/>
        <v>-66.339078249432703</v>
      </c>
      <c r="M371" s="66">
        <f t="shared" si="165"/>
        <v>-29.467721865632821</v>
      </c>
      <c r="N371" s="66">
        <f t="shared" si="166"/>
        <v>-57.473158987921956</v>
      </c>
      <c r="O371" s="66">
        <f t="shared" si="167"/>
        <v>-1.3009493618910111E-2</v>
      </c>
      <c r="P371" s="66">
        <f t="shared" si="168"/>
        <v>-368.34209629114542</v>
      </c>
      <c r="Q371" s="66">
        <f t="shared" si="126"/>
        <v>0</v>
      </c>
      <c r="R371" s="66">
        <f t="shared" si="127"/>
        <v>0</v>
      </c>
      <c r="S371" s="66">
        <f t="shared" si="128"/>
        <v>0</v>
      </c>
      <c r="T371" s="66">
        <f t="shared" si="129"/>
        <v>0</v>
      </c>
      <c r="U371" s="66">
        <f t="shared" si="130"/>
        <v>0</v>
      </c>
      <c r="V371" s="66">
        <f t="shared" si="169"/>
        <v>0</v>
      </c>
      <c r="W371" s="66">
        <f t="shared" si="170"/>
        <v>0</v>
      </c>
      <c r="X371" s="66">
        <f t="shared" si="171"/>
        <v>0</v>
      </c>
      <c r="Y371" s="66">
        <f t="shared" si="172"/>
        <v>0</v>
      </c>
      <c r="Z371" s="66">
        <f t="shared" si="173"/>
        <v>0</v>
      </c>
      <c r="AA371" s="66">
        <f t="shared" si="174"/>
        <v>0</v>
      </c>
      <c r="AB371" s="66">
        <f t="shared" si="175"/>
        <v>0</v>
      </c>
      <c r="AC371" s="66">
        <f t="shared" si="176"/>
        <v>0</v>
      </c>
      <c r="AD371" s="66">
        <f t="shared" si="177"/>
        <v>0</v>
      </c>
      <c r="AE371" s="66">
        <f t="shared" si="178"/>
        <v>0</v>
      </c>
      <c r="AF371" s="66">
        <f t="shared" si="179"/>
        <v>0</v>
      </c>
      <c r="AG371" s="276">
        <f t="shared" si="142"/>
        <v>-3326.0000000000005</v>
      </c>
      <c r="AH371" s="275" t="str">
        <f t="shared" si="143"/>
        <v>ok</v>
      </c>
      <c r="AK371" s="49">
        <f>AK370</f>
        <v>1</v>
      </c>
      <c r="AP371" s="49">
        <v>-3326</v>
      </c>
    </row>
    <row r="372" spans="1:42" s="274" customFormat="1" x14ac:dyDescent="0.2">
      <c r="A372" s="275">
        <v>1.1499999999999999</v>
      </c>
      <c r="B372" s="274" t="s">
        <v>1191</v>
      </c>
      <c r="D372" s="274" t="s">
        <v>283</v>
      </c>
      <c r="E372" s="276">
        <f t="shared" si="144"/>
        <v>-53149</v>
      </c>
      <c r="F372" s="66">
        <f t="shared" si="158"/>
        <v>-42845.334078091029</v>
      </c>
      <c r="G372" s="66">
        <f t="shared" si="159"/>
        <v>-52.298829620579319</v>
      </c>
      <c r="H372" s="66">
        <f t="shared" si="160"/>
        <v>-129.35671676221156</v>
      </c>
      <c r="I372" s="66">
        <f t="shared" si="161"/>
        <v>-2211.9079808427309</v>
      </c>
      <c r="J372" s="66">
        <f t="shared" si="162"/>
        <v>-143.1939292298425</v>
      </c>
      <c r="K372" s="66">
        <f t="shared" si="163"/>
        <v>-357.05949340098516</v>
      </c>
      <c r="L372" s="66">
        <f t="shared" si="164"/>
        <v>-872.32238988669883</v>
      </c>
      <c r="M372" s="66">
        <f t="shared" si="165"/>
        <v>-397.0440979846183</v>
      </c>
      <c r="N372" s="66">
        <f t="shared" si="166"/>
        <v>-764.90253126493985</v>
      </c>
      <c r="O372" s="66">
        <f t="shared" si="167"/>
        <v>-0.34747637788743169</v>
      </c>
      <c r="P372" s="66">
        <f t="shared" si="168"/>
        <v>-5375.2324765384774</v>
      </c>
      <c r="Q372" s="66">
        <f t="shared" si="126"/>
        <v>0</v>
      </c>
      <c r="R372" s="66">
        <f t="shared" si="127"/>
        <v>0</v>
      </c>
      <c r="S372" s="66">
        <f t="shared" si="128"/>
        <v>0</v>
      </c>
      <c r="T372" s="66">
        <f t="shared" si="129"/>
        <v>0</v>
      </c>
      <c r="U372" s="66">
        <f t="shared" si="130"/>
        <v>0</v>
      </c>
      <c r="V372" s="66">
        <f t="shared" si="169"/>
        <v>0</v>
      </c>
      <c r="W372" s="66">
        <f t="shared" si="170"/>
        <v>0</v>
      </c>
      <c r="X372" s="66">
        <f t="shared" si="171"/>
        <v>0</v>
      </c>
      <c r="Y372" s="66">
        <f t="shared" si="172"/>
        <v>0</v>
      </c>
      <c r="Z372" s="66">
        <f t="shared" si="173"/>
        <v>0</v>
      </c>
      <c r="AA372" s="66">
        <f t="shared" si="174"/>
        <v>0</v>
      </c>
      <c r="AB372" s="66">
        <f t="shared" si="175"/>
        <v>0</v>
      </c>
      <c r="AC372" s="66">
        <f t="shared" si="176"/>
        <v>0</v>
      </c>
      <c r="AD372" s="66">
        <f t="shared" si="177"/>
        <v>0</v>
      </c>
      <c r="AE372" s="66">
        <f t="shared" si="178"/>
        <v>0</v>
      </c>
      <c r="AF372" s="66">
        <f t="shared" si="179"/>
        <v>0</v>
      </c>
      <c r="AG372" s="276">
        <f t="shared" ref="AG372" si="182">SUM(F372:AF372)</f>
        <v>-53149</v>
      </c>
      <c r="AH372" s="275" t="str">
        <f t="shared" ref="AH372" si="183">IF(ABS(E372-AG372)&lt;0.01,"ok","err")</f>
        <v>ok</v>
      </c>
      <c r="AK372" s="49">
        <f t="shared" si="145"/>
        <v>1</v>
      </c>
      <c r="AP372" s="49">
        <v>-53149</v>
      </c>
    </row>
    <row r="373" spans="1:42" s="274" customFormat="1" hidden="1" x14ac:dyDescent="0.2">
      <c r="A373" s="275"/>
      <c r="B373" s="274" t="s">
        <v>1012</v>
      </c>
      <c r="D373" s="274" t="s">
        <v>259</v>
      </c>
      <c r="E373" s="276">
        <f t="shared" si="144"/>
        <v>0</v>
      </c>
      <c r="F373" s="66">
        <f t="shared" si="158"/>
        <v>0</v>
      </c>
      <c r="G373" s="66">
        <f t="shared" si="159"/>
        <v>0</v>
      </c>
      <c r="H373" s="66">
        <f t="shared" si="160"/>
        <v>0</v>
      </c>
      <c r="I373" s="66">
        <f t="shared" si="161"/>
        <v>0</v>
      </c>
      <c r="J373" s="66">
        <f t="shared" si="162"/>
        <v>0</v>
      </c>
      <c r="K373" s="66">
        <f t="shared" si="163"/>
        <v>0</v>
      </c>
      <c r="L373" s="66">
        <f t="shared" si="164"/>
        <v>0</v>
      </c>
      <c r="M373" s="66">
        <f t="shared" si="165"/>
        <v>0</v>
      </c>
      <c r="N373" s="66">
        <f t="shared" si="166"/>
        <v>0</v>
      </c>
      <c r="O373" s="66">
        <f t="shared" si="167"/>
        <v>0</v>
      </c>
      <c r="P373" s="66">
        <f t="shared" si="168"/>
        <v>0</v>
      </c>
      <c r="Q373" s="66">
        <f t="shared" si="126"/>
        <v>0</v>
      </c>
      <c r="R373" s="66">
        <f t="shared" si="127"/>
        <v>0</v>
      </c>
      <c r="S373" s="66">
        <f t="shared" si="128"/>
        <v>0</v>
      </c>
      <c r="T373" s="66">
        <f t="shared" si="129"/>
        <v>0</v>
      </c>
      <c r="U373" s="66">
        <f t="shared" si="130"/>
        <v>0</v>
      </c>
      <c r="V373" s="66">
        <f t="shared" si="169"/>
        <v>0</v>
      </c>
      <c r="W373" s="66">
        <f t="shared" si="170"/>
        <v>0</v>
      </c>
      <c r="X373" s="66">
        <f t="shared" si="171"/>
        <v>0</v>
      </c>
      <c r="Y373" s="66">
        <f t="shared" si="172"/>
        <v>0</v>
      </c>
      <c r="Z373" s="66">
        <f t="shared" si="173"/>
        <v>0</v>
      </c>
      <c r="AA373" s="66">
        <f t="shared" si="174"/>
        <v>0</v>
      </c>
      <c r="AB373" s="66">
        <f t="shared" si="175"/>
        <v>0</v>
      </c>
      <c r="AC373" s="66">
        <f t="shared" si="176"/>
        <v>0</v>
      </c>
      <c r="AD373" s="66">
        <f t="shared" si="177"/>
        <v>0</v>
      </c>
      <c r="AE373" s="66">
        <f t="shared" si="178"/>
        <v>0</v>
      </c>
      <c r="AF373" s="66">
        <f t="shared" si="179"/>
        <v>0</v>
      </c>
      <c r="AG373" s="276">
        <f>SUM(F373:AF373)</f>
        <v>0</v>
      </c>
      <c r="AH373" s="275" t="str">
        <f>IF(ABS(E373-AG373)&lt;0.01,"ok","err")</f>
        <v>ok</v>
      </c>
      <c r="AK373" s="49">
        <f t="shared" si="145"/>
        <v>1</v>
      </c>
    </row>
    <row r="374" spans="1:42" s="274" customFormat="1" hidden="1" x14ac:dyDescent="0.2">
      <c r="A374" s="274">
        <v>17</v>
      </c>
      <c r="D374" s="274" t="s">
        <v>259</v>
      </c>
      <c r="E374" s="276">
        <v>0</v>
      </c>
      <c r="F374" s="66">
        <f t="shared" si="158"/>
        <v>0</v>
      </c>
      <c r="G374" s="66">
        <f t="shared" si="159"/>
        <v>0</v>
      </c>
      <c r="H374" s="66">
        <f t="shared" si="160"/>
        <v>0</v>
      </c>
      <c r="I374" s="66">
        <f t="shared" si="161"/>
        <v>0</v>
      </c>
      <c r="J374" s="66">
        <f t="shared" si="162"/>
        <v>0</v>
      </c>
      <c r="K374" s="66">
        <f t="shared" si="163"/>
        <v>0</v>
      </c>
      <c r="L374" s="66">
        <f t="shared" si="164"/>
        <v>0</v>
      </c>
      <c r="M374" s="66">
        <f t="shared" si="165"/>
        <v>0</v>
      </c>
      <c r="N374" s="66">
        <f t="shared" si="166"/>
        <v>0</v>
      </c>
      <c r="O374" s="66">
        <f t="shared" si="167"/>
        <v>0</v>
      </c>
      <c r="P374" s="66">
        <f t="shared" si="168"/>
        <v>0</v>
      </c>
      <c r="Q374" s="66">
        <f t="shared" si="126"/>
        <v>0</v>
      </c>
      <c r="R374" s="66">
        <f t="shared" si="127"/>
        <v>0</v>
      </c>
      <c r="S374" s="66">
        <f t="shared" si="128"/>
        <v>0</v>
      </c>
      <c r="T374" s="66">
        <f t="shared" si="129"/>
        <v>0</v>
      </c>
      <c r="U374" s="66">
        <f t="shared" si="130"/>
        <v>0</v>
      </c>
      <c r="V374" s="66">
        <f t="shared" si="169"/>
        <v>0</v>
      </c>
      <c r="W374" s="66">
        <f t="shared" si="170"/>
        <v>0</v>
      </c>
      <c r="X374" s="66">
        <f t="shared" si="171"/>
        <v>0</v>
      </c>
      <c r="Y374" s="66">
        <f t="shared" si="172"/>
        <v>0</v>
      </c>
      <c r="Z374" s="66">
        <f t="shared" si="173"/>
        <v>0</v>
      </c>
      <c r="AA374" s="66">
        <f t="shared" si="174"/>
        <v>0</v>
      </c>
      <c r="AB374" s="66">
        <f t="shared" si="175"/>
        <v>0</v>
      </c>
      <c r="AC374" s="66">
        <f t="shared" si="176"/>
        <v>0</v>
      </c>
      <c r="AD374" s="66">
        <f t="shared" si="177"/>
        <v>0</v>
      </c>
      <c r="AE374" s="66">
        <f t="shared" si="178"/>
        <v>0</v>
      </c>
      <c r="AF374" s="66">
        <f t="shared" si="179"/>
        <v>0</v>
      </c>
      <c r="AG374" s="276">
        <f t="shared" si="142"/>
        <v>0</v>
      </c>
      <c r="AH374" s="275" t="str">
        <f t="shared" si="143"/>
        <v>ok</v>
      </c>
      <c r="AK374" s="49"/>
    </row>
    <row r="375" spans="1:42" s="274" customFormat="1" x14ac:dyDescent="0.2">
      <c r="B375" s="281" t="s">
        <v>897</v>
      </c>
      <c r="E375" s="282">
        <f t="shared" ref="E375:R375" si="184">SUM(E358:E374)</f>
        <v>769264.94156786089</v>
      </c>
      <c r="F375" s="282">
        <f t="shared" si="184"/>
        <v>359366.62287371204</v>
      </c>
      <c r="G375" s="282">
        <f t="shared" si="184"/>
        <v>-61.873795099373268</v>
      </c>
      <c r="H375" s="282">
        <f t="shared" si="184"/>
        <v>-274.33658061358574</v>
      </c>
      <c r="I375" s="282">
        <f t="shared" si="184"/>
        <v>49440.355720557578</v>
      </c>
      <c r="J375" s="282">
        <f t="shared" si="184"/>
        <v>355.06362979877235</v>
      </c>
      <c r="K375" s="282">
        <f t="shared" si="184"/>
        <v>35626.760493301001</v>
      </c>
      <c r="L375" s="282">
        <f t="shared" si="184"/>
        <v>337837.14116082096</v>
      </c>
      <c r="M375" s="282">
        <f t="shared" si="184"/>
        <v>-972.58228952109494</v>
      </c>
      <c r="N375" s="282">
        <f t="shared" si="184"/>
        <v>-1942.1221938030053</v>
      </c>
      <c r="O375" s="282">
        <f t="shared" si="184"/>
        <v>0.40160293872801711</v>
      </c>
      <c r="P375" s="282">
        <f t="shared" si="184"/>
        <v>-10110.489054231108</v>
      </c>
      <c r="Q375" s="282">
        <f t="shared" si="184"/>
        <v>0</v>
      </c>
      <c r="R375" s="282">
        <f t="shared" si="184"/>
        <v>0</v>
      </c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282">
        <f t="shared" si="142"/>
        <v>769264.94156786101</v>
      </c>
      <c r="AH375" s="275" t="str">
        <f t="shared" si="143"/>
        <v>ok</v>
      </c>
      <c r="AK375" s="49"/>
    </row>
    <row r="376" spans="1:42" x14ac:dyDescent="0.2">
      <c r="E376" s="89"/>
    </row>
    <row r="377" spans="1:42" x14ac:dyDescent="0.2">
      <c r="A377" s="14" t="s">
        <v>571</v>
      </c>
      <c r="E377" s="89">
        <f t="shared" ref="E377:R377" si="185">E355+E375</f>
        <v>154515266.02156785</v>
      </c>
      <c r="F377" s="89">
        <f t="shared" si="185"/>
        <v>105281842.15644509</v>
      </c>
      <c r="G377" s="89">
        <f t="shared" si="185"/>
        <v>44258.697414137117</v>
      </c>
      <c r="H377" s="89">
        <f t="shared" si="185"/>
        <v>107803.52325236668</v>
      </c>
      <c r="I377" s="89">
        <f t="shared" si="185"/>
        <v>8707460.2075074818</v>
      </c>
      <c r="J377" s="89">
        <f t="shared" si="185"/>
        <v>197760.83507194996</v>
      </c>
      <c r="K377" s="89">
        <f t="shared" si="185"/>
        <v>3416833.3891001972</v>
      </c>
      <c r="L377" s="89">
        <f t="shared" si="185"/>
        <v>10758731.654790429</v>
      </c>
      <c r="M377" s="89">
        <f t="shared" si="185"/>
        <v>5389041.4267492648</v>
      </c>
      <c r="N377" s="89">
        <f t="shared" si="185"/>
        <v>10526753.736642484</v>
      </c>
      <c r="O377" s="89">
        <f t="shared" si="185"/>
        <v>6202694.5739951022</v>
      </c>
      <c r="P377" s="89">
        <f t="shared" si="185"/>
        <v>3882085.8205993413</v>
      </c>
      <c r="Q377" s="89">
        <f t="shared" si="185"/>
        <v>0</v>
      </c>
      <c r="R377" s="89">
        <f t="shared" si="185"/>
        <v>0</v>
      </c>
      <c r="S377" s="89">
        <f t="shared" ref="S377:AF377" si="186">SUM(S355:S376)</f>
        <v>0</v>
      </c>
      <c r="T377" s="89">
        <f t="shared" si="186"/>
        <v>0</v>
      </c>
      <c r="U377" s="89">
        <f t="shared" si="186"/>
        <v>0</v>
      </c>
      <c r="V377" s="89">
        <f t="shared" si="186"/>
        <v>0</v>
      </c>
      <c r="W377" s="89">
        <f t="shared" si="186"/>
        <v>0</v>
      </c>
      <c r="X377" s="89">
        <f t="shared" si="186"/>
        <v>0</v>
      </c>
      <c r="Y377" s="89">
        <f t="shared" si="186"/>
        <v>0</v>
      </c>
      <c r="Z377" s="89">
        <f t="shared" si="186"/>
        <v>0</v>
      </c>
      <c r="AA377" s="89">
        <f t="shared" si="186"/>
        <v>0</v>
      </c>
      <c r="AB377" s="89">
        <f t="shared" si="186"/>
        <v>0</v>
      </c>
      <c r="AC377" s="89">
        <f t="shared" si="186"/>
        <v>0</v>
      </c>
      <c r="AD377" s="89">
        <f t="shared" si="186"/>
        <v>0</v>
      </c>
      <c r="AE377" s="89">
        <f t="shared" si="186"/>
        <v>0</v>
      </c>
      <c r="AF377" s="89">
        <f t="shared" si="186"/>
        <v>0</v>
      </c>
      <c r="AG377" s="89">
        <f>SUM(F377:AF377)</f>
        <v>154515266.02156785</v>
      </c>
      <c r="AH377" s="27" t="str">
        <f>IF(ABS(E377-AG377)&lt;0.01,"ok","err")</f>
        <v>ok</v>
      </c>
    </row>
    <row r="379" spans="1:42" x14ac:dyDescent="0.2">
      <c r="A379" s="13" t="s">
        <v>572</v>
      </c>
      <c r="E379" s="89">
        <f t="shared" ref="E379:AF379" si="187">E351-E377</f>
        <v>4064844.7285583019</v>
      </c>
      <c r="F379" s="89">
        <f t="shared" si="187"/>
        <v>1328229.2835863829</v>
      </c>
      <c r="G379" s="89">
        <f t="shared" si="187"/>
        <v>-3117.6711772376439</v>
      </c>
      <c r="H379" s="89">
        <f t="shared" si="187"/>
        <v>-82534.790734117531</v>
      </c>
      <c r="I379" s="89">
        <f t="shared" si="187"/>
        <v>3406170.7764377203</v>
      </c>
      <c r="J379" s="89">
        <f t="shared" si="187"/>
        <v>11727.648249186808</v>
      </c>
      <c r="K379" s="89">
        <f t="shared" si="187"/>
        <v>425385.53931982536</v>
      </c>
      <c r="L379" s="89">
        <f t="shared" si="187"/>
        <v>141027.05037590116</v>
      </c>
      <c r="M379" s="89">
        <f t="shared" si="187"/>
        <v>63088.97864829842</v>
      </c>
      <c r="N379" s="89">
        <f t="shared" si="187"/>
        <v>145890.9458329659</v>
      </c>
      <c r="O379" s="89">
        <f t="shared" si="187"/>
        <v>34462.714688706212</v>
      </c>
      <c r="P379" s="89">
        <f t="shared" si="187"/>
        <v>-1405485.7466693027</v>
      </c>
      <c r="Q379" s="89">
        <f t="shared" si="187"/>
        <v>0</v>
      </c>
      <c r="R379" s="89">
        <f t="shared" si="187"/>
        <v>0</v>
      </c>
      <c r="S379" s="89">
        <f t="shared" si="187"/>
        <v>0</v>
      </c>
      <c r="T379" s="89">
        <f t="shared" si="187"/>
        <v>0</v>
      </c>
      <c r="U379" s="89">
        <f t="shared" si="187"/>
        <v>0</v>
      </c>
      <c r="V379" s="89">
        <f t="shared" si="187"/>
        <v>0</v>
      </c>
      <c r="W379" s="89">
        <f t="shared" si="187"/>
        <v>0</v>
      </c>
      <c r="X379" s="89">
        <f t="shared" si="187"/>
        <v>0</v>
      </c>
      <c r="Y379" s="89">
        <f t="shared" si="187"/>
        <v>0</v>
      </c>
      <c r="Z379" s="89">
        <f t="shared" si="187"/>
        <v>0</v>
      </c>
      <c r="AA379" s="89">
        <f t="shared" si="187"/>
        <v>0</v>
      </c>
      <c r="AB379" s="89">
        <f t="shared" si="187"/>
        <v>0</v>
      </c>
      <c r="AC379" s="89">
        <f t="shared" si="187"/>
        <v>0</v>
      </c>
      <c r="AD379" s="89">
        <f t="shared" si="187"/>
        <v>0</v>
      </c>
      <c r="AE379" s="89">
        <f t="shared" si="187"/>
        <v>0</v>
      </c>
      <c r="AF379" s="89">
        <f t="shared" si="187"/>
        <v>0</v>
      </c>
      <c r="AG379" s="89">
        <f>SUM(F379:AF379)</f>
        <v>4064844.7285583289</v>
      </c>
      <c r="AH379" s="27" t="str">
        <f>IF(ABS(E379-AG379)&lt;0.01,"ok","err")</f>
        <v>ok</v>
      </c>
    </row>
    <row r="381" spans="1:42" x14ac:dyDescent="0.2">
      <c r="A381" s="13" t="s">
        <v>247</v>
      </c>
      <c r="E381" s="89">
        <f t="shared" ref="E381:AF381" si="188">E328</f>
        <v>208265098.57324994</v>
      </c>
      <c r="F381" s="89">
        <f t="shared" si="188"/>
        <v>163775065.45959878</v>
      </c>
      <c r="G381" s="89">
        <f t="shared" si="188"/>
        <v>176989.2809134546</v>
      </c>
      <c r="H381" s="89">
        <f t="shared" si="188"/>
        <v>573960.49943178694</v>
      </c>
      <c r="I381" s="89">
        <f t="shared" si="188"/>
        <v>8738557.185052475</v>
      </c>
      <c r="J381" s="89">
        <f t="shared" si="188"/>
        <v>624287.78641707217</v>
      </c>
      <c r="K381" s="89">
        <f t="shared" si="188"/>
        <v>1712865.479060913</v>
      </c>
      <c r="L381" s="89">
        <f t="shared" si="188"/>
        <v>4153973.1421757797</v>
      </c>
      <c r="M381" s="89">
        <f t="shared" si="188"/>
        <v>1845188.8151157945</v>
      </c>
      <c r="N381" s="89">
        <f t="shared" si="188"/>
        <v>3598813.3258976643</v>
      </c>
      <c r="O381" s="89">
        <f t="shared" si="188"/>
        <v>814.61920352687321</v>
      </c>
      <c r="P381" s="89">
        <f t="shared" si="188"/>
        <v>23064582.980382718</v>
      </c>
      <c r="Q381" s="89">
        <f t="shared" si="188"/>
        <v>0</v>
      </c>
      <c r="R381" s="89">
        <f t="shared" si="188"/>
        <v>0</v>
      </c>
      <c r="S381" s="89">
        <f t="shared" si="188"/>
        <v>0</v>
      </c>
      <c r="T381" s="89">
        <f t="shared" si="188"/>
        <v>0</v>
      </c>
      <c r="U381" s="89">
        <f t="shared" si="188"/>
        <v>0</v>
      </c>
      <c r="V381" s="89">
        <f t="shared" si="188"/>
        <v>0</v>
      </c>
      <c r="W381" s="89">
        <f t="shared" si="188"/>
        <v>0</v>
      </c>
      <c r="X381" s="89">
        <f t="shared" si="188"/>
        <v>0</v>
      </c>
      <c r="Y381" s="89">
        <f t="shared" si="188"/>
        <v>0</v>
      </c>
      <c r="Z381" s="89">
        <f t="shared" si="188"/>
        <v>0</v>
      </c>
      <c r="AA381" s="89">
        <f t="shared" si="188"/>
        <v>0</v>
      </c>
      <c r="AB381" s="89">
        <f t="shared" si="188"/>
        <v>0</v>
      </c>
      <c r="AC381" s="89">
        <f t="shared" si="188"/>
        <v>0</v>
      </c>
      <c r="AD381" s="89">
        <f t="shared" si="188"/>
        <v>0</v>
      </c>
      <c r="AE381" s="89">
        <f t="shared" si="188"/>
        <v>0</v>
      </c>
      <c r="AF381" s="89">
        <f t="shared" si="188"/>
        <v>0</v>
      </c>
      <c r="AG381" s="89">
        <f>SUM(F381:AF381)</f>
        <v>208265098.57324997</v>
      </c>
      <c r="AH381" s="27" t="str">
        <f>IF(ABS(E381-AG381)&lt;0.01,"ok","err")</f>
        <v>ok</v>
      </c>
    </row>
    <row r="382" spans="1:42" x14ac:dyDescent="0.2">
      <c r="A382" s="14" t="s">
        <v>748</v>
      </c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27"/>
    </row>
    <row r="383" spans="1:42" x14ac:dyDescent="0.2">
      <c r="A383" s="13"/>
      <c r="B383" s="14" t="s">
        <v>1011</v>
      </c>
      <c r="D383" s="14" t="s">
        <v>259</v>
      </c>
      <c r="E383" s="89">
        <v>0</v>
      </c>
      <c r="F383" s="66">
        <f>IF(VLOOKUP($D383,$C$5:$AU$511,3,)=0,0,(VLOOKUP($D383,$C$5:$AU$511,4,)/VLOOKUP($D383,$C$5:$AU$511,3,))*$E383)</f>
        <v>0</v>
      </c>
      <c r="G383" s="66">
        <f>IF(VLOOKUP($D383,$C$5:$AU$511,3,)=0,0,(VLOOKUP($D383,$C$5:$AU$511,5,)/VLOOKUP($D383,$C$5:$AU$511,3,))*$E383)</f>
        <v>0</v>
      </c>
      <c r="H383" s="66">
        <f>IF(VLOOKUP($D383,$C$5:$AU$511,3,)=0,0,(VLOOKUP($D383,$C$5:$AU$511,6,)/VLOOKUP($D383,$C$5:$AU$511,3,))*$E383)</f>
        <v>0</v>
      </c>
      <c r="I383" s="66">
        <f>IF(VLOOKUP($D383,$C$5:$AU$511,3,)=0,0,(VLOOKUP($D383,$C$5:$AU$511,7,)/VLOOKUP($D383,$C$5:$AU$511,3,))*$E383)</f>
        <v>0</v>
      </c>
      <c r="J383" s="66">
        <f>IF(VLOOKUP($D383,$C$5:$AU$511,3,)=0,0,(VLOOKUP($D383,$C$5:$AU$511,8,)/VLOOKUP($D383,$C$5:$AU$511,3,))*$E383)</f>
        <v>0</v>
      </c>
      <c r="K383" s="66">
        <f>IF(VLOOKUP($D383,$C$5:$AU$511,3,)=0,0,(VLOOKUP($D383,$C$5:$AU$511,9,)/VLOOKUP($D383,$C$5:$AU$511,3,))*$E383)</f>
        <v>0</v>
      </c>
      <c r="L383" s="66">
        <f>IF(VLOOKUP($D383,$C$5:$AU$511,3,)=0,0,(VLOOKUP($D383,$C$5:$AU$511,10,)/VLOOKUP($D383,$C$5:$AU$511,3,))*$E383)</f>
        <v>0</v>
      </c>
      <c r="M383" s="66">
        <f>IF(VLOOKUP($D383,$C$5:$AU$511,3,)=0,0,(VLOOKUP($D383,$C$5:$AU$511,11,)/VLOOKUP($D383,$C$5:$AU$511,3,))*$E383)</f>
        <v>0</v>
      </c>
      <c r="N383" s="66">
        <f>IF(VLOOKUP($D383,$C$5:$AU$511,3,)=0,0,(VLOOKUP($D383,$C$5:$AU$511,12,)/VLOOKUP($D383,$C$5:$AU$511,3,))*$E383)</f>
        <v>0</v>
      </c>
      <c r="O383" s="66">
        <f>IF(VLOOKUP($D383,$C$5:$AU$511,3,)=0,0,(VLOOKUP($D383,$C$5:$AU$511,13,)/VLOOKUP($D383,$C$5:$AU$511,3,))*$E383)</f>
        <v>0</v>
      </c>
      <c r="P383" s="66">
        <f>IF(VLOOKUP($D383,$C$5:$AU$511,3,)=0,0,(VLOOKUP($D383,$C$5:$AU$511,14,)/VLOOKUP($D383,$C$5:$AU$511,3,))*$E383)</f>
        <v>0</v>
      </c>
      <c r="Q383" s="66">
        <f>IF(VLOOKUP($D383,$C$5:$AU$511,3,)=0,0,(VLOOKUP($D383,$C$5:$AU$511,15,)/VLOOKUP($D383,$C$5:$AU$511,3,))*$E383)</f>
        <v>0</v>
      </c>
      <c r="R383" s="66">
        <f>IF(VLOOKUP($D383,$C$5:$AU$511,3,)=0,0,(VLOOKUP($D383,$C$5:$AU$511,16,)/VLOOKUP($D383,$C$5:$AU$511,3,))*$E383)</f>
        <v>0</v>
      </c>
      <c r="S383" s="66">
        <f>IF(VLOOKUP($D383,$C$5:$AU$511,3,)=0,0,(VLOOKUP($D383,$C$5:$AU$511,17,)/VLOOKUP($D383,$C$5:$AU$511,3,))*$E383)</f>
        <v>0</v>
      </c>
      <c r="T383" s="66">
        <f>IF(VLOOKUP($D383,$C$5:$AU$511,3,)=0,0,(VLOOKUP($D383,$C$5:$AU$511,18,)/VLOOKUP($D383,$C$5:$AU$511,3,))*$E383)</f>
        <v>0</v>
      </c>
      <c r="U383" s="66">
        <f>IF(VLOOKUP($D383,$C$5:$AU$511,3,)=0,0,(VLOOKUP($D383,$C$5:$AU$511,19,)/VLOOKUP($D383,$C$5:$AU$511,3,))*$E383)</f>
        <v>0</v>
      </c>
      <c r="V383" s="66">
        <f>IF(VLOOKUP($D383,$C$5:$AU$511,3,)=0,0,(VLOOKUP($D383,$C$5:$AU$511,20,)/VLOOKUP($D383,$C$5:$AU$511,3,))*$E383)</f>
        <v>0</v>
      </c>
      <c r="W383" s="66">
        <f>IF(VLOOKUP($D383,$C$5:$AU$511,3,)=0,0,(VLOOKUP($D383,$C$5:$AU$511,21,)/VLOOKUP($D383,$C$5:$AU$511,3,))*$E383)</f>
        <v>0</v>
      </c>
      <c r="X383" s="66">
        <f>IF(VLOOKUP($D383,$C$5:$AU$511,3,)=0,0,(VLOOKUP($D383,$C$5:$AU$511,22,)/VLOOKUP($D383,$C$5:$AU$511,3,))*$E383)</f>
        <v>0</v>
      </c>
      <c r="Y383" s="66">
        <f>IF(VLOOKUP($D383,$C$5:$AU$511,3,)=0,0,(VLOOKUP($D383,$C$5:$AU$511,23,)/VLOOKUP($D383,$C$5:$AU$511,3,))*$E383)</f>
        <v>0</v>
      </c>
      <c r="Z383" s="66">
        <f>IF(VLOOKUP($D383,$C$5:$AU$511,3,)=0,0,(VLOOKUP($D383,$C$5:$AU$511,24,)/VLOOKUP($D383,$C$5:$AU$511,3,))*$E383)</f>
        <v>0</v>
      </c>
      <c r="AA383" s="66">
        <f>IF(VLOOKUP($D383,$C$5:$AU$511,3,)=0,0,(VLOOKUP($D383,$C$5:$AU$511,25,)/VLOOKUP($D383,$C$5:$AU$511,3,))*$E383)</f>
        <v>0</v>
      </c>
      <c r="AB383" s="66">
        <f>IF(VLOOKUP($D383,$C$5:$AU$511,3,)=0,0,(VLOOKUP($D383,$C$5:$AU$511,26,)/VLOOKUP($D383,$C$5:$AU$511,3,))*$E383)</f>
        <v>0</v>
      </c>
      <c r="AC383" s="66">
        <f>IF(VLOOKUP($D383,$C$5:$AU$511,3,)=0,0,(VLOOKUP($D383,$C$5:$AU$511,27,)/VLOOKUP($D383,$C$5:$AU$511,3,))*$E383)</f>
        <v>0</v>
      </c>
      <c r="AD383" s="66">
        <f>IF(VLOOKUP($D383,$C$5:$AU$511,3,)=0,0,(VLOOKUP($D383,$C$5:$AU$511,28,)/VLOOKUP($D383,$C$5:$AU$511,3,))*$E383)</f>
        <v>0</v>
      </c>
      <c r="AE383" s="66">
        <f>IF(VLOOKUP($D383,$C$5:$AU$511,3,)=0,0,(VLOOKUP($D383,$C$5:$AU$511,29,)/VLOOKUP($D383,$C$5:$AU$511,3,))*$E383)</f>
        <v>0</v>
      </c>
      <c r="AF383" s="66">
        <f>IF(VLOOKUP($D383,$C$5:$AU$511,3,)=0,0,(VLOOKUP($D383,$C$5:$AU$511,30,)/VLOOKUP($D383,$C$5:$AU$511,3,))*$E383)</f>
        <v>0</v>
      </c>
      <c r="AG383" s="89">
        <f>SUM(F383:AF383)</f>
        <v>0</v>
      </c>
      <c r="AH383" s="27" t="str">
        <f>IF(ABS(E383-AG383)&lt;0.01,"ok","err")</f>
        <v>ok</v>
      </c>
    </row>
    <row r="384" spans="1:42" x14ac:dyDescent="0.2">
      <c r="A384" s="13"/>
      <c r="E384" s="89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89"/>
      <c r="AH384" s="27"/>
    </row>
    <row r="385" spans="1:34" x14ac:dyDescent="0.2">
      <c r="A385" s="14" t="s">
        <v>747</v>
      </c>
      <c r="E385" s="89">
        <f>E381+E383</f>
        <v>208265098.57324994</v>
      </c>
      <c r="F385" s="89">
        <f t="shared" ref="F385:U385" si="189">F381+F383</f>
        <v>163775065.45959878</v>
      </c>
      <c r="G385" s="89">
        <f t="shared" si="189"/>
        <v>176989.2809134546</v>
      </c>
      <c r="H385" s="89">
        <f t="shared" si="189"/>
        <v>573960.49943178694</v>
      </c>
      <c r="I385" s="89">
        <f t="shared" si="189"/>
        <v>8738557.185052475</v>
      </c>
      <c r="J385" s="89">
        <f t="shared" si="189"/>
        <v>624287.78641707217</v>
      </c>
      <c r="K385" s="89">
        <f t="shared" si="189"/>
        <v>1712865.479060913</v>
      </c>
      <c r="L385" s="89">
        <f t="shared" si="189"/>
        <v>4153973.1421757797</v>
      </c>
      <c r="M385" s="89">
        <f t="shared" si="189"/>
        <v>1845188.8151157945</v>
      </c>
      <c r="N385" s="89">
        <f t="shared" si="189"/>
        <v>3598813.3258976643</v>
      </c>
      <c r="O385" s="89">
        <f t="shared" si="189"/>
        <v>814.61920352687321</v>
      </c>
      <c r="P385" s="89">
        <f>P381+P383</f>
        <v>23064582.980382718</v>
      </c>
      <c r="Q385" s="89">
        <f t="shared" si="189"/>
        <v>0</v>
      </c>
      <c r="R385" s="89">
        <f t="shared" si="189"/>
        <v>0</v>
      </c>
      <c r="S385" s="66">
        <f t="shared" si="189"/>
        <v>0</v>
      </c>
      <c r="T385" s="66">
        <f t="shared" si="189"/>
        <v>0</v>
      </c>
      <c r="U385" s="66">
        <f t="shared" si="189"/>
        <v>0</v>
      </c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89">
        <f>SUM(F385:AF385)</f>
        <v>208265098.57324997</v>
      </c>
      <c r="AH385" s="27" t="str">
        <f>IF(ABS(E385-AG385)&lt;0.01,"ok","err")</f>
        <v>ok</v>
      </c>
    </row>
    <row r="386" spans="1:34" ht="13.5" thickBot="1" x14ac:dyDescent="0.25"/>
    <row r="387" spans="1:34" ht="13.5" thickBot="1" x14ac:dyDescent="0.25">
      <c r="A387" s="180" t="s">
        <v>332</v>
      </c>
      <c r="B387" s="181"/>
      <c r="C387" s="181"/>
      <c r="D387" s="181"/>
      <c r="E387" s="99">
        <f t="shared" ref="E387:R387" si="190">E379/E385</f>
        <v>1.9517647250572017E-2</v>
      </c>
      <c r="F387" s="99">
        <f t="shared" si="190"/>
        <v>8.1100824466715914E-3</v>
      </c>
      <c r="G387" s="99">
        <f t="shared" si="190"/>
        <v>-1.761502821609939E-2</v>
      </c>
      <c r="H387" s="99">
        <f t="shared" si="190"/>
        <v>-0.14379872973109795</v>
      </c>
      <c r="I387" s="99">
        <f t="shared" si="190"/>
        <v>0.3897864034424427</v>
      </c>
      <c r="J387" s="99">
        <f t="shared" si="190"/>
        <v>1.878564422426781E-2</v>
      </c>
      <c r="K387" s="99">
        <f t="shared" si="190"/>
        <v>0.24834731303770866</v>
      </c>
      <c r="L387" s="99">
        <f t="shared" si="190"/>
        <v>3.3949918680031145E-2</v>
      </c>
      <c r="M387" s="99">
        <f t="shared" si="190"/>
        <v>3.41910692995065E-2</v>
      </c>
      <c r="N387" s="99">
        <f t="shared" si="190"/>
        <v>4.05386255472353E-2</v>
      </c>
      <c r="O387" s="99">
        <f t="shared" si="190"/>
        <v>42.305306012307049</v>
      </c>
      <c r="P387" s="99">
        <f t="shared" si="190"/>
        <v>-6.0936967638422962E-2</v>
      </c>
      <c r="Q387" s="99" t="e">
        <f t="shared" si="190"/>
        <v>#DIV/0!</v>
      </c>
      <c r="R387" s="99" t="e">
        <f t="shared" si="190"/>
        <v>#DIV/0!</v>
      </c>
      <c r="S387" s="99" t="e">
        <f t="shared" ref="S387:AF387" si="191">S379/S381</f>
        <v>#DIV/0!</v>
      </c>
      <c r="T387" s="99" t="e">
        <f t="shared" si="191"/>
        <v>#DIV/0!</v>
      </c>
      <c r="U387" s="99" t="e">
        <f t="shared" si="191"/>
        <v>#DIV/0!</v>
      </c>
      <c r="V387" s="99" t="e">
        <f t="shared" si="191"/>
        <v>#DIV/0!</v>
      </c>
      <c r="W387" s="99" t="e">
        <f t="shared" si="191"/>
        <v>#DIV/0!</v>
      </c>
      <c r="X387" s="99" t="e">
        <f t="shared" si="191"/>
        <v>#DIV/0!</v>
      </c>
      <c r="Y387" s="99" t="e">
        <f t="shared" si="191"/>
        <v>#DIV/0!</v>
      </c>
      <c r="Z387" s="99" t="e">
        <f t="shared" si="191"/>
        <v>#DIV/0!</v>
      </c>
      <c r="AA387" s="99" t="e">
        <f t="shared" si="191"/>
        <v>#DIV/0!</v>
      </c>
      <c r="AB387" s="99" t="e">
        <f t="shared" si="191"/>
        <v>#DIV/0!</v>
      </c>
      <c r="AC387" s="99" t="e">
        <f t="shared" si="191"/>
        <v>#DIV/0!</v>
      </c>
      <c r="AD387" s="99" t="e">
        <f t="shared" si="191"/>
        <v>#DIV/0!</v>
      </c>
      <c r="AE387" s="99" t="e">
        <f t="shared" si="191"/>
        <v>#DIV/0!</v>
      </c>
      <c r="AF387" s="99" t="e">
        <f t="shared" si="191"/>
        <v>#DIV/0!</v>
      </c>
      <c r="AG387" s="89"/>
      <c r="AH387" s="27"/>
    </row>
    <row r="388" spans="1:34" x14ac:dyDescent="0.2">
      <c r="A388" s="13" t="s">
        <v>936</v>
      </c>
      <c r="B388" s="13"/>
      <c r="C388" s="13"/>
      <c r="D388" s="13"/>
      <c r="E388" s="183">
        <f>E387/$E$387</f>
        <v>1</v>
      </c>
      <c r="F388" s="183">
        <f t="shared" ref="F388:AF388" si="192">F387/$E$387</f>
        <v>0.41552561856214015</v>
      </c>
      <c r="G388" s="183">
        <f t="shared" si="192"/>
        <v>-0.90251801305524337</v>
      </c>
      <c r="H388" s="183">
        <f t="shared" si="192"/>
        <v>-7.3676262248711115</v>
      </c>
      <c r="I388" s="183">
        <f t="shared" si="192"/>
        <v>19.970972855399822</v>
      </c>
      <c r="J388" s="183">
        <f t="shared" si="192"/>
        <v>0.9624953245180331</v>
      </c>
      <c r="K388" s="183">
        <f t="shared" si="192"/>
        <v>12.724244364567568</v>
      </c>
      <c r="L388" s="183">
        <f t="shared" si="192"/>
        <v>1.7394472932200449</v>
      </c>
      <c r="M388" s="183">
        <f t="shared" si="192"/>
        <v>1.751802810069971</v>
      </c>
      <c r="N388" s="183">
        <f t="shared" si="192"/>
        <v>2.0770241938893124</v>
      </c>
      <c r="O388" s="183">
        <f t="shared" si="192"/>
        <v>2167.5412752972661</v>
      </c>
      <c r="P388" s="183">
        <f t="shared" si="192"/>
        <v>-3.1221471961297507</v>
      </c>
      <c r="Q388" s="183" t="e">
        <f t="shared" si="192"/>
        <v>#DIV/0!</v>
      </c>
      <c r="R388" s="183" t="e">
        <f t="shared" si="192"/>
        <v>#DIV/0!</v>
      </c>
      <c r="S388" s="183" t="e">
        <f t="shared" si="192"/>
        <v>#DIV/0!</v>
      </c>
      <c r="T388" s="183" t="e">
        <f t="shared" si="192"/>
        <v>#DIV/0!</v>
      </c>
      <c r="U388" s="183" t="e">
        <f t="shared" si="192"/>
        <v>#DIV/0!</v>
      </c>
      <c r="V388" s="183" t="e">
        <f t="shared" si="192"/>
        <v>#DIV/0!</v>
      </c>
      <c r="W388" s="183" t="e">
        <f t="shared" si="192"/>
        <v>#DIV/0!</v>
      </c>
      <c r="X388" s="183" t="e">
        <f t="shared" si="192"/>
        <v>#DIV/0!</v>
      </c>
      <c r="Y388" s="183" t="e">
        <f t="shared" si="192"/>
        <v>#DIV/0!</v>
      </c>
      <c r="Z388" s="183" t="e">
        <f t="shared" si="192"/>
        <v>#DIV/0!</v>
      </c>
      <c r="AA388" s="183" t="e">
        <f t="shared" si="192"/>
        <v>#DIV/0!</v>
      </c>
      <c r="AB388" s="183" t="e">
        <f t="shared" si="192"/>
        <v>#DIV/0!</v>
      </c>
      <c r="AC388" s="183" t="e">
        <f t="shared" si="192"/>
        <v>#DIV/0!</v>
      </c>
      <c r="AD388" s="183" t="e">
        <f t="shared" si="192"/>
        <v>#DIV/0!</v>
      </c>
      <c r="AE388" s="183" t="e">
        <f t="shared" si="192"/>
        <v>#DIV/0!</v>
      </c>
      <c r="AF388" s="183" t="e">
        <f t="shared" si="192"/>
        <v>#DIV/0!</v>
      </c>
      <c r="AG388" s="89"/>
      <c r="AH388" s="27"/>
    </row>
    <row r="390" spans="1:34" x14ac:dyDescent="0.2">
      <c r="A390" s="25" t="s">
        <v>566</v>
      </c>
    </row>
    <row r="392" spans="1:34" x14ac:dyDescent="0.2">
      <c r="A392" s="13" t="s">
        <v>333</v>
      </c>
    </row>
    <row r="393" spans="1:34" x14ac:dyDescent="0.2">
      <c r="A393" s="14" t="s">
        <v>334</v>
      </c>
      <c r="C393" s="14" t="s">
        <v>212</v>
      </c>
      <c r="D393" s="14" t="s">
        <v>11</v>
      </c>
      <c r="E393" s="48">
        <v>1</v>
      </c>
      <c r="F393" s="48">
        <f>IF(VLOOKUP($D393,$C$5:$AU$493,3,)=0,0,(VLOOKUP($D393,$C$5:$AU$493,4,)/VLOOKUP($D393,$C$5:$AU$493,3,))*$E393)</f>
        <v>0.6123268548390346</v>
      </c>
      <c r="G393" s="48">
        <f>IF(VLOOKUP($D393,$C$5:$AU$493,3,)=0,0,(VLOOKUP($D393,$C$5:$AU$493,5,)/VLOOKUP($D393,$C$5:$AU$493,3,))*$E393)</f>
        <v>1.1460721849755618E-4</v>
      </c>
      <c r="H393" s="48">
        <f>IF(VLOOKUP($D393,$C$5:$AU$493,3,)=0,0,(VLOOKUP($D393,$C$5:$AU$493,6,)/VLOOKUP($D393,$C$5:$AU$493,3,))*$E393)</f>
        <v>1.5442843225226929E-4</v>
      </c>
      <c r="I393" s="48">
        <f>IF(VLOOKUP($D393,$C$5:$AU$493,3,)=0,0,(VLOOKUP($D393,$C$5:$AU$493,7,)/VLOOKUP($D393,$C$5:$AU$493,3,))*$E393)</f>
        <v>5.9831769226994444E-2</v>
      </c>
      <c r="J393" s="48">
        <f>IF(VLOOKUP($D393,$C$5:$AU$493,3,)=0,0,(VLOOKUP($D393,$C$5:$AU$493,8,)/VLOOKUP($D393,$C$5:$AU$493,3,))*$E393)</f>
        <v>1.0142259369714957E-3</v>
      </c>
      <c r="K393" s="48">
        <f>IF(VLOOKUP($D393,$C$5:$AU$493,3,)=0,0,(VLOOKUP($D393,$C$5:$AU$493,9,)/VLOOKUP($D393,$C$5:$AU$493,3,))*$E393)</f>
        <v>2.6018136417160068E-2</v>
      </c>
      <c r="L393" s="48">
        <f>IF(VLOOKUP($D393,$C$5:$AU$493,3,)=0,0,(VLOOKUP($D393,$C$5:$AU$493,10,)/VLOOKUP($D393,$C$5:$AU$493,3,))*$E393)</f>
        <v>8.3968203861004592E-2</v>
      </c>
      <c r="M393" s="48">
        <f>IF(VLOOKUP($D393,$C$5:$AU$493,3,)=0,0,(VLOOKUP($D393,$C$5:$AU$493,11,)/VLOOKUP($D393,$C$5:$AU$493,3,))*$E393)</f>
        <v>4.8945769603877184E-2</v>
      </c>
      <c r="N393" s="48">
        <f>IF(VLOOKUP($D393,$C$5:$AU$493,3,)=0,0,(VLOOKUP($D393,$C$5:$AU$493,12,)/VLOOKUP($D393,$C$5:$AU$493,3,))*$E393)</f>
        <v>9.8291903462679089E-2</v>
      </c>
      <c r="O393" s="48">
        <f>IF(VLOOKUP($D393,$C$5:$AU$493,3,)=0,0,(VLOOKUP($D393,$C$5:$AU$493,13,)/VLOOKUP($D393,$C$5:$AU$493,3,))*$E393)</f>
        <v>6.5406736973257371E-2</v>
      </c>
      <c r="P393" s="48">
        <f>IF(VLOOKUP($D393,$C$5:$AU$493,3,)=0,0,(VLOOKUP($D393,$C$5:$AU$493,14,)/VLOOKUP($D393,$C$5:$AU$493,3,))*$E393)</f>
        <v>3.9273640282714304E-3</v>
      </c>
      <c r="Q393" s="48">
        <f>IF(VLOOKUP($D393,$C$5:$AU$493,3,)=0,0,(VLOOKUP($D393,$C$5:$AU$493,15,)/VLOOKUP($D393,$C$5:$AU$493,3,))*$E393)</f>
        <v>0</v>
      </c>
      <c r="R393" s="48">
        <f>IF(VLOOKUP($D393,$C$5:$AU$493,3,)=0,0,(VLOOKUP($D393,$C$5:$AU$493,16,)/VLOOKUP($D393,$C$5:$AU$493,3,))*$E393)</f>
        <v>0</v>
      </c>
      <c r="S393" s="48">
        <f>IF(VLOOKUP($D393,$C$5:$AU$493,3,)=0,0,(VLOOKUP($D393,$C$5:$AU$493,17,)/VLOOKUP($D393,$C$5:$AU$493,3,))*$E393)</f>
        <v>0</v>
      </c>
      <c r="T393" s="48">
        <f>IF(VLOOKUP($D393,$C$5:$AU$493,3,)=0,0,(VLOOKUP($D393,$C$5:$AU$493,18,)/VLOOKUP($D393,$C$5:$AU$493,3,))*$E393)</f>
        <v>0</v>
      </c>
      <c r="U393" s="48">
        <f>IF(VLOOKUP($D393,$C$5:$AU$493,3,)=0,0,(VLOOKUP($D393,$C$5:$AU$493,19,)/VLOOKUP($D393,$C$5:$AU$493,3,))*$E393)</f>
        <v>0</v>
      </c>
      <c r="V393" s="48">
        <f>IF(VLOOKUP($D393,$C$5:$AU$493,3,)=0,0,(VLOOKUP($D393,$C$5:$AU$493,20,)/VLOOKUP($D393,$C$5:$AU$493,3,))*$E393)</f>
        <v>0</v>
      </c>
      <c r="W393" s="48">
        <f>IF(VLOOKUP($D393,$C$5:$AU$493,3,)=0,0,(VLOOKUP($D393,$C$5:$AU$493,21,)/VLOOKUP($D393,$C$5:$AU$493,3,))*$E393)</f>
        <v>0</v>
      </c>
      <c r="X393" s="48">
        <f>IF(VLOOKUP($D393,$C$5:$AU$493,3,)=0,0,(VLOOKUP($D393,$C$5:$AU$493,22,)/VLOOKUP($D393,$C$5:$AU$493,3,))*$E393)</f>
        <v>0</v>
      </c>
      <c r="Y393" s="48">
        <f>IF(VLOOKUP($D393,$C$5:$AU$493,3,)=0,0,(VLOOKUP($D393,$C$5:$AU$493,23,)/VLOOKUP($D393,$C$5:$AU$493,3,))*$E393)</f>
        <v>0</v>
      </c>
      <c r="Z393" s="48">
        <f>IF(VLOOKUP($D393,$C$5:$AU$493,3,)=0,0,(VLOOKUP($D393,$C$5:$AU$493,24,)/VLOOKUP($D393,$C$5:$AU$493,3,))*$E393)</f>
        <v>0</v>
      </c>
      <c r="AA393" s="48">
        <f>IF(VLOOKUP($D393,$C$5:$AU$493,3,)=0,0,(VLOOKUP($D393,$C$5:$AU$493,25,)/VLOOKUP($D393,$C$5:$AU$493,3,))*$E393)</f>
        <v>0</v>
      </c>
      <c r="AB393" s="48">
        <f>IF(VLOOKUP($D393,$C$5:$AU$493,3,)=0,0,(VLOOKUP($D393,$C$5:$AU$493,26,)/VLOOKUP($D393,$C$5:$AU$493,3,))*$E393)</f>
        <v>0</v>
      </c>
      <c r="AC393" s="48">
        <f>IF(VLOOKUP($D393,$C$5:$AU$493,3,)=0,0,(VLOOKUP($D393,$C$5:$AU$493,27,)/VLOOKUP($D393,$C$5:$AU$493,3,))*$E393)</f>
        <v>0</v>
      </c>
      <c r="AD393" s="48">
        <f>IF(VLOOKUP($D393,$C$5:$AU$493,3,)=0,0,(VLOOKUP($D393,$C$5:$AU$493,28,)/VLOOKUP($D393,$C$5:$AU$493,3,))*$E393)</f>
        <v>0</v>
      </c>
      <c r="AE393" s="48">
        <f>IF(VLOOKUP($D393,$C$5:$AU$493,3,)=0,0,(VLOOKUP($D393,$C$5:$AU$493,29,)/VLOOKUP($D393,$C$5:$AU$493,3,))*$E393)</f>
        <v>0</v>
      </c>
      <c r="AF393" s="48">
        <f>IF(VLOOKUP($D393,$C$5:$AU$493,3,)=0,0,(VLOOKUP($D393,$C$5:$AU$493,30,)/VLOOKUP($D393,$C$5:$AU$493,3,))*$E393)</f>
        <v>0</v>
      </c>
      <c r="AG393" s="48">
        <f>SUM(F393:AF393)</f>
        <v>1.0000000000000002</v>
      </c>
      <c r="AH393" s="27" t="str">
        <f>IF(ABS(E393-AG393)&lt;0.01,"ok","err")</f>
        <v>ok</v>
      </c>
    </row>
    <row r="395" spans="1:34" x14ac:dyDescent="0.2">
      <c r="A395" s="13" t="s">
        <v>335</v>
      </c>
    </row>
    <row r="396" spans="1:34" x14ac:dyDescent="0.2">
      <c r="A396" s="14" t="s">
        <v>336</v>
      </c>
      <c r="C396" s="14" t="s">
        <v>209</v>
      </c>
      <c r="D396" s="14" t="s">
        <v>941</v>
      </c>
      <c r="E396" s="93">
        <v>1</v>
      </c>
      <c r="F396" s="48">
        <f>IF(VLOOKUP($D396,$C$5:$AU$493,3,)=0,0,(VLOOKUP($D396,$C$5:$AU$493,4,)/VLOOKUP($D396,$C$5:$AU$493,3,))*$E396)</f>
        <v>0.71054662336139074</v>
      </c>
      <c r="G396" s="48">
        <f>IF(VLOOKUP($D396,$C$5:$AU$493,3,)=0,0,(VLOOKUP($D396,$C$5:$AU$493,5,)/VLOOKUP($D396,$C$5:$AU$493,3,))*$E396)</f>
        <v>1.3461304688687937E-4</v>
      </c>
      <c r="H396" s="48">
        <f>IF(VLOOKUP($D396,$C$5:$AU$493,3,)=0,0,(VLOOKUP($D396,$C$5:$AU$493,6,)/VLOOKUP($D396,$C$5:$AU$493,3,))*$E396)</f>
        <v>3.0169974407606437E-5</v>
      </c>
      <c r="I396" s="48">
        <f>IF(VLOOKUP($D396,$C$5:$AU$493,3,)=0,0,(VLOOKUP($D396,$C$5:$AU$493,7,)/VLOOKUP($D396,$C$5:$AU$493,3,))*$E396)</f>
        <v>5.84002814346282E-2</v>
      </c>
      <c r="J396" s="48">
        <f>IF(VLOOKUP($D396,$C$5:$AU$493,3,)=0,0,(VLOOKUP($D396,$C$5:$AU$493,8,)/VLOOKUP($D396,$C$5:$AU$493,3,))*$E396)</f>
        <v>1.9794582025807247E-4</v>
      </c>
      <c r="K396" s="48">
        <f>IF(VLOOKUP($D396,$C$5:$AU$493,3,)=0,0,(VLOOKUP($D396,$C$5:$AU$493,9,)/VLOOKUP($D396,$C$5:$AU$493,3,))*$E396)</f>
        <v>2.239319864607987E-2</v>
      </c>
      <c r="L396" s="48">
        <f>IF(VLOOKUP($D396,$C$5:$AU$493,3,)=0,0,(VLOOKUP($D396,$C$5:$AU$493,10,)/VLOOKUP($D396,$C$5:$AU$493,3,))*$E396)</f>
        <v>6.3633083644108801E-2</v>
      </c>
      <c r="M396" s="48">
        <f>IF(VLOOKUP($D396,$C$5:$AU$493,3,)=0,0,(VLOOKUP($D396,$C$5:$AU$493,11,)/VLOOKUP($D396,$C$5:$AU$493,3,))*$E396)</f>
        <v>3.26891230344208E-2</v>
      </c>
      <c r="N396" s="48">
        <f>IF(VLOOKUP($D396,$C$5:$AU$493,3,)=0,0,(VLOOKUP($D396,$C$5:$AU$493,12,)/VLOOKUP($D396,$C$5:$AU$493,3,))*$E396)</f>
        <v>6.2525627765333963E-2</v>
      </c>
      <c r="O396" s="48">
        <f>IF(VLOOKUP($D396,$C$5:$AU$493,3,)=0,0,(VLOOKUP($D396,$C$5:$AU$493,13,)/VLOOKUP($D396,$C$5:$AU$493,3,))*$E396)</f>
        <v>4.7180195723997585E-2</v>
      </c>
      <c r="P396" s="48">
        <f>IF(VLOOKUP($D396,$C$5:$AU$493,3,)=0,0,(VLOOKUP($D396,$C$5:$AU$493,14,)/VLOOKUP($D396,$C$5:$AU$493,3,))*$E396)</f>
        <v>2.2691375484876503E-3</v>
      </c>
      <c r="Q396" s="48">
        <f>IF(VLOOKUP($D396,$C$5:$AU$493,3,)=0,0,(VLOOKUP($D396,$C$5:$AU$493,15,)/VLOOKUP($D396,$C$5:$AU$493,3,))*$E396)</f>
        <v>0</v>
      </c>
      <c r="R396" s="48">
        <f>IF(VLOOKUP($D396,$C$5:$AU$493,3,)=0,0,(VLOOKUP($D396,$C$5:$AU$493,16,)/VLOOKUP($D396,$C$5:$AU$493,3,))*$E396)</f>
        <v>0</v>
      </c>
      <c r="S396" s="48">
        <f>IF(VLOOKUP($D396,$C$5:$AU$493,3,)=0,0,(VLOOKUP($D396,$C$5:$AU$493,17,)/VLOOKUP($D396,$C$5:$AU$493,3,))*$E396)</f>
        <v>0</v>
      </c>
      <c r="T396" s="48">
        <f>IF(VLOOKUP($D396,$C$5:$AU$493,3,)=0,0,(VLOOKUP($D396,$C$5:$AU$493,18,)/VLOOKUP($D396,$C$5:$AU$493,3,))*$E396)</f>
        <v>0</v>
      </c>
      <c r="U396" s="48">
        <f>IF(VLOOKUP($D396,$C$5:$AU$493,3,)=0,0,(VLOOKUP($D396,$C$5:$AU$493,19,)/VLOOKUP($D396,$C$5:$AU$493,3,))*$E396)</f>
        <v>0</v>
      </c>
      <c r="V396" s="48">
        <f>IF(VLOOKUP($D396,$C$5:$AU$493,3,)=0,0,(VLOOKUP($D396,$C$5:$AU$493,20,)/VLOOKUP($D396,$C$5:$AU$493,3,))*$E396)</f>
        <v>0</v>
      </c>
      <c r="W396" s="48">
        <f>IF(VLOOKUP($D396,$C$5:$AU$493,3,)=0,0,(VLOOKUP($D396,$C$5:$AU$493,21,)/VLOOKUP($D396,$C$5:$AU$493,3,))*$E396)</f>
        <v>0</v>
      </c>
      <c r="X396" s="48">
        <f>IF(VLOOKUP($D396,$C$5:$AU$493,3,)=0,0,(VLOOKUP($D396,$C$5:$AU$493,22,)/VLOOKUP($D396,$C$5:$AU$493,3,))*$E396)</f>
        <v>0</v>
      </c>
      <c r="Y396" s="48">
        <f>IF(VLOOKUP($D396,$C$5:$AU$493,3,)=0,0,(VLOOKUP($D396,$C$5:$AU$493,23,)/VLOOKUP($D396,$C$5:$AU$493,3,))*$E396)</f>
        <v>0</v>
      </c>
      <c r="Z396" s="48">
        <f>IF(VLOOKUP($D396,$C$5:$AU$493,3,)=0,0,(VLOOKUP($D396,$C$5:$AU$493,24,)/VLOOKUP($D396,$C$5:$AU$493,3,))*$E396)</f>
        <v>0</v>
      </c>
      <c r="AA396" s="48">
        <f>IF(VLOOKUP($D396,$C$5:$AU$493,3,)=0,0,(VLOOKUP($D396,$C$5:$AU$493,25,)/VLOOKUP($D396,$C$5:$AU$493,3,))*$E396)</f>
        <v>0</v>
      </c>
      <c r="AB396" s="48">
        <f>IF(VLOOKUP($D396,$C$5:$AU$493,3,)=0,0,(VLOOKUP($D396,$C$5:$AU$493,26,)/VLOOKUP($D396,$C$5:$AU$493,3,))*$E396)</f>
        <v>0</v>
      </c>
      <c r="AC396" s="48">
        <f>IF(VLOOKUP($D396,$C$5:$AU$493,3,)=0,0,(VLOOKUP($D396,$C$5:$AU$493,27,)/VLOOKUP($D396,$C$5:$AU$493,3,))*$E396)</f>
        <v>0</v>
      </c>
      <c r="AD396" s="48">
        <f>IF(VLOOKUP($D396,$C$5:$AU$493,3,)=0,0,(VLOOKUP($D396,$C$5:$AU$493,28,)/VLOOKUP($D396,$C$5:$AU$493,3,))*$E396)</f>
        <v>0</v>
      </c>
      <c r="AE396" s="48">
        <f>IF(VLOOKUP($D396,$C$5:$AU$493,3,)=0,0,(VLOOKUP($D396,$C$5:$AU$493,29,)/VLOOKUP($D396,$C$5:$AU$493,3,))*$E396)</f>
        <v>0</v>
      </c>
      <c r="AF396" s="48">
        <f>IF(VLOOKUP($D396,$C$5:$AU$493,3,)=0,0,(VLOOKUP($D396,$C$5:$AU$493,30,)/VLOOKUP($D396,$C$5:$AU$493,3,))*$E396)</f>
        <v>0</v>
      </c>
      <c r="AG396" s="48">
        <f>SUM(F396:AF396)</f>
        <v>1.0000000000000002</v>
      </c>
      <c r="AH396" s="27" t="str">
        <f t="shared" ref="AH396:AH401" si="193">IF(ABS(E396-AG396)&lt;0.01,"ok","err")</f>
        <v>ok</v>
      </c>
    </row>
    <row r="397" spans="1:34" x14ac:dyDescent="0.2">
      <c r="A397" s="14" t="s">
        <v>337</v>
      </c>
      <c r="C397" s="14" t="s">
        <v>216</v>
      </c>
      <c r="D397" s="14" t="s">
        <v>565</v>
      </c>
      <c r="E397" s="93">
        <v>1</v>
      </c>
      <c r="F397" s="48">
        <f>IF(VLOOKUP($D397,$C$5:$AU$493,3,)=0,0,(VLOOKUP($D397,$C$5:$AU$493,4,)/VLOOKUP($D397,$C$5:$AU$493,3,))*$E397)</f>
        <v>0.76355702784631685</v>
      </c>
      <c r="G397" s="48">
        <f>IF(VLOOKUP($D397,$C$5:$AU$493,3,)=0,0,(VLOOKUP($D397,$C$5:$AU$493,5,)/VLOOKUP($D397,$C$5:$AU$493,3,))*$E397)</f>
        <v>1.3982766378008144E-4</v>
      </c>
      <c r="H397" s="48">
        <f>IF(VLOOKUP($D397,$C$5:$AU$493,3,)=0,0,(VLOOKUP($D397,$C$5:$AU$493,6,)/VLOOKUP($D397,$C$5:$AU$493,3,))*$E397)</f>
        <v>1.2895563145585059E-4</v>
      </c>
      <c r="I397" s="48">
        <f>IF(VLOOKUP($D397,$C$5:$AU$493,3,)=0,0,(VLOOKUP($D397,$C$5:$AU$493,7,)/VLOOKUP($D397,$C$5:$AU$493,3,))*$E397)</f>
        <v>4.3367912324511725E-2</v>
      </c>
      <c r="J397" s="48">
        <f>IF(VLOOKUP($D397,$C$5:$AU$493,3,)=0,0,(VLOOKUP($D397,$C$5:$AU$493,8,)/VLOOKUP($D397,$C$5:$AU$493,3,))*$E397)</f>
        <v>7.3270192676747135E-4</v>
      </c>
      <c r="K397" s="48">
        <f>IF(VLOOKUP($D397,$C$5:$AU$493,3,)=0,0,(VLOOKUP($D397,$C$5:$AU$493,9,)/VLOOKUP($D397,$C$5:$AU$493,3,))*$E397)</f>
        <v>1.6304684551037119E-2</v>
      </c>
      <c r="L397" s="48">
        <f>IF(VLOOKUP($D397,$C$5:$AU$493,3,)=0,0,(VLOOKUP($D397,$C$5:$AU$493,10,)/VLOOKUP($D397,$C$5:$AU$493,3,))*$E397)</f>
        <v>4.5925302460680099E-2</v>
      </c>
      <c r="M397" s="48">
        <f>IF(VLOOKUP($D397,$C$5:$AU$493,3,)=0,0,(VLOOKUP($D397,$C$5:$AU$493,11,)/VLOOKUP($D397,$C$5:$AU$493,3,))*$E397)</f>
        <v>5.2925528539571498E-2</v>
      </c>
      <c r="N397" s="48">
        <f>IF(VLOOKUP($D397,$C$5:$AU$493,3,)=0,0,(VLOOKUP($D397,$C$5:$AU$493,12,)/VLOOKUP($D397,$C$5:$AU$493,3,))*$E397)</f>
        <v>4.3287735280827092E-2</v>
      </c>
      <c r="O397" s="48">
        <f>IF(VLOOKUP($D397,$C$5:$AU$493,3,)=0,0,(VLOOKUP($D397,$C$5:$AU$493,13,)/VLOOKUP($D397,$C$5:$AU$493,3,))*$E397)</f>
        <v>3.1027534330235973E-2</v>
      </c>
      <c r="P397" s="48">
        <f>IF(VLOOKUP($D397,$C$5:$AU$493,3,)=0,0,(VLOOKUP($D397,$C$5:$AU$493,14,)/VLOOKUP($D397,$C$5:$AU$493,3,))*$E397)</f>
        <v>2.6027894448163577E-3</v>
      </c>
      <c r="Q397" s="48">
        <f>IF(VLOOKUP($D397,$C$5:$AU$493,3,)=0,0,(VLOOKUP($D397,$C$5:$AU$493,15,)/VLOOKUP($D397,$C$5:$AU$493,3,))*$E397)</f>
        <v>0</v>
      </c>
      <c r="R397" s="48">
        <f>IF(VLOOKUP($D397,$C$5:$AU$493,3,)=0,0,(VLOOKUP($D397,$C$5:$AU$493,16,)/VLOOKUP($D397,$C$5:$AU$493,3,))*$E397)</f>
        <v>0</v>
      </c>
      <c r="S397" s="48">
        <f>IF(VLOOKUP($D397,$C$5:$AU$493,3,)=0,0,(VLOOKUP($D397,$C$5:$AU$493,17,)/VLOOKUP($D397,$C$5:$AU$493,3,))*$E397)</f>
        <v>0</v>
      </c>
      <c r="T397" s="48">
        <f>IF(VLOOKUP($D397,$C$5:$AU$493,3,)=0,0,(VLOOKUP($D397,$C$5:$AU$493,18,)/VLOOKUP($D397,$C$5:$AU$493,3,))*$E397)</f>
        <v>0</v>
      </c>
      <c r="U397" s="48">
        <f>IF(VLOOKUP($D397,$C$5:$AU$493,3,)=0,0,(VLOOKUP($D397,$C$5:$AU$493,19,)/VLOOKUP($D397,$C$5:$AU$493,3,))*$E397)</f>
        <v>0</v>
      </c>
      <c r="V397" s="48">
        <f>IF(VLOOKUP($D397,$C$5:$AU$493,3,)=0,0,(VLOOKUP($D397,$C$5:$AU$493,20,)/VLOOKUP($D397,$C$5:$AU$493,3,))*$E397)</f>
        <v>0</v>
      </c>
      <c r="W397" s="48">
        <f>IF(VLOOKUP($D397,$C$5:$AU$493,3,)=0,0,(VLOOKUP($D397,$C$5:$AU$493,21,)/VLOOKUP($D397,$C$5:$AU$493,3,))*$E397)</f>
        <v>0</v>
      </c>
      <c r="X397" s="48">
        <f>IF(VLOOKUP($D397,$C$5:$AU$493,3,)=0,0,(VLOOKUP($D397,$C$5:$AU$493,22,)/VLOOKUP($D397,$C$5:$AU$493,3,))*$E397)</f>
        <v>0</v>
      </c>
      <c r="Y397" s="48">
        <f>IF(VLOOKUP($D397,$C$5:$AU$493,3,)=0,0,(VLOOKUP($D397,$C$5:$AU$493,23,)/VLOOKUP($D397,$C$5:$AU$493,3,))*$E397)</f>
        <v>0</v>
      </c>
      <c r="Z397" s="48">
        <f>IF(VLOOKUP($D397,$C$5:$AU$493,3,)=0,0,(VLOOKUP($D397,$C$5:$AU$493,24,)/VLOOKUP($D397,$C$5:$AU$493,3,))*$E397)</f>
        <v>0</v>
      </c>
      <c r="AA397" s="48">
        <f>IF(VLOOKUP($D397,$C$5:$AU$493,3,)=0,0,(VLOOKUP($D397,$C$5:$AU$493,25,)/VLOOKUP($D397,$C$5:$AU$493,3,))*$E397)</f>
        <v>0</v>
      </c>
      <c r="AB397" s="48">
        <f>IF(VLOOKUP($D397,$C$5:$AU$493,3,)=0,0,(VLOOKUP($D397,$C$5:$AU$493,26,)/VLOOKUP($D397,$C$5:$AU$493,3,))*$E397)</f>
        <v>0</v>
      </c>
      <c r="AC397" s="48">
        <f>IF(VLOOKUP($D397,$C$5:$AU$493,3,)=0,0,(VLOOKUP($D397,$C$5:$AU$493,27,)/VLOOKUP($D397,$C$5:$AU$493,3,))*$E397)</f>
        <v>0</v>
      </c>
      <c r="AD397" s="48">
        <f>IF(VLOOKUP($D397,$C$5:$AU$493,3,)=0,0,(VLOOKUP($D397,$C$5:$AU$493,28,)/VLOOKUP($D397,$C$5:$AU$493,3,))*$E397)</f>
        <v>0</v>
      </c>
      <c r="AE397" s="48">
        <f>IF(VLOOKUP($D397,$C$5:$AU$493,3,)=0,0,(VLOOKUP($D397,$C$5:$AU$493,29,)/VLOOKUP($D397,$C$5:$AU$493,3,))*$E397)</f>
        <v>0</v>
      </c>
      <c r="AF397" s="48">
        <f>IF(VLOOKUP($D397,$C$5:$AU$493,3,)=0,0,(VLOOKUP($D397,$C$5:$AU$493,30,)/VLOOKUP($D397,$C$5:$AU$493,3,))*$E397)</f>
        <v>0</v>
      </c>
      <c r="AG397" s="48">
        <f>SUM(F397:AF397)</f>
        <v>1</v>
      </c>
      <c r="AH397" s="27" t="str">
        <f t="shared" si="193"/>
        <v>ok</v>
      </c>
    </row>
    <row r="398" spans="1:34" x14ac:dyDescent="0.2">
      <c r="A398" s="14" t="s">
        <v>338</v>
      </c>
      <c r="C398" s="14" t="s">
        <v>218</v>
      </c>
      <c r="D398" s="14" t="s">
        <v>565</v>
      </c>
      <c r="E398" s="93">
        <v>1</v>
      </c>
      <c r="F398" s="48">
        <f>IF(VLOOKUP($D398,$C$5:$AU$493,3,)=0,0,(VLOOKUP($D398,$C$5:$AU$493,4,)/VLOOKUP($D398,$C$5:$AU$493,3,))*$E398)</f>
        <v>0.76355702784631685</v>
      </c>
      <c r="G398" s="48">
        <f>IF(VLOOKUP($D398,$C$5:$AU$493,3,)=0,0,(VLOOKUP($D398,$C$5:$AU$493,5,)/VLOOKUP($D398,$C$5:$AU$493,3,))*$E398)</f>
        <v>1.3982766378008144E-4</v>
      </c>
      <c r="H398" s="48">
        <f>IF(VLOOKUP($D398,$C$5:$AU$493,3,)=0,0,(VLOOKUP($D398,$C$5:$AU$493,6,)/VLOOKUP($D398,$C$5:$AU$493,3,))*$E398)</f>
        <v>1.2895563145585059E-4</v>
      </c>
      <c r="I398" s="48">
        <f>IF(VLOOKUP($D398,$C$5:$AU$493,3,)=0,0,(VLOOKUP($D398,$C$5:$AU$493,7,)/VLOOKUP($D398,$C$5:$AU$493,3,))*$E398)</f>
        <v>4.3367912324511725E-2</v>
      </c>
      <c r="J398" s="48">
        <f>IF(VLOOKUP($D398,$C$5:$AU$493,3,)=0,0,(VLOOKUP($D398,$C$5:$AU$493,8,)/VLOOKUP($D398,$C$5:$AU$493,3,))*$E398)</f>
        <v>7.3270192676747135E-4</v>
      </c>
      <c r="K398" s="48">
        <f>IF(VLOOKUP($D398,$C$5:$AU$493,3,)=0,0,(VLOOKUP($D398,$C$5:$AU$493,9,)/VLOOKUP($D398,$C$5:$AU$493,3,))*$E398)</f>
        <v>1.6304684551037119E-2</v>
      </c>
      <c r="L398" s="48">
        <f>IF(VLOOKUP($D398,$C$5:$AU$493,3,)=0,0,(VLOOKUP($D398,$C$5:$AU$493,10,)/VLOOKUP($D398,$C$5:$AU$493,3,))*$E398)</f>
        <v>4.5925302460680099E-2</v>
      </c>
      <c r="M398" s="48">
        <f>IF(VLOOKUP($D398,$C$5:$AU$493,3,)=0,0,(VLOOKUP($D398,$C$5:$AU$493,11,)/VLOOKUP($D398,$C$5:$AU$493,3,))*$E398)</f>
        <v>5.2925528539571498E-2</v>
      </c>
      <c r="N398" s="48">
        <f>IF(VLOOKUP($D398,$C$5:$AU$493,3,)=0,0,(VLOOKUP($D398,$C$5:$AU$493,12,)/VLOOKUP($D398,$C$5:$AU$493,3,))*$E398)</f>
        <v>4.3287735280827092E-2</v>
      </c>
      <c r="O398" s="48">
        <f>IF(VLOOKUP($D398,$C$5:$AU$493,3,)=0,0,(VLOOKUP($D398,$C$5:$AU$493,13,)/VLOOKUP($D398,$C$5:$AU$493,3,))*$E398)</f>
        <v>3.1027534330235973E-2</v>
      </c>
      <c r="P398" s="48">
        <f>IF(VLOOKUP($D398,$C$5:$AU$493,3,)=0,0,(VLOOKUP($D398,$C$5:$AU$493,14,)/VLOOKUP($D398,$C$5:$AU$493,3,))*$E398)</f>
        <v>2.6027894448163577E-3</v>
      </c>
      <c r="Q398" s="48">
        <f>IF(VLOOKUP($D398,$C$5:$AU$493,3,)=0,0,(VLOOKUP($D398,$C$5:$AU$493,15,)/VLOOKUP($D398,$C$5:$AU$493,3,))*$E398)</f>
        <v>0</v>
      </c>
      <c r="R398" s="48">
        <f>IF(VLOOKUP($D398,$C$5:$AU$493,3,)=0,0,(VLOOKUP($D398,$C$5:$AU$493,16,)/VLOOKUP($D398,$C$5:$AU$493,3,))*$E398)</f>
        <v>0</v>
      </c>
      <c r="S398" s="48">
        <f>IF(VLOOKUP($D398,$C$5:$AU$493,3,)=0,0,(VLOOKUP($D398,$C$5:$AU$493,17,)/VLOOKUP($D398,$C$5:$AU$493,3,))*$E398)</f>
        <v>0</v>
      </c>
      <c r="T398" s="48">
        <f>IF(VLOOKUP($D398,$C$5:$AU$493,3,)=0,0,(VLOOKUP($D398,$C$5:$AU$493,18,)/VLOOKUP($D398,$C$5:$AU$493,3,))*$E398)</f>
        <v>0</v>
      </c>
      <c r="U398" s="48">
        <f>IF(VLOOKUP($D398,$C$5:$AU$493,3,)=0,0,(VLOOKUP($D398,$C$5:$AU$493,19,)/VLOOKUP($D398,$C$5:$AU$493,3,))*$E398)</f>
        <v>0</v>
      </c>
      <c r="V398" s="48">
        <f>IF(VLOOKUP($D398,$C$5:$AU$493,3,)=0,0,(VLOOKUP($D398,$C$5:$AU$493,20,)/VLOOKUP($D398,$C$5:$AU$493,3,))*$E398)</f>
        <v>0</v>
      </c>
      <c r="W398" s="48">
        <f>IF(VLOOKUP($D398,$C$5:$AU$493,3,)=0,0,(VLOOKUP($D398,$C$5:$AU$493,21,)/VLOOKUP($D398,$C$5:$AU$493,3,))*$E398)</f>
        <v>0</v>
      </c>
      <c r="X398" s="48">
        <f>IF(VLOOKUP($D398,$C$5:$AU$493,3,)=0,0,(VLOOKUP($D398,$C$5:$AU$493,22,)/VLOOKUP($D398,$C$5:$AU$493,3,))*$E398)</f>
        <v>0</v>
      </c>
      <c r="Y398" s="48">
        <f>IF(VLOOKUP($D398,$C$5:$AU$493,3,)=0,0,(VLOOKUP($D398,$C$5:$AU$493,23,)/VLOOKUP($D398,$C$5:$AU$493,3,))*$E398)</f>
        <v>0</v>
      </c>
      <c r="Z398" s="48">
        <f>IF(VLOOKUP($D398,$C$5:$AU$493,3,)=0,0,(VLOOKUP($D398,$C$5:$AU$493,24,)/VLOOKUP($D398,$C$5:$AU$493,3,))*$E398)</f>
        <v>0</v>
      </c>
      <c r="AA398" s="48">
        <f>IF(VLOOKUP($D398,$C$5:$AU$493,3,)=0,0,(VLOOKUP($D398,$C$5:$AU$493,25,)/VLOOKUP($D398,$C$5:$AU$493,3,))*$E398)</f>
        <v>0</v>
      </c>
      <c r="AB398" s="48">
        <f>IF(VLOOKUP($D398,$C$5:$AU$493,3,)=0,0,(VLOOKUP($D398,$C$5:$AU$493,26,)/VLOOKUP($D398,$C$5:$AU$493,3,))*$E398)</f>
        <v>0</v>
      </c>
      <c r="AC398" s="48">
        <f>IF(VLOOKUP($D398,$C$5:$AU$493,3,)=0,0,(VLOOKUP($D398,$C$5:$AU$493,27,)/VLOOKUP($D398,$C$5:$AU$493,3,))*$E398)</f>
        <v>0</v>
      </c>
      <c r="AD398" s="48">
        <f>IF(VLOOKUP($D398,$C$5:$AU$493,3,)=0,0,(VLOOKUP($D398,$C$5:$AU$493,28,)/VLOOKUP($D398,$C$5:$AU$493,3,))*$E398)</f>
        <v>0</v>
      </c>
      <c r="AE398" s="48">
        <f>IF(VLOOKUP($D398,$C$5:$AU$493,3,)=0,0,(VLOOKUP($D398,$C$5:$AU$493,29,)/VLOOKUP($D398,$C$5:$AU$493,3,))*$E398)</f>
        <v>0</v>
      </c>
      <c r="AF398" s="48">
        <f>IF(VLOOKUP($D398,$C$5:$AU$493,3,)=0,0,(VLOOKUP($D398,$C$5:$AU$493,30,)/VLOOKUP($D398,$C$5:$AU$493,3,))*$E398)</f>
        <v>0</v>
      </c>
      <c r="AG398" s="48">
        <f>SUM(F398:AF398)</f>
        <v>1</v>
      </c>
      <c r="AH398" s="27" t="str">
        <f t="shared" si="193"/>
        <v>ok</v>
      </c>
    </row>
    <row r="399" spans="1:34" x14ac:dyDescent="0.2">
      <c r="A399" s="14" t="s">
        <v>699</v>
      </c>
      <c r="C399" s="14" t="s">
        <v>700</v>
      </c>
      <c r="E399" s="93">
        <f>Services!G33</f>
        <v>1</v>
      </c>
      <c r="F399" s="48">
        <f>Services!G6</f>
        <v>0.92057964499839062</v>
      </c>
      <c r="G399" s="48">
        <f>Services!G7</f>
        <v>1.7903887262012328E-3</v>
      </c>
      <c r="H399" s="48">
        <f>Services!G8</f>
        <v>2.8971513809359907E-4</v>
      </c>
      <c r="I399" s="48">
        <f>Services!G9</f>
        <v>5.5459759463309194E-2</v>
      </c>
      <c r="J399" s="48">
        <f>Services!G10</f>
        <v>8.8867089739813891E-4</v>
      </c>
      <c r="K399" s="48">
        <f>Services!G11</f>
        <v>7.283314906486176E-3</v>
      </c>
      <c r="L399" s="48">
        <f>Services!G12</f>
        <v>8.4318813136908307E-3</v>
      </c>
      <c r="M399" s="48">
        <f>Services!G13</f>
        <v>9.0560009229682589E-4</v>
      </c>
      <c r="N399" s="48">
        <f>Services!G14</f>
        <v>4.3710244641336085E-3</v>
      </c>
      <c r="O399" s="48">
        <f>Services!G15</f>
        <v>0</v>
      </c>
      <c r="P399" s="48">
        <f>Services!G16</f>
        <v>0</v>
      </c>
      <c r="Q399" s="48">
        <f>Services!G28</f>
        <v>0</v>
      </c>
      <c r="R399" s="48">
        <f>Services!G30</f>
        <v>0</v>
      </c>
      <c r="S399" s="48">
        <v>0</v>
      </c>
      <c r="T399" s="48">
        <v>0</v>
      </c>
      <c r="U399" s="48">
        <v>0</v>
      </c>
      <c r="V399" s="48">
        <f>Services!W6</f>
        <v>0</v>
      </c>
      <c r="W399" s="48">
        <f>Services!X6</f>
        <v>0</v>
      </c>
      <c r="X399" s="48">
        <f>Services!Y6</f>
        <v>0</v>
      </c>
      <c r="Y399" s="48">
        <f>Services!Z6</f>
        <v>0</v>
      </c>
      <c r="Z399" s="48">
        <f>Services!AA6</f>
        <v>0</v>
      </c>
      <c r="AA399" s="48">
        <f>Services!AB6</f>
        <v>0</v>
      </c>
      <c r="AB399" s="48">
        <f>Services!AC6</f>
        <v>0</v>
      </c>
      <c r="AC399" s="48">
        <f>Services!AD6</f>
        <v>0</v>
      </c>
      <c r="AD399" s="48">
        <f>Services!AE6</f>
        <v>0</v>
      </c>
      <c r="AE399" s="48">
        <f>Services!AF6</f>
        <v>0</v>
      </c>
      <c r="AF399" s="48">
        <f>Services!AG6</f>
        <v>0</v>
      </c>
      <c r="AG399" s="48">
        <f>SUM(F399:AF399)</f>
        <v>1.0000000000000002</v>
      </c>
      <c r="AH399" s="27" t="str">
        <f t="shared" si="193"/>
        <v>ok</v>
      </c>
    </row>
    <row r="400" spans="1:34" x14ac:dyDescent="0.2">
      <c r="A400" s="14" t="s">
        <v>745</v>
      </c>
      <c r="C400" s="14" t="s">
        <v>746</v>
      </c>
      <c r="E400" s="93">
        <v>1</v>
      </c>
      <c r="F400" s="48">
        <f t="shared" ref="F400:AF400" si="194">F399</f>
        <v>0.92057964499839062</v>
      </c>
      <c r="G400" s="48">
        <f t="shared" si="194"/>
        <v>1.7903887262012328E-3</v>
      </c>
      <c r="H400" s="48">
        <f t="shared" si="194"/>
        <v>2.8971513809359907E-4</v>
      </c>
      <c r="I400" s="48">
        <f t="shared" si="194"/>
        <v>5.5459759463309194E-2</v>
      </c>
      <c r="J400" s="48">
        <f t="shared" si="194"/>
        <v>8.8867089739813891E-4</v>
      </c>
      <c r="K400" s="48">
        <f t="shared" si="194"/>
        <v>7.283314906486176E-3</v>
      </c>
      <c r="L400" s="48">
        <f t="shared" si="194"/>
        <v>8.4318813136908307E-3</v>
      </c>
      <c r="M400" s="48">
        <f t="shared" si="194"/>
        <v>9.0560009229682589E-4</v>
      </c>
      <c r="N400" s="48">
        <f t="shared" si="194"/>
        <v>4.3710244641336085E-3</v>
      </c>
      <c r="O400" s="48">
        <f t="shared" si="194"/>
        <v>0</v>
      </c>
      <c r="P400" s="48">
        <f t="shared" si="194"/>
        <v>0</v>
      </c>
      <c r="Q400" s="48">
        <f t="shared" si="194"/>
        <v>0</v>
      </c>
      <c r="R400" s="48">
        <f t="shared" si="194"/>
        <v>0</v>
      </c>
      <c r="S400" s="48">
        <f t="shared" si="194"/>
        <v>0</v>
      </c>
      <c r="T400" s="48">
        <f t="shared" si="194"/>
        <v>0</v>
      </c>
      <c r="U400" s="48">
        <f t="shared" si="194"/>
        <v>0</v>
      </c>
      <c r="V400" s="48">
        <f t="shared" si="194"/>
        <v>0</v>
      </c>
      <c r="W400" s="48">
        <f t="shared" si="194"/>
        <v>0</v>
      </c>
      <c r="X400" s="48">
        <f t="shared" si="194"/>
        <v>0</v>
      </c>
      <c r="Y400" s="48">
        <f t="shared" si="194"/>
        <v>0</v>
      </c>
      <c r="Z400" s="48">
        <f t="shared" si="194"/>
        <v>0</v>
      </c>
      <c r="AA400" s="48">
        <f t="shared" si="194"/>
        <v>0</v>
      </c>
      <c r="AB400" s="48">
        <f t="shared" si="194"/>
        <v>0</v>
      </c>
      <c r="AC400" s="48">
        <f t="shared" si="194"/>
        <v>0</v>
      </c>
      <c r="AD400" s="48">
        <f t="shared" si="194"/>
        <v>0</v>
      </c>
      <c r="AE400" s="48">
        <f t="shared" si="194"/>
        <v>0</v>
      </c>
      <c r="AF400" s="48">
        <f t="shared" si="194"/>
        <v>0</v>
      </c>
      <c r="AG400" s="48">
        <f>SUM(F400:R400)</f>
        <v>1.0000000000000002</v>
      </c>
      <c r="AH400" s="27" t="str">
        <f t="shared" si="193"/>
        <v>ok</v>
      </c>
    </row>
    <row r="401" spans="1:34" x14ac:dyDescent="0.2">
      <c r="A401" s="14" t="s">
        <v>939</v>
      </c>
      <c r="C401" s="14" t="s">
        <v>940</v>
      </c>
      <c r="E401" s="49">
        <f>F401+G401+H401+I401+J401</f>
        <v>114917341.17102323</v>
      </c>
      <c r="F401" s="49">
        <f>F313</f>
        <v>102972322.50948638</v>
      </c>
      <c r="G401" s="49">
        <f>G313</f>
        <v>40099.261010633563</v>
      </c>
      <c r="H401" s="49">
        <f>H313</f>
        <v>24551.86153874256</v>
      </c>
      <c r="I401" s="49">
        <f>I313</f>
        <v>11678002.543868693</v>
      </c>
      <c r="J401" s="49">
        <f>J313</f>
        <v>202364.99511879971</v>
      </c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9">
        <f>SUM(F401:R401)</f>
        <v>114917341.17102323</v>
      </c>
      <c r="AH401" s="27" t="str">
        <f t="shared" si="193"/>
        <v>ok</v>
      </c>
    </row>
    <row r="402" spans="1:34" x14ac:dyDescent="0.2">
      <c r="F402" s="187"/>
    </row>
    <row r="403" spans="1:34" x14ac:dyDescent="0.2">
      <c r="A403" s="13" t="s">
        <v>339</v>
      </c>
    </row>
    <row r="404" spans="1:34" x14ac:dyDescent="0.2">
      <c r="A404" s="14" t="s">
        <v>340</v>
      </c>
      <c r="C404" s="14" t="s">
        <v>221</v>
      </c>
      <c r="D404" s="14" t="s">
        <v>561</v>
      </c>
      <c r="E404" s="93">
        <v>1</v>
      </c>
      <c r="F404" s="48">
        <f>IF(VLOOKUP($D404,$C$5:$AU$493,3,)=0,0,(VLOOKUP($D404,$C$5:$AU$493,4,)/VLOOKUP($D404,$C$5:$AU$493,3,))*$E404)</f>
        <v>0.76387235606801562</v>
      </c>
      <c r="G404" s="48">
        <f>IF(VLOOKUP($D404,$C$5:$AU$493,3,)=0,0,(VLOOKUP($D404,$C$5:$AU$493,5,)/VLOOKUP($D404,$C$5:$AU$493,3,))*$E404)</f>
        <v>1.485616656843787E-3</v>
      </c>
      <c r="H404" s="48">
        <f>IF(VLOOKUP($D404,$C$5:$AU$493,3,)=0,0,(VLOOKUP($D404,$C$5:$AU$493,6,)/VLOOKUP($D404,$C$5:$AU$493,3,))*$E404)</f>
        <v>2.4039786924086827E-4</v>
      </c>
      <c r="I404" s="48">
        <f>IF(VLOOKUP($D404,$C$5:$AU$493,3,)=0,0,(VLOOKUP($D404,$C$5:$AU$493,7,)/VLOOKUP($D404,$C$5:$AU$493,3,))*$E404)</f>
        <v>3.8427810273476685E-2</v>
      </c>
      <c r="J404" s="48">
        <f>IF(VLOOKUP($D404,$C$5:$AU$493,3,)=0,0,(VLOOKUP($D404,$C$5:$AU$493,8,)/VLOOKUP($D404,$C$5:$AU$493,3,))*$E404)</f>
        <v>6.1575594577485552E-4</v>
      </c>
      <c r="K404" s="48">
        <f>IF(VLOOKUP($D404,$C$5:$AU$493,3,)=0,0,(VLOOKUP($D404,$C$5:$AU$493,9,)/VLOOKUP($D404,$C$5:$AU$493,3,))*$E404)</f>
        <v>7.8551058151073193E-4</v>
      </c>
      <c r="L404" s="48">
        <f>IF(VLOOKUP($D404,$C$5:$AU$493,3,)=0,0,(VLOOKUP($D404,$C$5:$AU$493,10,)/VLOOKUP($D404,$C$5:$AU$493,3,))*$E404)</f>
        <v>3.7535807653398732E-4</v>
      </c>
      <c r="M404" s="48">
        <f>IF(VLOOKUP($D404,$C$5:$AU$493,3,)=0,0,(VLOOKUP($D404,$C$5:$AU$493,11,)/VLOOKUP($D404,$C$5:$AU$493,3,))*$E404)</f>
        <v>3.7957558301189726E-5</v>
      </c>
      <c r="N404" s="48">
        <f>IF(VLOOKUP($D404,$C$5:$AU$493,3,)=0,0,(VLOOKUP($D404,$C$5:$AU$493,12,)/VLOOKUP($D404,$C$5:$AU$493,3,))*$E404)</f>
        <v>3.7957558301189726E-5</v>
      </c>
      <c r="O404" s="48">
        <f>IF(VLOOKUP($D404,$C$5:$AU$493,3,)=0,0,(VLOOKUP($D404,$C$5:$AU$493,13,)/VLOOKUP($D404,$C$5:$AU$493,3,))*$E404)</f>
        <v>1.2652519433729909E-5</v>
      </c>
      <c r="P404" s="48">
        <f>IF(VLOOKUP($D404,$C$5:$AU$493,3,)=0,0,(VLOOKUP($D404,$C$5:$AU$493,14,)/VLOOKUP($D404,$C$5:$AU$493,3,))*$E404)</f>
        <v>0.19410862689256742</v>
      </c>
      <c r="Q404" s="48">
        <f>IF(VLOOKUP($D404,$C$5:$AU$493,3,)=0,0,(VLOOKUP($D404,$C$5:$AU$493,15,)/VLOOKUP($D404,$C$5:$AU$493,3,))*$E404)</f>
        <v>0</v>
      </c>
      <c r="R404" s="48">
        <f>IF(VLOOKUP($D404,$C$5:$AU$493,3,)=0,0,(VLOOKUP($D404,$C$5:$AU$493,16,)/VLOOKUP($D404,$C$5:$AU$493,3,))*$E404)</f>
        <v>0</v>
      </c>
      <c r="S404" s="48">
        <f>IF(VLOOKUP($D404,$C$5:$AU$493,3,)=0,0,(VLOOKUP($D404,$C$5:$AU$493,17,)/VLOOKUP($D404,$C$5:$AU$493,3,))*$E404)</f>
        <v>0</v>
      </c>
      <c r="T404" s="48">
        <f>IF(VLOOKUP($D404,$C$5:$AU$493,3,)=0,0,(VLOOKUP($D404,$C$5:$AU$493,18,)/VLOOKUP($D404,$C$5:$AU$493,3,))*$E404)</f>
        <v>0</v>
      </c>
      <c r="U404" s="48">
        <f>IF(VLOOKUP($D404,$C$5:$AU$493,3,)=0,0,(VLOOKUP($D404,$C$5:$AU$493,19,)/VLOOKUP($D404,$C$5:$AU$493,3,))*$E404)</f>
        <v>0</v>
      </c>
      <c r="V404" s="48">
        <f>IF(VLOOKUP($D404,$C$5:$AU$493,3,)=0,0,(VLOOKUP($D404,$C$5:$AU$493,20,)/VLOOKUP($D404,$C$5:$AU$493,3,))*$E404)</f>
        <v>0</v>
      </c>
      <c r="W404" s="48">
        <f>IF(VLOOKUP($D404,$C$5:$AU$493,3,)=0,0,(VLOOKUP($D404,$C$5:$AU$493,21,)/VLOOKUP($D404,$C$5:$AU$493,3,))*$E404)</f>
        <v>0</v>
      </c>
      <c r="X404" s="48">
        <f>IF(VLOOKUP($D404,$C$5:$AU$493,3,)=0,0,(VLOOKUP($D404,$C$5:$AU$493,22,)/VLOOKUP($D404,$C$5:$AU$493,3,))*$E404)</f>
        <v>0</v>
      </c>
      <c r="Y404" s="48">
        <f>IF(VLOOKUP($D404,$C$5:$AU$493,3,)=0,0,(VLOOKUP($D404,$C$5:$AU$493,23,)/VLOOKUP($D404,$C$5:$AU$493,3,))*$E404)</f>
        <v>0</v>
      </c>
      <c r="Z404" s="48">
        <f>IF(VLOOKUP($D404,$C$5:$AU$493,3,)=0,0,(VLOOKUP($D404,$C$5:$AU$493,24,)/VLOOKUP($D404,$C$5:$AU$493,3,))*$E404)</f>
        <v>0</v>
      </c>
      <c r="AA404" s="48">
        <f>IF(VLOOKUP($D404,$C$5:$AU$493,3,)=0,0,(VLOOKUP($D404,$C$5:$AU$493,25,)/VLOOKUP($D404,$C$5:$AU$493,3,))*$E404)</f>
        <v>0</v>
      </c>
      <c r="AB404" s="48">
        <f>IF(VLOOKUP($D404,$C$5:$AU$493,3,)=0,0,(VLOOKUP($D404,$C$5:$AU$493,26,)/VLOOKUP($D404,$C$5:$AU$493,3,))*$E404)</f>
        <v>0</v>
      </c>
      <c r="AC404" s="48">
        <f>IF(VLOOKUP($D404,$C$5:$AU$493,3,)=0,0,(VLOOKUP($D404,$C$5:$AU$493,27,)/VLOOKUP($D404,$C$5:$AU$493,3,))*$E404)</f>
        <v>0</v>
      </c>
      <c r="AD404" s="48">
        <f>IF(VLOOKUP($D404,$C$5:$AU$493,3,)=0,0,(VLOOKUP($D404,$C$5:$AU$493,28,)/VLOOKUP($D404,$C$5:$AU$493,3,))*$E404)</f>
        <v>0</v>
      </c>
      <c r="AE404" s="48">
        <f>IF(VLOOKUP($D404,$C$5:$AU$493,3,)=0,0,(VLOOKUP($D404,$C$5:$AU$493,29,)/VLOOKUP($D404,$C$5:$AU$493,3,))*$E404)</f>
        <v>0</v>
      </c>
      <c r="AF404" s="48">
        <f>IF(VLOOKUP($D404,$C$5:$AU$493,3,)=0,0,(VLOOKUP($D404,$C$5:$AU$493,30,)/VLOOKUP($D404,$C$5:$AU$493,3,))*$E404)</f>
        <v>0</v>
      </c>
      <c r="AG404" s="97">
        <f t="shared" ref="AG404:AG409" si="195">SUM(F404:AF404)</f>
        <v>1</v>
      </c>
      <c r="AH404" s="27" t="str">
        <f t="shared" ref="AH404:AH409" si="196">IF(ABS(E404-AG404)&lt;0.01,"ok","err")</f>
        <v>ok</v>
      </c>
    </row>
    <row r="405" spans="1:34" x14ac:dyDescent="0.2">
      <c r="A405" s="14" t="s">
        <v>341</v>
      </c>
      <c r="C405" s="14" t="s">
        <v>225</v>
      </c>
      <c r="D405" s="14" t="s">
        <v>562</v>
      </c>
      <c r="E405" s="93">
        <v>1</v>
      </c>
      <c r="F405" s="48">
        <f>IF(VLOOKUP($D405,$C$5:$AU$493,3,)=0,0,(VLOOKUP($D405,$C$5:$AU$493,4,)/VLOOKUP($D405,$C$5:$AU$493,3,))*$E405)</f>
        <v>0.76387235606801562</v>
      </c>
      <c r="G405" s="48">
        <f>IF(VLOOKUP($D405,$C$5:$AU$493,3,)=0,0,(VLOOKUP($D405,$C$5:$AU$493,5,)/VLOOKUP($D405,$C$5:$AU$493,3,))*$E405)</f>
        <v>1.485616656843787E-3</v>
      </c>
      <c r="H405" s="48">
        <f>IF(VLOOKUP($D405,$C$5:$AU$493,3,)=0,0,(VLOOKUP($D405,$C$5:$AU$493,6,)/VLOOKUP($D405,$C$5:$AU$493,3,))*$E405)</f>
        <v>2.4039786924086827E-4</v>
      </c>
      <c r="I405" s="48">
        <f>IF(VLOOKUP($D405,$C$5:$AU$493,3,)=0,0,(VLOOKUP($D405,$C$5:$AU$493,7,)/VLOOKUP($D405,$C$5:$AU$493,3,))*$E405)</f>
        <v>3.8427810273476685E-2</v>
      </c>
      <c r="J405" s="48">
        <f>IF(VLOOKUP($D405,$C$5:$AU$493,3,)=0,0,(VLOOKUP($D405,$C$5:$AU$493,8,)/VLOOKUP($D405,$C$5:$AU$493,3,))*$E405)</f>
        <v>6.1575594577485552E-4</v>
      </c>
      <c r="K405" s="48">
        <f>IF(VLOOKUP($D405,$C$5:$AU$493,3,)=0,0,(VLOOKUP($D405,$C$5:$AU$493,9,)/VLOOKUP($D405,$C$5:$AU$493,3,))*$E405)</f>
        <v>7.8551058151073193E-4</v>
      </c>
      <c r="L405" s="48">
        <f>IF(VLOOKUP($D405,$C$5:$AU$493,3,)=0,0,(VLOOKUP($D405,$C$5:$AU$493,10,)/VLOOKUP($D405,$C$5:$AU$493,3,))*$E405)</f>
        <v>3.7535807653398732E-4</v>
      </c>
      <c r="M405" s="48">
        <f>IF(VLOOKUP($D405,$C$5:$AU$493,3,)=0,0,(VLOOKUP($D405,$C$5:$AU$493,11,)/VLOOKUP($D405,$C$5:$AU$493,3,))*$E405)</f>
        <v>3.7957558301189726E-5</v>
      </c>
      <c r="N405" s="48">
        <f>IF(VLOOKUP($D405,$C$5:$AU$493,3,)=0,0,(VLOOKUP($D405,$C$5:$AU$493,12,)/VLOOKUP($D405,$C$5:$AU$493,3,))*$E405)</f>
        <v>3.7957558301189726E-5</v>
      </c>
      <c r="O405" s="48">
        <f>IF(VLOOKUP($D405,$C$5:$AU$493,3,)=0,0,(VLOOKUP($D405,$C$5:$AU$493,13,)/VLOOKUP($D405,$C$5:$AU$493,3,))*$E405)</f>
        <v>1.2652519433729909E-5</v>
      </c>
      <c r="P405" s="48">
        <f>IF(VLOOKUP($D405,$C$5:$AU$493,3,)=0,0,(VLOOKUP($D405,$C$5:$AU$493,14,)/VLOOKUP($D405,$C$5:$AU$493,3,))*$E405)</f>
        <v>0.19410862689256742</v>
      </c>
      <c r="Q405" s="48">
        <f>IF(VLOOKUP($D405,$C$5:$AU$493,3,)=0,0,(VLOOKUP($D405,$C$5:$AU$493,15,)/VLOOKUP($D405,$C$5:$AU$493,3,))*$E405)</f>
        <v>0</v>
      </c>
      <c r="R405" s="48">
        <f>IF(VLOOKUP($D405,$C$5:$AU$493,3,)=0,0,(VLOOKUP($D405,$C$5:$AU$493,16,)/VLOOKUP($D405,$C$5:$AU$493,3,))*$E405)</f>
        <v>0</v>
      </c>
      <c r="S405" s="48">
        <f>IF(VLOOKUP($D405,$C$5:$AU$493,3,)=0,0,(VLOOKUP($D405,$C$5:$AU$493,17,)/VLOOKUP($D405,$C$5:$AU$493,3,))*$E405)</f>
        <v>0</v>
      </c>
      <c r="T405" s="48">
        <f>IF(VLOOKUP($D405,$C$5:$AU$493,3,)=0,0,(VLOOKUP($D405,$C$5:$AU$493,18,)/VLOOKUP($D405,$C$5:$AU$493,3,))*$E405)</f>
        <v>0</v>
      </c>
      <c r="U405" s="48">
        <f>IF(VLOOKUP($D405,$C$5:$AU$493,3,)=0,0,(VLOOKUP($D405,$C$5:$AU$493,19,)/VLOOKUP($D405,$C$5:$AU$493,3,))*$E405)</f>
        <v>0</v>
      </c>
      <c r="V405" s="48">
        <f>IF(VLOOKUP($D405,$C$5:$AU$493,3,)=0,0,(VLOOKUP($D405,$C$5:$AU$493,20,)/VLOOKUP($D405,$C$5:$AU$493,3,))*$E405)</f>
        <v>0</v>
      </c>
      <c r="W405" s="48">
        <f>IF(VLOOKUP($D405,$C$5:$AU$493,3,)=0,0,(VLOOKUP($D405,$C$5:$AU$493,21,)/VLOOKUP($D405,$C$5:$AU$493,3,))*$E405)</f>
        <v>0</v>
      </c>
      <c r="X405" s="48">
        <f>IF(VLOOKUP($D405,$C$5:$AU$493,3,)=0,0,(VLOOKUP($D405,$C$5:$AU$493,22,)/VLOOKUP($D405,$C$5:$AU$493,3,))*$E405)</f>
        <v>0</v>
      </c>
      <c r="Y405" s="48">
        <f>IF(VLOOKUP($D405,$C$5:$AU$493,3,)=0,0,(VLOOKUP($D405,$C$5:$AU$493,23,)/VLOOKUP($D405,$C$5:$AU$493,3,))*$E405)</f>
        <v>0</v>
      </c>
      <c r="Z405" s="48">
        <f>IF(VLOOKUP($D405,$C$5:$AU$493,3,)=0,0,(VLOOKUP($D405,$C$5:$AU$493,24,)/VLOOKUP($D405,$C$5:$AU$493,3,))*$E405)</f>
        <v>0</v>
      </c>
      <c r="AA405" s="48">
        <f>IF(VLOOKUP($D405,$C$5:$AU$493,3,)=0,0,(VLOOKUP($D405,$C$5:$AU$493,25,)/VLOOKUP($D405,$C$5:$AU$493,3,))*$E405)</f>
        <v>0</v>
      </c>
      <c r="AB405" s="48">
        <f>IF(VLOOKUP($D405,$C$5:$AU$493,3,)=0,0,(VLOOKUP($D405,$C$5:$AU$493,26,)/VLOOKUP($D405,$C$5:$AU$493,3,))*$E405)</f>
        <v>0</v>
      </c>
      <c r="AC405" s="48">
        <f>IF(VLOOKUP($D405,$C$5:$AU$493,3,)=0,0,(VLOOKUP($D405,$C$5:$AU$493,27,)/VLOOKUP($D405,$C$5:$AU$493,3,))*$E405)</f>
        <v>0</v>
      </c>
      <c r="AD405" s="48">
        <f>IF(VLOOKUP($D405,$C$5:$AU$493,3,)=0,0,(VLOOKUP($D405,$C$5:$AU$493,28,)/VLOOKUP($D405,$C$5:$AU$493,3,))*$E405)</f>
        <v>0</v>
      </c>
      <c r="AE405" s="48">
        <f>IF(VLOOKUP($D405,$C$5:$AU$493,3,)=0,0,(VLOOKUP($D405,$C$5:$AU$493,29,)/VLOOKUP($D405,$C$5:$AU$493,3,))*$E405)</f>
        <v>0</v>
      </c>
      <c r="AF405" s="48">
        <f>IF(VLOOKUP($D405,$C$5:$AU$493,3,)=0,0,(VLOOKUP($D405,$C$5:$AU$493,30,)/VLOOKUP($D405,$C$5:$AU$493,3,))*$E405)</f>
        <v>0</v>
      </c>
      <c r="AG405" s="97">
        <f t="shared" si="195"/>
        <v>1</v>
      </c>
      <c r="AH405" s="27" t="str">
        <f t="shared" si="196"/>
        <v>ok</v>
      </c>
    </row>
    <row r="406" spans="1:34" x14ac:dyDescent="0.2">
      <c r="A406" s="14" t="s">
        <v>342</v>
      </c>
      <c r="C406" s="14" t="s">
        <v>228</v>
      </c>
      <c r="E406" s="93">
        <v>1</v>
      </c>
      <c r="F406" s="48">
        <f>Meters!G6</f>
        <v>0.93962069859209651</v>
      </c>
      <c r="G406" s="48">
        <f>Meters!G7</f>
        <v>1.8274207069476944E-3</v>
      </c>
      <c r="H406" s="48">
        <f>Meters!G8</f>
        <v>3.5987049448120293E-4</v>
      </c>
      <c r="I406" s="48">
        <f>Meters!G9</f>
        <v>4.2542198422195948E-2</v>
      </c>
      <c r="J406" s="48">
        <f>Meters!G10</f>
        <v>9.2177354726764252E-4</v>
      </c>
      <c r="K406" s="48">
        <f>Meters!G11</f>
        <v>6.950938305098458E-3</v>
      </c>
      <c r="L406" s="48">
        <f>Meters!G12</f>
        <v>3.3215221967987257E-3</v>
      </c>
      <c r="M406" s="48">
        <f>Meters!G13</f>
        <v>5.7540737295368107E-4</v>
      </c>
      <c r="N406" s="48">
        <f>Meters!G14</f>
        <v>3.8801703621602402E-3</v>
      </c>
      <c r="O406" s="48">
        <f>Meters!G15</f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0</v>
      </c>
      <c r="U406" s="48"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97">
        <f t="shared" ref="AG406" si="197">SUM(F406:AF406)</f>
        <v>1</v>
      </c>
      <c r="AH406" s="27" t="str">
        <f t="shared" si="196"/>
        <v>ok</v>
      </c>
    </row>
    <row r="407" spans="1:34" x14ac:dyDescent="0.2">
      <c r="A407" s="14" t="s">
        <v>343</v>
      </c>
      <c r="C407" s="14" t="s">
        <v>230</v>
      </c>
      <c r="D407" s="14" t="s">
        <v>564</v>
      </c>
      <c r="E407" s="93">
        <v>1</v>
      </c>
      <c r="F407" s="48">
        <f>IF(VLOOKUP($D407,$C$5:$AU$493,3,)=0,0,(VLOOKUP($D407,$C$5:$AU$493,4,)/VLOOKUP($D407,$C$5:$AU$493,3,))*$E407)</f>
        <v>0</v>
      </c>
      <c r="G407" s="48">
        <f>IF(VLOOKUP($D407,$C$5:$AU$493,3,)=0,0,(VLOOKUP($D407,$C$5:$AU$493,5,)/VLOOKUP($D407,$C$5:$AU$493,3,))*$E407)</f>
        <v>0</v>
      </c>
      <c r="H407" s="48">
        <f>IF(VLOOKUP($D407,$C$5:$AU$493,3,)=0,0,(VLOOKUP($D407,$C$5:$AU$493,6,)/VLOOKUP($D407,$C$5:$AU$493,3,))*$E407)</f>
        <v>0</v>
      </c>
      <c r="I407" s="48">
        <f>IF(VLOOKUP($D407,$C$5:$AU$493,3,)=0,0,(VLOOKUP($D407,$C$5:$AU$493,7,)/VLOOKUP($D407,$C$5:$AU$493,3,))*$E407)</f>
        <v>0</v>
      </c>
      <c r="J407" s="48">
        <f>IF(VLOOKUP($D407,$C$5:$AU$493,3,)=0,0,(VLOOKUP($D407,$C$5:$AU$493,8,)/VLOOKUP($D407,$C$5:$AU$493,3,))*$E407)</f>
        <v>0</v>
      </c>
      <c r="K407" s="48">
        <f>IF(VLOOKUP($D407,$C$5:$AU$493,3,)=0,0,(VLOOKUP($D407,$C$5:$AU$493,8,)/VLOOKUP($D407,$C$5:$AU$493,3,))*$E407)</f>
        <v>0</v>
      </c>
      <c r="L407" s="48">
        <v>0</v>
      </c>
      <c r="M407" s="48">
        <v>0</v>
      </c>
      <c r="N407" s="48">
        <f>IF(VLOOKUP($D407,$C$5:$AU$493,3,)=0,0,(VLOOKUP($D407,$C$5:$AU$493,12,)/VLOOKUP($D407,$C$5:$AU$493,3,))*$E407)</f>
        <v>0</v>
      </c>
      <c r="O407" s="48">
        <f>IF(VLOOKUP($D407,$C$5:$AU$493,3,)=0,0,(VLOOKUP($D407,$C$5:$AU$493,13,)/VLOOKUP($D407,$C$5:$AU$493,3,))*$E407)</f>
        <v>0</v>
      </c>
      <c r="P407" s="48">
        <f>IF(VLOOKUP($D407,$C$5:$AU$493,3,)=0,0,(VLOOKUP($D407,$C$5:$AU$493,14,)/VLOOKUP($D407,$C$5:$AU$493,3,))*$E407)</f>
        <v>1</v>
      </c>
      <c r="Q407" s="48">
        <f>IF(VLOOKUP($D407,$C$5:$AU$493,3,)=0,0,(VLOOKUP($D407,$C$5:$AU$493,15,)/VLOOKUP($D407,$C$5:$AU$493,3,))*$E407)</f>
        <v>0</v>
      </c>
      <c r="R407" s="48">
        <f>IF(VLOOKUP($D407,$C$5:$AU$493,3,)=0,0,(VLOOKUP($D407,$C$5:$AU$493,16,)/VLOOKUP($D407,$C$5:$AU$493,3,))*$E407)</f>
        <v>0</v>
      </c>
      <c r="S407" s="48">
        <f>IF(VLOOKUP($D407,$C$5:$AU$493,3,)=0,0,(VLOOKUP($D407,$C$5:$AU$493,17,)/VLOOKUP($D407,$C$5:$AU$493,3,))*$E407)</f>
        <v>0</v>
      </c>
      <c r="T407" s="48">
        <f>IF(VLOOKUP($D407,$C$5:$AU$493,3,)=0,0,(VLOOKUP($D407,$C$5:$AU$493,18,)/VLOOKUP($D407,$C$5:$AU$493,3,))*$E407)</f>
        <v>0</v>
      </c>
      <c r="U407" s="48">
        <f>IF(VLOOKUP($D407,$C$5:$AU$493,3,)=0,0,(VLOOKUP($D407,$C$5:$AU$493,19,)/VLOOKUP($D407,$C$5:$AU$493,3,))*$E407)</f>
        <v>0</v>
      </c>
      <c r="V407" s="48">
        <f>IF(VLOOKUP($D407,$C$5:$AU$493,3,)=0,0,(VLOOKUP($D407,$C$5:$AU$493,20,)/VLOOKUP($D407,$C$5:$AU$493,3,))*$E407)</f>
        <v>0</v>
      </c>
      <c r="W407" s="48">
        <f>IF(VLOOKUP($D407,$C$5:$AU$493,3,)=0,0,(VLOOKUP($D407,$C$5:$AU$493,21,)/VLOOKUP($D407,$C$5:$AU$493,3,))*$E407)</f>
        <v>0</v>
      </c>
      <c r="X407" s="48">
        <f>IF(VLOOKUP($D407,$C$5:$AU$493,3,)=0,0,(VLOOKUP($D407,$C$5:$AU$493,22,)/VLOOKUP($D407,$C$5:$AU$493,3,))*$E407)</f>
        <v>0</v>
      </c>
      <c r="Y407" s="48">
        <f>IF(VLOOKUP($D407,$C$5:$AU$493,3,)=0,0,(VLOOKUP($D407,$C$5:$AU$493,23,)/VLOOKUP($D407,$C$5:$AU$493,3,))*$E407)</f>
        <v>0</v>
      </c>
      <c r="Z407" s="48">
        <f>IF(VLOOKUP($D407,$C$5:$AU$493,3,)=0,0,(VLOOKUP($D407,$C$5:$AU$493,24,)/VLOOKUP($D407,$C$5:$AU$493,3,))*$E407)</f>
        <v>0</v>
      </c>
      <c r="AA407" s="48">
        <f>IF(VLOOKUP($D407,$C$5:$AU$493,3,)=0,0,(VLOOKUP($D407,$C$5:$AU$493,25,)/VLOOKUP($D407,$C$5:$AU$493,3,))*$E407)</f>
        <v>0</v>
      </c>
      <c r="AB407" s="48">
        <f>IF(VLOOKUP($D407,$C$5:$AU$493,3,)=0,0,(VLOOKUP($D407,$C$5:$AU$493,26,)/VLOOKUP($D407,$C$5:$AU$493,3,))*$E407)</f>
        <v>0</v>
      </c>
      <c r="AC407" s="48">
        <f>IF(VLOOKUP($D407,$C$5:$AU$493,3,)=0,0,(VLOOKUP($D407,$C$5:$AU$493,27,)/VLOOKUP($D407,$C$5:$AU$493,3,))*$E407)</f>
        <v>0</v>
      </c>
      <c r="AD407" s="48">
        <f>IF(VLOOKUP($D407,$C$5:$AU$493,3,)=0,0,(VLOOKUP($D407,$C$5:$AU$493,28,)/VLOOKUP($D407,$C$5:$AU$493,3,))*$E407)</f>
        <v>0</v>
      </c>
      <c r="AE407" s="48">
        <f>IF(VLOOKUP($D407,$C$5:$AU$493,3,)=0,0,(VLOOKUP($D407,$C$5:$AU$493,29,)/VLOOKUP($D407,$C$5:$AU$493,3,))*$E407)</f>
        <v>0</v>
      </c>
      <c r="AF407" s="48">
        <f>IF(VLOOKUP($D407,$C$5:$AU$493,3,)=0,0,(VLOOKUP($D407,$C$5:$AU$493,30,)/VLOOKUP($D407,$C$5:$AU$493,3,))*$E407)</f>
        <v>0</v>
      </c>
      <c r="AG407" s="97">
        <f t="shared" si="195"/>
        <v>1</v>
      </c>
      <c r="AH407" s="27" t="str">
        <f t="shared" si="196"/>
        <v>ok</v>
      </c>
    </row>
    <row r="408" spans="1:34" x14ac:dyDescent="0.2">
      <c r="A408" s="14" t="s">
        <v>344</v>
      </c>
      <c r="C408" s="14" t="s">
        <v>232</v>
      </c>
      <c r="D408" s="14" t="s">
        <v>562</v>
      </c>
      <c r="E408" s="93">
        <v>1</v>
      </c>
      <c r="F408" s="48">
        <f>IF(VLOOKUP($D408,$C$5:$AU$493,3,)=0,0,(VLOOKUP($D408,$C$5:$AU$493,4,)/VLOOKUP($D408,$C$5:$AU$493,3,))*$E408)</f>
        <v>0.76387235606801562</v>
      </c>
      <c r="G408" s="48">
        <f>IF(VLOOKUP($D408,$C$5:$AU$493,3,)=0,0,(VLOOKUP($D408,$C$5:$AU$493,5,)/VLOOKUP($D408,$C$5:$AU$493,3,))*$E408)</f>
        <v>1.485616656843787E-3</v>
      </c>
      <c r="H408" s="48">
        <f>IF(VLOOKUP($D408,$C$5:$AU$493,3,)=0,0,(VLOOKUP($D408,$C$5:$AU$493,6,)/VLOOKUP($D408,$C$5:$AU$493,3,))*$E408)</f>
        <v>2.4039786924086827E-4</v>
      </c>
      <c r="I408" s="48">
        <f>IF(VLOOKUP($D408,$C$5:$AU$493,3,)=0,0,(VLOOKUP($D408,$C$5:$AU$493,7,)/VLOOKUP($D408,$C$5:$AU$493,3,))*$E408)</f>
        <v>3.8427810273476685E-2</v>
      </c>
      <c r="J408" s="48">
        <f>IF(VLOOKUP($D408,$C$5:$AU$493,3,)=0,0,(VLOOKUP($D408,$C$5:$AU$493,8,)/VLOOKUP($D408,$C$5:$AU$493,3,))*$E408)</f>
        <v>6.1575594577485552E-4</v>
      </c>
      <c r="K408" s="48">
        <f>IF(VLOOKUP($D408,$C$5:$AU$493,3,)=0,0,(VLOOKUP($D408,$C$5:$AU$493,9,)/VLOOKUP($D408,$C$5:$AU$493,3,))*$E408)</f>
        <v>7.8551058151073193E-4</v>
      </c>
      <c r="L408" s="48">
        <f>IF(VLOOKUP($D408,$C$5:$AU$493,3,)=0,0,(VLOOKUP($D408,$C$5:$AU$493,10,)/VLOOKUP($D408,$C$5:$AU$493,3,))*$E408)</f>
        <v>3.7535807653398732E-4</v>
      </c>
      <c r="M408" s="48">
        <f>IF(VLOOKUP($D408,$C$5:$AU$493,3,)=0,0,(VLOOKUP($D408,$C$5:$AU$493,11,)/VLOOKUP($D408,$C$5:$AU$493,3,))*$E408)</f>
        <v>3.7957558301189726E-5</v>
      </c>
      <c r="N408" s="48">
        <f>IF(VLOOKUP($D408,$C$5:$AU$493,3,)=0,0,(VLOOKUP($D408,$C$5:$AU$493,12,)/VLOOKUP($D408,$C$5:$AU$493,3,))*$E408)</f>
        <v>3.7957558301189726E-5</v>
      </c>
      <c r="O408" s="48">
        <f>IF(VLOOKUP($D408,$C$5:$AU$493,3,)=0,0,(VLOOKUP($D408,$C$5:$AU$493,13,)/VLOOKUP($D408,$C$5:$AU$493,3,))*$E408)</f>
        <v>1.2652519433729909E-5</v>
      </c>
      <c r="P408" s="48">
        <f>IF(VLOOKUP($D408,$C$5:$AU$493,3,)=0,0,(VLOOKUP($D408,$C$5:$AU$493,14,)/VLOOKUP($D408,$C$5:$AU$493,3,))*$E408)</f>
        <v>0.19410862689256742</v>
      </c>
      <c r="Q408" s="48">
        <f>IF(VLOOKUP($D408,$C$5:$AU$493,3,)=0,0,(VLOOKUP($D408,$C$5:$AU$493,15,)/VLOOKUP($D408,$C$5:$AU$493,3,))*$E408)</f>
        <v>0</v>
      </c>
      <c r="R408" s="48">
        <f>IF(VLOOKUP($D408,$C$5:$AU$493,3,)=0,0,(VLOOKUP($D408,$C$5:$AU$493,16,)/VLOOKUP($D408,$C$5:$AU$493,3,))*$E408)</f>
        <v>0</v>
      </c>
      <c r="S408" s="48">
        <f>IF(VLOOKUP($D408,$C$5:$AU$493,3,)=0,0,(VLOOKUP($D408,$C$5:$AU$493,17,)/VLOOKUP($D408,$C$5:$AU$493,3,))*$E408)</f>
        <v>0</v>
      </c>
      <c r="T408" s="48">
        <f>IF(VLOOKUP($D408,$C$5:$AU$493,3,)=0,0,(VLOOKUP($D408,$C$5:$AU$493,18,)/VLOOKUP($D408,$C$5:$AU$493,3,))*$E408)</f>
        <v>0</v>
      </c>
      <c r="U408" s="48">
        <f>IF(VLOOKUP($D408,$C$5:$AU$493,3,)=0,0,(VLOOKUP($D408,$C$5:$AU$493,19,)/VLOOKUP($D408,$C$5:$AU$493,3,))*$E408)</f>
        <v>0</v>
      </c>
      <c r="V408" s="48">
        <f>IF(VLOOKUP($D408,$C$5:$AU$493,3,)=0,0,(VLOOKUP($D408,$C$5:$AU$493,20,)/VLOOKUP($D408,$C$5:$AU$493,3,))*$E408)</f>
        <v>0</v>
      </c>
      <c r="W408" s="48">
        <f>IF(VLOOKUP($D408,$C$5:$AU$493,3,)=0,0,(VLOOKUP($D408,$C$5:$AU$493,21,)/VLOOKUP($D408,$C$5:$AU$493,3,))*$E408)</f>
        <v>0</v>
      </c>
      <c r="X408" s="48">
        <f>IF(VLOOKUP($D408,$C$5:$AU$493,3,)=0,0,(VLOOKUP($D408,$C$5:$AU$493,22,)/VLOOKUP($D408,$C$5:$AU$493,3,))*$E408)</f>
        <v>0</v>
      </c>
      <c r="Y408" s="48">
        <f>IF(VLOOKUP($D408,$C$5:$AU$493,3,)=0,0,(VLOOKUP($D408,$C$5:$AU$493,23,)/VLOOKUP($D408,$C$5:$AU$493,3,))*$E408)</f>
        <v>0</v>
      </c>
      <c r="Z408" s="48">
        <f>IF(VLOOKUP($D408,$C$5:$AU$493,3,)=0,0,(VLOOKUP($D408,$C$5:$AU$493,24,)/VLOOKUP($D408,$C$5:$AU$493,3,))*$E408)</f>
        <v>0</v>
      </c>
      <c r="AA408" s="48">
        <f>IF(VLOOKUP($D408,$C$5:$AU$493,3,)=0,0,(VLOOKUP($D408,$C$5:$AU$493,25,)/VLOOKUP($D408,$C$5:$AU$493,3,))*$E408)</f>
        <v>0</v>
      </c>
      <c r="AB408" s="48">
        <f>IF(VLOOKUP($D408,$C$5:$AU$493,3,)=0,0,(VLOOKUP($D408,$C$5:$AU$493,26,)/VLOOKUP($D408,$C$5:$AU$493,3,))*$E408)</f>
        <v>0</v>
      </c>
      <c r="AC408" s="48">
        <f>IF(VLOOKUP($D408,$C$5:$AU$493,3,)=0,0,(VLOOKUP($D408,$C$5:$AU$493,27,)/VLOOKUP($D408,$C$5:$AU$493,3,))*$E408)</f>
        <v>0</v>
      </c>
      <c r="AD408" s="48">
        <f>IF(VLOOKUP($D408,$C$5:$AU$493,3,)=0,0,(VLOOKUP($D408,$C$5:$AU$493,28,)/VLOOKUP($D408,$C$5:$AU$493,3,))*$E408)</f>
        <v>0</v>
      </c>
      <c r="AE408" s="48">
        <f>IF(VLOOKUP($D408,$C$5:$AU$493,3,)=0,0,(VLOOKUP($D408,$C$5:$AU$493,29,)/VLOOKUP($D408,$C$5:$AU$493,3,))*$E408)</f>
        <v>0</v>
      </c>
      <c r="AF408" s="48">
        <f>IF(VLOOKUP($D408,$C$5:$AU$493,3,)=0,0,(VLOOKUP($D408,$C$5:$AU$493,30,)/VLOOKUP($D408,$C$5:$AU$493,3,))*$E408)</f>
        <v>0</v>
      </c>
      <c r="AG408" s="97">
        <f t="shared" si="195"/>
        <v>1</v>
      </c>
      <c r="AH408" s="27" t="str">
        <f t="shared" si="196"/>
        <v>ok</v>
      </c>
    </row>
    <row r="409" spans="1:34" x14ac:dyDescent="0.2">
      <c r="A409" s="14" t="s">
        <v>469</v>
      </c>
      <c r="C409" s="14" t="s">
        <v>233</v>
      </c>
      <c r="D409" s="14" t="s">
        <v>617</v>
      </c>
      <c r="E409" s="93">
        <v>1</v>
      </c>
      <c r="F409" s="48">
        <f>IF(VLOOKUP($D409,$C$5:$AU$493,3,)=0,0,(VLOOKUP($D409,$C$5:$AU$493,4,)/VLOOKUP($D409,$C$5:$AU$493,3,))*$E409)</f>
        <v>0.94281379662441234</v>
      </c>
      <c r="G409" s="48">
        <f>IF(VLOOKUP($D409,$C$5:$AU$493,3,)=0,0,(VLOOKUP($D409,$C$5:$AU$493,5,)/VLOOKUP($D409,$C$5:$AU$493,3,))*$E409)</f>
        <v>1.8336308015872772E-3</v>
      </c>
      <c r="H409" s="48">
        <f>IF(VLOOKUP($D409,$C$5:$AU$493,3,)=0,0,(VLOOKUP($D409,$C$5:$AU$493,6,)/VLOOKUP($D409,$C$5:$AU$493,3,))*$E409)</f>
        <v>2.9671243631078722E-4</v>
      </c>
      <c r="I409" s="48">
        <f>IF(VLOOKUP($D409,$C$5:$AU$493,3,)=0,0,(VLOOKUP($D409,$C$5:$AU$493,7,)/VLOOKUP($D409,$C$5:$AU$493,3,))*$E409)</f>
        <v>4.7429743218346268E-2</v>
      </c>
      <c r="J409" s="48">
        <f>IF(VLOOKUP($D409,$C$5:$AU$493,3,)=0,0,(VLOOKUP($D409,$C$5:$AU$493,8,)/VLOOKUP($D409,$C$5:$AU$493,3,))*$E409)</f>
        <v>7.60000275462718E-4</v>
      </c>
      <c r="K409" s="48">
        <f>IF(VLOOKUP($D409,$C$5:$AU$493,3,)=0,0,(VLOOKUP($D409,$C$5:$AU$493,9,)/VLOOKUP($D409,$C$5:$AU$493,3,))*$E409)</f>
        <v>9.6952089934884418E-4</v>
      </c>
      <c r="L409" s="48">
        <f>IF(VLOOKUP($D409,$C$5:$AU$493,3,)=0,0,(VLOOKUP($D409,$C$5:$AU$493,10,)/VLOOKUP($D409,$C$5:$AU$493,3,))*$E409)</f>
        <v>4.6328783915193088E-4</v>
      </c>
      <c r="M409" s="48">
        <f>IF(VLOOKUP($D409,$C$5:$AU$493,3,)=0,0,(VLOOKUP($D409,$C$5:$AU$493,11,)/VLOOKUP($D409,$C$5:$AU$493,3,))*$E409)</f>
        <v>4.6849332049071661E-5</v>
      </c>
      <c r="N409" s="48">
        <f>IF(VLOOKUP($D409,$C$5:$AU$493,3,)=0,0,(VLOOKUP($D409,$C$5:$AU$493,12,)/VLOOKUP($D409,$C$5:$AU$493,3,))*$E409)</f>
        <v>4.6849332049071661E-5</v>
      </c>
      <c r="O409" s="48">
        <f>IF(VLOOKUP($D409,$C$5:$AU$493,3,)=0,0,(VLOOKUP($D409,$C$5:$AU$493,13,)/VLOOKUP($D409,$C$5:$AU$493,3,))*$E409)</f>
        <v>1.5616444016357221E-5</v>
      </c>
      <c r="P409" s="48">
        <f>IF(VLOOKUP($D409,$C$5:$AU$493,3,)=0,0,(VLOOKUP($D409,$C$5:$AU$493,14,)/VLOOKUP($D409,$C$5:$AU$493,3,))*$E409)</f>
        <v>5.3239927972654286E-3</v>
      </c>
      <c r="Q409" s="48">
        <f>IF(VLOOKUP($D409,$C$5:$AU$493,3,)=0,0,(VLOOKUP($D409,$C$5:$AU$493,15,)/VLOOKUP($D409,$C$5:$AU$493,3,))*$E409)</f>
        <v>0</v>
      </c>
      <c r="R409" s="48">
        <f>IF(VLOOKUP($D409,$C$5:$AU$493,3,)=0,0,(VLOOKUP($D409,$C$5:$AU$493,16,)/VLOOKUP($D409,$C$5:$AU$493,3,))*$E409)</f>
        <v>0</v>
      </c>
      <c r="S409" s="48">
        <f>IF(VLOOKUP($D409,$C$5:$AU$493,3,)=0,0,(VLOOKUP($D409,$C$5:$AU$493,17,)/VLOOKUP($D409,$C$5:$AU$493,3,))*$E409)</f>
        <v>0</v>
      </c>
      <c r="T409" s="48">
        <f>IF(VLOOKUP($D409,$C$5:$AU$493,3,)=0,0,(VLOOKUP($D409,$C$5:$AU$493,18,)/VLOOKUP($D409,$C$5:$AU$493,3,))*$E409)</f>
        <v>0</v>
      </c>
      <c r="U409" s="48">
        <f>IF(VLOOKUP($D409,$C$5:$AU$493,3,)=0,0,(VLOOKUP($D409,$C$5:$AU$493,19,)/VLOOKUP($D409,$C$5:$AU$493,3,))*$E409)</f>
        <v>0</v>
      </c>
      <c r="V409" s="48">
        <f>IF(VLOOKUP($D409,$C$5:$AU$493,3,)=0,0,(VLOOKUP($D409,$C$5:$AU$493,20,)/VLOOKUP($D409,$C$5:$AU$493,3,))*$E409)</f>
        <v>0</v>
      </c>
      <c r="W409" s="48">
        <f>IF(VLOOKUP($D409,$C$5:$AU$493,3,)=0,0,(VLOOKUP($D409,$C$5:$AU$493,21,)/VLOOKUP($D409,$C$5:$AU$493,3,))*$E409)</f>
        <v>0</v>
      </c>
      <c r="X409" s="48">
        <f>IF(VLOOKUP($D409,$C$5:$AU$493,3,)=0,0,(VLOOKUP($D409,$C$5:$AU$493,22,)/VLOOKUP($D409,$C$5:$AU$493,3,))*$E409)</f>
        <v>0</v>
      </c>
      <c r="Y409" s="48">
        <f>IF(VLOOKUP($D409,$C$5:$AU$493,3,)=0,0,(VLOOKUP($D409,$C$5:$AU$493,23,)/VLOOKUP($D409,$C$5:$AU$493,3,))*$E409)</f>
        <v>0</v>
      </c>
      <c r="Z409" s="48">
        <f>IF(VLOOKUP($D409,$C$5:$AU$493,3,)=0,0,(VLOOKUP($D409,$C$5:$AU$493,24,)/VLOOKUP($D409,$C$5:$AU$493,3,))*$E409)</f>
        <v>0</v>
      </c>
      <c r="AA409" s="48">
        <f>IF(VLOOKUP($D409,$C$5:$AU$493,3,)=0,0,(VLOOKUP($D409,$C$5:$AU$493,25,)/VLOOKUP($D409,$C$5:$AU$493,3,))*$E409)</f>
        <v>0</v>
      </c>
      <c r="AB409" s="48">
        <f>IF(VLOOKUP($D409,$C$5:$AU$493,3,)=0,0,(VLOOKUP($D409,$C$5:$AU$493,26,)/VLOOKUP($D409,$C$5:$AU$493,3,))*$E409)</f>
        <v>0</v>
      </c>
      <c r="AC409" s="48">
        <f>IF(VLOOKUP($D409,$C$5:$AU$493,3,)=0,0,(VLOOKUP($D409,$C$5:$AU$493,27,)/VLOOKUP($D409,$C$5:$AU$493,3,))*$E409)</f>
        <v>0</v>
      </c>
      <c r="AD409" s="48">
        <f>IF(VLOOKUP($D409,$C$5:$AU$493,3,)=0,0,(VLOOKUP($D409,$C$5:$AU$493,28,)/VLOOKUP($D409,$C$5:$AU$493,3,))*$E409)</f>
        <v>0</v>
      </c>
      <c r="AE409" s="48">
        <f>IF(VLOOKUP($D409,$C$5:$AU$493,3,)=0,0,(VLOOKUP($D409,$C$5:$AU$493,29,)/VLOOKUP($D409,$C$5:$AU$493,3,))*$E409)</f>
        <v>0</v>
      </c>
      <c r="AF409" s="48">
        <f>IF(VLOOKUP($D409,$C$5:$AU$493,3,)=0,0,(VLOOKUP($D409,$C$5:$AU$493,30,)/VLOOKUP($D409,$C$5:$AU$493,3,))*$E409)</f>
        <v>0</v>
      </c>
      <c r="AG409" s="97">
        <f t="shared" si="195"/>
        <v>1.0000000000000002</v>
      </c>
      <c r="AH409" s="27" t="str">
        <f t="shared" si="196"/>
        <v>ok</v>
      </c>
    </row>
    <row r="411" spans="1:34" x14ac:dyDescent="0.2">
      <c r="A411" s="13" t="s">
        <v>863</v>
      </c>
      <c r="D411" s="46"/>
    </row>
    <row r="412" spans="1:34" x14ac:dyDescent="0.2">
      <c r="A412" s="14" t="s">
        <v>347</v>
      </c>
      <c r="C412" s="14" t="s">
        <v>560</v>
      </c>
      <c r="E412" s="49">
        <f>'Billing Det'!E25</f>
        <v>156072860.9000001</v>
      </c>
      <c r="F412" s="49">
        <f>'Billing Det'!$E8</f>
        <v>104312448.5</v>
      </c>
      <c r="G412" s="49">
        <f>'Billing Det'!$E9</f>
        <v>40621.12999999999</v>
      </c>
      <c r="H412" s="49">
        <f>'Billing Det'!$E10</f>
        <v>24871.39</v>
      </c>
      <c r="I412" s="49">
        <f>'Billing Det'!$E11</f>
        <v>11829985.08</v>
      </c>
      <c r="J412" s="49">
        <f>'Billing Det'!$E12</f>
        <v>204998.66000000003</v>
      </c>
      <c r="K412" s="49">
        <f>'Billing Det'!$E13</f>
        <v>3845410.46</v>
      </c>
      <c r="L412" s="49">
        <f>'Billing Det'!$E14</f>
        <v>10652733.910000002</v>
      </c>
      <c r="M412" s="49">
        <f>'Billing Det'!$E15</f>
        <v>5523086.7700000005</v>
      </c>
      <c r="N412" s="49">
        <f>'Billing Det'!$E16</f>
        <v>10811543.060000001</v>
      </c>
      <c r="O412" s="49">
        <f>'Billing Det'!$E17</f>
        <v>6318330.3299999991</v>
      </c>
      <c r="P412" s="49">
        <f>'Billing Det'!$E18</f>
        <v>2508831.6100000916</v>
      </c>
      <c r="Q412" s="49">
        <f>'Billing Det'!$E19</f>
        <v>0</v>
      </c>
      <c r="R412" s="49">
        <f>'Billing Det'!$E20</f>
        <v>0</v>
      </c>
      <c r="S412" s="49">
        <f>'Billing Det'!$E21</f>
        <v>0</v>
      </c>
      <c r="T412" s="49">
        <f>'Billing Det'!$E22</f>
        <v>0</v>
      </c>
      <c r="U412" s="49">
        <f>'Billing Det'!$E23</f>
        <v>0</v>
      </c>
      <c r="V412" s="49">
        <v>0</v>
      </c>
      <c r="W412" s="49">
        <v>0</v>
      </c>
      <c r="X412" s="49">
        <v>0</v>
      </c>
      <c r="Y412" s="49">
        <v>0</v>
      </c>
      <c r="Z412" s="49">
        <v>0</v>
      </c>
      <c r="AA412" s="49">
        <v>0</v>
      </c>
      <c r="AB412" s="49">
        <v>0</v>
      </c>
      <c r="AC412" s="49">
        <v>0</v>
      </c>
      <c r="AD412" s="49">
        <v>0</v>
      </c>
      <c r="AE412" s="49"/>
      <c r="AF412" s="49"/>
      <c r="AG412" s="49">
        <f t="shared" ref="AG412:AG422" si="198">SUM(F412:AF412)</f>
        <v>156072860.9000001</v>
      </c>
      <c r="AH412" s="27" t="str">
        <f t="shared" ref="AH412:AH422" si="199">IF(ABS(E412-AG412)&lt;0.01,"ok","err")</f>
        <v>ok</v>
      </c>
    </row>
    <row r="413" spans="1:34" x14ac:dyDescent="0.2">
      <c r="A413" s="14" t="s">
        <v>11</v>
      </c>
      <c r="C413" s="14" t="s">
        <v>212</v>
      </c>
      <c r="E413" s="49">
        <f>'Billing Det'!D25</f>
        <v>1392447592</v>
      </c>
      <c r="F413" s="49">
        <f>'Billing Det'!D8</f>
        <v>842884819</v>
      </c>
      <c r="G413" s="49">
        <f>'Billing Det'!D9</f>
        <v>157760</v>
      </c>
      <c r="H413" s="49">
        <f>'Billing Det'!D10</f>
        <v>212575</v>
      </c>
      <c r="I413" s="49">
        <f>'Billing Det'!D11</f>
        <v>82360082</v>
      </c>
      <c r="J413" s="49">
        <f>'Billing Det'!D12</f>
        <v>1396110</v>
      </c>
      <c r="K413" s="49">
        <f>'Billing Det'!D13</f>
        <v>36945673</v>
      </c>
      <c r="L413" s="49">
        <f>'Billing Det'!D14</f>
        <v>119234589</v>
      </c>
      <c r="M413" s="49">
        <f>'Billing Det'!D15</f>
        <v>69502841</v>
      </c>
      <c r="N413" s="49">
        <f>'Billing Det'!D16</f>
        <v>139574198</v>
      </c>
      <c r="O413" s="49">
        <f>'Billing Det'!D17</f>
        <v>94772820</v>
      </c>
      <c r="P413" s="49">
        <f>'Billing Det'!D18</f>
        <v>5406125</v>
      </c>
      <c r="Q413" s="49">
        <f>'Billing Det'!D19</f>
        <v>0</v>
      </c>
      <c r="R413" s="49">
        <f>'Billing Det'!D20</f>
        <v>0</v>
      </c>
      <c r="S413" s="49">
        <f>'Billing Det'!$D21</f>
        <v>0</v>
      </c>
      <c r="T413" s="49">
        <f>'Billing Det'!$D22</f>
        <v>0</v>
      </c>
      <c r="U413" s="49">
        <f>'Billing Det'!$D23</f>
        <v>0</v>
      </c>
      <c r="V413" s="49">
        <v>0</v>
      </c>
      <c r="W413" s="49">
        <v>0</v>
      </c>
      <c r="X413" s="49">
        <v>0</v>
      </c>
      <c r="Y413" s="49">
        <v>0</v>
      </c>
      <c r="Z413" s="49">
        <v>0</v>
      </c>
      <c r="AA413" s="49">
        <v>0</v>
      </c>
      <c r="AB413" s="49">
        <v>0</v>
      </c>
      <c r="AC413" s="49">
        <v>0</v>
      </c>
      <c r="AD413" s="49">
        <v>0</v>
      </c>
      <c r="AE413" s="49"/>
      <c r="AF413" s="49"/>
      <c r="AG413" s="49">
        <f>SUM(F413:AF413)</f>
        <v>1392447592</v>
      </c>
      <c r="AH413" s="27" t="str">
        <f t="shared" si="199"/>
        <v>ok</v>
      </c>
    </row>
    <row r="414" spans="1:34" x14ac:dyDescent="0.2">
      <c r="A414" s="14" t="s">
        <v>742</v>
      </c>
      <c r="E414" s="47"/>
      <c r="F414" s="188">
        <v>0.05</v>
      </c>
      <c r="G414" s="188">
        <f t="shared" ref="G414" si="200">F414</f>
        <v>0.05</v>
      </c>
      <c r="H414" s="188">
        <v>0.05</v>
      </c>
      <c r="I414" s="188">
        <v>0.05</v>
      </c>
      <c r="J414" s="188">
        <v>0.05</v>
      </c>
      <c r="K414" s="188">
        <v>0.02</v>
      </c>
      <c r="L414" s="188">
        <v>0.02</v>
      </c>
      <c r="M414" s="188">
        <v>0.02</v>
      </c>
      <c r="N414" s="188">
        <v>0.02</v>
      </c>
      <c r="O414" s="188">
        <v>0</v>
      </c>
      <c r="P414" s="188">
        <v>0.05</v>
      </c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97"/>
      <c r="AH414" s="27"/>
    </row>
    <row r="415" spans="1:34" x14ac:dyDescent="0.2">
      <c r="A415" s="14" t="s">
        <v>743</v>
      </c>
      <c r="C415" s="14" t="s">
        <v>11</v>
      </c>
      <c r="E415" s="49">
        <v>1448976426.3694952</v>
      </c>
      <c r="F415" s="49">
        <f t="shared" ref="F415:AF415" si="201">F413/(1-F414)</f>
        <v>887247177.89473689</v>
      </c>
      <c r="G415" s="49">
        <f t="shared" si="201"/>
        <v>166063.15789473685</v>
      </c>
      <c r="H415" s="49">
        <f t="shared" si="201"/>
        <v>223763.15789473685</v>
      </c>
      <c r="I415" s="49">
        <f t="shared" si="201"/>
        <v>86694823.157894745</v>
      </c>
      <c r="J415" s="49">
        <f t="shared" si="201"/>
        <v>1469589.4736842106</v>
      </c>
      <c r="K415" s="49">
        <f t="shared" si="201"/>
        <v>37699666.326530613</v>
      </c>
      <c r="L415" s="49">
        <f t="shared" si="201"/>
        <v>121667947.95918368</v>
      </c>
      <c r="M415" s="49">
        <f t="shared" si="201"/>
        <v>70921266.32653062</v>
      </c>
      <c r="N415" s="49">
        <f t="shared" si="201"/>
        <v>142422651.02040815</v>
      </c>
      <c r="O415" s="49">
        <f t="shared" si="201"/>
        <v>94772820</v>
      </c>
      <c r="P415" s="49">
        <f t="shared" si="201"/>
        <v>5690657.8947368423</v>
      </c>
      <c r="Q415" s="49">
        <f t="shared" si="201"/>
        <v>0</v>
      </c>
      <c r="R415" s="49">
        <f t="shared" si="201"/>
        <v>0</v>
      </c>
      <c r="S415" s="49">
        <f t="shared" si="201"/>
        <v>0</v>
      </c>
      <c r="T415" s="49">
        <f t="shared" si="201"/>
        <v>0</v>
      </c>
      <c r="U415" s="49">
        <f t="shared" si="201"/>
        <v>0</v>
      </c>
      <c r="V415" s="49">
        <f t="shared" si="201"/>
        <v>0</v>
      </c>
      <c r="W415" s="49">
        <f t="shared" si="201"/>
        <v>0</v>
      </c>
      <c r="X415" s="49">
        <f t="shared" si="201"/>
        <v>0</v>
      </c>
      <c r="Y415" s="49">
        <f t="shared" si="201"/>
        <v>0</v>
      </c>
      <c r="Z415" s="49">
        <f t="shared" si="201"/>
        <v>0</v>
      </c>
      <c r="AA415" s="49">
        <f t="shared" si="201"/>
        <v>0</v>
      </c>
      <c r="AB415" s="49">
        <f t="shared" si="201"/>
        <v>0</v>
      </c>
      <c r="AC415" s="49">
        <f t="shared" si="201"/>
        <v>0</v>
      </c>
      <c r="AD415" s="49">
        <f t="shared" si="201"/>
        <v>0</v>
      </c>
      <c r="AE415" s="49">
        <f t="shared" si="201"/>
        <v>0</v>
      </c>
      <c r="AF415" s="49">
        <f t="shared" si="201"/>
        <v>0</v>
      </c>
      <c r="AG415" s="49">
        <f t="shared" si="198"/>
        <v>1448976426.3694952</v>
      </c>
      <c r="AH415" s="27" t="str">
        <f t="shared" si="199"/>
        <v>ok</v>
      </c>
    </row>
    <row r="416" spans="1:34" x14ac:dyDescent="0.2">
      <c r="A416" s="14" t="s">
        <v>557</v>
      </c>
      <c r="E416" s="49">
        <f>'Billing Det'!C25*12</f>
        <v>948427.7074500767</v>
      </c>
      <c r="F416" s="49">
        <f>'Billing Det'!$C8*12</f>
        <v>724477.7074500767</v>
      </c>
      <c r="G416" s="49">
        <f>'Billing Det'!$C9*12</f>
        <v>1409</v>
      </c>
      <c r="H416" s="49">
        <f>'Billing Det'!$C10*12</f>
        <v>228</v>
      </c>
      <c r="I416" s="49">
        <f>'Billing Det'!$C11*12</f>
        <v>36446</v>
      </c>
      <c r="J416" s="49">
        <f>'Billing Det'!$C12*12</f>
        <v>584</v>
      </c>
      <c r="K416" s="49">
        <f>'Billing Det'!$C13*12</f>
        <v>745</v>
      </c>
      <c r="L416" s="49">
        <f>'Billing Det'!$C14*12</f>
        <v>356</v>
      </c>
      <c r="M416" s="49">
        <f>'Billing Det'!$C15*12</f>
        <v>36</v>
      </c>
      <c r="N416" s="49">
        <f>'Billing Det'!$C16*12</f>
        <v>36</v>
      </c>
      <c r="O416" s="49">
        <f>'Billing Det'!$C17*12</f>
        <v>12</v>
      </c>
      <c r="P416" s="49">
        <f>'Billing Det'!$C18*12</f>
        <v>184098</v>
      </c>
      <c r="Q416" s="49">
        <f>'Billing Det'!$C19*12</f>
        <v>0</v>
      </c>
      <c r="R416" s="49">
        <f>'Billing Det'!$C20*12</f>
        <v>0</v>
      </c>
      <c r="S416" s="49">
        <f>'Billing Det'!$C21*12</f>
        <v>0</v>
      </c>
      <c r="T416" s="49">
        <f>'Billing Det'!$C22*12</f>
        <v>0</v>
      </c>
      <c r="U416" s="49">
        <f>'Billing Det'!$C23*12</f>
        <v>0</v>
      </c>
      <c r="V416" s="49">
        <v>0</v>
      </c>
      <c r="W416" s="49">
        <v>0</v>
      </c>
      <c r="X416" s="49">
        <v>0</v>
      </c>
      <c r="Y416" s="49">
        <v>0</v>
      </c>
      <c r="Z416" s="49">
        <v>0</v>
      </c>
      <c r="AA416" s="49">
        <v>0</v>
      </c>
      <c r="AB416" s="49">
        <v>0</v>
      </c>
      <c r="AC416" s="49">
        <v>0</v>
      </c>
      <c r="AD416" s="49">
        <v>0</v>
      </c>
      <c r="AE416" s="49"/>
      <c r="AF416" s="49"/>
      <c r="AG416" s="49">
        <f t="shared" si="198"/>
        <v>948427.7074500767</v>
      </c>
      <c r="AH416" s="27" t="str">
        <f t="shared" si="199"/>
        <v>ok</v>
      </c>
    </row>
    <row r="417" spans="1:34" x14ac:dyDescent="0.2">
      <c r="A417" s="14" t="s">
        <v>558</v>
      </c>
      <c r="C417" s="14" t="s">
        <v>561</v>
      </c>
      <c r="E417" s="49">
        <f>'Billing Det'!C25</f>
        <v>79035.642287506387</v>
      </c>
      <c r="F417" s="49">
        <f>F416/12</f>
        <v>60373.142287506394</v>
      </c>
      <c r="G417" s="49">
        <f t="shared" ref="G417:AF417" si="202">G416/12</f>
        <v>117.41666666666667</v>
      </c>
      <c r="H417" s="49">
        <f>H416/12</f>
        <v>19</v>
      </c>
      <c r="I417" s="49">
        <f t="shared" si="202"/>
        <v>3037.1666666666665</v>
      </c>
      <c r="J417" s="49">
        <f t="shared" si="202"/>
        <v>48.666666666666664</v>
      </c>
      <c r="K417" s="49">
        <f t="shared" si="202"/>
        <v>62.083333333333336</v>
      </c>
      <c r="L417" s="49">
        <f t="shared" si="202"/>
        <v>29.666666666666668</v>
      </c>
      <c r="M417" s="49">
        <f t="shared" si="202"/>
        <v>3</v>
      </c>
      <c r="N417" s="49">
        <f t="shared" si="202"/>
        <v>3</v>
      </c>
      <c r="O417" s="49">
        <f t="shared" si="202"/>
        <v>1</v>
      </c>
      <c r="P417" s="49">
        <f t="shared" si="202"/>
        <v>15341.5</v>
      </c>
      <c r="Q417" s="49">
        <f t="shared" si="202"/>
        <v>0</v>
      </c>
      <c r="R417" s="49">
        <f t="shared" si="202"/>
        <v>0</v>
      </c>
      <c r="S417" s="49">
        <f t="shared" si="202"/>
        <v>0</v>
      </c>
      <c r="T417" s="49">
        <f t="shared" si="202"/>
        <v>0</v>
      </c>
      <c r="U417" s="49">
        <f t="shared" si="202"/>
        <v>0</v>
      </c>
      <c r="V417" s="49">
        <v>0</v>
      </c>
      <c r="W417" s="49">
        <v>0</v>
      </c>
      <c r="X417" s="49">
        <v>0</v>
      </c>
      <c r="Y417" s="49">
        <v>0</v>
      </c>
      <c r="Z417" s="49">
        <f t="shared" si="202"/>
        <v>0</v>
      </c>
      <c r="AA417" s="49">
        <f t="shared" si="202"/>
        <v>0</v>
      </c>
      <c r="AB417" s="49">
        <f t="shared" si="202"/>
        <v>0</v>
      </c>
      <c r="AC417" s="49">
        <f t="shared" si="202"/>
        <v>0</v>
      </c>
      <c r="AD417" s="49">
        <f t="shared" si="202"/>
        <v>0</v>
      </c>
      <c r="AE417" s="49">
        <f t="shared" si="202"/>
        <v>0</v>
      </c>
      <c r="AF417" s="49">
        <f t="shared" si="202"/>
        <v>0</v>
      </c>
      <c r="AG417" s="49">
        <f t="shared" si="198"/>
        <v>79035.642287506387</v>
      </c>
      <c r="AH417" s="27" t="str">
        <f t="shared" si="199"/>
        <v>ok</v>
      </c>
    </row>
    <row r="418" spans="1:34" x14ac:dyDescent="0.2">
      <c r="A418" s="14" t="s">
        <v>559</v>
      </c>
      <c r="C418" s="14" t="s">
        <v>562</v>
      </c>
      <c r="E418" s="49">
        <f>E417</f>
        <v>79035.642287506387</v>
      </c>
      <c r="F418" s="49">
        <f t="shared" ref="F418:O418" si="203">F417</f>
        <v>60373.142287506394</v>
      </c>
      <c r="G418" s="49">
        <f t="shared" si="203"/>
        <v>117.41666666666667</v>
      </c>
      <c r="H418" s="49">
        <f t="shared" si="203"/>
        <v>19</v>
      </c>
      <c r="I418" s="49">
        <f t="shared" si="203"/>
        <v>3037.1666666666665</v>
      </c>
      <c r="J418" s="49">
        <f t="shared" si="203"/>
        <v>48.666666666666664</v>
      </c>
      <c r="K418" s="49">
        <f t="shared" si="203"/>
        <v>62.083333333333336</v>
      </c>
      <c r="L418" s="49">
        <f t="shared" si="203"/>
        <v>29.666666666666668</v>
      </c>
      <c r="M418" s="49">
        <f t="shared" si="203"/>
        <v>3</v>
      </c>
      <c r="N418" s="49">
        <f t="shared" si="203"/>
        <v>3</v>
      </c>
      <c r="O418" s="49">
        <f t="shared" si="203"/>
        <v>1</v>
      </c>
      <c r="P418" s="49">
        <f t="shared" ref="P418:U418" si="204">P417</f>
        <v>15341.5</v>
      </c>
      <c r="Q418" s="49">
        <f t="shared" si="204"/>
        <v>0</v>
      </c>
      <c r="R418" s="49">
        <f t="shared" si="204"/>
        <v>0</v>
      </c>
      <c r="S418" s="49">
        <f t="shared" si="204"/>
        <v>0</v>
      </c>
      <c r="T418" s="49">
        <f t="shared" si="204"/>
        <v>0</v>
      </c>
      <c r="U418" s="49">
        <f t="shared" si="204"/>
        <v>0</v>
      </c>
      <c r="V418" s="49">
        <v>0</v>
      </c>
      <c r="W418" s="49">
        <v>0</v>
      </c>
      <c r="X418" s="49">
        <v>0</v>
      </c>
      <c r="Y418" s="49">
        <v>0</v>
      </c>
      <c r="Z418" s="34">
        <f t="shared" ref="Z418:AF418" si="205">Z417</f>
        <v>0</v>
      </c>
      <c r="AA418" s="34">
        <f t="shared" si="205"/>
        <v>0</v>
      </c>
      <c r="AB418" s="34">
        <f t="shared" si="205"/>
        <v>0</v>
      </c>
      <c r="AC418" s="34">
        <f t="shared" si="205"/>
        <v>0</v>
      </c>
      <c r="AD418" s="34">
        <f t="shared" si="205"/>
        <v>0</v>
      </c>
      <c r="AE418" s="34">
        <f t="shared" si="205"/>
        <v>0</v>
      </c>
      <c r="AF418" s="34">
        <f t="shared" si="205"/>
        <v>0</v>
      </c>
      <c r="AG418" s="49">
        <f t="shared" si="198"/>
        <v>79035.642287506387</v>
      </c>
      <c r="AH418" s="27" t="str">
        <f t="shared" si="199"/>
        <v>ok</v>
      </c>
    </row>
    <row r="419" spans="1:34" x14ac:dyDescent="0.2">
      <c r="A419" s="14" t="s">
        <v>898</v>
      </c>
      <c r="C419" s="14" t="s">
        <v>563</v>
      </c>
      <c r="E419" s="49">
        <v>64035.064509728611</v>
      </c>
      <c r="F419" s="34">
        <f t="shared" ref="F419:K419" si="206">F417</f>
        <v>60373.142287506394</v>
      </c>
      <c r="G419" s="34">
        <f t="shared" si="206"/>
        <v>117.41666666666667</v>
      </c>
      <c r="H419" s="34">
        <f t="shared" si="206"/>
        <v>19</v>
      </c>
      <c r="I419" s="34">
        <f t="shared" si="206"/>
        <v>3037.1666666666665</v>
      </c>
      <c r="J419" s="34">
        <f t="shared" si="206"/>
        <v>48.666666666666664</v>
      </c>
      <c r="K419" s="34">
        <f t="shared" si="206"/>
        <v>62.083333333333336</v>
      </c>
      <c r="L419" s="34">
        <f t="shared" ref="L419:R419" si="207">L417</f>
        <v>29.666666666666668</v>
      </c>
      <c r="M419" s="49">
        <f>M417</f>
        <v>3</v>
      </c>
      <c r="N419" s="34">
        <f t="shared" si="207"/>
        <v>3</v>
      </c>
      <c r="O419" s="34">
        <f>O417</f>
        <v>1</v>
      </c>
      <c r="P419" s="34">
        <f>P417/45</f>
        <v>340.92222222222222</v>
      </c>
      <c r="Q419" s="34">
        <f t="shared" si="207"/>
        <v>0</v>
      </c>
      <c r="R419" s="34">
        <f t="shared" si="207"/>
        <v>0</v>
      </c>
      <c r="S419" s="49">
        <f>S417</f>
        <v>0</v>
      </c>
      <c r="T419" s="49">
        <f>T417</f>
        <v>0</v>
      </c>
      <c r="U419" s="49">
        <f>U417</f>
        <v>0</v>
      </c>
      <c r="V419" s="49">
        <v>0</v>
      </c>
      <c r="W419" s="49">
        <v>0</v>
      </c>
      <c r="X419" s="49">
        <v>0</v>
      </c>
      <c r="Y419" s="49">
        <v>0</v>
      </c>
      <c r="Z419" s="34">
        <f t="shared" ref="Z419:AF419" si="208">Z417</f>
        <v>0</v>
      </c>
      <c r="AA419" s="34">
        <f t="shared" si="208"/>
        <v>0</v>
      </c>
      <c r="AB419" s="34">
        <f t="shared" si="208"/>
        <v>0</v>
      </c>
      <c r="AC419" s="34">
        <f t="shared" si="208"/>
        <v>0</v>
      </c>
      <c r="AD419" s="34">
        <f t="shared" si="208"/>
        <v>0</v>
      </c>
      <c r="AE419" s="34">
        <f t="shared" si="208"/>
        <v>0</v>
      </c>
      <c r="AF419" s="34">
        <f t="shared" si="208"/>
        <v>0</v>
      </c>
      <c r="AG419" s="49">
        <f>SUM(F419:AF419)</f>
        <v>64035.064509728611</v>
      </c>
      <c r="AH419" s="27" t="str">
        <f t="shared" si="199"/>
        <v>ok</v>
      </c>
    </row>
    <row r="420" spans="1:34" x14ac:dyDescent="0.2">
      <c r="A420" s="14" t="s">
        <v>753</v>
      </c>
      <c r="C420" s="14" t="s">
        <v>564</v>
      </c>
      <c r="E420" s="139">
        <v>1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  <c r="L420" s="139">
        <v>0</v>
      </c>
      <c r="M420" s="49">
        <v>0</v>
      </c>
      <c r="N420" s="49">
        <v>0</v>
      </c>
      <c r="O420" s="49">
        <v>0</v>
      </c>
      <c r="P420" s="49">
        <v>1</v>
      </c>
      <c r="Q420" s="49">
        <v>0</v>
      </c>
      <c r="R420" s="49">
        <v>0</v>
      </c>
      <c r="S420" s="49">
        <v>0</v>
      </c>
      <c r="T420" s="49">
        <v>0</v>
      </c>
      <c r="U420" s="49">
        <v>0</v>
      </c>
      <c r="V420" s="49">
        <v>0</v>
      </c>
      <c r="W420" s="49">
        <v>0</v>
      </c>
      <c r="X420" s="49">
        <v>0</v>
      </c>
      <c r="Y420" s="49">
        <v>0</v>
      </c>
      <c r="Z420" s="34"/>
      <c r="AA420" s="34"/>
      <c r="AB420" s="34"/>
      <c r="AC420" s="34"/>
      <c r="AD420" s="34"/>
      <c r="AE420" s="34"/>
      <c r="AF420" s="34"/>
      <c r="AG420" s="139">
        <f t="shared" si="198"/>
        <v>1</v>
      </c>
      <c r="AH420" s="27" t="str">
        <f t="shared" si="199"/>
        <v>ok</v>
      </c>
    </row>
    <row r="421" spans="1:34" x14ac:dyDescent="0.2">
      <c r="A421" s="14" t="s">
        <v>1031</v>
      </c>
      <c r="C421" s="14" t="s">
        <v>616</v>
      </c>
      <c r="E421" s="49">
        <v>64035.064509728611</v>
      </c>
      <c r="F421" s="34">
        <f>F419</f>
        <v>60373.142287506394</v>
      </c>
      <c r="G421" s="34">
        <f t="shared" ref="G421:P421" si="209">G419</f>
        <v>117.41666666666667</v>
      </c>
      <c r="H421" s="34">
        <f t="shared" si="209"/>
        <v>19</v>
      </c>
      <c r="I421" s="34">
        <f t="shared" si="209"/>
        <v>3037.1666666666665</v>
      </c>
      <c r="J421" s="34">
        <f t="shared" si="209"/>
        <v>48.666666666666664</v>
      </c>
      <c r="K421" s="34">
        <f t="shared" si="209"/>
        <v>62.083333333333336</v>
      </c>
      <c r="L421" s="34">
        <f t="shared" si="209"/>
        <v>29.666666666666668</v>
      </c>
      <c r="M421" s="34">
        <f t="shared" si="209"/>
        <v>3</v>
      </c>
      <c r="N421" s="34">
        <f t="shared" si="209"/>
        <v>3</v>
      </c>
      <c r="O421" s="34">
        <f t="shared" si="209"/>
        <v>1</v>
      </c>
      <c r="P421" s="34">
        <f t="shared" si="209"/>
        <v>340.92222222222222</v>
      </c>
      <c r="Q421" s="49">
        <f>Q416/12*2.11</f>
        <v>0</v>
      </c>
      <c r="R421" s="49">
        <f>R416/12*2.11</f>
        <v>0</v>
      </c>
      <c r="S421" s="49">
        <f>S419</f>
        <v>0</v>
      </c>
      <c r="T421" s="49">
        <f>T419</f>
        <v>0</v>
      </c>
      <c r="U421" s="49">
        <f>U419</f>
        <v>0</v>
      </c>
      <c r="V421" s="49">
        <v>0</v>
      </c>
      <c r="W421" s="49">
        <v>0</v>
      </c>
      <c r="X421" s="49">
        <v>0</v>
      </c>
      <c r="Y421" s="49">
        <v>0</v>
      </c>
      <c r="Z421" s="34">
        <v>0</v>
      </c>
      <c r="AA421" s="34">
        <v>0</v>
      </c>
      <c r="AB421" s="34">
        <v>0</v>
      </c>
      <c r="AC421" s="34">
        <v>0</v>
      </c>
      <c r="AD421" s="34">
        <v>0</v>
      </c>
      <c r="AE421" s="34">
        <v>0</v>
      </c>
      <c r="AF421" s="34">
        <v>0</v>
      </c>
      <c r="AG421" s="49">
        <f t="shared" si="198"/>
        <v>64035.064509728611</v>
      </c>
      <c r="AH421" s="27" t="str">
        <f t="shared" si="199"/>
        <v>ok</v>
      </c>
    </row>
    <row r="422" spans="1:34" x14ac:dyDescent="0.2">
      <c r="A422" s="14" t="s">
        <v>469</v>
      </c>
      <c r="C422" s="14" t="s">
        <v>617</v>
      </c>
      <c r="E422" s="49">
        <v>64035.064509728611</v>
      </c>
      <c r="F422" s="49">
        <f t="shared" ref="F422:P422" si="210">F419</f>
        <v>60373.142287506394</v>
      </c>
      <c r="G422" s="49">
        <f t="shared" si="210"/>
        <v>117.41666666666667</v>
      </c>
      <c r="H422" s="49">
        <f t="shared" si="210"/>
        <v>19</v>
      </c>
      <c r="I422" s="49">
        <f t="shared" si="210"/>
        <v>3037.1666666666665</v>
      </c>
      <c r="J422" s="49">
        <f t="shared" si="210"/>
        <v>48.666666666666664</v>
      </c>
      <c r="K422" s="49">
        <f t="shared" si="210"/>
        <v>62.083333333333336</v>
      </c>
      <c r="L422" s="49">
        <f t="shared" si="210"/>
        <v>29.666666666666668</v>
      </c>
      <c r="M422" s="49">
        <f t="shared" si="210"/>
        <v>3</v>
      </c>
      <c r="N422" s="49">
        <f t="shared" si="210"/>
        <v>3</v>
      </c>
      <c r="O422" s="49">
        <f t="shared" si="210"/>
        <v>1</v>
      </c>
      <c r="P422" s="49">
        <f t="shared" si="210"/>
        <v>340.92222222222222</v>
      </c>
      <c r="Q422" s="34">
        <f t="shared" ref="Q422" si="211">Q418</f>
        <v>0</v>
      </c>
      <c r="R422" s="34">
        <f>R418</f>
        <v>0</v>
      </c>
      <c r="S422" s="49">
        <f>S418</f>
        <v>0</v>
      </c>
      <c r="T422" s="49">
        <v>0</v>
      </c>
      <c r="U422" s="49">
        <v>0</v>
      </c>
      <c r="V422" s="49">
        <v>0</v>
      </c>
      <c r="W422" s="49">
        <v>0</v>
      </c>
      <c r="X422" s="49">
        <v>0</v>
      </c>
      <c r="Y422" s="49">
        <v>0</v>
      </c>
      <c r="Z422" s="34"/>
      <c r="AA422" s="34"/>
      <c r="AB422" s="34"/>
      <c r="AC422" s="34"/>
      <c r="AD422" s="34"/>
      <c r="AE422" s="34"/>
      <c r="AF422" s="34"/>
      <c r="AG422" s="49">
        <f t="shared" si="198"/>
        <v>64035.064509728611</v>
      </c>
      <c r="AH422" s="27" t="str">
        <f t="shared" si="199"/>
        <v>ok</v>
      </c>
    </row>
    <row r="424" spans="1:34" x14ac:dyDescent="0.2">
      <c r="A424" s="14" t="s">
        <v>690</v>
      </c>
      <c r="C424" s="14" t="s">
        <v>942</v>
      </c>
      <c r="E424" s="49">
        <f>'Billing Det'!$K$25</f>
        <v>2445928.445830523</v>
      </c>
      <c r="F424" s="49">
        <f>'Billing Det'!$K$8</f>
        <v>1729762.8644149243</v>
      </c>
      <c r="G424" s="49">
        <f>'Billing Det'!$K$9</f>
        <v>323.0210785349658</v>
      </c>
      <c r="H424" s="49">
        <f>'Billing Det'!$K$10</f>
        <v>80.915662869090255</v>
      </c>
      <c r="I424" s="49">
        <f>'Billing Det'!$K$11</f>
        <v>140906.68260341618</v>
      </c>
      <c r="J424" s="49">
        <f>'Billing Det'!$K$12</f>
        <v>483.65202466291163</v>
      </c>
      <c r="K424" s="49">
        <f>'Billing Det'!$K$13</f>
        <v>54876.59553459302</v>
      </c>
      <c r="L424" s="49">
        <f>'Billing Det'!$K$14</f>
        <v>154083.66962132201</v>
      </c>
      <c r="M424" s="49">
        <f>'Billing Det'!$K$15</f>
        <v>93735.929998798601</v>
      </c>
      <c r="N424" s="49">
        <f>'Billing Det'!$K$16</f>
        <v>149880.94547563125</v>
      </c>
      <c r="O424" s="49">
        <f>'Billing Det'!$K$17</f>
        <v>114450.04800000001</v>
      </c>
      <c r="P424" s="49">
        <f>'Billing Det'!$K$18</f>
        <v>7344.121415770609</v>
      </c>
      <c r="Q424" s="49">
        <f>'Billing Det'!$K$19</f>
        <v>0</v>
      </c>
      <c r="R424" s="49">
        <f>'Billing Det'!$K$20</f>
        <v>0</v>
      </c>
      <c r="S424" s="49">
        <f>'Billing Det'!$K$21</f>
        <v>0</v>
      </c>
      <c r="T424" s="49">
        <f>'Billing Det'!$K$22</f>
        <v>0</v>
      </c>
      <c r="U424" s="49">
        <f>'Billing Det'!$K$23</f>
        <v>0</v>
      </c>
      <c r="V424" s="49">
        <v>0</v>
      </c>
      <c r="W424" s="49">
        <v>0</v>
      </c>
      <c r="X424" s="49">
        <v>0</v>
      </c>
      <c r="Y424" s="49">
        <v>0</v>
      </c>
      <c r="Z424" s="49">
        <v>0</v>
      </c>
      <c r="AA424" s="49">
        <v>0</v>
      </c>
      <c r="AB424" s="49">
        <v>0</v>
      </c>
      <c r="AC424" s="49">
        <v>0</v>
      </c>
      <c r="AD424" s="49">
        <v>0</v>
      </c>
      <c r="AE424" s="49"/>
      <c r="AF424" s="49"/>
      <c r="AG424" s="89">
        <f>SUM(F424:AF424)</f>
        <v>2445928.445830523</v>
      </c>
      <c r="AH424" s="27" t="str">
        <f>IF(ABS(E424-AG424)&lt;0.01,"ok","err")</f>
        <v>ok</v>
      </c>
    </row>
    <row r="425" spans="1:34" x14ac:dyDescent="0.2">
      <c r="A425" s="14" t="s">
        <v>691</v>
      </c>
      <c r="C425" s="14" t="s">
        <v>943</v>
      </c>
      <c r="E425" s="49">
        <f>'Billing Det'!$J$25</f>
        <v>790597.00000036927</v>
      </c>
      <c r="F425" s="49">
        <f>'Billing Det'!$J$8</f>
        <v>569939.36254343542</v>
      </c>
      <c r="G425" s="49">
        <f>'Billing Det'!$J$9</f>
        <v>112.65747305524619</v>
      </c>
      <c r="H425" s="49">
        <f>'Billing Det'!$J$10</f>
        <v>16.730227001194741</v>
      </c>
      <c r="I425" s="49">
        <f>'Billing Det'!$J$11</f>
        <v>48107.314303443389</v>
      </c>
      <c r="J425" s="49">
        <f>'Billing Det'!$J$12</f>
        <v>157.0046594982079</v>
      </c>
      <c r="K425" s="49">
        <f>'Billing Det'!$J$13</f>
        <v>17599.561696990342</v>
      </c>
      <c r="L425" s="49">
        <f>'Billing Det'!$J$14</f>
        <v>51866.424789521625</v>
      </c>
      <c r="M425" s="49">
        <f>'Billing Det'!$J$15</f>
        <v>12063.248504001032</v>
      </c>
      <c r="N425" s="49">
        <f>'Billing Det'!$J$16</f>
        <v>52484.839803422605</v>
      </c>
      <c r="O425" s="49">
        <f>'Billing Det'!$J$17</f>
        <v>38249.856000000007</v>
      </c>
      <c r="P425" s="49">
        <f>'Billing Det'!$J$18</f>
        <v>0</v>
      </c>
      <c r="Q425" s="49">
        <f>'Billing Det'!$J$19</f>
        <v>0</v>
      </c>
      <c r="R425" s="49">
        <f>'Billing Det'!$J$20</f>
        <v>0</v>
      </c>
      <c r="S425" s="49">
        <f>'Billing Det'!$J$21</f>
        <v>0</v>
      </c>
      <c r="T425" s="49">
        <f>'Billing Det'!$J$22</f>
        <v>0</v>
      </c>
      <c r="U425" s="49">
        <f>'Billing Det'!$J$23</f>
        <v>0</v>
      </c>
      <c r="V425" s="49">
        <v>0</v>
      </c>
      <c r="W425" s="49">
        <v>0</v>
      </c>
      <c r="X425" s="49">
        <v>0</v>
      </c>
      <c r="Y425" s="49">
        <v>0</v>
      </c>
      <c r="Z425" s="49">
        <v>0</v>
      </c>
      <c r="AA425" s="49">
        <v>0</v>
      </c>
      <c r="AB425" s="49">
        <v>0</v>
      </c>
      <c r="AC425" s="49">
        <v>0</v>
      </c>
      <c r="AD425" s="49">
        <v>0</v>
      </c>
      <c r="AE425" s="49"/>
      <c r="AF425" s="49"/>
      <c r="AG425" s="89">
        <f>SUM(F425:AF425)</f>
        <v>790597.00000036927</v>
      </c>
      <c r="AH425" s="27" t="str">
        <f>IF(ABS(E425-AG425)&lt;0.01,"ok","err")</f>
        <v>ok</v>
      </c>
    </row>
    <row r="426" spans="1:34" x14ac:dyDescent="0.2">
      <c r="A426" s="14" t="s">
        <v>887</v>
      </c>
      <c r="C426" s="14" t="s">
        <v>941</v>
      </c>
      <c r="E426" s="49">
        <f>'Billing Det'!$I$25</f>
        <v>3236525.4458308914</v>
      </c>
      <c r="F426" s="49">
        <f>'Billing Det'!$I$8</f>
        <v>2299702.2269583596</v>
      </c>
      <c r="G426" s="49">
        <f>'Billing Det'!$I$9</f>
        <v>435.67855159021195</v>
      </c>
      <c r="H426" s="49">
        <f>'Billing Det'!$I$10</f>
        <v>97.645889870285004</v>
      </c>
      <c r="I426" s="49">
        <f>'Billing Det'!$I$11</f>
        <v>189013.99690685957</v>
      </c>
      <c r="J426" s="49">
        <f>'Billing Det'!$I$12</f>
        <v>640.65668416111953</v>
      </c>
      <c r="K426" s="49">
        <f>'Billing Det'!$I$13</f>
        <v>72476.157231583362</v>
      </c>
      <c r="L426" s="49">
        <f>'Billing Det'!$I$14</f>
        <v>205950.09441084365</v>
      </c>
      <c r="M426" s="49">
        <f>'Billing Det'!$I$15</f>
        <v>105799.17850279964</v>
      </c>
      <c r="N426" s="49">
        <f>'Billing Det'!$I$16</f>
        <v>202365.78527905385</v>
      </c>
      <c r="O426" s="49">
        <f>'Billing Det'!$I$17</f>
        <v>152699.90400000001</v>
      </c>
      <c r="P426" s="49">
        <f>'Billing Det'!$I$18</f>
        <v>7344.121415770609</v>
      </c>
      <c r="Q426" s="49">
        <f>'Billing Det'!$I$19</f>
        <v>0</v>
      </c>
      <c r="R426" s="49">
        <f>'Billing Det'!$I$20</f>
        <v>0</v>
      </c>
      <c r="S426" s="49">
        <f>'Billing Det'!$I$21</f>
        <v>0</v>
      </c>
      <c r="T426" s="49">
        <f>'Billing Det'!$I$22</f>
        <v>0</v>
      </c>
      <c r="U426" s="49">
        <f>'Billing Det'!$I$23</f>
        <v>0</v>
      </c>
      <c r="V426" s="49">
        <v>0</v>
      </c>
      <c r="W426" s="49">
        <v>0</v>
      </c>
      <c r="X426" s="49">
        <v>0</v>
      </c>
      <c r="Y426" s="49">
        <v>0</v>
      </c>
      <c r="Z426" s="49">
        <v>0</v>
      </c>
      <c r="AA426" s="49">
        <v>0</v>
      </c>
      <c r="AB426" s="49">
        <v>0</v>
      </c>
      <c r="AC426" s="49">
        <v>0</v>
      </c>
      <c r="AD426" s="49">
        <v>0</v>
      </c>
      <c r="AE426" s="49"/>
      <c r="AF426" s="49"/>
      <c r="AG426" s="89">
        <f>SUM(F426:AF426)</f>
        <v>3236525.4458308914</v>
      </c>
      <c r="AH426" s="27" t="str">
        <f>IF(ABS(E426-AG426)&lt;0.01,"ok","err")</f>
        <v>ok</v>
      </c>
    </row>
    <row r="427" spans="1:34" x14ac:dyDescent="0.2">
      <c r="A427" s="14" t="s">
        <v>692</v>
      </c>
      <c r="C427" s="14" t="s">
        <v>565</v>
      </c>
      <c r="E427" s="49">
        <f>'Billing Det'!$H$25</f>
        <v>515665.85438947828</v>
      </c>
      <c r="F427" s="49">
        <f>'Billing Det'!$H$8</f>
        <v>393740.28713946161</v>
      </c>
      <c r="G427" s="49">
        <f>'Billing Det'!$H$9</f>
        <v>72.104351710440397</v>
      </c>
      <c r="H427" s="49">
        <f>'Billing Det'!$H$10</f>
        <v>66.498015873015873</v>
      </c>
      <c r="I427" s="49">
        <f>'Billing Det'!$H$11</f>
        <v>22363.351561907322</v>
      </c>
      <c r="J427" s="49">
        <f>'Billing Det'!$H$12</f>
        <v>377.82936507936506</v>
      </c>
      <c r="K427" s="49">
        <f>'Billing Det'!$H$13</f>
        <v>8407.7690895614833</v>
      </c>
      <c r="L427" s="49">
        <f>'Billing Det'!$H$14</f>
        <v>23682.110331481814</v>
      </c>
      <c r="M427" s="49">
        <f>'Billing Det'!$H$15</f>
        <v>27291.887893372852</v>
      </c>
      <c r="N427" s="49">
        <f>'Billing Det'!$H$16</f>
        <v>22322.006998173263</v>
      </c>
      <c r="O427" s="49">
        <f>'Billing Det'!$H$17</f>
        <v>15999.840000000002</v>
      </c>
      <c r="P427" s="49">
        <f>'Billing Det'!$H$18</f>
        <v>1342.1696428571429</v>
      </c>
      <c r="Q427" s="49">
        <f>'Billing Det'!$H$19</f>
        <v>0</v>
      </c>
      <c r="R427" s="49">
        <f>'Billing Det'!$H$20</f>
        <v>0</v>
      </c>
      <c r="S427" s="49">
        <f>'Billing Det'!$H$21</f>
        <v>0</v>
      </c>
      <c r="T427" s="49">
        <f>'Billing Det'!$H$22</f>
        <v>0</v>
      </c>
      <c r="U427" s="49">
        <f>'Billing Det'!$H$23</f>
        <v>0</v>
      </c>
      <c r="V427" s="49">
        <v>0</v>
      </c>
      <c r="W427" s="49">
        <v>0</v>
      </c>
      <c r="X427" s="49">
        <v>0</v>
      </c>
      <c r="Y427" s="49">
        <v>0</v>
      </c>
      <c r="Z427" s="49">
        <v>0</v>
      </c>
      <c r="AA427" s="49">
        <v>0</v>
      </c>
      <c r="AB427" s="49">
        <v>0</v>
      </c>
      <c r="AC427" s="49">
        <v>0</v>
      </c>
      <c r="AD427" s="49">
        <v>0</v>
      </c>
      <c r="AE427" s="49"/>
      <c r="AF427" s="49"/>
      <c r="AG427" s="89">
        <f>SUM(F427:AF427)</f>
        <v>515665.85438947828</v>
      </c>
      <c r="AH427" s="27" t="str">
        <f>IF(ABS(E427-AG427)&lt;0.01,"ok","err")</f>
        <v>ok</v>
      </c>
    </row>
    <row r="428" spans="1:34" x14ac:dyDescent="0.2">
      <c r="A428" s="14" t="s">
        <v>744</v>
      </c>
      <c r="C428" s="14" t="s">
        <v>888</v>
      </c>
      <c r="E428" s="49">
        <f>'Billing Det'!$F$25</f>
        <v>7903752.0532648917</v>
      </c>
      <c r="F428" s="49">
        <f>'Billing Det'!$F$8</f>
        <v>6432374.2714378173</v>
      </c>
      <c r="G428" s="49">
        <f>'Billing Det'!$F$9</f>
        <v>1202.2386854980941</v>
      </c>
      <c r="H428" s="49">
        <f>'Billing Det'!$F$10</f>
        <v>44301.183050179199</v>
      </c>
      <c r="I428" s="49">
        <f>'Billing Det'!$F$11</f>
        <v>345635.37</v>
      </c>
      <c r="J428" s="49">
        <f>'Billing Det'!$F$12</f>
        <v>44644.656237070703</v>
      </c>
      <c r="K428" s="49">
        <f>'Billing Det'!$F$13</f>
        <v>110426.44600000001</v>
      </c>
      <c r="L428" s="49">
        <f>'Billing Det'!$F$14</f>
        <v>305760.90500000003</v>
      </c>
      <c r="M428" s="49">
        <f>'Billing Det'!$F$15</f>
        <v>142782.39000000001</v>
      </c>
      <c r="N428" s="49">
        <f>'Billing Det'!$F$16</f>
        <v>270925.66399999999</v>
      </c>
      <c r="O428" s="49">
        <f>'Billing Det'!$F$17</f>
        <v>190874.87999999998</v>
      </c>
      <c r="P428" s="49">
        <f>'Billing Det'!$F$18</f>
        <v>14824.048854326677</v>
      </c>
      <c r="Q428" s="49">
        <f>'Billing Det'!$F$19</f>
        <v>0</v>
      </c>
      <c r="R428" s="49">
        <f>'Billing Det'!$F$20</f>
        <v>0</v>
      </c>
      <c r="S428" s="49">
        <f>'Billing Det'!$F$21</f>
        <v>0</v>
      </c>
      <c r="T428" s="49">
        <f>'Billing Det'!$F$22</f>
        <v>0</v>
      </c>
      <c r="U428" s="49">
        <f>'Billing Det'!$F$23</f>
        <v>0</v>
      </c>
      <c r="V428" s="49">
        <v>0</v>
      </c>
      <c r="W428" s="49">
        <v>0</v>
      </c>
      <c r="X428" s="49">
        <v>0</v>
      </c>
      <c r="Y428" s="49">
        <v>0</v>
      </c>
      <c r="Z428" s="49">
        <v>0</v>
      </c>
      <c r="AA428" s="49">
        <v>0</v>
      </c>
      <c r="AB428" s="49">
        <v>0</v>
      </c>
      <c r="AC428" s="49">
        <v>0</v>
      </c>
      <c r="AD428" s="49">
        <v>0</v>
      </c>
      <c r="AE428" s="49"/>
      <c r="AF428" s="49"/>
      <c r="AG428" s="89">
        <f>SUM(F428:AF428)</f>
        <v>7903752.0532648917</v>
      </c>
      <c r="AH428" s="27" t="str">
        <f>IF(ABS(E428-AG428)&lt;0.01,"ok","err")</f>
        <v>ok</v>
      </c>
    </row>
    <row r="430" spans="1:34" x14ac:dyDescent="0.2">
      <c r="A430" s="25" t="s">
        <v>899</v>
      </c>
    </row>
    <row r="431" spans="1:34" x14ac:dyDescent="0.2"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27"/>
    </row>
    <row r="432" spans="1:34" x14ac:dyDescent="0.2">
      <c r="A432" s="14" t="s">
        <v>597</v>
      </c>
      <c r="C432" s="14" t="s">
        <v>598</v>
      </c>
      <c r="E432" s="49">
        <f>E426</f>
        <v>3236525.4458308914</v>
      </c>
      <c r="F432" s="49">
        <f>F426</f>
        <v>2299702.2269583596</v>
      </c>
      <c r="G432" s="49">
        <f t="shared" ref="G432:S432" si="212">G426</f>
        <v>435.67855159021195</v>
      </c>
      <c r="H432" s="49">
        <f t="shared" si="212"/>
        <v>97.645889870285004</v>
      </c>
      <c r="I432" s="49">
        <f t="shared" si="212"/>
        <v>189013.99690685957</v>
      </c>
      <c r="J432" s="49">
        <f>J426</f>
        <v>640.65668416111953</v>
      </c>
      <c r="K432" s="49">
        <f t="shared" si="212"/>
        <v>72476.157231583362</v>
      </c>
      <c r="L432" s="49">
        <f t="shared" si="212"/>
        <v>205950.09441084365</v>
      </c>
      <c r="M432" s="49">
        <f t="shared" si="212"/>
        <v>105799.17850279964</v>
      </c>
      <c r="N432" s="49">
        <f t="shared" si="212"/>
        <v>202365.78527905385</v>
      </c>
      <c r="O432" s="49">
        <f t="shared" si="212"/>
        <v>152699.90400000001</v>
      </c>
      <c r="P432" s="49">
        <f t="shared" si="212"/>
        <v>7344.121415770609</v>
      </c>
      <c r="Q432" s="49">
        <f t="shared" si="212"/>
        <v>0</v>
      </c>
      <c r="R432" s="49">
        <f t="shared" si="212"/>
        <v>0</v>
      </c>
      <c r="S432" s="49">
        <f t="shared" si="212"/>
        <v>0</v>
      </c>
      <c r="T432" s="49">
        <f t="shared" ref="T432:AF432" si="213">T427</f>
        <v>0</v>
      </c>
      <c r="U432" s="49">
        <f t="shared" si="213"/>
        <v>0</v>
      </c>
      <c r="V432" s="49">
        <f t="shared" si="213"/>
        <v>0</v>
      </c>
      <c r="W432" s="49">
        <f t="shared" si="213"/>
        <v>0</v>
      </c>
      <c r="X432" s="49">
        <f t="shared" si="213"/>
        <v>0</v>
      </c>
      <c r="Y432" s="49">
        <f t="shared" si="213"/>
        <v>0</v>
      </c>
      <c r="Z432" s="49">
        <f t="shared" si="213"/>
        <v>0</v>
      </c>
      <c r="AA432" s="49">
        <f t="shared" si="213"/>
        <v>0</v>
      </c>
      <c r="AB432" s="49">
        <f t="shared" si="213"/>
        <v>0</v>
      </c>
      <c r="AC432" s="49">
        <f t="shared" si="213"/>
        <v>0</v>
      </c>
      <c r="AD432" s="49">
        <f t="shared" si="213"/>
        <v>0</v>
      </c>
      <c r="AE432" s="49">
        <f t="shared" si="213"/>
        <v>0</v>
      </c>
      <c r="AF432" s="49">
        <f t="shared" si="213"/>
        <v>0</v>
      </c>
      <c r="AG432" s="49">
        <f>SUM(F432:AF432)</f>
        <v>3236525.4458308914</v>
      </c>
      <c r="AH432" s="27" t="str">
        <f t="shared" ref="AH432:AH437" si="214">IF(ABS(E432-AG432)&lt;0.01,"ok","err")</f>
        <v>ok</v>
      </c>
    </row>
    <row r="433" spans="1:34" x14ac:dyDescent="0.2">
      <c r="A433" s="14" t="s">
        <v>596</v>
      </c>
      <c r="E433" s="89">
        <f>'Func &amp; Classif'!K35</f>
        <v>0</v>
      </c>
      <c r="AG433" s="89">
        <f>E433</f>
        <v>0</v>
      </c>
      <c r="AH433" s="27" t="str">
        <f t="shared" si="214"/>
        <v>ok</v>
      </c>
    </row>
    <row r="434" spans="1:34" x14ac:dyDescent="0.2">
      <c r="A434" s="14" t="s">
        <v>594</v>
      </c>
      <c r="E434" s="66"/>
      <c r="M434" s="49">
        <v>0</v>
      </c>
      <c r="N434" s="49">
        <v>0</v>
      </c>
      <c r="O434" s="49"/>
      <c r="P434" s="49"/>
      <c r="AG434" s="89">
        <f>SUM(F434:AF434)</f>
        <v>0</v>
      </c>
      <c r="AH434" s="27" t="str">
        <f t="shared" si="214"/>
        <v>ok</v>
      </c>
    </row>
    <row r="435" spans="1:34" x14ac:dyDescent="0.2">
      <c r="A435" s="14" t="s">
        <v>595</v>
      </c>
      <c r="D435" s="14" t="s">
        <v>598</v>
      </c>
      <c r="E435" s="89">
        <f>E433-E434</f>
        <v>0</v>
      </c>
      <c r="F435" s="66">
        <f>IF(VLOOKUP($D435,$C$5:$AU$511,3,)=0,0,(VLOOKUP($D435,$C$5:$AU$511,4,)/VLOOKUP($D435,$C$5:$AU$511,3,))*$E435)</f>
        <v>0</v>
      </c>
      <c r="G435" s="66">
        <f>IF(VLOOKUP($D435,$C$5:$AU$511,3,)=0,0,(VLOOKUP($D435,$C$5:$AU$511,5,)/VLOOKUP($D435,$C$5:$AU$511,3,))*$E435)</f>
        <v>0</v>
      </c>
      <c r="H435" s="66">
        <f>IF(VLOOKUP($D435,$C$5:$AU$511,3,)=0,0,(VLOOKUP($D435,$C$5:$AU$511,6,)/VLOOKUP($D435,$C$5:$AU$511,3,))*$E435)</f>
        <v>0</v>
      </c>
      <c r="I435" s="66">
        <f>IF(VLOOKUP($D435,$C$5:$AU$511,3,)=0,0,(VLOOKUP($D435,$C$5:$AU$511,7,)/VLOOKUP($D435,$C$5:$AU$511,3,))*$E435)</f>
        <v>0</v>
      </c>
      <c r="J435" s="66">
        <f>IF(VLOOKUP($D435,$C$5:$AU$511,3,)=0,0,(VLOOKUP($D435,$C$5:$AU$511,8,)/VLOOKUP($D435,$C$5:$AU$511,3,))*$E435)</f>
        <v>0</v>
      </c>
      <c r="K435" s="66">
        <f>IF(VLOOKUP($D435,$C$5:$AU$511,3,)=0,0,(VLOOKUP($D435,$C$5:$AU$511,9,)/VLOOKUP($D435,$C$5:$AU$511,3,))*$E435)</f>
        <v>0</v>
      </c>
      <c r="L435" s="66">
        <f>IF(VLOOKUP($D435,$C$5:$AU$511,3,)=0,0,(VLOOKUP($D435,$C$5:$AU$511,10,)/VLOOKUP($D435,$C$5:$AU$511,3,))*$E435)</f>
        <v>0</v>
      </c>
      <c r="M435" s="66">
        <f>IF(VLOOKUP($D435,$C$5:$AU$511,3,)=0,0,(VLOOKUP($D435,$C$5:$AU$511,11,)/VLOOKUP($D435,$C$5:$AU$511,3,))*$E435)</f>
        <v>0</v>
      </c>
      <c r="N435" s="66">
        <f>IF(VLOOKUP($D435,$C$5:$AU$511,3,)=0,0,(VLOOKUP($D435,$C$5:$AU$511,12,)/VLOOKUP($D435,$C$5:$AU$511,3,))*$E435)</f>
        <v>0</v>
      </c>
      <c r="O435" s="66">
        <f>IF(VLOOKUP($D435,$C$5:$AU$511,3,)=0,0,(VLOOKUP($D435,$C$5:$AU$511,13,)/VLOOKUP($D435,$C$5:$AU$511,3,))*$E435)</f>
        <v>0</v>
      </c>
      <c r="P435" s="66">
        <f>IF(VLOOKUP($D435,$C$5:$AU$511,3,)=0,0,(VLOOKUP($D435,$C$5:$AU$511,14,)/VLOOKUP($D435,$C$5:$AU$511,3,))*$E435)</f>
        <v>0</v>
      </c>
      <c r="Q435" s="66">
        <f>IF(VLOOKUP($D435,$C$5:$AU$511,3,)=0,0,(VLOOKUP($D435,$C$5:$AU$511,15,)/VLOOKUP($D435,$C$5:$AU$511,3,))*$E435)</f>
        <v>0</v>
      </c>
      <c r="R435" s="66">
        <f>IF(VLOOKUP($D435,$C$5:$AU$511,3,)=0,0,(VLOOKUP($D435,$C$5:$AU$511,16,)/VLOOKUP($D435,$C$5:$AU$511,3,))*$E435)</f>
        <v>0</v>
      </c>
      <c r="S435" s="66">
        <f>IF(VLOOKUP($D435,$C$5:$AU$511,3,)=0,0,(VLOOKUP($D435,$C$5:$AU$511,17,)/VLOOKUP($D435,$C$5:$AU$511,3,))*$E435)</f>
        <v>0</v>
      </c>
      <c r="T435" s="66">
        <f>IF(VLOOKUP($D435,$C$5:$AU$511,3,)=0,0,(VLOOKUP($D435,$C$5:$AU$511,18,)/VLOOKUP($D435,$C$5:$AU$511,3,))*$E435)</f>
        <v>0</v>
      </c>
      <c r="U435" s="66">
        <f>IF(VLOOKUP($D435,$C$5:$AU$511,3,)=0,0,(VLOOKUP($D435,$C$5:$AU$511,19,)/VLOOKUP($D435,$C$5:$AU$511,3,))*$E435)</f>
        <v>0</v>
      </c>
      <c r="V435" s="66">
        <f>IF(VLOOKUP($D435,$C$5:$AU$511,3,)=0,0,(VLOOKUP($D435,$C$5:$AU$511,20,)/VLOOKUP($D435,$C$5:$AU$511,3,))*$E435)</f>
        <v>0</v>
      </c>
      <c r="W435" s="66">
        <f>IF(VLOOKUP($D435,$C$5:$AU$511,3,)=0,0,(VLOOKUP($D435,$C$5:$AU$511,21,)/VLOOKUP($D435,$C$5:$AU$511,3,))*$E435)</f>
        <v>0</v>
      </c>
      <c r="X435" s="66">
        <f>IF(VLOOKUP($D435,$C$5:$AU$511,3,)=0,0,(VLOOKUP($D435,$C$5:$AU$511,22,)/VLOOKUP($D435,$C$5:$AU$511,3,))*$E435)</f>
        <v>0</v>
      </c>
      <c r="Y435" s="66">
        <f>IF(VLOOKUP($D435,$C$5:$AU$511,3,)=0,0,(VLOOKUP($D435,$C$5:$AU$511,23,)/VLOOKUP($D435,$C$5:$AU$511,3,))*$E435)</f>
        <v>0</v>
      </c>
      <c r="Z435" s="66">
        <f>IF(VLOOKUP($D435,$C$5:$AU$511,3,)=0,0,(VLOOKUP($D435,$C$5:$AU$511,24,)/VLOOKUP($D435,$C$5:$AU$511,3,))*$E435)</f>
        <v>0</v>
      </c>
      <c r="AA435" s="66">
        <f>IF(VLOOKUP($D435,$C$5:$AU$511,3,)=0,0,(VLOOKUP($D435,$C$5:$AU$511,25,)/VLOOKUP($D435,$C$5:$AU$511,3,))*$E435)</f>
        <v>0</v>
      </c>
      <c r="AB435" s="66">
        <f>IF(VLOOKUP($D435,$C$5:$AU$511,3,)=0,0,(VLOOKUP($D435,$C$5:$AU$511,26,)/VLOOKUP($D435,$C$5:$AU$511,3,))*$E435)</f>
        <v>0</v>
      </c>
      <c r="AC435" s="66">
        <f>IF(VLOOKUP($D435,$C$5:$AU$511,3,)=0,0,(VLOOKUP($D435,$C$5:$AU$511,27,)/VLOOKUP($D435,$C$5:$AU$511,3,))*$E435)</f>
        <v>0</v>
      </c>
      <c r="AD435" s="66">
        <f>IF(VLOOKUP($D435,$C$5:$AU$511,3,)=0,0,(VLOOKUP($D435,$C$5:$AU$511,28,)/VLOOKUP($D435,$C$5:$AU$511,3,))*$E435)</f>
        <v>0</v>
      </c>
      <c r="AE435" s="66">
        <f>IF(VLOOKUP($D435,$C$5:$AU$511,3,)=0,0,(VLOOKUP($D435,$C$5:$AU$511,29,)/VLOOKUP($D435,$C$5:$AU$511,3,))*$E435)</f>
        <v>0</v>
      </c>
      <c r="AF435" s="66">
        <f>IF(VLOOKUP($D435,$C$5:$AU$511,3,)=0,0,(VLOOKUP($D435,$C$5:$AU$511,30,)/VLOOKUP($D435,$C$5:$AU$511,3,))*$E435)</f>
        <v>0</v>
      </c>
      <c r="AG435" s="89">
        <f>SUM(F435:AF435)</f>
        <v>0</v>
      </c>
      <c r="AH435" s="27" t="str">
        <f t="shared" si="214"/>
        <v>ok</v>
      </c>
    </row>
    <row r="436" spans="1:34" x14ac:dyDescent="0.2">
      <c r="A436" s="14" t="s">
        <v>600</v>
      </c>
      <c r="C436" s="14" t="s">
        <v>599</v>
      </c>
      <c r="E436" s="89">
        <f>E434+E435</f>
        <v>0</v>
      </c>
      <c r="F436" s="89">
        <f t="shared" ref="F436:U436" si="215">F434+F435</f>
        <v>0</v>
      </c>
      <c r="G436" s="89">
        <f t="shared" si="215"/>
        <v>0</v>
      </c>
      <c r="H436" s="89">
        <f t="shared" si="215"/>
        <v>0</v>
      </c>
      <c r="I436" s="89">
        <f t="shared" si="215"/>
        <v>0</v>
      </c>
      <c r="J436" s="89">
        <f t="shared" si="215"/>
        <v>0</v>
      </c>
      <c r="K436" s="89">
        <f t="shared" si="215"/>
        <v>0</v>
      </c>
      <c r="L436" s="89">
        <f t="shared" si="215"/>
        <v>0</v>
      </c>
      <c r="M436" s="89">
        <f t="shared" si="215"/>
        <v>0</v>
      </c>
      <c r="N436" s="89">
        <f t="shared" si="215"/>
        <v>0</v>
      </c>
      <c r="O436" s="89">
        <f t="shared" si="215"/>
        <v>0</v>
      </c>
      <c r="P436" s="89">
        <f t="shared" si="215"/>
        <v>0</v>
      </c>
      <c r="Q436" s="89">
        <f t="shared" si="215"/>
        <v>0</v>
      </c>
      <c r="R436" s="89">
        <f t="shared" si="215"/>
        <v>0</v>
      </c>
      <c r="S436" s="89">
        <f t="shared" si="215"/>
        <v>0</v>
      </c>
      <c r="T436" s="89">
        <f t="shared" si="215"/>
        <v>0</v>
      </c>
      <c r="U436" s="89">
        <f t="shared" si="215"/>
        <v>0</v>
      </c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>
        <f>SUM(F436:AF436)</f>
        <v>0</v>
      </c>
      <c r="AH436" s="27" t="str">
        <f t="shared" si="214"/>
        <v>ok</v>
      </c>
    </row>
    <row r="437" spans="1:34" x14ac:dyDescent="0.2">
      <c r="A437" s="14" t="s">
        <v>622</v>
      </c>
      <c r="C437" s="14" t="s">
        <v>601</v>
      </c>
      <c r="D437" s="14" t="s">
        <v>599</v>
      </c>
      <c r="E437" s="48">
        <v>0</v>
      </c>
      <c r="F437" s="97">
        <f>IF(VLOOKUP($D437,$C$5:$AU$511,3,)=0,0,(VLOOKUP($D437,$C$5:$AU$511,4,)/VLOOKUP($D437,$C$5:$AU$511,3,))*$E437)</f>
        <v>0</v>
      </c>
      <c r="G437" s="97">
        <f>IF(VLOOKUP($D437,$C$5:$AU$511,3,)=0,0,(VLOOKUP($D437,$C$5:$AU$511,5,)/VLOOKUP($D437,$C$5:$AU$511,3,))*$E437)</f>
        <v>0</v>
      </c>
      <c r="H437" s="97">
        <f>IF(VLOOKUP($D437,$C$5:$AU$511,3,)=0,0,(VLOOKUP($D437,$C$5:$AU$511,6,)/VLOOKUP($D437,$C$5:$AU$511,3,))*$E437)</f>
        <v>0</v>
      </c>
      <c r="I437" s="97">
        <f>IF(VLOOKUP($D437,$C$5:$AU$511,3,)=0,0,(VLOOKUP($D437,$C$5:$AU$511,7,)/VLOOKUP($D437,$C$5:$AU$511,3,))*$E437)</f>
        <v>0</v>
      </c>
      <c r="J437" s="97">
        <f>IF(VLOOKUP($D437,$C$5:$AU$511,3,)=0,0,(VLOOKUP($D437,$C$5:$AU$511,8,)/VLOOKUP($D437,$C$5:$AU$511,3,))*$E437)</f>
        <v>0</v>
      </c>
      <c r="K437" s="97">
        <f>IF(VLOOKUP($D437,$C$5:$AU$511,3,)=0,0,(VLOOKUP($D437,$C$5:$AU$511,9,)/VLOOKUP($D437,$C$5:$AU$511,3,))*$E437)</f>
        <v>0</v>
      </c>
      <c r="L437" s="97">
        <f>IF(VLOOKUP($D437,$C$5:$AU$511,3,)=0,0,(VLOOKUP($D437,$C$5:$AU$511,10,)/VLOOKUP($D437,$C$5:$AU$511,3,))*$E437)</f>
        <v>0</v>
      </c>
      <c r="M437" s="97">
        <f>IF(VLOOKUP($D437,$C$5:$AU$511,3,)=0,0,(VLOOKUP($D437,$C$5:$AU$511,11,)/VLOOKUP($D437,$C$5:$AU$511,3,))*$E437)</f>
        <v>0</v>
      </c>
      <c r="N437" s="97">
        <f>IF(VLOOKUP($D437,$C$5:$AU$511,3,)=0,0,(VLOOKUP($D437,$C$5:$AU$511,12,)/VLOOKUP($D437,$C$5:$AU$511,3,))*$E437)</f>
        <v>0</v>
      </c>
      <c r="O437" s="97">
        <f>IF(VLOOKUP($D437,$C$5:$AU$511,3,)=0,0,(VLOOKUP($D437,$C$5:$AU$511,13,)/VLOOKUP($D437,$C$5:$AU$511,3,))*$E437)</f>
        <v>0</v>
      </c>
      <c r="P437" s="97">
        <f>IF(VLOOKUP($D437,$C$5:$AU$511,3,)=0,0,(VLOOKUP($D437,$C$5:$AU$511,14,)/VLOOKUP($D437,$C$5:$AU$511,3,))*$E437)</f>
        <v>0</v>
      </c>
      <c r="Q437" s="97">
        <f>IF(VLOOKUP($D437,$C$5:$AU$511,3,)=0,0,(VLOOKUP($D437,$C$5:$AU$511,15,)/VLOOKUP($D437,$C$5:$AU$511,3,))*$E437)</f>
        <v>0</v>
      </c>
      <c r="R437" s="97">
        <f>IF(VLOOKUP($D437,$C$5:$AU$511,3,)=0,0,(VLOOKUP($D437,$C$5:$AU$511,16,)/VLOOKUP($D437,$C$5:$AU$511,3,))*$E437)</f>
        <v>0</v>
      </c>
      <c r="S437" s="97">
        <f>IF(VLOOKUP($D437,$C$5:$AU$511,3,)=0,0,(VLOOKUP($D437,$C$5:$AU$511,17,)/VLOOKUP($D437,$C$5:$AU$511,3,))*$E437)</f>
        <v>0</v>
      </c>
      <c r="T437" s="97">
        <f>IF(VLOOKUP($D437,$C$5:$AU$511,3,)=0,0,(VLOOKUP($D437,$C$5:$AU$511,18,)/VLOOKUP($D437,$C$5:$AU$511,3,))*$E437)</f>
        <v>0</v>
      </c>
      <c r="U437" s="97">
        <f>IF(VLOOKUP($D437,$C$5:$AU$511,3,)=0,0,(VLOOKUP($D437,$C$5:$AU$511,19,)/VLOOKUP($D437,$C$5:$AU$511,3,))*$E437)</f>
        <v>0</v>
      </c>
      <c r="V437" s="97">
        <f>IF(VLOOKUP($D437,$C$5:$AU$511,3,)=0,0,(VLOOKUP($D437,$C$5:$AU$511,20,)/VLOOKUP($D437,$C$5:$AU$511,3,))*$E437)</f>
        <v>0</v>
      </c>
      <c r="W437" s="97">
        <f>IF(VLOOKUP($D437,$C$5:$AU$511,3,)=0,0,(VLOOKUP($D437,$C$5:$AU$511,21,)/VLOOKUP($D437,$C$5:$AU$511,3,))*$E437)</f>
        <v>0</v>
      </c>
      <c r="X437" s="97">
        <f>IF(VLOOKUP($D437,$C$5:$AU$511,3,)=0,0,(VLOOKUP($D437,$C$5:$AU$511,22,)/VLOOKUP($D437,$C$5:$AU$511,3,))*$E437)</f>
        <v>0</v>
      </c>
      <c r="Y437" s="97">
        <f>IF(VLOOKUP($D437,$C$5:$AU$511,3,)=0,0,(VLOOKUP($D437,$C$5:$AU$511,23,)/VLOOKUP($D437,$C$5:$AU$511,3,))*$E437)</f>
        <v>0</v>
      </c>
      <c r="Z437" s="97">
        <f>IF(VLOOKUP($D437,$C$5:$AU$511,3,)=0,0,(VLOOKUP($D437,$C$5:$AU$511,24,)/VLOOKUP($D437,$C$5:$AU$511,3,))*$E437)</f>
        <v>0</v>
      </c>
      <c r="AA437" s="97">
        <f>IF(VLOOKUP($D437,$C$5:$AU$511,3,)=0,0,(VLOOKUP($D437,$C$5:$AU$511,25,)/VLOOKUP($D437,$C$5:$AU$511,3,))*$E437)</f>
        <v>0</v>
      </c>
      <c r="AB437" s="97">
        <f>IF(VLOOKUP($D437,$C$5:$AU$511,3,)=0,0,(VLOOKUP($D437,$C$5:$AU$511,26,)/VLOOKUP($D437,$C$5:$AU$511,3,))*$E437)</f>
        <v>0</v>
      </c>
      <c r="AC437" s="97">
        <f>IF(VLOOKUP($D437,$C$5:$AU$511,3,)=0,0,(VLOOKUP($D437,$C$5:$AU$511,27,)/VLOOKUP($D437,$C$5:$AU$511,3,))*$E437)</f>
        <v>0</v>
      </c>
      <c r="AD437" s="97">
        <f>IF(VLOOKUP($D437,$C$5:$AU$511,3,)=0,0,(VLOOKUP($D437,$C$5:$AU$511,28,)/VLOOKUP($D437,$C$5:$AU$511,3,))*$E437)</f>
        <v>0</v>
      </c>
      <c r="AE437" s="97">
        <f>IF(VLOOKUP($D437,$C$5:$AU$511,3,)=0,0,(VLOOKUP($D437,$C$5:$AU$511,29,)/VLOOKUP($D437,$C$5:$AU$511,3,))*$E437)</f>
        <v>0</v>
      </c>
      <c r="AF437" s="97">
        <f>IF(VLOOKUP($D437,$C$5:$AU$511,3,)=0,0,(VLOOKUP($D437,$C$5:$AU$511,30,)/VLOOKUP($D437,$C$5:$AU$511,3,))*$E437)</f>
        <v>0</v>
      </c>
      <c r="AG437" s="97">
        <f>SUM(F437:AF437)</f>
        <v>0</v>
      </c>
      <c r="AH437" s="27" t="str">
        <f t="shared" si="214"/>
        <v>ok</v>
      </c>
    </row>
    <row r="438" spans="1:34" x14ac:dyDescent="0.2"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27"/>
    </row>
    <row r="439" spans="1:34" x14ac:dyDescent="0.2">
      <c r="A439" s="14" t="s">
        <v>597</v>
      </c>
      <c r="C439" s="14" t="s">
        <v>623</v>
      </c>
      <c r="E439" s="49">
        <f t="shared" ref="E439:AF439" si="216">E432</f>
        <v>3236525.4458308914</v>
      </c>
      <c r="F439" s="49">
        <f t="shared" si="216"/>
        <v>2299702.2269583596</v>
      </c>
      <c r="G439" s="49">
        <f t="shared" si="216"/>
        <v>435.67855159021195</v>
      </c>
      <c r="H439" s="49">
        <f t="shared" si="216"/>
        <v>97.645889870285004</v>
      </c>
      <c r="I439" s="49">
        <f t="shared" si="216"/>
        <v>189013.99690685957</v>
      </c>
      <c r="J439" s="49">
        <f t="shared" si="216"/>
        <v>640.65668416111953</v>
      </c>
      <c r="K439" s="49">
        <f t="shared" si="216"/>
        <v>72476.157231583362</v>
      </c>
      <c r="L439" s="49">
        <f t="shared" si="216"/>
        <v>205950.09441084365</v>
      </c>
      <c r="M439" s="49">
        <f t="shared" si="216"/>
        <v>105799.17850279964</v>
      </c>
      <c r="N439" s="49">
        <f t="shared" si="216"/>
        <v>202365.78527905385</v>
      </c>
      <c r="O439" s="49">
        <f t="shared" si="216"/>
        <v>152699.90400000001</v>
      </c>
      <c r="P439" s="49">
        <f t="shared" si="216"/>
        <v>7344.121415770609</v>
      </c>
      <c r="Q439" s="49">
        <f t="shared" si="216"/>
        <v>0</v>
      </c>
      <c r="R439" s="49">
        <f t="shared" si="216"/>
        <v>0</v>
      </c>
      <c r="S439" s="49">
        <f t="shared" si="216"/>
        <v>0</v>
      </c>
      <c r="T439" s="49">
        <f t="shared" si="216"/>
        <v>0</v>
      </c>
      <c r="U439" s="49">
        <f t="shared" si="216"/>
        <v>0</v>
      </c>
      <c r="V439" s="49">
        <f t="shared" si="216"/>
        <v>0</v>
      </c>
      <c r="W439" s="49">
        <f t="shared" si="216"/>
        <v>0</v>
      </c>
      <c r="X439" s="49">
        <f t="shared" si="216"/>
        <v>0</v>
      </c>
      <c r="Y439" s="49">
        <f t="shared" si="216"/>
        <v>0</v>
      </c>
      <c r="Z439" s="49">
        <f t="shared" si="216"/>
        <v>0</v>
      </c>
      <c r="AA439" s="49">
        <f t="shared" si="216"/>
        <v>0</v>
      </c>
      <c r="AB439" s="49">
        <f t="shared" si="216"/>
        <v>0</v>
      </c>
      <c r="AC439" s="49">
        <f t="shared" si="216"/>
        <v>0</v>
      </c>
      <c r="AD439" s="49">
        <f t="shared" si="216"/>
        <v>0</v>
      </c>
      <c r="AE439" s="49">
        <f t="shared" si="216"/>
        <v>0</v>
      </c>
      <c r="AF439" s="49">
        <f t="shared" si="216"/>
        <v>0</v>
      </c>
      <c r="AG439" s="49">
        <f>SUM(F439:AF439)</f>
        <v>3236525.4458308914</v>
      </c>
      <c r="AH439" s="27" t="str">
        <f t="shared" ref="AH439:AH444" si="217">IF(ABS(E439-AG439)&lt;0.01,"ok","err")</f>
        <v>ok</v>
      </c>
    </row>
    <row r="440" spans="1:34" x14ac:dyDescent="0.2">
      <c r="A440" s="14" t="s">
        <v>596</v>
      </c>
      <c r="E440" s="89">
        <f>E433</f>
        <v>0</v>
      </c>
      <c r="AG440" s="89">
        <f>E440</f>
        <v>0</v>
      </c>
      <c r="AH440" s="27" t="str">
        <f t="shared" si="217"/>
        <v>ok</v>
      </c>
    </row>
    <row r="441" spans="1:34" x14ac:dyDescent="0.2">
      <c r="A441" s="14" t="s">
        <v>594</v>
      </c>
      <c r="E441" s="66">
        <f>E434</f>
        <v>0</v>
      </c>
      <c r="F441" s="66">
        <f>F434</f>
        <v>0</v>
      </c>
      <c r="G441" s="66">
        <f t="shared" ref="G441:S441" si="218">G434</f>
        <v>0</v>
      </c>
      <c r="H441" s="66">
        <f t="shared" si="218"/>
        <v>0</v>
      </c>
      <c r="I441" s="66">
        <f t="shared" si="218"/>
        <v>0</v>
      </c>
      <c r="J441" s="66">
        <f t="shared" si="218"/>
        <v>0</v>
      </c>
      <c r="K441" s="66">
        <f t="shared" si="218"/>
        <v>0</v>
      </c>
      <c r="L441" s="66">
        <f t="shared" si="218"/>
        <v>0</v>
      </c>
      <c r="M441" s="66">
        <f t="shared" si="218"/>
        <v>0</v>
      </c>
      <c r="N441" s="14">
        <f t="shared" si="218"/>
        <v>0</v>
      </c>
      <c r="O441" s="49">
        <f t="shared" si="218"/>
        <v>0</v>
      </c>
      <c r="P441" s="49">
        <f t="shared" si="218"/>
        <v>0</v>
      </c>
      <c r="Q441" s="14">
        <f t="shared" si="218"/>
        <v>0</v>
      </c>
      <c r="R441" s="14">
        <f t="shared" si="218"/>
        <v>0</v>
      </c>
      <c r="S441" s="14">
        <f t="shared" si="218"/>
        <v>0</v>
      </c>
      <c r="AG441" s="89">
        <f>SUM(F441:AF441)</f>
        <v>0</v>
      </c>
      <c r="AH441" s="27" t="str">
        <f t="shared" si="217"/>
        <v>ok</v>
      </c>
    </row>
    <row r="442" spans="1:34" x14ac:dyDescent="0.2">
      <c r="A442" s="14" t="s">
        <v>595</v>
      </c>
      <c r="D442" s="14" t="s">
        <v>623</v>
      </c>
      <c r="E442" s="89">
        <f>E440-E441</f>
        <v>0</v>
      </c>
      <c r="F442" s="66">
        <f>IF(VLOOKUP($D442,$C$5:$AU$511,3,)=0,0,(VLOOKUP($D442,$C$5:$AU$511,4,)/VLOOKUP($D442,$C$5:$AU$511,3,))*$E442)</f>
        <v>0</v>
      </c>
      <c r="G442" s="66">
        <f>IF(VLOOKUP($D442,$C$5:$AU$511,3,)=0,0,(VLOOKUP($D442,$C$5:$AU$511,5,)/VLOOKUP($D442,$C$5:$AU$511,3,))*$E442)</f>
        <v>0</v>
      </c>
      <c r="H442" s="66">
        <f>IF(VLOOKUP($D442,$C$5:$AU$511,3,)=0,0,(VLOOKUP($D442,$C$5:$AU$511,6,)/VLOOKUP($D442,$C$5:$AU$511,3,))*$E442)</f>
        <v>0</v>
      </c>
      <c r="I442" s="66">
        <f>IF(VLOOKUP($D442,$C$5:$AU$511,3,)=0,0,(VLOOKUP($D442,$C$5:$AU$511,7,)/VLOOKUP($D442,$C$5:$AU$511,3,))*$E442)</f>
        <v>0</v>
      </c>
      <c r="J442" s="66">
        <f>IF(VLOOKUP($D442,$C$5:$AU$511,3,)=0,0,(VLOOKUP($D442,$C$5:$AU$511,8,)/VLOOKUP($D442,$C$5:$AU$511,3,))*$E442)</f>
        <v>0</v>
      </c>
      <c r="K442" s="66">
        <f>IF(VLOOKUP($D442,$C$5:$AU$511,3,)=0,0,(VLOOKUP($D442,$C$5:$AU$511,9,)/VLOOKUP($D442,$C$5:$AU$511,3,))*$E442)</f>
        <v>0</v>
      </c>
      <c r="L442" s="66">
        <f>IF(VLOOKUP($D442,$C$5:$AU$511,3,)=0,0,(VLOOKUP($D442,$C$5:$AU$511,10,)/VLOOKUP($D442,$C$5:$AU$511,3,))*$E442)</f>
        <v>0</v>
      </c>
      <c r="M442" s="66">
        <f>IF(VLOOKUP($D442,$C$5:$AU$511,3,)=0,0,(VLOOKUP($D442,$C$5:$AU$511,11,)/VLOOKUP($D442,$C$5:$AU$511,3,))*$E442)</f>
        <v>0</v>
      </c>
      <c r="N442" s="66">
        <f>IF(VLOOKUP($D442,$C$5:$AU$511,3,)=0,0,(VLOOKUP($D442,$C$5:$AU$511,12,)/VLOOKUP($D442,$C$5:$AU$511,3,))*$E442)</f>
        <v>0</v>
      </c>
      <c r="O442" s="66">
        <f>IF(VLOOKUP($D442,$C$5:$AU$511,3,)=0,0,(VLOOKUP($D442,$C$5:$AU$511,13,)/VLOOKUP($D442,$C$5:$AU$511,3,))*$E442)</f>
        <v>0</v>
      </c>
      <c r="P442" s="66">
        <f>IF(VLOOKUP($D442,$C$5:$AU$511,3,)=0,0,(VLOOKUP($D442,$C$5:$AU$511,14,)/VLOOKUP($D442,$C$5:$AU$511,3,))*$E442)</f>
        <v>0</v>
      </c>
      <c r="Q442" s="66">
        <f>IF(VLOOKUP($D442,$C$5:$AU$511,3,)=0,0,(VLOOKUP($D442,$C$5:$AU$511,15,)/VLOOKUP($D442,$C$5:$AU$511,3,))*$E442)</f>
        <v>0</v>
      </c>
      <c r="R442" s="66">
        <f>IF(VLOOKUP($D442,$C$5:$AU$511,3,)=0,0,(VLOOKUP($D442,$C$5:$AU$511,16,)/VLOOKUP($D442,$C$5:$AU$511,3,))*$E442)</f>
        <v>0</v>
      </c>
      <c r="S442" s="66">
        <f>IF(VLOOKUP($D442,$C$5:$AU$511,3,)=0,0,(VLOOKUP($D442,$C$5:$AU$511,17,)/VLOOKUP($D442,$C$5:$AU$511,3,))*$E442)</f>
        <v>0</v>
      </c>
      <c r="T442" s="66">
        <f>IF(VLOOKUP($D442,$C$5:$AU$511,3,)=0,0,(VLOOKUP($D442,$C$5:$AU$511,18,)/VLOOKUP($D442,$C$5:$AU$511,3,))*$E442)</f>
        <v>0</v>
      </c>
      <c r="U442" s="66">
        <f>IF(VLOOKUP($D442,$C$5:$AU$511,3,)=0,0,(VLOOKUP($D442,$C$5:$AU$511,19,)/VLOOKUP($D442,$C$5:$AU$511,3,))*$E442)</f>
        <v>0</v>
      </c>
      <c r="V442" s="66">
        <f>IF(VLOOKUP($D442,$C$5:$AU$511,3,)=0,0,(VLOOKUP($D442,$C$5:$AU$511,20,)/VLOOKUP($D442,$C$5:$AU$511,3,))*$E442)</f>
        <v>0</v>
      </c>
      <c r="W442" s="66">
        <f>IF(VLOOKUP($D442,$C$5:$AU$511,3,)=0,0,(VLOOKUP($D442,$C$5:$AU$511,21,)/VLOOKUP($D442,$C$5:$AU$511,3,))*$E442)</f>
        <v>0</v>
      </c>
      <c r="X442" s="66">
        <f>IF(VLOOKUP($D442,$C$5:$AU$511,3,)=0,0,(VLOOKUP($D442,$C$5:$AU$511,22,)/VLOOKUP($D442,$C$5:$AU$511,3,))*$E442)</f>
        <v>0</v>
      </c>
      <c r="Y442" s="66">
        <f>IF(VLOOKUP($D442,$C$5:$AU$511,3,)=0,0,(VLOOKUP($D442,$C$5:$AU$511,23,)/VLOOKUP($D442,$C$5:$AU$511,3,))*$E442)</f>
        <v>0</v>
      </c>
      <c r="Z442" s="66">
        <f>IF(VLOOKUP($D442,$C$5:$AU$511,3,)=0,0,(VLOOKUP($D442,$C$5:$AU$511,24,)/VLOOKUP($D442,$C$5:$AU$511,3,))*$E442)</f>
        <v>0</v>
      </c>
      <c r="AA442" s="66">
        <f>IF(VLOOKUP($D442,$C$5:$AU$511,3,)=0,0,(VLOOKUP($D442,$C$5:$AU$511,25,)/VLOOKUP($D442,$C$5:$AU$511,3,))*$E442)</f>
        <v>0</v>
      </c>
      <c r="AB442" s="66">
        <f>IF(VLOOKUP($D442,$C$5:$AU$511,3,)=0,0,(VLOOKUP($D442,$C$5:$AU$511,26,)/VLOOKUP($D442,$C$5:$AU$511,3,))*$E442)</f>
        <v>0</v>
      </c>
      <c r="AC442" s="66">
        <f>IF(VLOOKUP($D442,$C$5:$AU$511,3,)=0,0,(VLOOKUP($D442,$C$5:$AU$511,27,)/VLOOKUP($D442,$C$5:$AU$511,3,))*$E442)</f>
        <v>0</v>
      </c>
      <c r="AD442" s="66">
        <f>IF(VLOOKUP($D442,$C$5:$AU$511,3,)=0,0,(VLOOKUP($D442,$C$5:$AU$511,28,)/VLOOKUP($D442,$C$5:$AU$511,3,))*$E442)</f>
        <v>0</v>
      </c>
      <c r="AE442" s="66">
        <f>IF(VLOOKUP($D442,$C$5:$AU$511,3,)=0,0,(VLOOKUP($D442,$C$5:$AU$511,29,)/VLOOKUP($D442,$C$5:$AU$511,3,))*$E442)</f>
        <v>0</v>
      </c>
      <c r="AF442" s="66">
        <f>IF(VLOOKUP($D442,$C$5:$AU$511,3,)=0,0,(VLOOKUP($D442,$C$5:$AU$511,30,)/VLOOKUP($D442,$C$5:$AU$511,3,))*$E442)</f>
        <v>0</v>
      </c>
      <c r="AG442" s="89">
        <f>SUM(F442:AF442)</f>
        <v>0</v>
      </c>
      <c r="AH442" s="27" t="str">
        <f t="shared" si="217"/>
        <v>ok</v>
      </c>
    </row>
    <row r="443" spans="1:34" x14ac:dyDescent="0.2">
      <c r="A443" s="14" t="s">
        <v>600</v>
      </c>
      <c r="C443" s="14" t="s">
        <v>624</v>
      </c>
      <c r="E443" s="89">
        <f t="shared" ref="E443:U443" si="219">E441+E442</f>
        <v>0</v>
      </c>
      <c r="F443" s="89">
        <f t="shared" si="219"/>
        <v>0</v>
      </c>
      <c r="G443" s="89">
        <f t="shared" si="219"/>
        <v>0</v>
      </c>
      <c r="H443" s="89">
        <f t="shared" si="219"/>
        <v>0</v>
      </c>
      <c r="I443" s="89">
        <f t="shared" si="219"/>
        <v>0</v>
      </c>
      <c r="J443" s="89">
        <f t="shared" si="219"/>
        <v>0</v>
      </c>
      <c r="K443" s="89">
        <f t="shared" si="219"/>
        <v>0</v>
      </c>
      <c r="L443" s="89">
        <f t="shared" si="219"/>
        <v>0</v>
      </c>
      <c r="M443" s="89">
        <f t="shared" si="219"/>
        <v>0</v>
      </c>
      <c r="N443" s="89">
        <f t="shared" si="219"/>
        <v>0</v>
      </c>
      <c r="O443" s="89">
        <f t="shared" si="219"/>
        <v>0</v>
      </c>
      <c r="P443" s="89">
        <f t="shared" si="219"/>
        <v>0</v>
      </c>
      <c r="Q443" s="89">
        <f t="shared" si="219"/>
        <v>0</v>
      </c>
      <c r="R443" s="89">
        <f t="shared" si="219"/>
        <v>0</v>
      </c>
      <c r="S443" s="89">
        <f t="shared" si="219"/>
        <v>0</v>
      </c>
      <c r="T443" s="89">
        <f t="shared" si="219"/>
        <v>0</v>
      </c>
      <c r="U443" s="89">
        <f t="shared" si="219"/>
        <v>0</v>
      </c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>
        <f>SUM(F443:AF443)</f>
        <v>0</v>
      </c>
      <c r="AH443" s="27" t="str">
        <f t="shared" si="217"/>
        <v>ok</v>
      </c>
    </row>
    <row r="444" spans="1:34" x14ac:dyDescent="0.2">
      <c r="A444" s="14" t="s">
        <v>632</v>
      </c>
      <c r="C444" s="14" t="s">
        <v>625</v>
      </c>
      <c r="D444" s="14" t="s">
        <v>624</v>
      </c>
      <c r="E444" s="48">
        <v>0</v>
      </c>
      <c r="F444" s="97">
        <f>IF(VLOOKUP($D444,$C$5:$AU$511,3,)=0,0,(VLOOKUP($D444,$C$5:$AU$511,4,)/VLOOKUP($D444,$C$5:$AU$511,3,))*$E444)</f>
        <v>0</v>
      </c>
      <c r="G444" s="97">
        <f>IF(VLOOKUP($D444,$C$5:$AU$511,3,)=0,0,(VLOOKUP($D444,$C$5:$AU$511,5,)/VLOOKUP($D444,$C$5:$AU$511,3,))*$E444)</f>
        <v>0</v>
      </c>
      <c r="H444" s="97">
        <f>IF(VLOOKUP($D444,$C$5:$AU$511,3,)=0,0,(VLOOKUP($D444,$C$5:$AU$511,6,)/VLOOKUP($D444,$C$5:$AU$511,3,))*$E444)</f>
        <v>0</v>
      </c>
      <c r="I444" s="97">
        <f>IF(VLOOKUP($D444,$C$5:$AU$511,3,)=0,0,(VLOOKUP($D444,$C$5:$AU$511,7,)/VLOOKUP($D444,$C$5:$AU$511,3,))*$E444)</f>
        <v>0</v>
      </c>
      <c r="J444" s="97">
        <f>IF(VLOOKUP($D444,$C$5:$AU$511,3,)=0,0,(VLOOKUP($D444,$C$5:$AU$511,8,)/VLOOKUP($D444,$C$5:$AU$511,3,))*$E444)</f>
        <v>0</v>
      </c>
      <c r="K444" s="97">
        <f>IF(VLOOKUP($D444,$C$5:$AU$511,3,)=0,0,(VLOOKUP($D444,$C$5:$AU$511,9,)/VLOOKUP($D444,$C$5:$AU$511,3,))*$E444)</f>
        <v>0</v>
      </c>
      <c r="L444" s="97">
        <f>IF(VLOOKUP($D444,$C$5:$AU$511,3,)=0,0,(VLOOKUP($D444,$C$5:$AU$511,10,)/VLOOKUP($D444,$C$5:$AU$511,3,))*$E444)</f>
        <v>0</v>
      </c>
      <c r="M444" s="97">
        <f>IF(VLOOKUP($D444,$C$5:$AU$511,3,)=0,0,(VLOOKUP($D444,$C$5:$AU$511,11,)/VLOOKUP($D444,$C$5:$AU$511,3,))*$E444)</f>
        <v>0</v>
      </c>
      <c r="N444" s="97">
        <f>IF(VLOOKUP($D444,$C$5:$AU$511,3,)=0,0,(VLOOKUP($D444,$C$5:$AU$511,12,)/VLOOKUP($D444,$C$5:$AU$511,3,))*$E444)</f>
        <v>0</v>
      </c>
      <c r="O444" s="97">
        <f>IF(VLOOKUP($D444,$C$5:$AU$511,3,)=0,0,(VLOOKUP($D444,$C$5:$AU$511,13,)/VLOOKUP($D444,$C$5:$AU$511,3,))*$E444)</f>
        <v>0</v>
      </c>
      <c r="P444" s="97">
        <f>IF(VLOOKUP($D444,$C$5:$AU$511,3,)=0,0,(VLOOKUP($D444,$C$5:$AU$511,14,)/VLOOKUP($D444,$C$5:$AU$511,3,))*$E444)</f>
        <v>0</v>
      </c>
      <c r="Q444" s="97">
        <f>IF(VLOOKUP($D444,$C$5:$AU$511,3,)=0,0,(VLOOKUP($D444,$C$5:$AU$511,15,)/VLOOKUP($D444,$C$5:$AU$511,3,))*$E444)</f>
        <v>0</v>
      </c>
      <c r="R444" s="97">
        <f>IF(VLOOKUP($D444,$C$5:$AU$511,3,)=0,0,(VLOOKUP($D444,$C$5:$AU$511,16,)/VLOOKUP($D444,$C$5:$AU$511,3,))*$E444)</f>
        <v>0</v>
      </c>
      <c r="S444" s="97">
        <f>IF(VLOOKUP($D444,$C$5:$AU$511,3,)=0,0,(VLOOKUP($D444,$C$5:$AU$511,17,)/VLOOKUP($D444,$C$5:$AU$511,3,))*$E444)</f>
        <v>0</v>
      </c>
      <c r="T444" s="97">
        <f>IF(VLOOKUP($D444,$C$5:$AU$511,3,)=0,0,(VLOOKUP($D444,$C$5:$AU$511,18,)/VLOOKUP($D444,$C$5:$AU$511,3,))*$E444)</f>
        <v>0</v>
      </c>
      <c r="U444" s="97">
        <f>IF(VLOOKUP($D444,$C$5:$AU$511,3,)=0,0,(VLOOKUP($D444,$C$5:$AU$511,19,)/VLOOKUP($D444,$C$5:$AU$511,3,))*$E444)</f>
        <v>0</v>
      </c>
      <c r="V444" s="97">
        <f>IF(VLOOKUP($D444,$C$5:$AU$511,3,)=0,0,(VLOOKUP($D444,$C$5:$AU$511,20,)/VLOOKUP($D444,$C$5:$AU$511,3,))*$E444)</f>
        <v>0</v>
      </c>
      <c r="W444" s="97">
        <f>IF(VLOOKUP($D444,$C$5:$AU$511,3,)=0,0,(VLOOKUP($D444,$C$5:$AU$511,21,)/VLOOKUP($D444,$C$5:$AU$511,3,))*$E444)</f>
        <v>0</v>
      </c>
      <c r="X444" s="97">
        <f>IF(VLOOKUP($D444,$C$5:$AU$511,3,)=0,0,(VLOOKUP($D444,$C$5:$AU$511,22,)/VLOOKUP($D444,$C$5:$AU$511,3,))*$E444)</f>
        <v>0</v>
      </c>
      <c r="Y444" s="97">
        <f>IF(VLOOKUP($D444,$C$5:$AU$511,3,)=0,0,(VLOOKUP($D444,$C$5:$AU$511,23,)/VLOOKUP($D444,$C$5:$AU$511,3,))*$E444)</f>
        <v>0</v>
      </c>
      <c r="Z444" s="97">
        <f>IF(VLOOKUP($D444,$C$5:$AU$511,3,)=0,0,(VLOOKUP($D444,$C$5:$AU$511,24,)/VLOOKUP($D444,$C$5:$AU$511,3,))*$E444)</f>
        <v>0</v>
      </c>
      <c r="AA444" s="97">
        <f>IF(VLOOKUP($D444,$C$5:$AU$511,3,)=0,0,(VLOOKUP($D444,$C$5:$AU$511,25,)/VLOOKUP($D444,$C$5:$AU$511,3,))*$E444)</f>
        <v>0</v>
      </c>
      <c r="AB444" s="97">
        <f>IF(VLOOKUP($D444,$C$5:$AU$511,3,)=0,0,(VLOOKUP($D444,$C$5:$AU$511,26,)/VLOOKUP($D444,$C$5:$AU$511,3,))*$E444)</f>
        <v>0</v>
      </c>
      <c r="AC444" s="97">
        <f>IF(VLOOKUP($D444,$C$5:$AU$511,3,)=0,0,(VLOOKUP($D444,$C$5:$AU$511,27,)/VLOOKUP($D444,$C$5:$AU$511,3,))*$E444)</f>
        <v>0</v>
      </c>
      <c r="AD444" s="97">
        <f>IF(VLOOKUP($D444,$C$5:$AU$511,3,)=0,0,(VLOOKUP($D444,$C$5:$AU$511,28,)/VLOOKUP($D444,$C$5:$AU$511,3,))*$E444)</f>
        <v>0</v>
      </c>
      <c r="AE444" s="97">
        <f>IF(VLOOKUP($D444,$C$5:$AU$511,3,)=0,0,(VLOOKUP($D444,$C$5:$AU$511,29,)/VLOOKUP($D444,$C$5:$AU$511,3,))*$E444)</f>
        <v>0</v>
      </c>
      <c r="AF444" s="97">
        <f>IF(VLOOKUP($D444,$C$5:$AU$511,3,)=0,0,(VLOOKUP($D444,$C$5:$AU$511,30,)/VLOOKUP($D444,$C$5:$AU$511,3,))*$E444)</f>
        <v>0</v>
      </c>
      <c r="AG444" s="97">
        <f>SUM(F444:AF444)</f>
        <v>0</v>
      </c>
      <c r="AH444" s="27" t="str">
        <f t="shared" si="217"/>
        <v>ok</v>
      </c>
    </row>
    <row r="445" spans="1:34" x14ac:dyDescent="0.2"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27"/>
    </row>
    <row r="446" spans="1:34" x14ac:dyDescent="0.2">
      <c r="A446" s="14" t="s">
        <v>602</v>
      </c>
      <c r="B446" s="49"/>
      <c r="C446" s="14" t="s">
        <v>606</v>
      </c>
      <c r="E446" s="49">
        <v>7712877.1732648918</v>
      </c>
      <c r="F446" s="49">
        <f>F428</f>
        <v>6432374.2714378173</v>
      </c>
      <c r="G446" s="49">
        <f t="shared" ref="G446" si="220">G428</f>
        <v>1202.2386854980941</v>
      </c>
      <c r="H446" s="49">
        <f>H428</f>
        <v>44301.183050179199</v>
      </c>
      <c r="I446" s="49">
        <f t="shared" ref="I446:P446" si="221">I428</f>
        <v>345635.37</v>
      </c>
      <c r="J446" s="49">
        <f t="shared" si="221"/>
        <v>44644.656237070703</v>
      </c>
      <c r="K446" s="49">
        <f t="shared" si="221"/>
        <v>110426.44600000001</v>
      </c>
      <c r="L446" s="49">
        <f t="shared" si="221"/>
        <v>305760.90500000003</v>
      </c>
      <c r="M446" s="49">
        <f t="shared" si="221"/>
        <v>142782.39000000001</v>
      </c>
      <c r="N446" s="49">
        <f t="shared" si="221"/>
        <v>270925.66399999999</v>
      </c>
      <c r="O446" s="49">
        <v>0</v>
      </c>
      <c r="P446" s="49">
        <f t="shared" si="221"/>
        <v>14824.048854326677</v>
      </c>
      <c r="Q446" s="49">
        <f>Q428*2.11</f>
        <v>0</v>
      </c>
      <c r="R446" s="49">
        <f>R428*2.11</f>
        <v>0</v>
      </c>
      <c r="S446" s="49">
        <f>S428</f>
        <v>0</v>
      </c>
      <c r="T446" s="49">
        <f>T428*0.9</f>
        <v>0</v>
      </c>
      <c r="U446" s="49">
        <f t="shared" ref="U446:Z446" si="222">U428</f>
        <v>0</v>
      </c>
      <c r="V446" s="49">
        <f t="shared" si="222"/>
        <v>0</v>
      </c>
      <c r="W446" s="49">
        <f t="shared" si="222"/>
        <v>0</v>
      </c>
      <c r="X446" s="49">
        <f t="shared" si="222"/>
        <v>0</v>
      </c>
      <c r="Y446" s="49">
        <f t="shared" si="222"/>
        <v>0</v>
      </c>
      <c r="Z446" s="49">
        <f t="shared" si="222"/>
        <v>0</v>
      </c>
      <c r="AA446" s="49">
        <f>AA428*0.5</f>
        <v>0</v>
      </c>
      <c r="AB446" s="49">
        <f>AB428*0.1</f>
        <v>0</v>
      </c>
      <c r="AC446" s="49">
        <f>AC428*0.5</f>
        <v>0</v>
      </c>
      <c r="AD446" s="49">
        <f>AD428*0.07</f>
        <v>0</v>
      </c>
      <c r="AE446" s="49">
        <f>AE428*0.07</f>
        <v>0</v>
      </c>
      <c r="AF446" s="49">
        <f>AF428</f>
        <v>0</v>
      </c>
      <c r="AG446" s="49">
        <f>SUM(F446:AF446)</f>
        <v>7712877.1732648918</v>
      </c>
      <c r="AH446" s="27" t="str">
        <f t="shared" ref="AH446:AH451" si="223">IF(ABS(E446-AG446)&lt;0.01,"ok","err")</f>
        <v>ok</v>
      </c>
    </row>
    <row r="447" spans="1:34" x14ac:dyDescent="0.2">
      <c r="A447" s="14" t="s">
        <v>603</v>
      </c>
      <c r="E447" s="89">
        <f>'Func &amp; Classif'!O54</f>
        <v>146383330.30832726</v>
      </c>
      <c r="O447" s="274"/>
      <c r="AG447" s="89">
        <f>E447</f>
        <v>146383330.30832726</v>
      </c>
      <c r="AH447" s="27" t="str">
        <f t="shared" si="223"/>
        <v>ok</v>
      </c>
    </row>
    <row r="448" spans="1:34" x14ac:dyDescent="0.2">
      <c r="A448" s="14" t="s">
        <v>594</v>
      </c>
      <c r="E448" s="66"/>
      <c r="M448" s="49">
        <v>0</v>
      </c>
      <c r="N448" s="49">
        <v>0</v>
      </c>
      <c r="O448" s="274"/>
      <c r="P448" s="49"/>
      <c r="Q448" s="49">
        <f>(1/70)*'Func &amp; Classif'!F53</f>
        <v>0</v>
      </c>
      <c r="AA448" s="66">
        <v>0</v>
      </c>
      <c r="AB448" s="66">
        <v>0</v>
      </c>
      <c r="AC448" s="66">
        <v>0</v>
      </c>
      <c r="AD448" s="66">
        <v>0</v>
      </c>
      <c r="AE448" s="66">
        <v>0</v>
      </c>
      <c r="AG448" s="89">
        <f>SUM(F448:AF448)</f>
        <v>0</v>
      </c>
      <c r="AH448" s="27" t="str">
        <f t="shared" si="223"/>
        <v>ok</v>
      </c>
    </row>
    <row r="449" spans="1:34" x14ac:dyDescent="0.2">
      <c r="A449" s="14" t="s">
        <v>604</v>
      </c>
      <c r="D449" s="14" t="s">
        <v>626</v>
      </c>
      <c r="E449" s="89">
        <f>E447-E448</f>
        <v>146383330.30832726</v>
      </c>
      <c r="F449" s="66">
        <f>IF(VLOOKUP($D449,$C$5:$AU$511,3,)=0,0,(VLOOKUP($D449,$C$5:$AU$511,4,)/VLOOKUP($D449,$C$5:$AU$511,3,))*$E449)</f>
        <v>122080560.40442403</v>
      </c>
      <c r="G449" s="66">
        <f>IF(VLOOKUP($D449,$C$5:$AU$511,3,)=0,0,(VLOOKUP($D449,$C$5:$AU$511,5,)/VLOOKUP($D449,$C$5:$AU$511,3,))*$E449)</f>
        <v>22817.386904428091</v>
      </c>
      <c r="H449" s="66">
        <f>IF(VLOOKUP($D449,$C$5:$AU$511,3,)=0,0,(VLOOKUP($D449,$C$5:$AU$511,6,)/VLOOKUP($D449,$C$5:$AU$511,3,))*$E449)</f>
        <v>840795.7971848452</v>
      </c>
      <c r="I449" s="66">
        <f>IF(VLOOKUP($D449,$C$5:$AU$511,3,)=0,0,(VLOOKUP($D449,$C$5:$AU$511,7,)/VLOOKUP($D449,$C$5:$AU$511,3,))*$E449)</f>
        <v>6559842.1181046404</v>
      </c>
      <c r="J449" s="66">
        <f>IF(VLOOKUP($D449,$C$5:$AU$511,3,)=0,0,(VLOOKUP($D449,$C$5:$AU$511,8,)/VLOOKUP($D449,$C$5:$AU$511,3,))*$E449)</f>
        <v>847314.60305187944</v>
      </c>
      <c r="K449" s="66">
        <f>IF(VLOOKUP($D449,$C$5:$AU$511,3,)=0,0,(VLOOKUP($D449,$C$5:$AU$511,9,)/VLOOKUP($D449,$C$5:$AU$511,3,))*$E449)</f>
        <v>2095792.6019649201</v>
      </c>
      <c r="L449" s="66">
        <f>IF(VLOOKUP($D449,$C$5:$AU$511,3,)=0,0,(VLOOKUP($D449,$C$5:$AU$511,10,)/VLOOKUP($D449,$C$5:$AU$511,3,))*$E449)</f>
        <v>5803061.3669220032</v>
      </c>
      <c r="M449" s="66">
        <f>IF(VLOOKUP($D449,$C$5:$AU$511,3,)=0,0,(VLOOKUP($D449,$C$5:$AU$511,11,)/VLOOKUP($D449,$C$5:$AU$511,3,))*$E449)</f>
        <v>2709878.7246387512</v>
      </c>
      <c r="N449" s="66">
        <f>IF(VLOOKUP($D449,$C$5:$AU$511,3,)=0,0,(VLOOKUP($D449,$C$5:$AU$511,12,)/VLOOKUP($D449,$C$5:$AU$511,3,))*$E449)</f>
        <v>5141920.4625460245</v>
      </c>
      <c r="O449" s="66">
        <f>IF(VLOOKUP($D449,$C$5:$AU$511,3,)=0,0,(VLOOKUP($D449,$C$5:$AU$511,13,)/VLOOKUP($D449,$C$5:$AU$511,3,))*$E449)</f>
        <v>0</v>
      </c>
      <c r="P449" s="66">
        <f>IF(VLOOKUP($D449,$C$5:$AU$511,3,)=0,0,(VLOOKUP($D449,$C$5:$AU$511,14,)/VLOOKUP($D449,$C$5:$AU$511,3,))*$E449)</f>
        <v>281346.84258573706</v>
      </c>
      <c r="Q449" s="66">
        <f>IF(VLOOKUP($D449,$C$5:$AU$511,3,)=0,0,(VLOOKUP($D449,$C$5:$AU$511,15,)/VLOOKUP($D449,$C$5:$AU$511,3,))*$E449)</f>
        <v>0</v>
      </c>
      <c r="R449" s="66">
        <f>IF(VLOOKUP($D449,$C$5:$AU$511,3,)=0,0,(VLOOKUP($D449,$C$5:$AU$511,16,)/VLOOKUP($D449,$C$5:$AU$511,3,))*$E449)</f>
        <v>0</v>
      </c>
      <c r="S449" s="66">
        <f>IF(VLOOKUP($D449,$C$5:$AU$511,3,)=0,0,(VLOOKUP($D449,$C$5:$AU$511,17,)/VLOOKUP($D449,$C$5:$AU$511,3,))*$E449)</f>
        <v>0</v>
      </c>
      <c r="T449" s="66">
        <f>IF(VLOOKUP($D449,$C$5:$AU$511,3,)=0,0,(VLOOKUP($D449,$C$5:$AU$511,18,)/VLOOKUP($D449,$C$5:$AU$511,3,))*$E449)</f>
        <v>0</v>
      </c>
      <c r="U449" s="66">
        <f>IF(VLOOKUP($D449,$C$5:$AU$511,3,)=0,0,(VLOOKUP($D449,$C$5:$AU$511,19,)/VLOOKUP($D449,$C$5:$AU$511,3,))*$E449)</f>
        <v>0</v>
      </c>
      <c r="V449" s="66">
        <f>IF(VLOOKUP($D449,$C$5:$AU$511,3,)=0,0,(VLOOKUP($D449,$C$5:$AU$511,20,)/VLOOKUP($D449,$C$5:$AU$511,3,))*$E449)</f>
        <v>0</v>
      </c>
      <c r="W449" s="66">
        <f>IF(VLOOKUP($D449,$C$5:$AU$511,3,)=0,0,(VLOOKUP($D449,$C$5:$AU$511,21,)/VLOOKUP($D449,$C$5:$AU$511,3,))*$E449)</f>
        <v>0</v>
      </c>
      <c r="X449" s="66">
        <f>IF(VLOOKUP($D449,$C$5:$AU$511,3,)=0,0,(VLOOKUP($D449,$C$5:$AU$511,22,)/VLOOKUP($D449,$C$5:$AU$511,3,))*$E449)</f>
        <v>0</v>
      </c>
      <c r="Y449" s="66">
        <f>IF(VLOOKUP($D449,$C$5:$AU$511,3,)=0,0,(VLOOKUP($D449,$C$5:$AU$511,23,)/VLOOKUP($D449,$C$5:$AU$511,3,))*$E449)</f>
        <v>0</v>
      </c>
      <c r="Z449" s="66">
        <f>IF(VLOOKUP($D449,$C$5:$AU$511,3,)=0,0,(VLOOKUP($D449,$C$5:$AU$511,24,)/VLOOKUP($D449,$C$5:$AU$511,3,))*$E449)</f>
        <v>0</v>
      </c>
      <c r="AA449" s="66">
        <f>IF(VLOOKUP($D449,$C$5:$AU$511,3,)=0,0,(VLOOKUP($D449,$C$5:$AU$511,25,)/VLOOKUP($D449,$C$5:$AU$511,3,))*$E449)</f>
        <v>0</v>
      </c>
      <c r="AB449" s="66">
        <f>IF(VLOOKUP($D449,$C$5:$AU$511,3,)=0,0,(VLOOKUP($D449,$C$5:$AU$511,26,)/VLOOKUP($D449,$C$5:$AU$511,3,))*$E449)</f>
        <v>0</v>
      </c>
      <c r="AC449" s="66">
        <f>IF(VLOOKUP($D449,$C$5:$AU$511,3,)=0,0,(VLOOKUP($D449,$C$5:$AU$511,27,)/VLOOKUP($D449,$C$5:$AU$511,3,))*$E449)</f>
        <v>0</v>
      </c>
      <c r="AD449" s="66">
        <f>IF(VLOOKUP($D449,$C$5:$AU$511,3,)=0,0,(VLOOKUP($D449,$C$5:$AU$511,28,)/VLOOKUP($D449,$C$5:$AU$511,3,))*$E449)</f>
        <v>0</v>
      </c>
      <c r="AE449" s="66">
        <f>IF(VLOOKUP($D449,$C$5:$AU$511,3,)=0,0,(VLOOKUP($D449,$C$5:$AU$511,29,)/VLOOKUP($D449,$C$5:$AU$511,3,))*$E449)</f>
        <v>0</v>
      </c>
      <c r="AF449" s="66">
        <f>IF(VLOOKUP($D449,$C$5:$AU$511,3,)=0,0,(VLOOKUP($D449,$C$5:$AU$511,30,)/VLOOKUP($D449,$C$5:$AU$511,3,))*$E449)</f>
        <v>0</v>
      </c>
      <c r="AG449" s="89">
        <f>SUM(F449:AF449)</f>
        <v>146383330.30832726</v>
      </c>
      <c r="AH449" s="27" t="str">
        <f t="shared" si="223"/>
        <v>ok</v>
      </c>
    </row>
    <row r="450" spans="1:34" x14ac:dyDescent="0.2">
      <c r="A450" s="14" t="s">
        <v>605</v>
      </c>
      <c r="C450" s="14" t="s">
        <v>608</v>
      </c>
      <c r="E450" s="89">
        <f t="shared" ref="E450:AF450" si="224">E448+E449</f>
        <v>146383330.30832726</v>
      </c>
      <c r="F450" s="89">
        <f t="shared" si="224"/>
        <v>122080560.40442403</v>
      </c>
      <c r="G450" s="89">
        <f t="shared" si="224"/>
        <v>22817.386904428091</v>
      </c>
      <c r="H450" s="89">
        <f t="shared" si="224"/>
        <v>840795.7971848452</v>
      </c>
      <c r="I450" s="89">
        <f t="shared" si="224"/>
        <v>6559842.1181046404</v>
      </c>
      <c r="J450" s="89">
        <f t="shared" si="224"/>
        <v>847314.60305187944</v>
      </c>
      <c r="K450" s="89">
        <f t="shared" si="224"/>
        <v>2095792.6019649201</v>
      </c>
      <c r="L450" s="89">
        <f t="shared" si="224"/>
        <v>5803061.3669220032</v>
      </c>
      <c r="M450" s="89">
        <f t="shared" si="224"/>
        <v>2709878.7246387512</v>
      </c>
      <c r="N450" s="89">
        <f t="shared" si="224"/>
        <v>5141920.4625460245</v>
      </c>
      <c r="O450" s="276">
        <f t="shared" si="224"/>
        <v>0</v>
      </c>
      <c r="P450" s="89">
        <f>P448+P449</f>
        <v>281346.84258573706</v>
      </c>
      <c r="Q450" s="89">
        <f t="shared" si="224"/>
        <v>0</v>
      </c>
      <c r="R450" s="89">
        <f t="shared" si="224"/>
        <v>0</v>
      </c>
      <c r="S450" s="89">
        <f t="shared" si="224"/>
        <v>0</v>
      </c>
      <c r="T450" s="89">
        <f t="shared" si="224"/>
        <v>0</v>
      </c>
      <c r="U450" s="89">
        <f t="shared" si="224"/>
        <v>0</v>
      </c>
      <c r="V450" s="89">
        <f t="shared" si="224"/>
        <v>0</v>
      </c>
      <c r="W450" s="89">
        <f t="shared" si="224"/>
        <v>0</v>
      </c>
      <c r="X450" s="89">
        <f t="shared" si="224"/>
        <v>0</v>
      </c>
      <c r="Y450" s="89">
        <f t="shared" si="224"/>
        <v>0</v>
      </c>
      <c r="Z450" s="89">
        <f t="shared" si="224"/>
        <v>0</v>
      </c>
      <c r="AA450" s="89">
        <f t="shared" si="224"/>
        <v>0</v>
      </c>
      <c r="AB450" s="89">
        <f t="shared" si="224"/>
        <v>0</v>
      </c>
      <c r="AC450" s="89">
        <f t="shared" si="224"/>
        <v>0</v>
      </c>
      <c r="AD450" s="89">
        <f t="shared" si="224"/>
        <v>0</v>
      </c>
      <c r="AE450" s="89">
        <f t="shared" si="224"/>
        <v>0</v>
      </c>
      <c r="AF450" s="89">
        <f t="shared" si="224"/>
        <v>0</v>
      </c>
      <c r="AG450" s="89">
        <f>SUM(F450:AF450)</f>
        <v>146383330.30832726</v>
      </c>
      <c r="AH450" s="27" t="str">
        <f t="shared" si="223"/>
        <v>ok</v>
      </c>
    </row>
    <row r="451" spans="1:34" x14ac:dyDescent="0.2">
      <c r="A451" s="14" t="s">
        <v>634</v>
      </c>
      <c r="C451" s="14" t="s">
        <v>607</v>
      </c>
      <c r="D451" s="14" t="s">
        <v>608</v>
      </c>
      <c r="E451" s="48">
        <v>1</v>
      </c>
      <c r="F451" s="97">
        <f>IF(VLOOKUP($D451,$C$5:$AU$511,3,)=0,0,(VLOOKUP($D451,$C$5:$AU$511,4,)/VLOOKUP($D451,$C$5:$AU$511,3,))*$E451)</f>
        <v>0.83397856946747762</v>
      </c>
      <c r="G451" s="97">
        <f>IF(VLOOKUP($D451,$C$5:$AU$511,3,)=0,0,(VLOOKUP($D451,$C$5:$AU$511,5,)/VLOOKUP($D451,$C$5:$AU$511,3,))*$E451)</f>
        <v>1.5587421639040334E-4</v>
      </c>
      <c r="H451" s="97">
        <f>IF(VLOOKUP($D451,$C$5:$AU$511,3,)=0,0,(VLOOKUP($D451,$C$5:$AU$511,6,)/VLOOKUP($D451,$C$5:$AU$511,3,))*$E451)</f>
        <v>5.7437947026746606E-3</v>
      </c>
      <c r="I451" s="97">
        <f>IF(VLOOKUP($D451,$C$5:$AU$511,3,)=0,0,(VLOOKUP($D451,$C$5:$AU$511,7,)/VLOOKUP($D451,$C$5:$AU$511,3,))*$E451)</f>
        <v>4.4812767302722538E-2</v>
      </c>
      <c r="J451" s="97">
        <f>IF(VLOOKUP($D451,$C$5:$AU$511,3,)=0,0,(VLOOKUP($D451,$C$5:$AU$511,8,)/VLOOKUP($D451,$C$5:$AU$511,3,))*$E451)</f>
        <v>5.7883271357959979E-3</v>
      </c>
      <c r="K451" s="97">
        <f>IF(VLOOKUP($D451,$C$5:$AU$511,3,)=0,0,(VLOOKUP($D451,$C$5:$AU$511,9,)/VLOOKUP($D451,$C$5:$AU$511,3,))*$E451)</f>
        <v>1.4317153446027983E-2</v>
      </c>
      <c r="L451" s="97">
        <f>IF(VLOOKUP($D451,$C$5:$AU$511,3,)=0,0,(VLOOKUP($D451,$C$5:$AU$511,10,)/VLOOKUP($D451,$C$5:$AU$511,3,))*$E451)</f>
        <v>3.9642911216044976E-2</v>
      </c>
      <c r="M451" s="97">
        <f>IF(VLOOKUP($D451,$C$5:$AU$511,3,)=0,0,(VLOOKUP($D451,$C$5:$AU$511,11,)/VLOOKUP($D451,$C$5:$AU$511,3,))*$E451)</f>
        <v>1.8512208452498881E-2</v>
      </c>
      <c r="N451" s="97">
        <f>IF(VLOOKUP($D451,$C$5:$AU$511,3,)=0,0,(VLOOKUP($D451,$C$5:$AU$511,12,)/VLOOKUP($D451,$C$5:$AU$511,3,))*$E451)</f>
        <v>3.512640716477481E-2</v>
      </c>
      <c r="O451" s="97">
        <f>IF(VLOOKUP($D451,$C$5:$AU$511,3,)=0,0,(VLOOKUP($D451,$C$5:$AU$511,13,)/VLOOKUP($D451,$C$5:$AU$511,3,))*$E451)</f>
        <v>0</v>
      </c>
      <c r="P451" s="97">
        <f>IF(VLOOKUP($D451,$C$5:$AU$511,3,)=0,0,(VLOOKUP($D451,$C$5:$AU$511,14,)/VLOOKUP($D451,$C$5:$AU$511,3,))*$E451)</f>
        <v>1.9219868955921149E-3</v>
      </c>
      <c r="Q451" s="97">
        <f>IF(VLOOKUP($D451,$C$5:$AU$511,3,)=0,0,(VLOOKUP($D451,$C$5:$AU$511,15,)/VLOOKUP($D451,$C$5:$AU$511,3,))*$E451)</f>
        <v>0</v>
      </c>
      <c r="R451" s="97">
        <f>IF(VLOOKUP($D451,$C$5:$AU$511,3,)=0,0,(VLOOKUP($D451,$C$5:$AU$511,16,)/VLOOKUP($D451,$C$5:$AU$511,3,))*$E451)</f>
        <v>0</v>
      </c>
      <c r="S451" s="97">
        <f>IF(VLOOKUP($D451,$C$5:$AU$511,3,)=0,0,(VLOOKUP($D451,$C$5:$AU$511,17,)/VLOOKUP($D451,$C$5:$AU$511,3,))*$E451)</f>
        <v>0</v>
      </c>
      <c r="T451" s="97">
        <f>IF(VLOOKUP($D451,$C$5:$AU$511,3,)=0,0,(VLOOKUP($D451,$C$5:$AU$511,18,)/VLOOKUP($D451,$C$5:$AU$511,3,))*$E451)</f>
        <v>0</v>
      </c>
      <c r="U451" s="97">
        <f>IF(VLOOKUP($D451,$C$5:$AU$511,3,)=0,0,(VLOOKUP($D451,$C$5:$AU$511,19,)/VLOOKUP($D451,$C$5:$AU$511,3,))*$E451)</f>
        <v>0</v>
      </c>
      <c r="V451" s="97">
        <f>IF(VLOOKUP($D451,$C$5:$AU$511,3,)=0,0,(VLOOKUP($D451,$C$5:$AU$511,20,)/VLOOKUP($D451,$C$5:$AU$511,3,))*$E451)</f>
        <v>0</v>
      </c>
      <c r="W451" s="97">
        <f>IF(VLOOKUP($D451,$C$5:$AU$511,3,)=0,0,(VLOOKUP($D451,$C$5:$AU$511,21,)/VLOOKUP($D451,$C$5:$AU$511,3,))*$E451)</f>
        <v>0</v>
      </c>
      <c r="X451" s="97">
        <f>IF(VLOOKUP($D451,$C$5:$AU$511,3,)=0,0,(VLOOKUP($D451,$C$5:$AU$511,22,)/VLOOKUP($D451,$C$5:$AU$511,3,))*$E451)</f>
        <v>0</v>
      </c>
      <c r="Y451" s="97">
        <f>IF(VLOOKUP($D451,$C$5:$AU$511,3,)=0,0,(VLOOKUP($D451,$C$5:$AU$511,23,)/VLOOKUP($D451,$C$5:$AU$511,3,))*$E451)</f>
        <v>0</v>
      </c>
      <c r="Z451" s="97">
        <f>IF(VLOOKUP($D451,$C$5:$AU$511,3,)=0,0,(VLOOKUP($D451,$C$5:$AU$511,24,)/VLOOKUP($D451,$C$5:$AU$511,3,))*$E451)</f>
        <v>0</v>
      </c>
      <c r="AA451" s="97">
        <f>IF(VLOOKUP($D451,$C$5:$AU$511,3,)=0,0,(VLOOKUP($D451,$C$5:$AU$511,25,)/VLOOKUP($D451,$C$5:$AU$511,3,))*$E451)</f>
        <v>0</v>
      </c>
      <c r="AB451" s="97">
        <f>IF(VLOOKUP($D451,$C$5:$AU$511,3,)=0,0,(VLOOKUP($D451,$C$5:$AU$511,26,)/VLOOKUP($D451,$C$5:$AU$511,3,))*$E451)</f>
        <v>0</v>
      </c>
      <c r="AC451" s="97">
        <f>IF(VLOOKUP($D451,$C$5:$AU$511,3,)=0,0,(VLOOKUP($D451,$C$5:$AU$511,27,)/VLOOKUP($D451,$C$5:$AU$511,3,))*$E451)</f>
        <v>0</v>
      </c>
      <c r="AD451" s="97">
        <f>IF(VLOOKUP($D451,$C$5:$AU$511,3,)=0,0,(VLOOKUP($D451,$C$5:$AU$511,28,)/VLOOKUP($D451,$C$5:$AU$511,3,))*$E451)</f>
        <v>0</v>
      </c>
      <c r="AE451" s="97">
        <f>IF(VLOOKUP($D451,$C$5:$AU$511,3,)=0,0,(VLOOKUP($D451,$C$5:$AU$511,29,)/VLOOKUP($D451,$C$5:$AU$511,3,))*$E451)</f>
        <v>0</v>
      </c>
      <c r="AF451" s="97">
        <f>IF(VLOOKUP($D451,$C$5:$AU$511,3,)=0,0,(VLOOKUP($D451,$C$5:$AU$511,30,)/VLOOKUP($D451,$C$5:$AU$511,3,))*$E451)</f>
        <v>0</v>
      </c>
      <c r="AG451" s="97">
        <f>SUM(F451:AF451)</f>
        <v>1</v>
      </c>
      <c r="AH451" s="27" t="str">
        <f t="shared" si="223"/>
        <v>ok</v>
      </c>
    </row>
    <row r="452" spans="1:34" x14ac:dyDescent="0.2">
      <c r="O452" s="274"/>
    </row>
    <row r="453" spans="1:34" x14ac:dyDescent="0.2">
      <c r="A453" s="14" t="s">
        <v>602</v>
      </c>
      <c r="C453" s="14" t="s">
        <v>626</v>
      </c>
      <c r="E453" s="49">
        <v>7712877.1732648918</v>
      </c>
      <c r="F453" s="47">
        <f>F446</f>
        <v>6432374.2714378173</v>
      </c>
      <c r="G453" s="47">
        <f t="shared" ref="G453:P453" si="225">G446</f>
        <v>1202.2386854980941</v>
      </c>
      <c r="H453" s="47">
        <f t="shared" si="225"/>
        <v>44301.183050179199</v>
      </c>
      <c r="I453" s="47">
        <f t="shared" si="225"/>
        <v>345635.37</v>
      </c>
      <c r="J453" s="47">
        <f t="shared" si="225"/>
        <v>44644.656237070703</v>
      </c>
      <c r="K453" s="47">
        <f t="shared" si="225"/>
        <v>110426.44600000001</v>
      </c>
      <c r="L453" s="47">
        <f t="shared" si="225"/>
        <v>305760.90500000003</v>
      </c>
      <c r="M453" s="47">
        <f t="shared" si="225"/>
        <v>142782.39000000001</v>
      </c>
      <c r="N453" s="47">
        <f t="shared" si="225"/>
        <v>270925.66399999999</v>
      </c>
      <c r="O453" s="47">
        <f t="shared" si="225"/>
        <v>0</v>
      </c>
      <c r="P453" s="47">
        <f t="shared" si="225"/>
        <v>14824.048854326677</v>
      </c>
      <c r="Q453" s="49">
        <f t="shared" ref="Q453" si="226">Q446</f>
        <v>0</v>
      </c>
      <c r="R453" s="49">
        <f>R446</f>
        <v>0</v>
      </c>
      <c r="S453" s="49">
        <f>S446</f>
        <v>0</v>
      </c>
      <c r="T453" s="49">
        <f>T446</f>
        <v>0</v>
      </c>
      <c r="U453" s="49">
        <f t="shared" ref="U453:AF453" si="227">U446</f>
        <v>0</v>
      </c>
      <c r="V453" s="49">
        <f t="shared" si="227"/>
        <v>0</v>
      </c>
      <c r="W453" s="49">
        <f t="shared" si="227"/>
        <v>0</v>
      </c>
      <c r="X453" s="49">
        <f t="shared" si="227"/>
        <v>0</v>
      </c>
      <c r="Y453" s="49">
        <f t="shared" si="227"/>
        <v>0</v>
      </c>
      <c r="Z453" s="49">
        <f t="shared" si="227"/>
        <v>0</v>
      </c>
      <c r="AA453" s="49">
        <f t="shared" si="227"/>
        <v>0</v>
      </c>
      <c r="AB453" s="49">
        <f t="shared" si="227"/>
        <v>0</v>
      </c>
      <c r="AC453" s="49">
        <f t="shared" si="227"/>
        <v>0</v>
      </c>
      <c r="AD453" s="49">
        <f t="shared" si="227"/>
        <v>0</v>
      </c>
      <c r="AE453" s="49">
        <f t="shared" si="227"/>
        <v>0</v>
      </c>
      <c r="AF453" s="49">
        <f t="shared" si="227"/>
        <v>0</v>
      </c>
      <c r="AG453" s="49">
        <f>SUM(F453:AF453)</f>
        <v>7712877.1732648918</v>
      </c>
      <c r="AH453" s="27" t="str">
        <f t="shared" ref="AH453:AH458" si="228">IF(ABS(E453-AG453)&lt;0.01,"ok","err")</f>
        <v>ok</v>
      </c>
    </row>
    <row r="454" spans="1:34" x14ac:dyDescent="0.2">
      <c r="A454" s="14" t="s">
        <v>603</v>
      </c>
      <c r="E454" s="89">
        <f>E447</f>
        <v>146383330.30832726</v>
      </c>
      <c r="AG454" s="89">
        <f>E454</f>
        <v>146383330.30832726</v>
      </c>
      <c r="AH454" s="27" t="str">
        <f t="shared" si="228"/>
        <v>ok</v>
      </c>
    </row>
    <row r="455" spans="1:34" x14ac:dyDescent="0.2">
      <c r="A455" s="14" t="s">
        <v>594</v>
      </c>
      <c r="E455" s="66"/>
      <c r="M455" s="49">
        <v>0</v>
      </c>
      <c r="N455" s="49">
        <v>0</v>
      </c>
      <c r="P455" s="49"/>
      <c r="Q455" s="100"/>
      <c r="R455" s="14">
        <v>0</v>
      </c>
      <c r="S455" s="14">
        <v>0</v>
      </c>
      <c r="AA455" s="66">
        <v>0</v>
      </c>
      <c r="AB455" s="66">
        <v>0</v>
      </c>
      <c r="AC455" s="66">
        <v>0</v>
      </c>
      <c r="AD455" s="89">
        <f>AD448</f>
        <v>0</v>
      </c>
      <c r="AE455" s="66">
        <v>0</v>
      </c>
      <c r="AG455" s="89">
        <f>SUM(F455:AF455)</f>
        <v>0</v>
      </c>
      <c r="AH455" s="27" t="str">
        <f t="shared" si="228"/>
        <v>ok</v>
      </c>
    </row>
    <row r="456" spans="1:34" x14ac:dyDescent="0.2">
      <c r="A456" s="14" t="s">
        <v>604</v>
      </c>
      <c r="D456" s="14" t="s">
        <v>626</v>
      </c>
      <c r="E456" s="89">
        <f>E454-E455</f>
        <v>146383330.30832726</v>
      </c>
      <c r="F456" s="66">
        <f>IF(VLOOKUP($D456,$C$5:$AU$511,3,)=0,0,(VLOOKUP($D456,$C$5:$AU$511,4,)/VLOOKUP($D456,$C$5:$AU$511,3,))*$E456)</f>
        <v>122080560.40442403</v>
      </c>
      <c r="G456" s="66">
        <f>IF(VLOOKUP($D456,$C$5:$AU$511,3,)=0,0,(VLOOKUP($D456,$C$5:$AU$511,5,)/VLOOKUP($D456,$C$5:$AU$511,3,))*$E456)</f>
        <v>22817.386904428091</v>
      </c>
      <c r="H456" s="66">
        <f>IF(VLOOKUP($D456,$C$5:$AU$511,3,)=0,0,(VLOOKUP($D456,$C$5:$AU$511,6,)/VLOOKUP($D456,$C$5:$AU$511,3,))*$E456)</f>
        <v>840795.7971848452</v>
      </c>
      <c r="I456" s="66">
        <f>IF(VLOOKUP($D456,$C$5:$AU$511,3,)=0,0,(VLOOKUP($D456,$C$5:$AU$511,7,)/VLOOKUP($D456,$C$5:$AU$511,3,))*$E456)</f>
        <v>6559842.1181046404</v>
      </c>
      <c r="J456" s="66">
        <f>IF(VLOOKUP($D456,$C$5:$AU$511,3,)=0,0,(VLOOKUP($D456,$C$5:$AU$511,8,)/VLOOKUP($D456,$C$5:$AU$511,3,))*$E456)</f>
        <v>847314.60305187944</v>
      </c>
      <c r="K456" s="66">
        <f>IF(VLOOKUP($D456,$C$5:$AU$511,3,)=0,0,(VLOOKUP($D456,$C$5:$AU$511,9,)/VLOOKUP($D456,$C$5:$AU$511,3,))*$E456)</f>
        <v>2095792.6019649201</v>
      </c>
      <c r="L456" s="66">
        <f>IF(VLOOKUP($D456,$C$5:$AU$511,3,)=0,0,(VLOOKUP($D456,$C$5:$AU$511,10,)/VLOOKUP($D456,$C$5:$AU$511,3,))*$E456)</f>
        <v>5803061.3669220032</v>
      </c>
      <c r="M456" s="66">
        <f>IF(VLOOKUP($D456,$C$5:$AU$511,3,)=0,0,(VLOOKUP($D456,$C$5:$AU$511,11,)/VLOOKUP($D456,$C$5:$AU$511,3,))*$E456)</f>
        <v>2709878.7246387512</v>
      </c>
      <c r="N456" s="66">
        <f>IF(VLOOKUP($D456,$C$5:$AU$511,3,)=0,0,(VLOOKUP($D456,$C$5:$AU$511,12,)/VLOOKUP($D456,$C$5:$AU$511,3,))*$E456)</f>
        <v>5141920.4625460245</v>
      </c>
      <c r="O456" s="66">
        <f>IF(VLOOKUP($D456,$C$5:$AU$511,3,)=0,0,(VLOOKUP($D456,$C$5:$AU$511,13,)/VLOOKUP($D456,$C$5:$AU$511,3,))*$E456)</f>
        <v>0</v>
      </c>
      <c r="P456" s="66">
        <f>IF(VLOOKUP($D456,$C$5:$AU$511,3,)=0,0,(VLOOKUP($D456,$C$5:$AU$511,14,)/VLOOKUP($D456,$C$5:$AU$511,3,))*$E456)</f>
        <v>281346.84258573706</v>
      </c>
      <c r="Q456" s="66">
        <f>IF(VLOOKUP($D456,$C$5:$AU$511,3,)=0,0,(VLOOKUP($D456,$C$5:$AU$511,15,)/VLOOKUP($D456,$C$5:$AU$511,3,))*$E456)</f>
        <v>0</v>
      </c>
      <c r="R456" s="66">
        <f>IF(VLOOKUP($D456,$C$5:$AU$511,3,)=0,0,(VLOOKUP($D456,$C$5:$AU$511,16,)/VLOOKUP($D456,$C$5:$AU$511,3,))*$E456)</f>
        <v>0</v>
      </c>
      <c r="S456" s="66">
        <f>IF(VLOOKUP($D456,$C$5:$AU$511,3,)=0,0,(VLOOKUP($D456,$C$5:$AU$511,17,)/VLOOKUP($D456,$C$5:$AU$511,3,))*$E456)</f>
        <v>0</v>
      </c>
      <c r="T456" s="66">
        <f>IF(VLOOKUP($D456,$C$5:$AU$511,3,)=0,0,(VLOOKUP($D456,$C$5:$AU$511,18,)/VLOOKUP($D456,$C$5:$AU$511,3,))*$E456)</f>
        <v>0</v>
      </c>
      <c r="U456" s="66">
        <f>IF(VLOOKUP($D456,$C$5:$AU$511,3,)=0,0,(VLOOKUP($D456,$C$5:$AU$511,19,)/VLOOKUP($D456,$C$5:$AU$511,3,))*$E456)</f>
        <v>0</v>
      </c>
      <c r="V456" s="66">
        <f>IF(VLOOKUP($D456,$C$5:$AU$511,3,)=0,0,(VLOOKUP($D456,$C$5:$AU$511,20,)/VLOOKUP($D456,$C$5:$AU$511,3,))*$E456)</f>
        <v>0</v>
      </c>
      <c r="W456" s="66">
        <f>IF(VLOOKUP($D456,$C$5:$AU$511,3,)=0,0,(VLOOKUP($D456,$C$5:$AU$511,21,)/VLOOKUP($D456,$C$5:$AU$511,3,))*$E456)</f>
        <v>0</v>
      </c>
      <c r="X456" s="66">
        <f>IF(VLOOKUP($D456,$C$5:$AU$511,3,)=0,0,(VLOOKUP($D456,$C$5:$AU$511,22,)/VLOOKUP($D456,$C$5:$AU$511,3,))*$E456)</f>
        <v>0</v>
      </c>
      <c r="Y456" s="66">
        <f>IF(VLOOKUP($D456,$C$5:$AU$511,3,)=0,0,(VLOOKUP($D456,$C$5:$AU$511,23,)/VLOOKUP($D456,$C$5:$AU$511,3,))*$E456)</f>
        <v>0</v>
      </c>
      <c r="Z456" s="66">
        <f>IF(VLOOKUP($D456,$C$5:$AU$511,3,)=0,0,(VLOOKUP($D456,$C$5:$AU$511,24,)/VLOOKUP($D456,$C$5:$AU$511,3,))*$E456)</f>
        <v>0</v>
      </c>
      <c r="AA456" s="66">
        <f>IF(VLOOKUP($D456,$C$5:$AU$511,3,)=0,0,(VLOOKUP($D456,$C$5:$AU$511,25,)/VLOOKUP($D456,$C$5:$AU$511,3,))*$E456)</f>
        <v>0</v>
      </c>
      <c r="AB456" s="66">
        <f>IF(VLOOKUP($D456,$C$5:$AU$511,3,)=0,0,(VLOOKUP($D456,$C$5:$AU$511,26,)/VLOOKUP($D456,$C$5:$AU$511,3,))*$E456)</f>
        <v>0</v>
      </c>
      <c r="AC456" s="66">
        <f>IF(VLOOKUP($D456,$C$5:$AU$511,3,)=0,0,(VLOOKUP($D456,$C$5:$AU$511,27,)/VLOOKUP($D456,$C$5:$AU$511,3,))*$E456)</f>
        <v>0</v>
      </c>
      <c r="AD456" s="66">
        <f>IF(VLOOKUP($D456,$C$5:$AU$511,3,)=0,0,(VLOOKUP($D456,$C$5:$AU$511,28,)/VLOOKUP($D456,$C$5:$AU$511,3,))*$E456)</f>
        <v>0</v>
      </c>
      <c r="AE456" s="66">
        <f>IF(VLOOKUP($D456,$C$5:$AU$511,3,)=0,0,(VLOOKUP($D456,$C$5:$AU$511,29,)/VLOOKUP($D456,$C$5:$AU$511,3,))*$E456)</f>
        <v>0</v>
      </c>
      <c r="AF456" s="66">
        <f>IF(VLOOKUP($D456,$C$5:$AU$511,3,)=0,0,(VLOOKUP($D456,$C$5:$AU$511,30,)/VLOOKUP($D456,$C$5:$AU$511,3,))*$E456)</f>
        <v>0</v>
      </c>
      <c r="AG456" s="89">
        <f>SUM(F456:AF456)</f>
        <v>146383330.30832726</v>
      </c>
      <c r="AH456" s="27" t="str">
        <f t="shared" si="228"/>
        <v>ok</v>
      </c>
    </row>
    <row r="457" spans="1:34" x14ac:dyDescent="0.2">
      <c r="A457" s="14" t="s">
        <v>605</v>
      </c>
      <c r="C457" s="14" t="s">
        <v>627</v>
      </c>
      <c r="E457" s="89">
        <f t="shared" ref="E457:AF457" si="229">E455+E456</f>
        <v>146383330.30832726</v>
      </c>
      <c r="F457" s="89">
        <f t="shared" si="229"/>
        <v>122080560.40442403</v>
      </c>
      <c r="G457" s="89">
        <f t="shared" si="229"/>
        <v>22817.386904428091</v>
      </c>
      <c r="H457" s="89">
        <f t="shared" si="229"/>
        <v>840795.7971848452</v>
      </c>
      <c r="I457" s="89">
        <f t="shared" si="229"/>
        <v>6559842.1181046404</v>
      </c>
      <c r="J457" s="89">
        <f t="shared" si="229"/>
        <v>847314.60305187944</v>
      </c>
      <c r="K457" s="89">
        <f t="shared" si="229"/>
        <v>2095792.6019649201</v>
      </c>
      <c r="L457" s="89">
        <f t="shared" si="229"/>
        <v>5803061.3669220032</v>
      </c>
      <c r="M457" s="89">
        <f t="shared" si="229"/>
        <v>2709878.7246387512</v>
      </c>
      <c r="N457" s="89">
        <f t="shared" si="229"/>
        <v>5141920.4625460245</v>
      </c>
      <c r="O457" s="89">
        <f t="shared" si="229"/>
        <v>0</v>
      </c>
      <c r="P457" s="89">
        <f t="shared" si="229"/>
        <v>281346.84258573706</v>
      </c>
      <c r="Q457" s="89">
        <f t="shared" si="229"/>
        <v>0</v>
      </c>
      <c r="R457" s="89">
        <f t="shared" si="229"/>
        <v>0</v>
      </c>
      <c r="S457" s="89">
        <f t="shared" si="229"/>
        <v>0</v>
      </c>
      <c r="T457" s="89">
        <f t="shared" si="229"/>
        <v>0</v>
      </c>
      <c r="U457" s="89">
        <f t="shared" si="229"/>
        <v>0</v>
      </c>
      <c r="V457" s="89">
        <f t="shared" si="229"/>
        <v>0</v>
      </c>
      <c r="W457" s="89">
        <f t="shared" si="229"/>
        <v>0</v>
      </c>
      <c r="X457" s="89">
        <f t="shared" si="229"/>
        <v>0</v>
      </c>
      <c r="Y457" s="89">
        <f t="shared" si="229"/>
        <v>0</v>
      </c>
      <c r="Z457" s="89">
        <f t="shared" si="229"/>
        <v>0</v>
      </c>
      <c r="AA457" s="89">
        <f t="shared" si="229"/>
        <v>0</v>
      </c>
      <c r="AB457" s="89">
        <f t="shared" si="229"/>
        <v>0</v>
      </c>
      <c r="AC457" s="89">
        <f t="shared" si="229"/>
        <v>0</v>
      </c>
      <c r="AD457" s="89">
        <f t="shared" si="229"/>
        <v>0</v>
      </c>
      <c r="AE457" s="89">
        <f t="shared" si="229"/>
        <v>0</v>
      </c>
      <c r="AF457" s="89">
        <f t="shared" si="229"/>
        <v>0</v>
      </c>
      <c r="AG457" s="89">
        <f>SUM(F457:AF457)</f>
        <v>146383330.30832726</v>
      </c>
      <c r="AH457" s="27" t="str">
        <f t="shared" si="228"/>
        <v>ok</v>
      </c>
    </row>
    <row r="458" spans="1:34" x14ac:dyDescent="0.2">
      <c r="A458" s="14" t="s">
        <v>633</v>
      </c>
      <c r="C458" s="14" t="s">
        <v>628</v>
      </c>
      <c r="D458" s="14" t="s">
        <v>627</v>
      </c>
      <c r="E458" s="48">
        <v>1</v>
      </c>
      <c r="F458" s="97">
        <f>IF(VLOOKUP($D458,$C$5:$AU$511,3,)=0,0,(VLOOKUP($D458,$C$5:$AU$511,4,)/VLOOKUP($D458,$C$5:$AU$511,3,))*$E458)</f>
        <v>0.83397856946747762</v>
      </c>
      <c r="G458" s="97">
        <f>IF(VLOOKUP($D458,$C$5:$AU$511,3,)=0,0,(VLOOKUP($D458,$C$5:$AU$511,5,)/VLOOKUP($D458,$C$5:$AU$511,3,))*$E458)</f>
        <v>1.5587421639040334E-4</v>
      </c>
      <c r="H458" s="97">
        <f>IF(VLOOKUP($D458,$C$5:$AU$511,3,)=0,0,(VLOOKUP($D458,$C$5:$AU$511,6,)/VLOOKUP($D458,$C$5:$AU$511,3,))*$E458)</f>
        <v>5.7437947026746606E-3</v>
      </c>
      <c r="I458" s="97">
        <f>IF(VLOOKUP($D458,$C$5:$AU$511,3,)=0,0,(VLOOKUP($D458,$C$5:$AU$511,7,)/VLOOKUP($D458,$C$5:$AU$511,3,))*$E458)</f>
        <v>4.4812767302722538E-2</v>
      </c>
      <c r="J458" s="97">
        <f>IF(VLOOKUP($D458,$C$5:$AU$511,3,)=0,0,(VLOOKUP($D458,$C$5:$AU$511,8,)/VLOOKUP($D458,$C$5:$AU$511,3,))*$E458)</f>
        <v>5.7883271357959979E-3</v>
      </c>
      <c r="K458" s="97">
        <f>IF(VLOOKUP($D458,$C$5:$AU$511,3,)=0,0,(VLOOKUP($D458,$C$5:$AU$511,9,)/VLOOKUP($D458,$C$5:$AU$511,3,))*$E458)</f>
        <v>1.4317153446027983E-2</v>
      </c>
      <c r="L458" s="97">
        <f>IF(VLOOKUP($D458,$C$5:$AU$511,3,)=0,0,(VLOOKUP($D458,$C$5:$AU$511,10,)/VLOOKUP($D458,$C$5:$AU$511,3,))*$E458)</f>
        <v>3.9642911216044976E-2</v>
      </c>
      <c r="M458" s="97">
        <f>IF(VLOOKUP($D458,$C$5:$AU$511,3,)=0,0,(VLOOKUP($D458,$C$5:$AU$511,11,)/VLOOKUP($D458,$C$5:$AU$511,3,))*$E458)</f>
        <v>1.8512208452498881E-2</v>
      </c>
      <c r="N458" s="97">
        <f>IF(VLOOKUP($D458,$C$5:$AU$511,3,)=0,0,(VLOOKUP($D458,$C$5:$AU$511,12,)/VLOOKUP($D458,$C$5:$AU$511,3,))*$E458)</f>
        <v>3.512640716477481E-2</v>
      </c>
      <c r="O458" s="97">
        <f>IF(VLOOKUP($D458,$C$5:$AU$511,3,)=0,0,(VLOOKUP($D458,$C$5:$AU$511,13,)/VLOOKUP($D458,$C$5:$AU$511,3,))*$E458)</f>
        <v>0</v>
      </c>
      <c r="P458" s="97">
        <f>IF(VLOOKUP($D458,$C$5:$AU$511,3,)=0,0,(VLOOKUP($D458,$C$5:$AU$511,14,)/VLOOKUP($D458,$C$5:$AU$511,3,))*$E458)</f>
        <v>1.9219868955921149E-3</v>
      </c>
      <c r="Q458" s="97">
        <f>IF(VLOOKUP($D458,$C$5:$AU$511,3,)=0,0,(VLOOKUP($D458,$C$5:$AU$511,15,)/VLOOKUP($D458,$C$5:$AU$511,3,))*$E458)</f>
        <v>0</v>
      </c>
      <c r="R458" s="97">
        <f>IF(VLOOKUP($D458,$C$5:$AU$511,3,)=0,0,(VLOOKUP($D458,$C$5:$AU$511,16,)/VLOOKUP($D458,$C$5:$AU$511,3,))*$E458)</f>
        <v>0</v>
      </c>
      <c r="S458" s="97">
        <f>IF(VLOOKUP($D458,$C$5:$AU$511,3,)=0,0,(VLOOKUP($D458,$C$5:$AU$511,17,)/VLOOKUP($D458,$C$5:$AU$511,3,))*$E458)</f>
        <v>0</v>
      </c>
      <c r="T458" s="97">
        <f>IF(VLOOKUP($D458,$C$5:$AU$511,3,)=0,0,(VLOOKUP($D458,$C$5:$AU$511,18,)/VLOOKUP($D458,$C$5:$AU$511,3,))*$E458)</f>
        <v>0</v>
      </c>
      <c r="U458" s="97">
        <f>IF(VLOOKUP($D458,$C$5:$AU$511,3,)=0,0,(VLOOKUP($D458,$C$5:$AU$511,19,)/VLOOKUP($D458,$C$5:$AU$511,3,))*$E458)</f>
        <v>0</v>
      </c>
      <c r="V458" s="97">
        <f>IF(VLOOKUP($D458,$C$5:$AU$511,3,)=0,0,(VLOOKUP($D458,$C$5:$AU$511,20,)/VLOOKUP($D458,$C$5:$AU$511,3,))*$E458)</f>
        <v>0</v>
      </c>
      <c r="W458" s="97">
        <f>IF(VLOOKUP($D458,$C$5:$AU$511,3,)=0,0,(VLOOKUP($D458,$C$5:$AU$511,21,)/VLOOKUP($D458,$C$5:$AU$511,3,))*$E458)</f>
        <v>0</v>
      </c>
      <c r="X458" s="97">
        <f>IF(VLOOKUP($D458,$C$5:$AU$511,3,)=0,0,(VLOOKUP($D458,$C$5:$AU$511,22,)/VLOOKUP($D458,$C$5:$AU$511,3,))*$E458)</f>
        <v>0</v>
      </c>
      <c r="Y458" s="97">
        <f>IF(VLOOKUP($D458,$C$5:$AU$511,3,)=0,0,(VLOOKUP($D458,$C$5:$AU$511,23,)/VLOOKUP($D458,$C$5:$AU$511,3,))*$E458)</f>
        <v>0</v>
      </c>
      <c r="Z458" s="97">
        <f>IF(VLOOKUP($D458,$C$5:$AU$511,3,)=0,0,(VLOOKUP($D458,$C$5:$AU$511,24,)/VLOOKUP($D458,$C$5:$AU$511,3,))*$E458)</f>
        <v>0</v>
      </c>
      <c r="AA458" s="97">
        <f>IF(VLOOKUP($D458,$C$5:$AU$511,3,)=0,0,(VLOOKUP($D458,$C$5:$AU$511,25,)/VLOOKUP($D458,$C$5:$AU$511,3,))*$E458)</f>
        <v>0</v>
      </c>
      <c r="AB458" s="97">
        <f>IF(VLOOKUP($D458,$C$5:$AU$511,3,)=0,0,(VLOOKUP($D458,$C$5:$AU$511,26,)/VLOOKUP($D458,$C$5:$AU$511,3,))*$E458)</f>
        <v>0</v>
      </c>
      <c r="AC458" s="97">
        <f>IF(VLOOKUP($D458,$C$5:$AU$511,3,)=0,0,(VLOOKUP($D458,$C$5:$AU$511,27,)/VLOOKUP($D458,$C$5:$AU$511,3,))*$E458)</f>
        <v>0</v>
      </c>
      <c r="AD458" s="97">
        <f>IF(VLOOKUP($D458,$C$5:$AU$511,3,)=0,0,(VLOOKUP($D458,$C$5:$AU$511,28,)/VLOOKUP($D458,$C$5:$AU$511,3,))*$E458)</f>
        <v>0</v>
      </c>
      <c r="AE458" s="97">
        <f>IF(VLOOKUP($D458,$C$5:$AU$511,3,)=0,0,(VLOOKUP($D458,$C$5:$AU$511,29,)/VLOOKUP($D458,$C$5:$AU$511,3,))*$E458)</f>
        <v>0</v>
      </c>
      <c r="AF458" s="97">
        <f>IF(VLOOKUP($D458,$C$5:$AU$511,3,)=0,0,(VLOOKUP($D458,$C$5:$AU$511,30,)/VLOOKUP($D458,$C$5:$AU$511,3,))*$E458)</f>
        <v>0</v>
      </c>
      <c r="AG458" s="97">
        <f>SUM(F458:AF458)</f>
        <v>1</v>
      </c>
      <c r="AH458" s="27" t="str">
        <f t="shared" si="228"/>
        <v>ok</v>
      </c>
    </row>
    <row r="460" spans="1:34" x14ac:dyDescent="0.2">
      <c r="A460" s="14" t="s">
        <v>609</v>
      </c>
      <c r="C460" s="14" t="s">
        <v>613</v>
      </c>
      <c r="E460" s="49">
        <v>3083825.5418308913</v>
      </c>
      <c r="F460" s="49">
        <f t="shared" ref="F460:S460" si="230">F439</f>
        <v>2299702.2269583596</v>
      </c>
      <c r="G460" s="49">
        <f t="shared" si="230"/>
        <v>435.67855159021195</v>
      </c>
      <c r="H460" s="49">
        <f t="shared" si="230"/>
        <v>97.645889870285004</v>
      </c>
      <c r="I460" s="49">
        <f t="shared" si="230"/>
        <v>189013.99690685957</v>
      </c>
      <c r="J460" s="49">
        <f t="shared" si="230"/>
        <v>640.65668416111953</v>
      </c>
      <c r="K460" s="49">
        <f t="shared" si="230"/>
        <v>72476.157231583362</v>
      </c>
      <c r="L460" s="49">
        <f t="shared" si="230"/>
        <v>205950.09441084365</v>
      </c>
      <c r="M460" s="49">
        <f t="shared" si="230"/>
        <v>105799.17850279964</v>
      </c>
      <c r="N460" s="49">
        <f t="shared" si="230"/>
        <v>202365.78527905385</v>
      </c>
      <c r="O460" s="49">
        <v>0</v>
      </c>
      <c r="P460" s="49">
        <f t="shared" si="230"/>
        <v>7344.121415770609</v>
      </c>
      <c r="Q460" s="49">
        <f t="shared" si="230"/>
        <v>0</v>
      </c>
      <c r="R460" s="49">
        <f t="shared" si="230"/>
        <v>0</v>
      </c>
      <c r="S460" s="49">
        <f t="shared" si="230"/>
        <v>0</v>
      </c>
      <c r="T460" s="49">
        <f t="shared" ref="T460:Y460" si="231">T427</f>
        <v>0</v>
      </c>
      <c r="U460" s="49">
        <f t="shared" si="231"/>
        <v>0</v>
      </c>
      <c r="V460" s="49">
        <f t="shared" si="231"/>
        <v>0</v>
      </c>
      <c r="W460" s="49">
        <f t="shared" si="231"/>
        <v>0</v>
      </c>
      <c r="X460" s="49">
        <f t="shared" si="231"/>
        <v>0</v>
      </c>
      <c r="Y460" s="49">
        <f t="shared" si="231"/>
        <v>0</v>
      </c>
      <c r="Z460" s="49">
        <f>Z427</f>
        <v>0</v>
      </c>
      <c r="AA460" s="49">
        <f>AA427</f>
        <v>0</v>
      </c>
      <c r="AB460" s="49">
        <f>AB427</f>
        <v>0</v>
      </c>
      <c r="AC460" s="49">
        <f>AC427</f>
        <v>0</v>
      </c>
      <c r="AD460" s="49">
        <v>0</v>
      </c>
      <c r="AE460" s="49">
        <v>0</v>
      </c>
      <c r="AF460" s="49">
        <f>AF427</f>
        <v>0</v>
      </c>
      <c r="AG460" s="89">
        <f>SUM(F460:AF460)</f>
        <v>3083825.5418308913</v>
      </c>
      <c r="AH460" s="27" t="str">
        <f t="shared" ref="AH460:AH465" si="232">IF(ABS(E460-AG460)&lt;0.01,"ok","err")</f>
        <v>ok</v>
      </c>
    </row>
    <row r="461" spans="1:34" x14ac:dyDescent="0.2">
      <c r="A461" s="14" t="s">
        <v>610</v>
      </c>
      <c r="E461" s="89">
        <f>'Func &amp; Classif'!M56</f>
        <v>2245753.33</v>
      </c>
      <c r="AG461" s="89">
        <f>E461</f>
        <v>2245753.33</v>
      </c>
      <c r="AH461" s="27" t="str">
        <f t="shared" si="232"/>
        <v>ok</v>
      </c>
    </row>
    <row r="462" spans="1:34" x14ac:dyDescent="0.2">
      <c r="A462" s="14" t="s">
        <v>594</v>
      </c>
      <c r="E462" s="49"/>
      <c r="F462" s="49">
        <v>0</v>
      </c>
      <c r="G462" s="49">
        <v>0</v>
      </c>
      <c r="H462" s="49">
        <v>0</v>
      </c>
      <c r="I462" s="49">
        <v>0</v>
      </c>
      <c r="J462" s="49">
        <v>0</v>
      </c>
      <c r="K462" s="49">
        <v>0</v>
      </c>
      <c r="L462" s="49">
        <v>0</v>
      </c>
      <c r="M462" s="49">
        <v>0</v>
      </c>
      <c r="N462" s="49">
        <v>0</v>
      </c>
      <c r="O462" s="66"/>
      <c r="P462" s="49"/>
      <c r="Q462" s="14">
        <v>0</v>
      </c>
      <c r="R462" s="14">
        <v>0</v>
      </c>
      <c r="S462" s="14">
        <v>0</v>
      </c>
      <c r="AG462" s="89">
        <f>SUM(F462:AF462)</f>
        <v>0</v>
      </c>
      <c r="AH462" s="27" t="str">
        <f t="shared" si="232"/>
        <v>ok</v>
      </c>
    </row>
    <row r="463" spans="1:34" x14ac:dyDescent="0.2">
      <c r="A463" s="14" t="s">
        <v>611</v>
      </c>
      <c r="D463" s="14" t="s">
        <v>613</v>
      </c>
      <c r="E463" s="89">
        <f>E461-E462</f>
        <v>2245753.33</v>
      </c>
      <c r="F463" s="66">
        <f>IF(VLOOKUP($D463,$C$5:$AU$511,3,)=0,0,(VLOOKUP($D463,$C$5:$AU$511,4,)/VLOOKUP($D463,$C$5:$AU$511,3,))*$E463)</f>
        <v>1674726.3631307464</v>
      </c>
      <c r="G463" s="66">
        <f>IF(VLOOKUP($D463,$C$5:$AU$511,3,)=0,0,(VLOOKUP($D463,$C$5:$AU$511,5,)/VLOOKUP($D463,$C$5:$AU$511,3,))*$E463)</f>
        <v>317.27688378324922</v>
      </c>
      <c r="H463" s="66">
        <f>IF(VLOOKUP($D463,$C$5:$AU$511,3,)=0,0,(VLOOKUP($D463,$C$5:$AU$511,6,)/VLOOKUP($D463,$C$5:$AU$511,3,))*$E463)</f>
        <v>71.109269756813958</v>
      </c>
      <c r="I463" s="66">
        <f>IF(VLOOKUP($D463,$C$5:$AU$511,3,)=0,0,(VLOOKUP($D463,$C$5:$AU$511,7,)/VLOOKUP($D463,$C$5:$AU$511,3,))*$E463)</f>
        <v>137646.83092876038</v>
      </c>
      <c r="J463" s="66">
        <f>IF(VLOOKUP($D463,$C$5:$AU$511,3,)=0,0,(VLOOKUP($D463,$C$5:$AU$511,8,)/VLOOKUP($D463,$C$5:$AU$511,3,))*$E463)</f>
        <v>466.54937587273218</v>
      </c>
      <c r="K463" s="66">
        <f>IF(VLOOKUP($D463,$C$5:$AU$511,3,)=0,0,(VLOOKUP($D463,$C$5:$AU$511,9,)/VLOOKUP($D463,$C$5:$AU$511,3,))*$E463)</f>
        <v>52779.759827722912</v>
      </c>
      <c r="L463" s="66">
        <f>IF(VLOOKUP($D463,$C$5:$AU$511,3,)=0,0,(VLOOKUP($D463,$C$5:$AU$511,10,)/VLOOKUP($D463,$C$5:$AU$511,3,))*$E463)</f>
        <v>149980.30986615698</v>
      </c>
      <c r="M463" s="66">
        <f>IF(VLOOKUP($D463,$C$5:$AU$511,3,)=0,0,(VLOOKUP($D463,$C$5:$AU$511,11,)/VLOOKUP($D463,$C$5:$AU$511,3,))*$E463)</f>
        <v>77046.789518729522</v>
      </c>
      <c r="N463" s="66">
        <f>IF(VLOOKUP($D463,$C$5:$AU$511,3,)=0,0,(VLOOKUP($D463,$C$5:$AU$511,12,)/VLOOKUP($D463,$C$5:$AU$511,3,))*$E463)</f>
        <v>147370.08627883715</v>
      </c>
      <c r="O463" s="66">
        <f>IF(VLOOKUP($D463,$C$5:$AU$511,3,)=0,0,(VLOOKUP($D463,$C$5:$AU$511,13,)/VLOOKUP($D463,$C$5:$AU$511,3,))*$E463)</f>
        <v>0</v>
      </c>
      <c r="P463" s="66">
        <f>IF(VLOOKUP($D463,$C$5:$AU$511,3,)=0,0,(VLOOKUP($D463,$C$5:$AU$511,14,)/VLOOKUP($D463,$C$5:$AU$511,3,))*$E463)</f>
        <v>5348.2549196343598</v>
      </c>
      <c r="Q463" s="66">
        <f>IF(VLOOKUP($D463,$C$5:$AU$511,3,)=0,0,(VLOOKUP($D463,$C$5:$AU$511,15,)/VLOOKUP($D463,$C$5:$AU$511,3,))*$E463)</f>
        <v>0</v>
      </c>
      <c r="R463" s="66">
        <f>IF(VLOOKUP($D463,$C$5:$AU$511,3,)=0,0,(VLOOKUP($D463,$C$5:$AU$511,16,)/VLOOKUP($D463,$C$5:$AU$511,3,))*$E463)</f>
        <v>0</v>
      </c>
      <c r="S463" s="66">
        <f>IF(VLOOKUP($D463,$C$5:$AU$511,3,)=0,0,(VLOOKUP($D463,$C$5:$AU$511,17,)/VLOOKUP($D463,$C$5:$AU$511,3,))*$E463)</f>
        <v>0</v>
      </c>
      <c r="T463" s="66">
        <f>IF(VLOOKUP($D463,$C$5:$AU$511,3,)=0,0,(VLOOKUP($D463,$C$5:$AU$511,18,)/VLOOKUP($D463,$C$5:$AU$511,3,))*$E463)</f>
        <v>0</v>
      </c>
      <c r="U463" s="66">
        <f>IF(VLOOKUP($D463,$C$5:$AU$511,3,)=0,0,(VLOOKUP($D463,$C$5:$AU$511,19,)/VLOOKUP($D463,$C$5:$AU$511,3,))*$E463)</f>
        <v>0</v>
      </c>
      <c r="V463" s="66">
        <f>IF(VLOOKUP($D463,$C$5:$AU$511,3,)=0,0,(VLOOKUP($D463,$C$5:$AU$511,20,)/VLOOKUP($D463,$C$5:$AU$511,3,))*$E463)</f>
        <v>0</v>
      </c>
      <c r="W463" s="66">
        <f>IF(VLOOKUP($D463,$C$5:$AU$511,3,)=0,0,(VLOOKUP($D463,$C$5:$AU$511,21,)/VLOOKUP($D463,$C$5:$AU$511,3,))*$E463)</f>
        <v>0</v>
      </c>
      <c r="X463" s="66">
        <f>IF(VLOOKUP($D463,$C$5:$AU$511,3,)=0,0,(VLOOKUP($D463,$C$5:$AU$511,22,)/VLOOKUP($D463,$C$5:$AU$511,3,))*$E463)</f>
        <v>0</v>
      </c>
      <c r="Y463" s="66">
        <f>IF(VLOOKUP($D463,$C$5:$AU$511,3,)=0,0,(VLOOKUP($D463,$C$5:$AU$511,23,)/VLOOKUP($D463,$C$5:$AU$511,3,))*$E463)</f>
        <v>0</v>
      </c>
      <c r="Z463" s="66">
        <f>IF(VLOOKUP($D463,$C$5:$AU$511,3,)=0,0,(VLOOKUP($D463,$C$5:$AU$511,24,)/VLOOKUP($D463,$C$5:$AU$511,3,))*$E463)</f>
        <v>0</v>
      </c>
      <c r="AA463" s="66">
        <f>IF(VLOOKUP($D463,$C$5:$AU$511,3,)=0,0,(VLOOKUP($D463,$C$5:$AU$511,25,)/VLOOKUP($D463,$C$5:$AU$511,3,))*$E463)</f>
        <v>0</v>
      </c>
      <c r="AB463" s="66">
        <f>IF(VLOOKUP($D463,$C$5:$AU$511,3,)=0,0,(VLOOKUP($D463,$C$5:$AU$511,26,)/VLOOKUP($D463,$C$5:$AU$511,3,))*$E463)</f>
        <v>0</v>
      </c>
      <c r="AC463" s="66">
        <f>IF(VLOOKUP($D463,$C$5:$AU$511,3,)=0,0,(VLOOKUP($D463,$C$5:$AU$511,27,)/VLOOKUP($D463,$C$5:$AU$511,3,))*$E463)</f>
        <v>0</v>
      </c>
      <c r="AD463" s="66">
        <f>IF(VLOOKUP($D463,$C$5:$AU$511,3,)=0,0,(VLOOKUP($D463,$C$5:$AU$511,28,)/VLOOKUP($D463,$C$5:$AU$511,3,))*$E463)</f>
        <v>0</v>
      </c>
      <c r="AE463" s="66">
        <f>IF(VLOOKUP($D463,$C$5:$AU$511,3,)=0,0,(VLOOKUP($D463,$C$5:$AU$511,29,)/VLOOKUP($D463,$C$5:$AU$511,3,))*$E463)</f>
        <v>0</v>
      </c>
      <c r="AF463" s="66">
        <f>IF(VLOOKUP($D463,$C$5:$AU$511,3,)=0,0,(VLOOKUP($D463,$C$5:$AU$511,30,)/VLOOKUP($D463,$C$5:$AU$511,3,))*$E463)</f>
        <v>0</v>
      </c>
      <c r="AG463" s="89">
        <f>SUM(F463:AF463)</f>
        <v>2245753.33</v>
      </c>
      <c r="AH463" s="27" t="str">
        <f t="shared" si="232"/>
        <v>ok</v>
      </c>
    </row>
    <row r="464" spans="1:34" x14ac:dyDescent="0.2">
      <c r="A464" s="14" t="s">
        <v>612</v>
      </c>
      <c r="C464" s="14" t="s">
        <v>614</v>
      </c>
      <c r="E464" s="89">
        <f t="shared" ref="E464:AF464" si="233">E462+E463</f>
        <v>2245753.33</v>
      </c>
      <c r="F464" s="89">
        <f t="shared" si="233"/>
        <v>1674726.3631307464</v>
      </c>
      <c r="G464" s="89">
        <f t="shared" si="233"/>
        <v>317.27688378324922</v>
      </c>
      <c r="H464" s="89">
        <f t="shared" si="233"/>
        <v>71.109269756813958</v>
      </c>
      <c r="I464" s="89">
        <f t="shared" si="233"/>
        <v>137646.83092876038</v>
      </c>
      <c r="J464" s="89">
        <f t="shared" si="233"/>
        <v>466.54937587273218</v>
      </c>
      <c r="K464" s="89">
        <f t="shared" si="233"/>
        <v>52779.759827722912</v>
      </c>
      <c r="L464" s="89">
        <f t="shared" si="233"/>
        <v>149980.30986615698</v>
      </c>
      <c r="M464" s="89">
        <f t="shared" si="233"/>
        <v>77046.789518729522</v>
      </c>
      <c r="N464" s="89">
        <f t="shared" si="233"/>
        <v>147370.08627883715</v>
      </c>
      <c r="O464" s="89">
        <f t="shared" si="233"/>
        <v>0</v>
      </c>
      <c r="P464" s="89">
        <f t="shared" si="233"/>
        <v>5348.2549196343598</v>
      </c>
      <c r="Q464" s="89">
        <f t="shared" si="233"/>
        <v>0</v>
      </c>
      <c r="R464" s="89">
        <f t="shared" si="233"/>
        <v>0</v>
      </c>
      <c r="S464" s="89">
        <f t="shared" si="233"/>
        <v>0</v>
      </c>
      <c r="T464" s="89">
        <f t="shared" si="233"/>
        <v>0</v>
      </c>
      <c r="U464" s="89">
        <f t="shared" si="233"/>
        <v>0</v>
      </c>
      <c r="V464" s="89">
        <f t="shared" si="233"/>
        <v>0</v>
      </c>
      <c r="W464" s="89">
        <f t="shared" si="233"/>
        <v>0</v>
      </c>
      <c r="X464" s="89">
        <f t="shared" si="233"/>
        <v>0</v>
      </c>
      <c r="Y464" s="89">
        <f t="shared" si="233"/>
        <v>0</v>
      </c>
      <c r="Z464" s="89">
        <f t="shared" si="233"/>
        <v>0</v>
      </c>
      <c r="AA464" s="89">
        <f t="shared" si="233"/>
        <v>0</v>
      </c>
      <c r="AB464" s="89">
        <f t="shared" si="233"/>
        <v>0</v>
      </c>
      <c r="AC464" s="89">
        <f t="shared" si="233"/>
        <v>0</v>
      </c>
      <c r="AD464" s="89">
        <f t="shared" si="233"/>
        <v>0</v>
      </c>
      <c r="AE464" s="89">
        <f t="shared" si="233"/>
        <v>0</v>
      </c>
      <c r="AF464" s="89">
        <f t="shared" si="233"/>
        <v>0</v>
      </c>
      <c r="AG464" s="89">
        <f>SUM(F464:AF464)</f>
        <v>2245753.33</v>
      </c>
      <c r="AH464" s="27" t="str">
        <f t="shared" si="232"/>
        <v>ok</v>
      </c>
    </row>
    <row r="465" spans="1:34" x14ac:dyDescent="0.2">
      <c r="A465" s="14" t="s">
        <v>635</v>
      </c>
      <c r="C465" s="14" t="s">
        <v>615</v>
      </c>
      <c r="D465" s="14" t="s">
        <v>614</v>
      </c>
      <c r="E465" s="48">
        <v>1</v>
      </c>
      <c r="F465" s="97">
        <f>IF(VLOOKUP($D465,$C$5:$AU$511,3,)=0,0,(VLOOKUP($D465,$C$5:$AU$511,4,)/VLOOKUP($D465,$C$5:$AU$511,3,))*$E465)</f>
        <v>0.74573032610431278</v>
      </c>
      <c r="G465" s="97">
        <f>IF(VLOOKUP($D465,$C$5:$AU$511,3,)=0,0,(VLOOKUP($D465,$C$5:$AU$511,5,)/VLOOKUP($D465,$C$5:$AU$511,3,))*$E465)</f>
        <v>1.4127859883135484E-4</v>
      </c>
      <c r="H465" s="97">
        <f>IF(VLOOKUP($D465,$C$5:$AU$511,3,)=0,0,(VLOOKUP($D465,$C$5:$AU$511,6,)/VLOOKUP($D465,$C$5:$AU$511,3,))*$E465)</f>
        <v>3.166388258536567E-5</v>
      </c>
      <c r="I465" s="97">
        <f>IF(VLOOKUP($D465,$C$5:$AU$511,3,)=0,0,(VLOOKUP($D465,$C$5:$AU$511,7,)/VLOOKUP($D465,$C$5:$AU$511,3,))*$E465)</f>
        <v>6.1292052466314445E-2</v>
      </c>
      <c r="J465" s="97">
        <f>IF(VLOOKUP($D465,$C$5:$AU$511,3,)=0,0,(VLOOKUP($D465,$C$5:$AU$511,8,)/VLOOKUP($D465,$C$5:$AU$511,3,))*$E465)</f>
        <v>2.0774738242188522E-4</v>
      </c>
      <c r="K465" s="97">
        <f>IF(VLOOKUP($D465,$C$5:$AU$511,3,)=0,0,(VLOOKUP($D465,$C$5:$AU$511,9,)/VLOOKUP($D465,$C$5:$AU$511,3,))*$E465)</f>
        <v>2.3502028972933957E-2</v>
      </c>
      <c r="L465" s="97">
        <f>IF(VLOOKUP($D465,$C$5:$AU$511,3,)=0,0,(VLOOKUP($D465,$C$5:$AU$511,10,)/VLOOKUP($D465,$C$5:$AU$511,3,))*$E465)</f>
        <v>6.6783964143629693E-2</v>
      </c>
      <c r="M465" s="97">
        <f>IF(VLOOKUP($D465,$C$5:$AU$511,3,)=0,0,(VLOOKUP($D465,$C$5:$AU$511,11,)/VLOOKUP($D465,$C$5:$AU$511,3,))*$E465)</f>
        <v>3.4307770354605027E-2</v>
      </c>
      <c r="N465" s="97">
        <f>IF(VLOOKUP($D465,$C$5:$AU$511,3,)=0,0,(VLOOKUP($D465,$C$5:$AU$511,12,)/VLOOKUP($D465,$C$5:$AU$511,3,))*$E465)</f>
        <v>6.5621671049169564E-2</v>
      </c>
      <c r="O465" s="97">
        <f>IF(VLOOKUP($D465,$C$5:$AU$511,3,)=0,0,(VLOOKUP($D465,$C$5:$AU$511,13,)/VLOOKUP($D465,$C$5:$AU$511,3,))*$E465)</f>
        <v>0</v>
      </c>
      <c r="P465" s="97">
        <f>IF(VLOOKUP($D465,$C$5:$AU$511,3,)=0,0,(VLOOKUP($D465,$C$5:$AU$511,14,)/VLOOKUP($D465,$C$5:$AU$511,3,))*$E465)</f>
        <v>2.3814970451961257E-3</v>
      </c>
      <c r="Q465" s="97">
        <f>IF(VLOOKUP($D465,$C$5:$AU$511,3,)=0,0,(VLOOKUP($D465,$C$5:$AU$511,15,)/VLOOKUP($D465,$C$5:$AU$511,3,))*$E465)</f>
        <v>0</v>
      </c>
      <c r="R465" s="97">
        <f>IF(VLOOKUP($D465,$C$5:$AU$511,3,)=0,0,(VLOOKUP($D465,$C$5:$AU$511,16,)/VLOOKUP($D465,$C$5:$AU$511,3,))*$E465)</f>
        <v>0</v>
      </c>
      <c r="S465" s="97">
        <f>IF(VLOOKUP($D465,$C$5:$AU$511,3,)=0,0,(VLOOKUP($D465,$C$5:$AU$511,17,)/VLOOKUP($D465,$C$5:$AU$511,3,))*$E465)</f>
        <v>0</v>
      </c>
      <c r="T465" s="97">
        <f>IF(VLOOKUP($D465,$C$5:$AU$511,3,)=0,0,(VLOOKUP($D465,$C$5:$AU$511,18,)/VLOOKUP($D465,$C$5:$AU$511,3,))*$E465)</f>
        <v>0</v>
      </c>
      <c r="U465" s="97">
        <f>IF(VLOOKUP($D465,$C$5:$AU$511,3,)=0,0,(VLOOKUP($D465,$C$5:$AU$511,19,)/VLOOKUP($D465,$C$5:$AU$511,3,))*$E465)</f>
        <v>0</v>
      </c>
      <c r="V465" s="97">
        <f>IF(VLOOKUP($D465,$C$5:$AU$511,3,)=0,0,(VLOOKUP($D465,$C$5:$AU$511,20,)/VLOOKUP($D465,$C$5:$AU$511,3,))*$E465)</f>
        <v>0</v>
      </c>
      <c r="W465" s="97">
        <f>IF(VLOOKUP($D465,$C$5:$AU$511,3,)=0,0,(VLOOKUP($D465,$C$5:$AU$511,21,)/VLOOKUP($D465,$C$5:$AU$511,3,))*$E465)</f>
        <v>0</v>
      </c>
      <c r="X465" s="97">
        <f>IF(VLOOKUP($D465,$C$5:$AU$511,3,)=0,0,(VLOOKUP($D465,$C$5:$AU$511,22,)/VLOOKUP($D465,$C$5:$AU$511,3,))*$E465)</f>
        <v>0</v>
      </c>
      <c r="Y465" s="97">
        <f>IF(VLOOKUP($D465,$C$5:$AU$511,3,)=0,0,(VLOOKUP($D465,$C$5:$AU$511,23,)/VLOOKUP($D465,$C$5:$AU$511,3,))*$E465)</f>
        <v>0</v>
      </c>
      <c r="Z465" s="97">
        <f>IF(VLOOKUP($D465,$C$5:$AU$511,3,)=0,0,(VLOOKUP($D465,$C$5:$AU$511,24,)/VLOOKUP($D465,$C$5:$AU$511,3,))*$E465)</f>
        <v>0</v>
      </c>
      <c r="AA465" s="97">
        <f>IF(VLOOKUP($D465,$C$5:$AU$511,3,)=0,0,(VLOOKUP($D465,$C$5:$AU$511,25,)/VLOOKUP($D465,$C$5:$AU$511,3,))*$E465)</f>
        <v>0</v>
      </c>
      <c r="AB465" s="97">
        <f>IF(VLOOKUP($D465,$C$5:$AU$511,3,)=0,0,(VLOOKUP($D465,$C$5:$AU$511,26,)/VLOOKUP($D465,$C$5:$AU$511,3,))*$E465)</f>
        <v>0</v>
      </c>
      <c r="AC465" s="97">
        <f>IF(VLOOKUP($D465,$C$5:$AU$511,3,)=0,0,(VLOOKUP($D465,$C$5:$AU$511,27,)/VLOOKUP($D465,$C$5:$AU$511,3,))*$E465)</f>
        <v>0</v>
      </c>
      <c r="AD465" s="97">
        <f>IF(VLOOKUP($D465,$C$5:$AU$511,3,)=0,0,(VLOOKUP($D465,$C$5:$AU$511,28,)/VLOOKUP($D465,$C$5:$AU$511,3,))*$E465)</f>
        <v>0</v>
      </c>
      <c r="AE465" s="97">
        <f>IF(VLOOKUP($D465,$C$5:$AU$511,3,)=0,0,(VLOOKUP($D465,$C$5:$AU$511,29,)/VLOOKUP($D465,$C$5:$AU$511,3,))*$E465)</f>
        <v>0</v>
      </c>
      <c r="AF465" s="97">
        <f>IF(VLOOKUP($D465,$C$5:$AU$511,3,)=0,0,(VLOOKUP($D465,$C$5:$AU$511,30,)/VLOOKUP($D465,$C$5:$AU$511,3,))*$E465)</f>
        <v>0</v>
      </c>
      <c r="AG465" s="97">
        <f>SUM(F465:AF465)</f>
        <v>1.0000000000000004</v>
      </c>
      <c r="AH465" s="27" t="str">
        <f t="shared" si="232"/>
        <v>ok</v>
      </c>
    </row>
    <row r="467" spans="1:34" x14ac:dyDescent="0.2">
      <c r="A467" s="14" t="s">
        <v>609</v>
      </c>
      <c r="C467" s="14" t="s">
        <v>629</v>
      </c>
      <c r="E467" s="66">
        <f>E460</f>
        <v>3083825.5418308913</v>
      </c>
      <c r="F467" s="49">
        <f>F460</f>
        <v>2299702.2269583596</v>
      </c>
      <c r="G467" s="49">
        <f t="shared" ref="G467:P467" si="234">G460</f>
        <v>435.67855159021195</v>
      </c>
      <c r="H467" s="49">
        <f t="shared" si="234"/>
        <v>97.645889870285004</v>
      </c>
      <c r="I467" s="49">
        <f t="shared" si="234"/>
        <v>189013.99690685957</v>
      </c>
      <c r="J467" s="49">
        <f t="shared" si="234"/>
        <v>640.65668416111953</v>
      </c>
      <c r="K467" s="49">
        <f t="shared" si="234"/>
        <v>72476.157231583362</v>
      </c>
      <c r="L467" s="49">
        <f t="shared" si="234"/>
        <v>205950.09441084365</v>
      </c>
      <c r="M467" s="49">
        <f t="shared" si="234"/>
        <v>105799.17850279964</v>
      </c>
      <c r="N467" s="49">
        <f t="shared" si="234"/>
        <v>202365.78527905385</v>
      </c>
      <c r="O467" s="49">
        <f t="shared" si="234"/>
        <v>0</v>
      </c>
      <c r="P467" s="49">
        <f t="shared" si="234"/>
        <v>7344.121415770609</v>
      </c>
      <c r="Q467" s="49">
        <f t="shared" ref="Q467:AF467" si="235">Q460</f>
        <v>0</v>
      </c>
      <c r="R467" s="49">
        <f t="shared" si="235"/>
        <v>0</v>
      </c>
      <c r="S467" s="49">
        <f t="shared" si="235"/>
        <v>0</v>
      </c>
      <c r="T467" s="49">
        <f t="shared" si="235"/>
        <v>0</v>
      </c>
      <c r="U467" s="49">
        <f t="shared" si="235"/>
        <v>0</v>
      </c>
      <c r="V467" s="49">
        <f t="shared" si="235"/>
        <v>0</v>
      </c>
      <c r="W467" s="49">
        <f t="shared" si="235"/>
        <v>0</v>
      </c>
      <c r="X467" s="49">
        <f t="shared" si="235"/>
        <v>0</v>
      </c>
      <c r="Y467" s="49">
        <f t="shared" si="235"/>
        <v>0</v>
      </c>
      <c r="Z467" s="49">
        <f t="shared" si="235"/>
        <v>0</v>
      </c>
      <c r="AA467" s="49">
        <f t="shared" si="235"/>
        <v>0</v>
      </c>
      <c r="AB467" s="49">
        <f t="shared" si="235"/>
        <v>0</v>
      </c>
      <c r="AC467" s="49">
        <f t="shared" si="235"/>
        <v>0</v>
      </c>
      <c r="AD467" s="49">
        <f t="shared" si="235"/>
        <v>0</v>
      </c>
      <c r="AE467" s="49">
        <f t="shared" si="235"/>
        <v>0</v>
      </c>
      <c r="AF467" s="49">
        <f t="shared" si="235"/>
        <v>0</v>
      </c>
      <c r="AG467" s="89">
        <f>SUM(F467:AF467)</f>
        <v>3083825.5418308913</v>
      </c>
      <c r="AH467" s="27" t="str">
        <f t="shared" ref="AH467:AH472" si="236">IF(ABS(E467-AG467)&lt;0.01,"ok","err")</f>
        <v>ok</v>
      </c>
    </row>
    <row r="468" spans="1:34" x14ac:dyDescent="0.2">
      <c r="A468" s="14" t="s">
        <v>610</v>
      </c>
      <c r="E468" s="89">
        <f>E461</f>
        <v>2245753.33</v>
      </c>
      <c r="AG468" s="89">
        <f>E468</f>
        <v>2245753.33</v>
      </c>
      <c r="AH468" s="27" t="str">
        <f t="shared" si="236"/>
        <v>ok</v>
      </c>
    </row>
    <row r="469" spans="1:34" x14ac:dyDescent="0.2">
      <c r="A469" s="14" t="s">
        <v>594</v>
      </c>
      <c r="E469" s="49"/>
      <c r="M469" s="49">
        <v>0</v>
      </c>
      <c r="N469" s="49">
        <v>0</v>
      </c>
      <c r="O469" s="49"/>
      <c r="P469" s="49"/>
      <c r="Q469" s="14">
        <v>0</v>
      </c>
      <c r="R469" s="14">
        <v>0</v>
      </c>
      <c r="S469" s="14">
        <v>0</v>
      </c>
      <c r="AD469" s="66">
        <v>0</v>
      </c>
      <c r="AE469" s="66"/>
      <c r="AG469" s="89">
        <f>SUM(F469:AF469)</f>
        <v>0</v>
      </c>
      <c r="AH469" s="27" t="str">
        <f t="shared" si="236"/>
        <v>ok</v>
      </c>
    </row>
    <row r="470" spans="1:34" x14ac:dyDescent="0.2">
      <c r="A470" s="14" t="s">
        <v>611</v>
      </c>
      <c r="D470" s="14" t="s">
        <v>629</v>
      </c>
      <c r="E470" s="89">
        <f>E468-E469</f>
        <v>2245753.33</v>
      </c>
      <c r="F470" s="66">
        <f>IF(VLOOKUP($D470,$C$5:$AU$511,3,)=0,0,(VLOOKUP($D470,$C$5:$AU$511,4,)/VLOOKUP($D470,$C$5:$AU$511,3,))*$E470)</f>
        <v>1674726.3631307464</v>
      </c>
      <c r="G470" s="66">
        <f>IF(VLOOKUP($D470,$C$5:$AU$511,3,)=0,0,(VLOOKUP($D470,$C$5:$AU$511,5,)/VLOOKUP($D470,$C$5:$AU$511,3,))*$E470)</f>
        <v>317.27688378324922</v>
      </c>
      <c r="H470" s="66">
        <f>IF(VLOOKUP($D470,$C$5:$AU$511,3,)=0,0,(VLOOKUP($D470,$C$5:$AU$511,6,)/VLOOKUP($D470,$C$5:$AU$511,3,))*$E470)</f>
        <v>71.109269756813958</v>
      </c>
      <c r="I470" s="66">
        <f>IF(VLOOKUP($D470,$C$5:$AU$511,3,)=0,0,(VLOOKUP($D470,$C$5:$AU$511,7,)/VLOOKUP($D470,$C$5:$AU$511,3,))*$E470)</f>
        <v>137646.83092876038</v>
      </c>
      <c r="J470" s="66">
        <f>IF(VLOOKUP($D470,$C$5:$AU$511,3,)=0,0,(VLOOKUP($D470,$C$5:$AU$511,8,)/VLOOKUP($D470,$C$5:$AU$511,3,))*$E470)</f>
        <v>466.54937587273218</v>
      </c>
      <c r="K470" s="66">
        <f>IF(VLOOKUP($D470,$C$5:$AU$511,3,)=0,0,(VLOOKUP($D470,$C$5:$AU$511,9,)/VLOOKUP($D470,$C$5:$AU$511,3,))*$E470)</f>
        <v>52779.759827722912</v>
      </c>
      <c r="L470" s="66">
        <f>IF(VLOOKUP($D470,$C$5:$AU$511,3,)=0,0,(VLOOKUP($D470,$C$5:$AU$511,10,)/VLOOKUP($D470,$C$5:$AU$511,3,))*$E470)</f>
        <v>149980.30986615698</v>
      </c>
      <c r="M470" s="66">
        <f>IF(VLOOKUP($D470,$C$5:$AU$511,3,)=0,0,(VLOOKUP($D470,$C$5:$AU$511,11,)/VLOOKUP($D470,$C$5:$AU$511,3,))*$E470)</f>
        <v>77046.789518729522</v>
      </c>
      <c r="N470" s="66">
        <f>IF(VLOOKUP($D470,$C$5:$AU$511,3,)=0,0,(VLOOKUP($D470,$C$5:$AU$511,12,)/VLOOKUP($D470,$C$5:$AU$511,3,))*$E470)</f>
        <v>147370.08627883715</v>
      </c>
      <c r="O470" s="66">
        <f>IF(VLOOKUP($D470,$C$5:$AU$511,3,)=0,0,(VLOOKUP($D470,$C$5:$AU$511,13,)/VLOOKUP($D470,$C$5:$AU$511,3,))*$E470)</f>
        <v>0</v>
      </c>
      <c r="P470" s="66">
        <f>IF(VLOOKUP($D470,$C$5:$AU$511,3,)=0,0,(VLOOKUP($D470,$C$5:$AU$511,14,)/VLOOKUP($D470,$C$5:$AU$511,3,))*$E470)</f>
        <v>5348.2549196343598</v>
      </c>
      <c r="Q470" s="66">
        <f>IF(VLOOKUP($D470,$C$5:$AU$511,3,)=0,0,(VLOOKUP($D470,$C$5:$AU$511,15,)/VLOOKUP($D470,$C$5:$AU$511,3,))*$E470)</f>
        <v>0</v>
      </c>
      <c r="R470" s="66">
        <f>IF(VLOOKUP($D470,$C$5:$AU$511,3,)=0,0,(VLOOKUP($D470,$C$5:$AU$511,16,)/VLOOKUP($D470,$C$5:$AU$511,3,))*$E470)</f>
        <v>0</v>
      </c>
      <c r="S470" s="66">
        <f>IF(VLOOKUP($D470,$C$5:$AU$511,3,)=0,0,(VLOOKUP($D470,$C$5:$AU$511,17,)/VLOOKUP($D470,$C$5:$AU$511,3,))*$E470)</f>
        <v>0</v>
      </c>
      <c r="T470" s="66">
        <f>IF(VLOOKUP($D470,$C$5:$AU$511,3,)=0,0,(VLOOKUP($D470,$C$5:$AU$511,18,)/VLOOKUP($D470,$C$5:$AU$511,3,))*$E470)</f>
        <v>0</v>
      </c>
      <c r="U470" s="66">
        <f>IF(VLOOKUP($D470,$C$5:$AU$511,3,)=0,0,(VLOOKUP($D470,$C$5:$AU$511,19,)/VLOOKUP($D470,$C$5:$AU$511,3,))*$E470)</f>
        <v>0</v>
      </c>
      <c r="V470" s="66">
        <f>IF(VLOOKUP($D470,$C$5:$AU$511,3,)=0,0,(VLOOKUP($D470,$C$5:$AU$511,20,)/VLOOKUP($D470,$C$5:$AU$511,3,))*$E470)</f>
        <v>0</v>
      </c>
      <c r="W470" s="66">
        <f>IF(VLOOKUP($D470,$C$5:$AU$511,3,)=0,0,(VLOOKUP($D470,$C$5:$AU$511,21,)/VLOOKUP($D470,$C$5:$AU$511,3,))*$E470)</f>
        <v>0</v>
      </c>
      <c r="X470" s="66">
        <f>IF(VLOOKUP($D470,$C$5:$AU$511,3,)=0,0,(VLOOKUP($D470,$C$5:$AU$511,22,)/VLOOKUP($D470,$C$5:$AU$511,3,))*$E470)</f>
        <v>0</v>
      </c>
      <c r="Y470" s="66">
        <f>IF(VLOOKUP($D470,$C$5:$AU$511,3,)=0,0,(VLOOKUP($D470,$C$5:$AU$511,23,)/VLOOKUP($D470,$C$5:$AU$511,3,))*$E470)</f>
        <v>0</v>
      </c>
      <c r="Z470" s="66">
        <f>IF(VLOOKUP($D470,$C$5:$AU$511,3,)=0,0,(VLOOKUP($D470,$C$5:$AU$511,24,)/VLOOKUP($D470,$C$5:$AU$511,3,))*$E470)</f>
        <v>0</v>
      </c>
      <c r="AA470" s="66">
        <f>IF(VLOOKUP($D470,$C$5:$AU$511,3,)=0,0,(VLOOKUP($D470,$C$5:$AU$511,25,)/VLOOKUP($D470,$C$5:$AU$511,3,))*$E470)</f>
        <v>0</v>
      </c>
      <c r="AB470" s="66">
        <f>IF(VLOOKUP($D470,$C$5:$AU$511,3,)=0,0,(VLOOKUP($D470,$C$5:$AU$511,26,)/VLOOKUP($D470,$C$5:$AU$511,3,))*$E470)</f>
        <v>0</v>
      </c>
      <c r="AC470" s="66">
        <f>IF(VLOOKUP($D470,$C$5:$AU$511,3,)=0,0,(VLOOKUP($D470,$C$5:$AU$511,27,)/VLOOKUP($D470,$C$5:$AU$511,3,))*$E470)</f>
        <v>0</v>
      </c>
      <c r="AD470" s="66">
        <f>IF(VLOOKUP($D470,$C$5:$AU$511,3,)=0,0,(VLOOKUP($D470,$C$5:$AU$511,28,)/VLOOKUP($D470,$C$5:$AU$511,3,))*$E470)</f>
        <v>0</v>
      </c>
      <c r="AE470" s="66">
        <f>IF(VLOOKUP($D470,$C$5:$AU$511,3,)=0,0,(VLOOKUP($D470,$C$5:$AU$511,29,)/VLOOKUP($D470,$C$5:$AU$511,3,))*$E470)</f>
        <v>0</v>
      </c>
      <c r="AF470" s="66">
        <f>IF(VLOOKUP($D470,$C$5:$AU$511,3,)=0,0,(VLOOKUP($D470,$C$5:$AU$511,30,)/VLOOKUP($D470,$C$5:$AU$511,3,))*$E470)</f>
        <v>0</v>
      </c>
      <c r="AG470" s="89">
        <f>SUM(F470:AF470)</f>
        <v>2245753.33</v>
      </c>
      <c r="AH470" s="27" t="str">
        <f t="shared" si="236"/>
        <v>ok</v>
      </c>
    </row>
    <row r="471" spans="1:34" x14ac:dyDescent="0.2">
      <c r="A471" s="14" t="s">
        <v>612</v>
      </c>
      <c r="C471" s="14" t="s">
        <v>630</v>
      </c>
      <c r="E471" s="89">
        <f t="shared" ref="E471:AF471" si="237">E469+E470</f>
        <v>2245753.33</v>
      </c>
      <c r="F471" s="89">
        <f t="shared" si="237"/>
        <v>1674726.3631307464</v>
      </c>
      <c r="G471" s="89">
        <f t="shared" si="237"/>
        <v>317.27688378324922</v>
      </c>
      <c r="H471" s="89">
        <f t="shared" si="237"/>
        <v>71.109269756813958</v>
      </c>
      <c r="I471" s="89">
        <f t="shared" si="237"/>
        <v>137646.83092876038</v>
      </c>
      <c r="J471" s="89">
        <f t="shared" si="237"/>
        <v>466.54937587273218</v>
      </c>
      <c r="K471" s="89">
        <f t="shared" si="237"/>
        <v>52779.759827722912</v>
      </c>
      <c r="L471" s="89">
        <f t="shared" si="237"/>
        <v>149980.30986615698</v>
      </c>
      <c r="M471" s="89">
        <f t="shared" si="237"/>
        <v>77046.789518729522</v>
      </c>
      <c r="N471" s="89">
        <f t="shared" si="237"/>
        <v>147370.08627883715</v>
      </c>
      <c r="O471" s="89">
        <f t="shared" si="237"/>
        <v>0</v>
      </c>
      <c r="P471" s="89">
        <f t="shared" si="237"/>
        <v>5348.2549196343598</v>
      </c>
      <c r="Q471" s="89">
        <f t="shared" si="237"/>
        <v>0</v>
      </c>
      <c r="R471" s="89">
        <f t="shared" si="237"/>
        <v>0</v>
      </c>
      <c r="S471" s="89">
        <f t="shared" si="237"/>
        <v>0</v>
      </c>
      <c r="T471" s="89">
        <f t="shared" si="237"/>
        <v>0</v>
      </c>
      <c r="U471" s="89">
        <f t="shared" si="237"/>
        <v>0</v>
      </c>
      <c r="V471" s="89">
        <f t="shared" si="237"/>
        <v>0</v>
      </c>
      <c r="W471" s="89">
        <f t="shared" si="237"/>
        <v>0</v>
      </c>
      <c r="X471" s="89">
        <f t="shared" si="237"/>
        <v>0</v>
      </c>
      <c r="Y471" s="89">
        <f t="shared" si="237"/>
        <v>0</v>
      </c>
      <c r="Z471" s="89">
        <f t="shared" si="237"/>
        <v>0</v>
      </c>
      <c r="AA471" s="89">
        <f t="shared" si="237"/>
        <v>0</v>
      </c>
      <c r="AB471" s="89">
        <f t="shared" si="237"/>
        <v>0</v>
      </c>
      <c r="AC471" s="89">
        <f t="shared" si="237"/>
        <v>0</v>
      </c>
      <c r="AD471" s="89">
        <f t="shared" si="237"/>
        <v>0</v>
      </c>
      <c r="AE471" s="89">
        <f t="shared" si="237"/>
        <v>0</v>
      </c>
      <c r="AF471" s="89">
        <f t="shared" si="237"/>
        <v>0</v>
      </c>
      <c r="AG471" s="89">
        <f>SUM(F471:AF471)</f>
        <v>2245753.33</v>
      </c>
      <c r="AH471" s="27" t="str">
        <f t="shared" si="236"/>
        <v>ok</v>
      </c>
    </row>
    <row r="472" spans="1:34" x14ac:dyDescent="0.2">
      <c r="A472" s="14" t="s">
        <v>636</v>
      </c>
      <c r="C472" s="14" t="s">
        <v>631</v>
      </c>
      <c r="D472" s="14" t="s">
        <v>630</v>
      </c>
      <c r="E472" s="48">
        <v>1</v>
      </c>
      <c r="F472" s="97">
        <f>IF(VLOOKUP($D472,$C$5:$AU$511,3,)=0,0,(VLOOKUP($D472,$C$5:$AU$511,4,)/VLOOKUP($D472,$C$5:$AU$511,3,))*$E472)</f>
        <v>0.74573032610431278</v>
      </c>
      <c r="G472" s="97">
        <f>IF(VLOOKUP($D472,$C$5:$AU$511,3,)=0,0,(VLOOKUP($D472,$C$5:$AU$511,5,)/VLOOKUP($D472,$C$5:$AU$511,3,))*$E472)</f>
        <v>1.4127859883135484E-4</v>
      </c>
      <c r="H472" s="97">
        <f>IF(VLOOKUP($D472,$C$5:$AU$511,3,)=0,0,(VLOOKUP($D472,$C$5:$AU$511,6,)/VLOOKUP($D472,$C$5:$AU$511,3,))*$E472)</f>
        <v>3.166388258536567E-5</v>
      </c>
      <c r="I472" s="97">
        <f>IF(VLOOKUP($D472,$C$5:$AU$511,3,)=0,0,(VLOOKUP($D472,$C$5:$AU$511,7,)/VLOOKUP($D472,$C$5:$AU$511,3,))*$E472)</f>
        <v>6.1292052466314445E-2</v>
      </c>
      <c r="J472" s="97">
        <f>IF(VLOOKUP($D472,$C$5:$AU$511,3,)=0,0,(VLOOKUP($D472,$C$5:$AU$511,8,)/VLOOKUP($D472,$C$5:$AU$511,3,))*$E472)</f>
        <v>2.0774738242188522E-4</v>
      </c>
      <c r="K472" s="97">
        <f>IF(VLOOKUP($D472,$C$5:$AU$511,3,)=0,0,(VLOOKUP($D472,$C$5:$AU$511,9,)/VLOOKUP($D472,$C$5:$AU$511,3,))*$E472)</f>
        <v>2.3502028972933957E-2</v>
      </c>
      <c r="L472" s="97">
        <f>IF(VLOOKUP($D472,$C$5:$AU$511,3,)=0,0,(VLOOKUP($D472,$C$5:$AU$511,10,)/VLOOKUP($D472,$C$5:$AU$511,3,))*$E472)</f>
        <v>6.6783964143629693E-2</v>
      </c>
      <c r="M472" s="97">
        <f>IF(VLOOKUP($D472,$C$5:$AU$511,3,)=0,0,(VLOOKUP($D472,$C$5:$AU$511,11,)/VLOOKUP($D472,$C$5:$AU$511,3,))*$E472)</f>
        <v>3.4307770354605027E-2</v>
      </c>
      <c r="N472" s="97">
        <f>IF(VLOOKUP($D472,$C$5:$AU$511,3,)=0,0,(VLOOKUP($D472,$C$5:$AU$511,12,)/VLOOKUP($D472,$C$5:$AU$511,3,))*$E472)</f>
        <v>6.5621671049169564E-2</v>
      </c>
      <c r="O472" s="97">
        <f>IF(VLOOKUP($D472,$C$5:$AU$511,3,)=0,0,(VLOOKUP($D472,$C$5:$AU$511,13,)/VLOOKUP($D472,$C$5:$AU$511,3,))*$E472)</f>
        <v>0</v>
      </c>
      <c r="P472" s="97">
        <f>IF(VLOOKUP($D472,$C$5:$AU$511,3,)=0,0,(VLOOKUP($D472,$C$5:$AU$511,14,)/VLOOKUP($D472,$C$5:$AU$511,3,))*$E472)</f>
        <v>2.3814970451961257E-3</v>
      </c>
      <c r="Q472" s="97">
        <f>IF(VLOOKUP($D472,$C$5:$AU$511,3,)=0,0,(VLOOKUP($D472,$C$5:$AU$511,15,)/VLOOKUP($D472,$C$5:$AU$511,3,))*$E472)</f>
        <v>0</v>
      </c>
      <c r="R472" s="97">
        <f>IF(VLOOKUP($D472,$C$5:$AU$511,3,)=0,0,(VLOOKUP($D472,$C$5:$AU$511,16,)/VLOOKUP($D472,$C$5:$AU$511,3,))*$E472)</f>
        <v>0</v>
      </c>
      <c r="S472" s="97">
        <f>IF(VLOOKUP($D472,$C$5:$AU$511,3,)=0,0,(VLOOKUP($D472,$C$5:$AU$511,17,)/VLOOKUP($D472,$C$5:$AU$511,3,))*$E472)</f>
        <v>0</v>
      </c>
      <c r="T472" s="97">
        <f>IF(VLOOKUP($D472,$C$5:$AU$511,3,)=0,0,(VLOOKUP($D472,$C$5:$AU$511,18,)/VLOOKUP($D472,$C$5:$AU$511,3,))*$E472)</f>
        <v>0</v>
      </c>
      <c r="U472" s="97">
        <f>IF(VLOOKUP($D472,$C$5:$AU$511,3,)=0,0,(VLOOKUP($D472,$C$5:$AU$511,19,)/VLOOKUP($D472,$C$5:$AU$511,3,))*$E472)</f>
        <v>0</v>
      </c>
      <c r="V472" s="97">
        <f>IF(VLOOKUP($D472,$C$5:$AU$511,3,)=0,0,(VLOOKUP($D472,$C$5:$AU$511,20,)/VLOOKUP($D472,$C$5:$AU$511,3,))*$E472)</f>
        <v>0</v>
      </c>
      <c r="W472" s="97">
        <f>IF(VLOOKUP($D472,$C$5:$AU$511,3,)=0,0,(VLOOKUP($D472,$C$5:$AU$511,21,)/VLOOKUP($D472,$C$5:$AU$511,3,))*$E472)</f>
        <v>0</v>
      </c>
      <c r="X472" s="97">
        <f>IF(VLOOKUP($D472,$C$5:$AU$511,3,)=0,0,(VLOOKUP($D472,$C$5:$AU$511,22,)/VLOOKUP($D472,$C$5:$AU$511,3,))*$E472)</f>
        <v>0</v>
      </c>
      <c r="Y472" s="97">
        <f>IF(VLOOKUP($D472,$C$5:$AU$511,3,)=0,0,(VLOOKUP($D472,$C$5:$AU$511,23,)/VLOOKUP($D472,$C$5:$AU$511,3,))*$E472)</f>
        <v>0</v>
      </c>
      <c r="Z472" s="97">
        <f>IF(VLOOKUP($D472,$C$5:$AU$511,3,)=0,0,(VLOOKUP($D472,$C$5:$AU$511,24,)/VLOOKUP($D472,$C$5:$AU$511,3,))*$E472)</f>
        <v>0</v>
      </c>
      <c r="AA472" s="97">
        <f>IF(VLOOKUP($D472,$C$5:$AU$511,3,)=0,0,(VLOOKUP($D472,$C$5:$AU$511,25,)/VLOOKUP($D472,$C$5:$AU$511,3,))*$E472)</f>
        <v>0</v>
      </c>
      <c r="AB472" s="97">
        <f>IF(VLOOKUP($D472,$C$5:$AU$511,3,)=0,0,(VLOOKUP($D472,$C$5:$AU$511,26,)/VLOOKUP($D472,$C$5:$AU$511,3,))*$E472)</f>
        <v>0</v>
      </c>
      <c r="AC472" s="97">
        <f>IF(VLOOKUP($D472,$C$5:$AU$511,3,)=0,0,(VLOOKUP($D472,$C$5:$AU$511,27,)/VLOOKUP($D472,$C$5:$AU$511,3,))*$E472)</f>
        <v>0</v>
      </c>
      <c r="AD472" s="97">
        <f>IF(VLOOKUP($D472,$C$5:$AU$511,3,)=0,0,(VLOOKUP($D472,$C$5:$AU$511,28,)/VLOOKUP($D472,$C$5:$AU$511,3,))*$E472)</f>
        <v>0</v>
      </c>
      <c r="AE472" s="97">
        <f>IF(VLOOKUP($D472,$C$5:$AU$511,3,)=0,0,(VLOOKUP($D472,$C$5:$AU$511,29,)/VLOOKUP($D472,$C$5:$AU$511,3,))*$E472)</f>
        <v>0</v>
      </c>
      <c r="AF472" s="97">
        <f>IF(VLOOKUP($D472,$C$5:$AU$511,3,)=0,0,(VLOOKUP($D472,$C$5:$AU$511,30,)/VLOOKUP($D472,$C$5:$AU$511,3,))*$E472)</f>
        <v>0</v>
      </c>
      <c r="AG472" s="97">
        <f>SUM(F472:AF472)</f>
        <v>1.0000000000000004</v>
      </c>
      <c r="AH472" s="27" t="str">
        <f t="shared" si="236"/>
        <v>ok</v>
      </c>
    </row>
    <row r="474" spans="1:34" x14ac:dyDescent="0.2">
      <c r="A474" s="25" t="s">
        <v>899</v>
      </c>
    </row>
    <row r="476" spans="1:34" x14ac:dyDescent="0.2">
      <c r="A476" s="14" t="s">
        <v>620</v>
      </c>
      <c r="C476" s="14" t="s">
        <v>621</v>
      </c>
      <c r="E476" s="49">
        <f>E446</f>
        <v>7712877.1732648918</v>
      </c>
      <c r="F476" s="49">
        <f t="shared" ref="F476:AF476" si="238">F446</f>
        <v>6432374.2714378173</v>
      </c>
      <c r="G476" s="49">
        <f t="shared" si="238"/>
        <v>1202.2386854980941</v>
      </c>
      <c r="H476" s="49">
        <f t="shared" si="238"/>
        <v>44301.183050179199</v>
      </c>
      <c r="I476" s="49">
        <f t="shared" si="238"/>
        <v>345635.37</v>
      </c>
      <c r="J476" s="49">
        <f t="shared" si="238"/>
        <v>44644.656237070703</v>
      </c>
      <c r="K476" s="49">
        <f t="shared" si="238"/>
        <v>110426.44600000001</v>
      </c>
      <c r="L476" s="49">
        <f t="shared" si="238"/>
        <v>305760.90500000003</v>
      </c>
      <c r="M476" s="49">
        <f t="shared" si="238"/>
        <v>142782.39000000001</v>
      </c>
      <c r="N476" s="49">
        <f t="shared" si="238"/>
        <v>270925.66399999999</v>
      </c>
      <c r="O476" s="49">
        <f t="shared" si="238"/>
        <v>0</v>
      </c>
      <c r="P476" s="49">
        <f t="shared" si="238"/>
        <v>14824.048854326677</v>
      </c>
      <c r="Q476" s="49">
        <f t="shared" si="238"/>
        <v>0</v>
      </c>
      <c r="R476" s="49">
        <f t="shared" si="238"/>
        <v>0</v>
      </c>
      <c r="S476" s="49">
        <f t="shared" si="238"/>
        <v>0</v>
      </c>
      <c r="T476" s="49">
        <f t="shared" si="238"/>
        <v>0</v>
      </c>
      <c r="U476" s="49">
        <f t="shared" si="238"/>
        <v>0</v>
      </c>
      <c r="V476" s="49">
        <f t="shared" si="238"/>
        <v>0</v>
      </c>
      <c r="W476" s="49">
        <f t="shared" si="238"/>
        <v>0</v>
      </c>
      <c r="X476" s="49">
        <f t="shared" si="238"/>
        <v>0</v>
      </c>
      <c r="Y476" s="49">
        <f t="shared" si="238"/>
        <v>0</v>
      </c>
      <c r="Z476" s="49">
        <f t="shared" si="238"/>
        <v>0</v>
      </c>
      <c r="AA476" s="49">
        <f t="shared" si="238"/>
        <v>0</v>
      </c>
      <c r="AB476" s="49">
        <f t="shared" si="238"/>
        <v>0</v>
      </c>
      <c r="AC476" s="49">
        <f t="shared" si="238"/>
        <v>0</v>
      </c>
      <c r="AD476" s="49">
        <f t="shared" si="238"/>
        <v>0</v>
      </c>
      <c r="AE476" s="49">
        <f t="shared" si="238"/>
        <v>0</v>
      </c>
      <c r="AF476" s="49">
        <f t="shared" si="238"/>
        <v>0</v>
      </c>
      <c r="AG476" s="89">
        <f>SUM(F476:AF476)</f>
        <v>7712877.1732648918</v>
      </c>
      <c r="AH476" s="27" t="str">
        <f>IF(ABS(E476-AG476)&lt;0.01,"ok","err")</f>
        <v>ok</v>
      </c>
    </row>
    <row r="477" spans="1:34" x14ac:dyDescent="0.2">
      <c r="A477" s="14" t="s">
        <v>619</v>
      </c>
      <c r="C477" s="14" t="s">
        <v>618</v>
      </c>
      <c r="D477" s="14" t="s">
        <v>621</v>
      </c>
      <c r="E477" s="48">
        <v>1</v>
      </c>
      <c r="F477" s="97">
        <f>IF(VLOOKUP($D477,$C$5:$AU$511,3,)=0,0,(VLOOKUP($D477,$C$5:$AU$511,4,)/VLOOKUP($D477,$C$5:$AU$511,3,))*$E477)</f>
        <v>0.83397856946747762</v>
      </c>
      <c r="G477" s="97">
        <f>IF(VLOOKUP($D477,$C$5:$AU$511,3,)=0,0,(VLOOKUP($D477,$C$5:$AU$511,5,)/VLOOKUP($D477,$C$5:$AU$511,3,))*$E477)</f>
        <v>1.5587421639040334E-4</v>
      </c>
      <c r="H477" s="97">
        <f>IF(VLOOKUP($D477,$C$5:$AU$511,3,)=0,0,(VLOOKUP($D477,$C$5:$AU$511,6,)/VLOOKUP($D477,$C$5:$AU$511,3,))*$E477)</f>
        <v>5.7437947026746606E-3</v>
      </c>
      <c r="I477" s="97">
        <f>IF(VLOOKUP($D477,$C$5:$AU$511,3,)=0,0,(VLOOKUP($D477,$C$5:$AU$511,7,)/VLOOKUP($D477,$C$5:$AU$511,3,))*$E477)</f>
        <v>4.4812767302722538E-2</v>
      </c>
      <c r="J477" s="97">
        <f>IF(VLOOKUP($D477,$C$5:$AU$511,3,)=0,0,(VLOOKUP($D477,$C$5:$AU$511,8,)/VLOOKUP($D477,$C$5:$AU$511,3,))*$E477)</f>
        <v>5.7883271357959979E-3</v>
      </c>
      <c r="K477" s="97">
        <f>IF(VLOOKUP($D477,$C$5:$AU$511,3,)=0,0,(VLOOKUP($D477,$C$5:$AU$511,9,)/VLOOKUP($D477,$C$5:$AU$511,3,))*$E477)</f>
        <v>1.4317153446027983E-2</v>
      </c>
      <c r="L477" s="97">
        <f>IF(VLOOKUP($D477,$C$5:$AU$511,3,)=0,0,(VLOOKUP($D477,$C$5:$AU$511,10,)/VLOOKUP($D477,$C$5:$AU$511,3,))*$E477)</f>
        <v>3.9642911216044976E-2</v>
      </c>
      <c r="M477" s="97">
        <f>IF(VLOOKUP($D477,$C$5:$AU$511,3,)=0,0,(VLOOKUP($D477,$C$5:$AU$511,11,)/VLOOKUP($D477,$C$5:$AU$511,3,))*$E477)</f>
        <v>1.8512208452498881E-2</v>
      </c>
      <c r="N477" s="97">
        <f>IF(VLOOKUP($D477,$C$5:$AU$511,3,)=0,0,(VLOOKUP($D477,$C$5:$AU$511,12,)/VLOOKUP($D477,$C$5:$AU$511,3,))*$E477)</f>
        <v>3.512640716477481E-2</v>
      </c>
      <c r="O477" s="97">
        <f>IF(VLOOKUP($D477,$C$5:$AU$511,3,)=0,0,(VLOOKUP($D477,$C$5:$AU$511,13,)/VLOOKUP($D477,$C$5:$AU$511,3,))*$E477)</f>
        <v>0</v>
      </c>
      <c r="P477" s="97">
        <f>IF(VLOOKUP($D477,$C$5:$AU$511,3,)=0,0,(VLOOKUP($D477,$C$5:$AU$511,14,)/VLOOKUP($D477,$C$5:$AU$511,3,))*$E477)</f>
        <v>1.9219868955921149E-3</v>
      </c>
      <c r="Q477" s="97">
        <f>IF(VLOOKUP($D477,$C$5:$AU$511,3,)=0,0,(VLOOKUP($D477,$C$5:$AU$511,15,)/VLOOKUP($D477,$C$5:$AU$511,3,))*$E477)</f>
        <v>0</v>
      </c>
      <c r="R477" s="97">
        <f>IF(VLOOKUP($D477,$C$5:$AU$511,3,)=0,0,(VLOOKUP($D477,$C$5:$AU$511,16,)/VLOOKUP($D477,$C$5:$AU$511,3,))*$E477)</f>
        <v>0</v>
      </c>
      <c r="S477" s="97">
        <f>IF(VLOOKUP($D477,$C$5:$AU$511,3,)=0,0,(VLOOKUP($D477,$C$5:$AU$511,17,)/VLOOKUP($D477,$C$5:$AU$511,3,))*$E477)</f>
        <v>0</v>
      </c>
      <c r="T477" s="97">
        <f>IF(VLOOKUP($D477,$C$5:$AU$511,3,)=0,0,(VLOOKUP($D477,$C$5:$AU$511,18,)/VLOOKUP($D477,$C$5:$AU$511,3,))*$E477)</f>
        <v>0</v>
      </c>
      <c r="U477" s="97">
        <f>IF(VLOOKUP($D477,$C$5:$AU$511,3,)=0,0,(VLOOKUP($D477,$C$5:$AU$511,19,)/VLOOKUP($D477,$C$5:$AU$511,3,))*$E477)</f>
        <v>0</v>
      </c>
      <c r="V477" s="97">
        <f>IF(VLOOKUP($D477,$C$5:$AU$511,3,)=0,0,(VLOOKUP($D477,$C$5:$AU$511,20,)/VLOOKUP($D477,$C$5:$AU$511,3,))*$E477)</f>
        <v>0</v>
      </c>
      <c r="W477" s="97">
        <f>IF(VLOOKUP($D477,$C$5:$AU$511,3,)=0,0,(VLOOKUP($D477,$C$5:$AU$511,21,)/VLOOKUP($D477,$C$5:$AU$511,3,))*$E477)</f>
        <v>0</v>
      </c>
      <c r="X477" s="97">
        <f>IF(VLOOKUP($D477,$C$5:$AU$511,3,)=0,0,(VLOOKUP($D477,$C$5:$AU$511,22,)/VLOOKUP($D477,$C$5:$AU$511,3,))*$E477)</f>
        <v>0</v>
      </c>
      <c r="Y477" s="97">
        <f>IF(VLOOKUP($D477,$C$5:$AU$511,3,)=0,0,(VLOOKUP($D477,$C$5:$AU$511,23,)/VLOOKUP($D477,$C$5:$AU$511,3,))*$E477)</f>
        <v>0</v>
      </c>
      <c r="Z477" s="97">
        <f>IF(VLOOKUP($D477,$C$5:$AU$511,3,)=0,0,(VLOOKUP($D477,$C$5:$AU$511,24,)/VLOOKUP($D477,$C$5:$AU$511,3,))*$E477)</f>
        <v>0</v>
      </c>
      <c r="AA477" s="97">
        <f>IF(VLOOKUP($D477,$C$5:$AU$511,3,)=0,0,(VLOOKUP($D477,$C$5:$AU$511,25,)/VLOOKUP($D477,$C$5:$AU$511,3,))*$E477)</f>
        <v>0</v>
      </c>
      <c r="AB477" s="97">
        <f>IF(VLOOKUP($D477,$C$5:$AU$511,3,)=0,0,(VLOOKUP($D477,$C$5:$AU$511,26,)/VLOOKUP($D477,$C$5:$AU$511,3,))*$E477)</f>
        <v>0</v>
      </c>
      <c r="AC477" s="97">
        <f>IF(VLOOKUP($D477,$C$5:$AU$511,3,)=0,0,(VLOOKUP($D477,$C$5:$AU$511,27,)/VLOOKUP($D477,$C$5:$AU$511,3,))*$E477)</f>
        <v>0</v>
      </c>
      <c r="AD477" s="97">
        <f>IF(VLOOKUP($D477,$C$5:$AU$511,3,)=0,0,(VLOOKUP($D477,$C$5:$AU$511,28,)/VLOOKUP($D477,$C$5:$AU$511,3,))*$E477)</f>
        <v>0</v>
      </c>
      <c r="AE477" s="97">
        <f>IF(VLOOKUP($D477,$C$5:$AU$511,3,)=0,0,(VLOOKUP($D477,$C$5:$AU$511,29,)/VLOOKUP($D477,$C$5:$AU$511,3,))*$E477)</f>
        <v>0</v>
      </c>
      <c r="AF477" s="97">
        <f>IF(VLOOKUP($D477,$C$5:$AU$511,3,)=0,0,(VLOOKUP($D477,$C$5:$AU$511,30,)/VLOOKUP($D477,$C$5:$AU$511,3,))*$E477)</f>
        <v>0</v>
      </c>
      <c r="AG477" s="97">
        <f>SUM(F477:AF477)</f>
        <v>1</v>
      </c>
      <c r="AH477" s="27" t="str">
        <f>IF(ABS(E477-AG477)&lt;0.01,"ok","err")</f>
        <v>ok</v>
      </c>
    </row>
    <row r="479" spans="1:34" x14ac:dyDescent="0.2">
      <c r="A479" s="14" t="s">
        <v>650</v>
      </c>
      <c r="C479" s="14" t="s">
        <v>657</v>
      </c>
      <c r="E479" s="49">
        <v>2775660.5780490381</v>
      </c>
      <c r="F479" s="49">
        <f t="shared" ref="F479:Y479" si="239">F426</f>
        <v>2299702.2269583596</v>
      </c>
      <c r="G479" s="49">
        <f t="shared" si="239"/>
        <v>435.67855159021195</v>
      </c>
      <c r="H479" s="49">
        <f t="shared" si="239"/>
        <v>97.645889870285004</v>
      </c>
      <c r="I479" s="49">
        <f t="shared" si="239"/>
        <v>189013.99690685957</v>
      </c>
      <c r="J479" s="49">
        <f t="shared" si="239"/>
        <v>640.65668416111953</v>
      </c>
      <c r="K479" s="49">
        <f t="shared" si="239"/>
        <v>72476.157231583362</v>
      </c>
      <c r="L479" s="49">
        <f t="shared" si="239"/>
        <v>205950.09441084365</v>
      </c>
      <c r="M479" s="49">
        <v>0</v>
      </c>
      <c r="N479" s="49">
        <v>0</v>
      </c>
      <c r="O479" s="49">
        <v>0</v>
      </c>
      <c r="P479" s="49">
        <f t="shared" si="239"/>
        <v>7344.121415770609</v>
      </c>
      <c r="Q479" s="49">
        <f t="shared" si="239"/>
        <v>0</v>
      </c>
      <c r="R479" s="49">
        <f t="shared" si="239"/>
        <v>0</v>
      </c>
      <c r="S479" s="49">
        <f t="shared" si="239"/>
        <v>0</v>
      </c>
      <c r="T479" s="49">
        <f t="shared" si="239"/>
        <v>0</v>
      </c>
      <c r="U479" s="49">
        <f t="shared" si="239"/>
        <v>0</v>
      </c>
      <c r="V479" s="49">
        <f t="shared" si="239"/>
        <v>0</v>
      </c>
      <c r="W479" s="49">
        <f t="shared" si="239"/>
        <v>0</v>
      </c>
      <c r="X479" s="49">
        <f t="shared" si="239"/>
        <v>0</v>
      </c>
      <c r="Y479" s="49">
        <f t="shared" si="239"/>
        <v>0</v>
      </c>
      <c r="Z479" s="49">
        <f>Z426</f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f>AF426</f>
        <v>0</v>
      </c>
      <c r="AG479" s="89">
        <f>SUM(F479:AF479)</f>
        <v>2775660.5780490381</v>
      </c>
      <c r="AH479" s="27" t="str">
        <f t="shared" ref="AH479:AH484" si="240">IF(ABS(E479-AG479)&lt;0.01,"ok","err")</f>
        <v>ok</v>
      </c>
    </row>
    <row r="480" spans="1:34" x14ac:dyDescent="0.2">
      <c r="A480" s="14" t="s">
        <v>651</v>
      </c>
      <c r="E480" s="89">
        <f>E123</f>
        <v>34332679.475331917</v>
      </c>
      <c r="M480" s="274"/>
      <c r="N480" s="274"/>
      <c r="O480" s="274"/>
      <c r="AG480" s="89">
        <f>E480</f>
        <v>34332679.475331917</v>
      </c>
      <c r="AH480" s="27" t="str">
        <f t="shared" si="240"/>
        <v>ok</v>
      </c>
    </row>
    <row r="481" spans="1:41" x14ac:dyDescent="0.2">
      <c r="A481" s="14" t="s">
        <v>594</v>
      </c>
      <c r="E481" s="66">
        <v>5251502</v>
      </c>
      <c r="H481" s="49"/>
      <c r="I481" s="49"/>
      <c r="J481" s="49"/>
      <c r="K481" s="49"/>
      <c r="L481" s="49"/>
      <c r="M481" s="49">
        <f>'Purchased Power'!P194</f>
        <v>1273361.2000000002</v>
      </c>
      <c r="N481" s="49">
        <f>'Purchased Power'!P199</f>
        <v>2614708.2000000002</v>
      </c>
      <c r="O481" s="49">
        <f>'Purchased Power'!P209</f>
        <v>1363432.5999999999</v>
      </c>
      <c r="P481" s="47">
        <v>0</v>
      </c>
      <c r="Q481" s="47">
        <v>0</v>
      </c>
      <c r="R481" s="49">
        <v>0</v>
      </c>
      <c r="S481" s="14">
        <v>0</v>
      </c>
      <c r="Y481" s="49">
        <v>0</v>
      </c>
      <c r="AA481" s="47">
        <v>0</v>
      </c>
      <c r="AB481" s="49">
        <v>0</v>
      </c>
      <c r="AC481" s="49">
        <v>0</v>
      </c>
      <c r="AD481" s="47">
        <v>0</v>
      </c>
      <c r="AE481" s="47"/>
      <c r="AG481" s="89">
        <f>SUM(F481:AF481)</f>
        <v>5251502</v>
      </c>
      <c r="AH481" s="27" t="str">
        <f t="shared" si="240"/>
        <v>ok</v>
      </c>
    </row>
    <row r="482" spans="1:41" x14ac:dyDescent="0.2">
      <c r="A482" s="14" t="s">
        <v>652</v>
      </c>
      <c r="D482" s="14" t="s">
        <v>657</v>
      </c>
      <c r="E482" s="89">
        <f>E480-E481</f>
        <v>29081177.475331917</v>
      </c>
      <c r="F482" s="66">
        <f>IF(VLOOKUP($D482,$C$5:$AU$511,3,)=0,0,(VLOOKUP($D482,$C$5:$AU$511,4,)/VLOOKUP($D482,$C$5:$AU$511,3,))*$E482)</f>
        <v>24094462.100837804</v>
      </c>
      <c r="G482" s="66">
        <f>IF(VLOOKUP($D482,$C$5:$AU$511,3,)=0,0,(VLOOKUP($D482,$C$5:$AU$511,5,)/VLOOKUP($D482,$C$5:$AU$511,3,))*$E482)</f>
        <v>4564.6954750843688</v>
      </c>
      <c r="H482" s="66">
        <f>IF(VLOOKUP($D482,$C$5:$AU$511,3,)=0,0,(VLOOKUP($D482,$C$5:$AU$511,6,)/VLOOKUP($D482,$C$5:$AU$511,3,))*$E482)</f>
        <v>1023.0564484402547</v>
      </c>
      <c r="I482" s="66">
        <f>IF(VLOOKUP($D482,$C$5:$AU$511,3,)=0,0,(VLOOKUP($D482,$C$5:$AU$511,7,)/VLOOKUP($D482,$C$5:$AU$511,3,))*$E482)</f>
        <v>1980339.2507140725</v>
      </c>
      <c r="J482" s="66">
        <f>IF(VLOOKUP($D482,$C$5:$AU$511,3,)=0,0,(VLOOKUP($D482,$C$5:$AU$511,8,)/VLOOKUP($D482,$C$5:$AU$511,3,))*$E482)</f>
        <v>6712.2943202020097</v>
      </c>
      <c r="K482" s="66">
        <f>IF(VLOOKUP($D482,$C$5:$AU$511,3,)=0,0,(VLOOKUP($D482,$C$5:$AU$511,9,)/VLOOKUP($D482,$C$5:$AU$511,3,))*$E482)</f>
        <v>759347.88563491986</v>
      </c>
      <c r="L482" s="66">
        <f>IF(VLOOKUP($D482,$C$5:$AU$511,3,)=0,0,(VLOOKUP($D482,$C$5:$AU$511,10,)/VLOOKUP($D482,$C$5:$AU$511,3,))*$E482)</f>
        <v>2157782.2929750509</v>
      </c>
      <c r="M482" s="66">
        <f>IF(VLOOKUP($D482,$C$5:$AU$511,3,)=0,0,(VLOOKUP($D482,$C$5:$AU$511,11,)/VLOOKUP($D482,$C$5:$AU$511,3,))*$E482)</f>
        <v>0</v>
      </c>
      <c r="N482" s="66">
        <f>IF(VLOOKUP($D482,$C$5:$AU$511,3,)=0,0,(VLOOKUP($D482,$C$5:$AU$511,12,)/VLOOKUP($D482,$C$5:$AU$511,3,))*$E482)</f>
        <v>0</v>
      </c>
      <c r="O482" s="66">
        <f>IF(VLOOKUP($D482,$C$5:$AU$511,3,)=0,0,(VLOOKUP($D482,$C$5:$AU$511,13,)/VLOOKUP($D482,$C$5:$AU$511,3,))*$E482)</f>
        <v>0</v>
      </c>
      <c r="P482" s="66">
        <f>IF(VLOOKUP($D482,$C$5:$AU$511,3,)=0,0,(VLOOKUP($D482,$C$5:$AU$511,14,)/VLOOKUP($D482,$C$5:$AU$511,3,))*$E482)</f>
        <v>76945.898926348382</v>
      </c>
      <c r="Q482" s="66">
        <f>IF(VLOOKUP($D482,$C$5:$AU$511,3,)=0,0,(VLOOKUP($D482,$C$5:$AU$511,15,)/VLOOKUP($D482,$C$5:$AU$511,3,))*$E482)</f>
        <v>0</v>
      </c>
      <c r="R482" s="66">
        <f>IF(VLOOKUP($D482,$C$5:$AU$511,3,)=0,0,(VLOOKUP($D482,$C$5:$AU$511,16,)/VLOOKUP($D482,$C$5:$AU$511,3,))*$E482)</f>
        <v>0</v>
      </c>
      <c r="S482" s="66">
        <f>IF(VLOOKUP($D482,$C$5:$AU$511,3,)=0,0,(VLOOKUP($D482,$C$5:$AU$511,17,)/VLOOKUP($D482,$C$5:$AU$511,3,))*$E482)</f>
        <v>0</v>
      </c>
      <c r="T482" s="66">
        <f>IF(VLOOKUP($D482,$C$5:$AU$511,3,)=0,0,(VLOOKUP($D482,$C$5:$AU$511,18,)/VLOOKUP($D482,$C$5:$AU$511,3,))*$E482)</f>
        <v>0</v>
      </c>
      <c r="U482" s="66">
        <f>IF(VLOOKUP($D482,$C$5:$AU$511,3,)=0,0,(VLOOKUP($D482,$C$5:$AU$511,19,)/VLOOKUP($D482,$C$5:$AU$511,3,))*$E482)</f>
        <v>0</v>
      </c>
      <c r="V482" s="66">
        <f>IF(VLOOKUP($D482,$C$5:$AU$511,3,)=0,0,(VLOOKUP($D482,$C$5:$AU$511,20,)/VLOOKUP($D482,$C$5:$AU$511,3,))*$E482)</f>
        <v>0</v>
      </c>
      <c r="W482" s="66">
        <f>IF(VLOOKUP($D482,$C$5:$AU$511,3,)=0,0,(VLOOKUP($D482,$C$5:$AU$511,21,)/VLOOKUP($D482,$C$5:$AU$511,3,))*$E482)</f>
        <v>0</v>
      </c>
      <c r="X482" s="66">
        <f>IF(VLOOKUP($D482,$C$5:$AU$511,3,)=0,0,(VLOOKUP($D482,$C$5:$AU$511,22,)/VLOOKUP($D482,$C$5:$AU$511,3,))*$E482)</f>
        <v>0</v>
      </c>
      <c r="Y482" s="66">
        <f>IF(VLOOKUP($D482,$C$5:$AU$511,3,)=0,0,(VLOOKUP($D482,$C$5:$AU$511,23,)/VLOOKUP($D482,$C$5:$AU$511,3,))*$E482)</f>
        <v>0</v>
      </c>
      <c r="Z482" s="66">
        <f>IF(VLOOKUP($D482,$C$5:$AU$511,3,)=0,0,(VLOOKUP($D482,$C$5:$AU$511,24,)/VLOOKUP($D482,$C$5:$AU$511,3,))*$E482)</f>
        <v>0</v>
      </c>
      <c r="AA482" s="66">
        <f>IF(VLOOKUP($D482,$C$5:$AU$511,3,)=0,0,(VLOOKUP($D482,$C$5:$AU$511,25,)/VLOOKUP($D482,$C$5:$AU$511,3,))*$E482)</f>
        <v>0</v>
      </c>
      <c r="AB482" s="66">
        <f>IF(VLOOKUP($D482,$C$5:$AU$511,3,)=0,0,(VLOOKUP($D482,$C$5:$AU$511,26,)/VLOOKUP($D482,$C$5:$AU$511,3,))*$E482)</f>
        <v>0</v>
      </c>
      <c r="AC482" s="66">
        <f>IF(VLOOKUP($D482,$C$5:$AU$511,3,)=0,0,(VLOOKUP($D482,$C$5:$AU$511,27,)/VLOOKUP($D482,$C$5:$AU$511,3,))*$E482)</f>
        <v>0</v>
      </c>
      <c r="AD482" s="66">
        <f>IF(VLOOKUP($D482,$C$5:$AU$511,3,)=0,0,(VLOOKUP($D482,$C$5:$AU$511,28,)/VLOOKUP($D482,$C$5:$AU$511,3,))*$E482)</f>
        <v>0</v>
      </c>
      <c r="AE482" s="66">
        <f>IF(VLOOKUP($D482,$C$5:$AU$511,3,)=0,0,(VLOOKUP($D482,$C$5:$AU$511,29,)/VLOOKUP($D482,$C$5:$AU$511,3,))*$E482)</f>
        <v>0</v>
      </c>
      <c r="AF482" s="66">
        <f>IF(VLOOKUP($D482,$C$5:$AU$511,3,)=0,0,(VLOOKUP($D482,$C$5:$AU$511,30,)/VLOOKUP($D482,$C$5:$AU$511,3,))*$E482)</f>
        <v>0</v>
      </c>
      <c r="AG482" s="89">
        <f>SUM(F482:AF482)</f>
        <v>29081177.475331921</v>
      </c>
      <c r="AH482" s="27" t="str">
        <f t="shared" si="240"/>
        <v>ok</v>
      </c>
    </row>
    <row r="483" spans="1:41" x14ac:dyDescent="0.2">
      <c r="A483" s="14" t="s">
        <v>653</v>
      </c>
      <c r="C483" s="14" t="s">
        <v>655</v>
      </c>
      <c r="E483" s="89">
        <f t="shared" ref="E483:AF483" si="241">E481+E482</f>
        <v>34332679.475331917</v>
      </c>
      <c r="F483" s="89">
        <f t="shared" si="241"/>
        <v>24094462.100837804</v>
      </c>
      <c r="G483" s="89">
        <f t="shared" si="241"/>
        <v>4564.6954750843688</v>
      </c>
      <c r="H483" s="89">
        <f t="shared" si="241"/>
        <v>1023.0564484402547</v>
      </c>
      <c r="I483" s="89">
        <f t="shared" si="241"/>
        <v>1980339.2507140725</v>
      </c>
      <c r="J483" s="89">
        <f t="shared" si="241"/>
        <v>6712.2943202020097</v>
      </c>
      <c r="K483" s="89">
        <f t="shared" ref="K483" si="242">K481+K482</f>
        <v>759347.88563491986</v>
      </c>
      <c r="L483" s="89">
        <f t="shared" ref="L483" si="243">L481+L482</f>
        <v>2157782.2929750509</v>
      </c>
      <c r="M483" s="276">
        <f t="shared" si="241"/>
        <v>1273361.2000000002</v>
      </c>
      <c r="N483" s="276">
        <f t="shared" si="241"/>
        <v>2614708.2000000002</v>
      </c>
      <c r="O483" s="276">
        <f t="shared" si="241"/>
        <v>1363432.5999999999</v>
      </c>
      <c r="P483" s="89">
        <f t="shared" si="241"/>
        <v>76945.898926348382</v>
      </c>
      <c r="Q483" s="89">
        <f t="shared" si="241"/>
        <v>0</v>
      </c>
      <c r="R483" s="89">
        <f t="shared" si="241"/>
        <v>0</v>
      </c>
      <c r="S483" s="89">
        <f t="shared" si="241"/>
        <v>0</v>
      </c>
      <c r="T483" s="89">
        <f t="shared" si="241"/>
        <v>0</v>
      </c>
      <c r="U483" s="89">
        <f t="shared" si="241"/>
        <v>0</v>
      </c>
      <c r="V483" s="89">
        <f t="shared" si="241"/>
        <v>0</v>
      </c>
      <c r="W483" s="89">
        <f t="shared" si="241"/>
        <v>0</v>
      </c>
      <c r="X483" s="89">
        <f t="shared" si="241"/>
        <v>0</v>
      </c>
      <c r="Y483" s="89">
        <f t="shared" si="241"/>
        <v>0</v>
      </c>
      <c r="Z483" s="89">
        <f t="shared" si="241"/>
        <v>0</v>
      </c>
      <c r="AA483" s="89">
        <f t="shared" si="241"/>
        <v>0</v>
      </c>
      <c r="AB483" s="89">
        <f t="shared" si="241"/>
        <v>0</v>
      </c>
      <c r="AC483" s="89">
        <f t="shared" si="241"/>
        <v>0</v>
      </c>
      <c r="AD483" s="89">
        <f t="shared" si="241"/>
        <v>0</v>
      </c>
      <c r="AE483" s="89">
        <f t="shared" si="241"/>
        <v>0</v>
      </c>
      <c r="AF483" s="89">
        <f t="shared" si="241"/>
        <v>0</v>
      </c>
      <c r="AG483" s="89">
        <f>SUM(F483:AF483)</f>
        <v>34332679.475331917</v>
      </c>
      <c r="AH483" s="27" t="str">
        <f t="shared" si="240"/>
        <v>ok</v>
      </c>
    </row>
    <row r="484" spans="1:41" x14ac:dyDescent="0.2">
      <c r="A484" s="14" t="s">
        <v>654</v>
      </c>
      <c r="C484" s="14" t="s">
        <v>656</v>
      </c>
      <c r="D484" s="14" t="s">
        <v>655</v>
      </c>
      <c r="E484" s="48">
        <v>1</v>
      </c>
      <c r="F484" s="97">
        <f>IF(VLOOKUP($D484,$C$5:$AU$511,3,)=0,0,(VLOOKUP($D484,$C$5:$AU$511,4,)/VLOOKUP($D484,$C$5:$AU$511,3,))*$E484)</f>
        <v>0.70179381478657121</v>
      </c>
      <c r="G484" s="97">
        <f>IF(VLOOKUP($D484,$C$5:$AU$511,3,)=0,0,(VLOOKUP($D484,$C$5:$AU$511,5,)/VLOOKUP($D484,$C$5:$AU$511,3,))*$E484)</f>
        <v>1.3295482743676064E-4</v>
      </c>
      <c r="H484" s="97">
        <f>IF(VLOOKUP($D484,$C$5:$AU$511,3,)=0,0,(VLOOKUP($D484,$C$5:$AU$511,6,)/VLOOKUP($D484,$C$5:$AU$511,3,))*$E484)</f>
        <v>2.9798328125695006E-5</v>
      </c>
      <c r="I484" s="97">
        <f>IF(VLOOKUP($D484,$C$5:$AU$511,3,)=0,0,(VLOOKUP($D484,$C$5:$AU$511,7,)/VLOOKUP($D484,$C$5:$AU$511,3,))*$E484)</f>
        <v>5.7680882499629813E-2</v>
      </c>
      <c r="J484" s="97">
        <f>IF(VLOOKUP($D484,$C$5:$AU$511,3,)=0,0,(VLOOKUP($D484,$C$5:$AU$511,8,)/VLOOKUP($D484,$C$5:$AU$511,3,))*$E484)</f>
        <v>1.9550744138757955E-4</v>
      </c>
      <c r="K484" s="97">
        <f>IF(VLOOKUP($D484,$C$5:$AU$511,3,)=0,0,(VLOOKUP($D484,$C$5:$AU$511,9,)/VLOOKUP($D484,$C$5:$AU$511,3,))*$E484)</f>
        <v>2.2117349919644706E-2</v>
      </c>
      <c r="L484" s="97">
        <f>IF(VLOOKUP($D484,$C$5:$AU$511,3,)=0,0,(VLOOKUP($D484,$C$5:$AU$511,10,)/VLOOKUP($D484,$C$5:$AU$511,3,))*$E484)</f>
        <v>6.2849224876998622E-2</v>
      </c>
      <c r="M484" s="97">
        <f>IF(VLOOKUP($D484,$C$5:$AU$511,3,)=0,0,(VLOOKUP($D484,$C$5:$AU$511,11,)/VLOOKUP($D484,$C$5:$AU$511,3,))*$E484)</f>
        <v>3.7088896627334667E-2</v>
      </c>
      <c r="N484" s="97">
        <f>IF(VLOOKUP($D484,$C$5:$AU$511,3,)=0,0,(VLOOKUP($D484,$C$5:$AU$511,12,)/VLOOKUP($D484,$C$5:$AU$511,3,))*$E484)</f>
        <v>7.6157999898571041E-2</v>
      </c>
      <c r="O484" s="97">
        <f>IF(VLOOKUP($D484,$C$5:$AU$511,3,)=0,0,(VLOOKUP($D484,$C$5:$AU$511,13,)/VLOOKUP($D484,$C$5:$AU$511,3,))*$E484)</f>
        <v>3.9712385425076664E-2</v>
      </c>
      <c r="P484" s="97">
        <f>IF(VLOOKUP($D484,$C$5:$AU$511,3,)=0,0,(VLOOKUP($D484,$C$5:$AU$511,14,)/VLOOKUP($D484,$C$5:$AU$511,3,))*$E484)</f>
        <v>2.2411853692233408E-3</v>
      </c>
      <c r="Q484" s="97">
        <f>IF(VLOOKUP($D484,$C$5:$AU$511,3,)=0,0,(VLOOKUP($D484,$C$5:$AU$511,15,)/VLOOKUP($D484,$C$5:$AU$511,3,))*$E484)</f>
        <v>0</v>
      </c>
      <c r="R484" s="97">
        <f>IF(VLOOKUP($D484,$C$5:$AU$511,3,)=0,0,(VLOOKUP($D484,$C$5:$AU$511,16,)/VLOOKUP($D484,$C$5:$AU$511,3,))*$E484)</f>
        <v>0</v>
      </c>
      <c r="S484" s="97">
        <f>IF(VLOOKUP($D484,$C$5:$AU$511,3,)=0,0,(VLOOKUP($D484,$C$5:$AU$511,17,)/VLOOKUP($D484,$C$5:$AU$511,3,))*$E484)</f>
        <v>0</v>
      </c>
      <c r="T484" s="97">
        <f>IF(VLOOKUP($D484,$C$5:$AU$511,3,)=0,0,(VLOOKUP($D484,$C$5:$AU$511,18,)/VLOOKUP($D484,$C$5:$AU$511,3,))*$E484)</f>
        <v>0</v>
      </c>
      <c r="U484" s="97">
        <f>IF(VLOOKUP($D484,$C$5:$AU$511,3,)=0,0,(VLOOKUP($D484,$C$5:$AU$511,19,)/VLOOKUP($D484,$C$5:$AU$511,3,))*$E484)</f>
        <v>0</v>
      </c>
      <c r="V484" s="97">
        <f>IF(VLOOKUP($D484,$C$5:$AU$511,3,)=0,0,(VLOOKUP($D484,$C$5:$AU$511,20,)/VLOOKUP($D484,$C$5:$AU$511,3,))*$E484)</f>
        <v>0</v>
      </c>
      <c r="W484" s="97">
        <f>IF(VLOOKUP($D484,$C$5:$AU$511,3,)=0,0,(VLOOKUP($D484,$C$5:$AU$511,21,)/VLOOKUP($D484,$C$5:$AU$511,3,))*$E484)</f>
        <v>0</v>
      </c>
      <c r="X484" s="97">
        <f>IF(VLOOKUP($D484,$C$5:$AU$511,3,)=0,0,(VLOOKUP($D484,$C$5:$AU$511,22,)/VLOOKUP($D484,$C$5:$AU$511,3,))*$E484)</f>
        <v>0</v>
      </c>
      <c r="Y484" s="97">
        <f>IF(VLOOKUP($D484,$C$5:$AU$511,3,)=0,0,(VLOOKUP($D484,$C$5:$AU$511,23,)/VLOOKUP($D484,$C$5:$AU$511,3,))*$E484)</f>
        <v>0</v>
      </c>
      <c r="Z484" s="97">
        <f>IF(VLOOKUP($D484,$C$5:$AU$511,3,)=0,0,(VLOOKUP($D484,$C$5:$AU$511,24,)/VLOOKUP($D484,$C$5:$AU$511,3,))*$E484)</f>
        <v>0</v>
      </c>
      <c r="AA484" s="97">
        <f>IF(VLOOKUP($D484,$C$5:$AU$511,3,)=0,0,(VLOOKUP($D484,$C$5:$AU$511,25,)/VLOOKUP($D484,$C$5:$AU$511,3,))*$E484)</f>
        <v>0</v>
      </c>
      <c r="AB484" s="97">
        <f>IF(VLOOKUP($D484,$C$5:$AU$511,3,)=0,0,(VLOOKUP($D484,$C$5:$AU$511,26,)/VLOOKUP($D484,$C$5:$AU$511,3,))*$E484)</f>
        <v>0</v>
      </c>
      <c r="AC484" s="97">
        <f>IF(VLOOKUP($D484,$C$5:$AU$511,3,)=0,0,(VLOOKUP($D484,$C$5:$AU$511,27,)/VLOOKUP($D484,$C$5:$AU$511,3,))*$E484)</f>
        <v>0</v>
      </c>
      <c r="AD484" s="97">
        <f>IF(VLOOKUP($D484,$C$5:$AU$511,3,)=0,0,(VLOOKUP($D484,$C$5:$AU$511,28,)/VLOOKUP($D484,$C$5:$AU$511,3,))*$E484)</f>
        <v>0</v>
      </c>
      <c r="AE484" s="97">
        <f>IF(VLOOKUP($D484,$C$5:$AU$511,3,)=0,0,(VLOOKUP($D484,$C$5:$AU$511,29,)/VLOOKUP($D484,$C$5:$AU$511,3,))*$E484)</f>
        <v>0</v>
      </c>
      <c r="AF484" s="97">
        <f>IF(VLOOKUP($D484,$C$5:$AU$511,3,)=0,0,(VLOOKUP($D484,$C$5:$AU$511,30,)/VLOOKUP($D484,$C$5:$AU$511,3,))*$E484)</f>
        <v>0</v>
      </c>
      <c r="AG484" s="97">
        <f>SUM(F484:AF484)</f>
        <v>1.0000000000000002</v>
      </c>
      <c r="AH484" s="27" t="str">
        <f t="shared" si="240"/>
        <v>ok</v>
      </c>
    </row>
    <row r="485" spans="1:41" x14ac:dyDescent="0.2">
      <c r="E485" s="48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27"/>
    </row>
    <row r="486" spans="1:41" x14ac:dyDescent="0.2">
      <c r="A486" s="14" t="s">
        <v>658</v>
      </c>
      <c r="C486" s="14" t="s">
        <v>663</v>
      </c>
      <c r="E486" s="49">
        <v>1088597733</v>
      </c>
      <c r="F486" s="49">
        <f t="shared" ref="F486:AF486" si="244">F413</f>
        <v>842884819</v>
      </c>
      <c r="G486" s="49">
        <f t="shared" si="244"/>
        <v>157760</v>
      </c>
      <c r="H486" s="49">
        <f t="shared" si="244"/>
        <v>212575</v>
      </c>
      <c r="I486" s="49">
        <f t="shared" si="244"/>
        <v>82360082</v>
      </c>
      <c r="J486" s="49">
        <f t="shared" si="244"/>
        <v>1396110</v>
      </c>
      <c r="K486" s="49">
        <f t="shared" si="244"/>
        <v>36945673</v>
      </c>
      <c r="L486" s="49">
        <f t="shared" si="244"/>
        <v>119234589</v>
      </c>
      <c r="M486" s="49">
        <v>0</v>
      </c>
      <c r="N486" s="49">
        <v>0</v>
      </c>
      <c r="O486" s="49">
        <v>0</v>
      </c>
      <c r="P486" s="49">
        <f t="shared" si="244"/>
        <v>5406125</v>
      </c>
      <c r="Q486" s="49">
        <f t="shared" si="244"/>
        <v>0</v>
      </c>
      <c r="R486" s="49">
        <f t="shared" si="244"/>
        <v>0</v>
      </c>
      <c r="S486" s="49">
        <f>S413</f>
        <v>0</v>
      </c>
      <c r="T486" s="49">
        <f>T413</f>
        <v>0</v>
      </c>
      <c r="U486" s="49">
        <f t="shared" si="244"/>
        <v>0</v>
      </c>
      <c r="V486" s="49">
        <f t="shared" si="244"/>
        <v>0</v>
      </c>
      <c r="W486" s="49">
        <f t="shared" si="244"/>
        <v>0</v>
      </c>
      <c r="X486" s="49">
        <f t="shared" si="244"/>
        <v>0</v>
      </c>
      <c r="Y486" s="49">
        <f t="shared" si="244"/>
        <v>0</v>
      </c>
      <c r="Z486" s="49">
        <f t="shared" si="244"/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f t="shared" si="244"/>
        <v>0</v>
      </c>
      <c r="AG486" s="89">
        <f>SUM(F486:AF486)</f>
        <v>1088597733</v>
      </c>
      <c r="AH486" s="27" t="str">
        <f t="shared" ref="AH486:AH491" si="245">IF(ABS(E486-AG486)&lt;0.01,"ok","err")</f>
        <v>ok</v>
      </c>
    </row>
    <row r="487" spans="1:41" x14ac:dyDescent="0.2">
      <c r="A487" s="14" t="s">
        <v>659</v>
      </c>
      <c r="E487" s="89">
        <f>E124</f>
        <v>85477779.524668083</v>
      </c>
      <c r="M487" s="274"/>
      <c r="N487" s="274"/>
      <c r="O487" s="274"/>
      <c r="AG487" s="89">
        <f>E487</f>
        <v>85477779.524668083</v>
      </c>
      <c r="AH487" s="27" t="str">
        <f t="shared" si="245"/>
        <v>ok</v>
      </c>
    </row>
    <row r="488" spans="1:41" x14ac:dyDescent="0.2">
      <c r="A488" s="14" t="s">
        <v>594</v>
      </c>
      <c r="E488" s="66">
        <v>16004279</v>
      </c>
      <c r="F488" s="49"/>
      <c r="G488" s="49"/>
      <c r="H488" s="49"/>
      <c r="I488" s="49"/>
      <c r="J488" s="49"/>
      <c r="K488" s="49"/>
      <c r="L488" s="49"/>
      <c r="M488" s="49">
        <f>'Purchased Power'!P195</f>
        <v>3821530.8</v>
      </c>
      <c r="N488" s="49">
        <f>'Purchased Power'!P200</f>
        <v>7343657.8000000007</v>
      </c>
      <c r="O488" s="49">
        <f>'Purchased Power'!P210</f>
        <v>4839090.3999999994</v>
      </c>
      <c r="P488" s="49">
        <v>0</v>
      </c>
      <c r="Q488" s="49">
        <v>0</v>
      </c>
      <c r="R488" s="49">
        <v>0</v>
      </c>
      <c r="S488" s="49">
        <v>0</v>
      </c>
      <c r="T488" s="49"/>
      <c r="U488" s="49"/>
      <c r="V488" s="49"/>
      <c r="W488" s="49"/>
      <c r="X488" s="49"/>
      <c r="Y488" s="49">
        <v>0</v>
      </c>
      <c r="Z488" s="49"/>
      <c r="AA488" s="49">
        <v>0</v>
      </c>
      <c r="AB488" s="49">
        <v>0</v>
      </c>
      <c r="AC488" s="49">
        <v>0</v>
      </c>
      <c r="AD488" s="49">
        <v>0</v>
      </c>
      <c r="AE488" s="49"/>
      <c r="AF488" s="49"/>
      <c r="AG488" s="89">
        <f>SUM(F488:AF488)</f>
        <v>16004279</v>
      </c>
      <c r="AH488" s="27" t="str">
        <f t="shared" si="245"/>
        <v>ok</v>
      </c>
    </row>
    <row r="489" spans="1:41" x14ac:dyDescent="0.2">
      <c r="A489" s="14" t="s">
        <v>660</v>
      </c>
      <c r="D489" s="14" t="s">
        <v>663</v>
      </c>
      <c r="E489" s="89">
        <f>E487-E488</f>
        <v>69473500.524668083</v>
      </c>
      <c r="F489" s="66">
        <f>IF(VLOOKUP($D489,$C$5:$AU$511,3,)=0,0,(VLOOKUP($D489,$C$5:$AU$511,4,)/VLOOKUP($D489,$C$5:$AU$511,3,))*$E489)</f>
        <v>53792284.459066808</v>
      </c>
      <c r="G489" s="66">
        <f>IF(VLOOKUP($D489,$C$5:$AU$511,3,)=0,0,(VLOOKUP($D489,$C$5:$AU$511,5,)/VLOOKUP($D489,$C$5:$AU$511,3,))*$E489)</f>
        <v>10068.126278903097</v>
      </c>
      <c r="H489" s="66">
        <f>IF(VLOOKUP($D489,$C$5:$AU$511,3,)=0,0,(VLOOKUP($D489,$C$5:$AU$511,6,)/VLOOKUP($D489,$C$5:$AU$511,3,))*$E489)</f>
        <v>13566.3789537134</v>
      </c>
      <c r="I489" s="66">
        <f>IF(VLOOKUP($D489,$C$5:$AU$511,3,)=0,0,(VLOOKUP($D489,$C$5:$AU$511,7,)/VLOOKUP($D489,$C$5:$AU$511,3,))*$E489)</f>
        <v>5256159.3934889315</v>
      </c>
      <c r="J489" s="66">
        <f>IF(VLOOKUP($D489,$C$5:$AU$511,3,)=0,0,(VLOOKUP($D489,$C$5:$AU$511,8,)/VLOOKUP($D489,$C$5:$AU$511,3,))*$E489)</f>
        <v>89098.705497207164</v>
      </c>
      <c r="K489" s="66">
        <f>IF(VLOOKUP($D489,$C$5:$AU$511,3,)=0,0,(VLOOKUP($D489,$C$5:$AU$511,9,)/VLOOKUP($D489,$C$5:$AU$511,3,))*$E489)</f>
        <v>2357845.4692131123</v>
      </c>
      <c r="L489" s="66">
        <f>IF(VLOOKUP($D489,$C$5:$AU$511,3,)=0,0,(VLOOKUP($D489,$C$5:$AU$511,10,)/VLOOKUP($D489,$C$5:$AU$511,3,))*$E489)</f>
        <v>7609463.1013254952</v>
      </c>
      <c r="M489" s="66">
        <f>IF(VLOOKUP($D489,$C$5:$AU$511,3,)=0,0,(VLOOKUP($D489,$C$5:$AU$511,11,)/VLOOKUP($D489,$C$5:$AU$511,3,))*$E489)</f>
        <v>0</v>
      </c>
      <c r="N489" s="66">
        <f>IF(VLOOKUP($D489,$C$5:$AU$511,3,)=0,0,(VLOOKUP($D489,$C$5:$AU$511,12,)/VLOOKUP($D489,$C$5:$AU$511,3,))*$E489)</f>
        <v>0</v>
      </c>
      <c r="O489" s="66">
        <f>IF(VLOOKUP($D489,$C$5:$AU$511,3,)=0,0,(VLOOKUP($D489,$C$5:$AU$511,13,)/VLOOKUP($D489,$C$5:$AU$511,3,))*$E489)</f>
        <v>0</v>
      </c>
      <c r="P489" s="66">
        <f>IF(VLOOKUP($D489,$C$5:$AU$511,3,)=0,0,(VLOOKUP($D489,$C$5:$AU$511,14,)/VLOOKUP($D489,$C$5:$AU$511,3,))*$E489)</f>
        <v>345014.89084390848</v>
      </c>
      <c r="Q489" s="66">
        <f>IF(VLOOKUP($D489,$C$5:$AU$511,3,)=0,0,(VLOOKUP($D489,$C$5:$AU$511,15,)/VLOOKUP($D489,$C$5:$AU$511,3,))*$E489)</f>
        <v>0</v>
      </c>
      <c r="R489" s="66">
        <f>IF(VLOOKUP($D489,$C$5:$AU$511,3,)=0,0,(VLOOKUP($D489,$C$5:$AU$511,16,)/VLOOKUP($D489,$C$5:$AU$511,3,))*$E489)</f>
        <v>0</v>
      </c>
      <c r="S489" s="66">
        <f>IF(VLOOKUP($D489,$C$5:$AU$511,3,)=0,0,(VLOOKUP($D489,$C$5:$AU$511,17,)/VLOOKUP($D489,$C$5:$AU$511,3,))*$E489)</f>
        <v>0</v>
      </c>
      <c r="T489" s="66">
        <f>IF(VLOOKUP($D489,$C$5:$AU$511,3,)=0,0,(VLOOKUP($D489,$C$5:$AU$511,18,)/VLOOKUP($D489,$C$5:$AU$511,3,))*$E489)</f>
        <v>0</v>
      </c>
      <c r="U489" s="66">
        <f>IF(VLOOKUP($D489,$C$5:$AU$511,3,)=0,0,(VLOOKUP($D489,$C$5:$AU$511,19,)/VLOOKUP($D489,$C$5:$AU$511,3,))*$E489)</f>
        <v>0</v>
      </c>
      <c r="V489" s="66">
        <f>IF(VLOOKUP($D489,$C$5:$AU$511,3,)=0,0,(VLOOKUP($D489,$C$5:$AU$511,20,)/VLOOKUP($D489,$C$5:$AU$511,3,))*$E489)</f>
        <v>0</v>
      </c>
      <c r="W489" s="66">
        <f>IF(VLOOKUP($D489,$C$5:$AU$511,3,)=0,0,(VLOOKUP($D489,$C$5:$AU$511,21,)/VLOOKUP($D489,$C$5:$AU$511,3,))*$E489)</f>
        <v>0</v>
      </c>
      <c r="X489" s="66">
        <f>IF(VLOOKUP($D489,$C$5:$AU$511,3,)=0,0,(VLOOKUP($D489,$C$5:$AU$511,22,)/VLOOKUP($D489,$C$5:$AU$511,3,))*$E489)</f>
        <v>0</v>
      </c>
      <c r="Y489" s="66">
        <f>IF(VLOOKUP($D489,$C$5:$AU$511,3,)=0,0,(VLOOKUP($D489,$C$5:$AU$511,23,)/VLOOKUP($D489,$C$5:$AU$511,3,))*$E489)</f>
        <v>0</v>
      </c>
      <c r="Z489" s="66">
        <f>IF(VLOOKUP($D489,$C$5:$AU$511,3,)=0,0,(VLOOKUP($D489,$C$5:$AU$511,24,)/VLOOKUP($D489,$C$5:$AU$511,3,))*$E489)</f>
        <v>0</v>
      </c>
      <c r="AA489" s="66">
        <f>IF(VLOOKUP($D489,$C$5:$AU$511,3,)=0,0,(VLOOKUP($D489,$C$5:$AU$511,25,)/VLOOKUP($D489,$C$5:$AU$511,3,))*$E489)</f>
        <v>0</v>
      </c>
      <c r="AB489" s="66">
        <f>IF(VLOOKUP($D489,$C$5:$AU$511,3,)=0,0,(VLOOKUP($D489,$C$5:$AU$511,26,)/VLOOKUP($D489,$C$5:$AU$511,3,))*$E489)</f>
        <v>0</v>
      </c>
      <c r="AC489" s="66">
        <f>IF(VLOOKUP($D489,$C$5:$AU$511,3,)=0,0,(VLOOKUP($D489,$C$5:$AU$511,27,)/VLOOKUP($D489,$C$5:$AU$511,3,))*$E489)</f>
        <v>0</v>
      </c>
      <c r="AD489" s="66">
        <f>IF(VLOOKUP($D489,$C$5:$AU$511,3,)=0,0,(VLOOKUP($D489,$C$5:$AU$511,28,)/VLOOKUP($D489,$C$5:$AU$511,3,))*$E489)</f>
        <v>0</v>
      </c>
      <c r="AE489" s="66">
        <f>IF(VLOOKUP($D489,$C$5:$AU$511,3,)=0,0,(VLOOKUP($D489,$C$5:$AU$511,29,)/VLOOKUP($D489,$C$5:$AU$511,3,))*$E489)</f>
        <v>0</v>
      </c>
      <c r="AF489" s="66">
        <f>IF(VLOOKUP($D489,$C$5:$AU$511,3,)=0,0,(VLOOKUP($D489,$C$5:$AU$511,30,)/VLOOKUP($D489,$C$5:$AU$511,3,))*$E489)</f>
        <v>0</v>
      </c>
      <c r="AG489" s="89">
        <f>SUM(F489:AF489)</f>
        <v>69473500.524668068</v>
      </c>
      <c r="AH489" s="27" t="str">
        <f t="shared" si="245"/>
        <v>ok</v>
      </c>
    </row>
    <row r="490" spans="1:41" x14ac:dyDescent="0.2">
      <c r="A490" s="14" t="s">
        <v>661</v>
      </c>
      <c r="C490" s="14" t="s">
        <v>664</v>
      </c>
      <c r="E490" s="89">
        <f t="shared" ref="E490:AF490" si="246">E488+E489</f>
        <v>85477779.524668083</v>
      </c>
      <c r="F490" s="89">
        <f t="shared" si="246"/>
        <v>53792284.459066808</v>
      </c>
      <c r="G490" s="89">
        <f t="shared" si="246"/>
        <v>10068.126278903097</v>
      </c>
      <c r="H490" s="89">
        <f t="shared" si="246"/>
        <v>13566.3789537134</v>
      </c>
      <c r="I490" s="89">
        <f t="shared" si="246"/>
        <v>5256159.3934889315</v>
      </c>
      <c r="J490" s="89">
        <f t="shared" si="246"/>
        <v>89098.705497207164</v>
      </c>
      <c r="K490" s="89">
        <f t="shared" ref="K490" si="247">K488+K489</f>
        <v>2357845.4692131123</v>
      </c>
      <c r="L490" s="89">
        <f t="shared" si="246"/>
        <v>7609463.1013254952</v>
      </c>
      <c r="M490" s="89">
        <f t="shared" si="246"/>
        <v>3821530.8</v>
      </c>
      <c r="N490" s="89">
        <f t="shared" si="246"/>
        <v>7343657.8000000007</v>
      </c>
      <c r="O490" s="89">
        <f t="shared" si="246"/>
        <v>4839090.3999999994</v>
      </c>
      <c r="P490" s="89">
        <f t="shared" si="246"/>
        <v>345014.89084390848</v>
      </c>
      <c r="Q490" s="89">
        <f t="shared" si="246"/>
        <v>0</v>
      </c>
      <c r="R490" s="89">
        <f t="shared" si="246"/>
        <v>0</v>
      </c>
      <c r="S490" s="89">
        <f t="shared" si="246"/>
        <v>0</v>
      </c>
      <c r="T490" s="89">
        <f t="shared" si="246"/>
        <v>0</v>
      </c>
      <c r="U490" s="89">
        <f t="shared" si="246"/>
        <v>0</v>
      </c>
      <c r="V490" s="89">
        <f t="shared" si="246"/>
        <v>0</v>
      </c>
      <c r="W490" s="89">
        <f t="shared" si="246"/>
        <v>0</v>
      </c>
      <c r="X490" s="89">
        <f t="shared" si="246"/>
        <v>0</v>
      </c>
      <c r="Y490" s="89">
        <f t="shared" si="246"/>
        <v>0</v>
      </c>
      <c r="Z490" s="89">
        <f t="shared" si="246"/>
        <v>0</v>
      </c>
      <c r="AA490" s="89">
        <f t="shared" si="246"/>
        <v>0</v>
      </c>
      <c r="AB490" s="89">
        <f t="shared" si="246"/>
        <v>0</v>
      </c>
      <c r="AC490" s="89">
        <f t="shared" si="246"/>
        <v>0</v>
      </c>
      <c r="AD490" s="89">
        <f t="shared" si="246"/>
        <v>0</v>
      </c>
      <c r="AE490" s="89">
        <f t="shared" si="246"/>
        <v>0</v>
      </c>
      <c r="AF490" s="89">
        <f t="shared" si="246"/>
        <v>0</v>
      </c>
      <c r="AG490" s="89">
        <f>SUM(F490:AF490)</f>
        <v>85477779.524668068</v>
      </c>
      <c r="AH490" s="27" t="str">
        <f t="shared" si="245"/>
        <v>ok</v>
      </c>
    </row>
    <row r="491" spans="1:41" x14ac:dyDescent="0.2">
      <c r="A491" s="14" t="s">
        <v>662</v>
      </c>
      <c r="B491" s="252"/>
      <c r="C491" s="14" t="s">
        <v>665</v>
      </c>
      <c r="D491" s="14" t="s">
        <v>664</v>
      </c>
      <c r="E491" s="48">
        <v>1</v>
      </c>
      <c r="F491" s="97">
        <f>IF(VLOOKUP($D491,$C$5:$AU$511,3,)=0,0,(VLOOKUP($D491,$C$5:$AU$511,4,)/VLOOKUP($D491,$C$5:$AU$511,3,))*$E491)</f>
        <v>0.62931307713185114</v>
      </c>
      <c r="G491" s="97">
        <f>IF(VLOOKUP($D491,$C$5:$AU$511,3,)=0,0,(VLOOKUP($D491,$C$5:$AU$511,5,)/VLOOKUP($D491,$C$5:$AU$511,3,))*$E491)</f>
        <v>1.1778647427308908E-4</v>
      </c>
      <c r="H491" s="97">
        <f>IF(VLOOKUP($D491,$C$5:$AU$511,3,)=0,0,(VLOOKUP($D491,$C$5:$AU$511,6,)/VLOOKUP($D491,$C$5:$AU$511,3,))*$E491)</f>
        <v>1.5871234640340968E-4</v>
      </c>
      <c r="I491" s="97">
        <f>IF(VLOOKUP($D491,$C$5:$AU$511,3,)=0,0,(VLOOKUP($D491,$C$5:$AU$511,7,)/VLOOKUP($D491,$C$5:$AU$511,3,))*$E491)</f>
        <v>6.1491529409371866E-2</v>
      </c>
      <c r="J491" s="97">
        <f>IF(VLOOKUP($D491,$C$5:$AU$511,3,)=0,0,(VLOOKUP($D491,$C$5:$AU$511,8,)/VLOOKUP($D491,$C$5:$AU$511,3,))*$E491)</f>
        <v>1.0423610205210598E-3</v>
      </c>
      <c r="K491" s="97">
        <f>IF(VLOOKUP($D491,$C$5:$AU$511,3,)=0,0,(VLOOKUP($D491,$C$5:$AU$511,9,)/VLOOKUP($D491,$C$5:$AU$511,3,))*$E491)</f>
        <v>2.7584308838212862E-2</v>
      </c>
      <c r="L491" s="97">
        <f>IF(VLOOKUP($D491,$C$5:$AU$511,3,)=0,0,(VLOOKUP($D491,$C$5:$AU$511,10,)/VLOOKUP($D491,$C$5:$AU$511,3,))*$E491)</f>
        <v>8.9022704422609331E-2</v>
      </c>
      <c r="M491" s="97">
        <f>IF(VLOOKUP($D491,$C$5:$AU$511,3,)=0,0,(VLOOKUP($D491,$C$5:$AU$511,11,)/VLOOKUP($D491,$C$5:$AU$511,3,))*$E491)</f>
        <v>4.4707885736516378E-2</v>
      </c>
      <c r="N491" s="97">
        <f>IF(VLOOKUP($D491,$C$5:$AU$511,3,)=0,0,(VLOOKUP($D491,$C$5:$AU$511,12,)/VLOOKUP($D491,$C$5:$AU$511,3,))*$E491)</f>
        <v>8.591306232844631E-2</v>
      </c>
      <c r="O491" s="97">
        <f>IF(VLOOKUP($D491,$C$5:$AU$511,3,)=0,0,(VLOOKUP($D491,$C$5:$AU$511,13,)/VLOOKUP($D491,$C$5:$AU$511,3,))*$E491)</f>
        <v>5.6612261419395946E-2</v>
      </c>
      <c r="P491" s="97">
        <f>IF(VLOOKUP($D491,$C$5:$AU$511,3,)=0,0,(VLOOKUP($D491,$C$5:$AU$511,14,)/VLOOKUP($D491,$C$5:$AU$511,3,))*$E491)</f>
        <v>4.0363108723986034E-3</v>
      </c>
      <c r="Q491" s="97">
        <f>IF(VLOOKUP($D491,$C$5:$AU$511,3,)=0,0,(VLOOKUP($D491,$C$5:$AU$511,15,)/VLOOKUP($D491,$C$5:$AU$511,3,))*$E491)</f>
        <v>0</v>
      </c>
      <c r="R491" s="97">
        <f>IF(VLOOKUP($D491,$C$5:$AU$511,3,)=0,0,(VLOOKUP($D491,$C$5:$AU$511,16,)/VLOOKUP($D491,$C$5:$AU$511,3,))*$E491)</f>
        <v>0</v>
      </c>
      <c r="S491" s="97">
        <f>IF(VLOOKUP($D491,$C$5:$AU$511,3,)=0,0,(VLOOKUP($D491,$C$5:$AU$511,17,)/VLOOKUP($D491,$C$5:$AU$511,3,))*$E491)</f>
        <v>0</v>
      </c>
      <c r="T491" s="97">
        <f>IF(VLOOKUP($D491,$C$5:$AU$511,3,)=0,0,(VLOOKUP($D491,$C$5:$AU$511,18,)/VLOOKUP($D491,$C$5:$AU$511,3,))*$E491)</f>
        <v>0</v>
      </c>
      <c r="U491" s="97">
        <f>IF(VLOOKUP($D491,$C$5:$AU$511,3,)=0,0,(VLOOKUP($D491,$C$5:$AU$511,19,)/VLOOKUP($D491,$C$5:$AU$511,3,))*$E491)</f>
        <v>0</v>
      </c>
      <c r="V491" s="97">
        <f>IF(VLOOKUP($D491,$C$5:$AU$511,3,)=0,0,(VLOOKUP($D491,$C$5:$AU$511,20,)/VLOOKUP($D491,$C$5:$AU$511,3,))*$E491)</f>
        <v>0</v>
      </c>
      <c r="W491" s="97">
        <f>IF(VLOOKUP($D491,$C$5:$AU$511,3,)=0,0,(VLOOKUP($D491,$C$5:$AU$511,21,)/VLOOKUP($D491,$C$5:$AU$511,3,))*$E491)</f>
        <v>0</v>
      </c>
      <c r="X491" s="97">
        <f>IF(VLOOKUP($D491,$C$5:$AU$511,3,)=0,0,(VLOOKUP($D491,$C$5:$AU$511,22,)/VLOOKUP($D491,$C$5:$AU$511,3,))*$E491)</f>
        <v>0</v>
      </c>
      <c r="Y491" s="97">
        <f>IF(VLOOKUP($D491,$C$5:$AU$511,3,)=0,0,(VLOOKUP($D491,$C$5:$AU$511,23,)/VLOOKUP($D491,$C$5:$AU$511,3,))*$E491)</f>
        <v>0</v>
      </c>
      <c r="Z491" s="97">
        <f>IF(VLOOKUP($D491,$C$5:$AU$511,3,)=0,0,(VLOOKUP($D491,$C$5:$AU$511,24,)/VLOOKUP($D491,$C$5:$AU$511,3,))*$E491)</f>
        <v>0</v>
      </c>
      <c r="AA491" s="97">
        <f>IF(VLOOKUP($D491,$C$5:$AU$511,3,)=0,0,(VLOOKUP($D491,$C$5:$AU$511,25,)/VLOOKUP($D491,$C$5:$AU$511,3,))*$E491)</f>
        <v>0</v>
      </c>
      <c r="AB491" s="97">
        <f>IF(VLOOKUP($D491,$C$5:$AU$511,3,)=0,0,(VLOOKUP($D491,$C$5:$AU$511,26,)/VLOOKUP($D491,$C$5:$AU$511,3,))*$E491)</f>
        <v>0</v>
      </c>
      <c r="AC491" s="97">
        <f>IF(VLOOKUP($D491,$C$5:$AU$511,3,)=0,0,(VLOOKUP($D491,$C$5:$AU$511,27,)/VLOOKUP($D491,$C$5:$AU$511,3,))*$E491)</f>
        <v>0</v>
      </c>
      <c r="AD491" s="97">
        <f>IF(VLOOKUP($D491,$C$5:$AU$511,3,)=0,0,(VLOOKUP($D491,$C$5:$AU$511,28,)/VLOOKUP($D491,$C$5:$AU$511,3,))*$E491)</f>
        <v>0</v>
      </c>
      <c r="AE491" s="97">
        <f>IF(VLOOKUP($D491,$C$5:$AU$511,3,)=0,0,(VLOOKUP($D491,$C$5:$AU$511,29,)/VLOOKUP($D491,$C$5:$AU$511,3,))*$E491)</f>
        <v>0</v>
      </c>
      <c r="AF491" s="97">
        <f>IF(VLOOKUP($D491,$C$5:$AU$511,3,)=0,0,(VLOOKUP($D491,$C$5:$AU$511,30,)/VLOOKUP($D491,$C$5:$AU$511,3,))*$E491)</f>
        <v>0</v>
      </c>
      <c r="AG491" s="97">
        <f>SUM(F491:AF491)</f>
        <v>0.99999999999999989</v>
      </c>
      <c r="AH491" s="27" t="str">
        <f t="shared" si="245"/>
        <v>ok</v>
      </c>
    </row>
    <row r="492" spans="1:41" x14ac:dyDescent="0.2">
      <c r="A492" s="252"/>
      <c r="E492" s="48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27"/>
    </row>
    <row r="493" spans="1:41" x14ac:dyDescent="0.2">
      <c r="A493" s="13" t="s">
        <v>325</v>
      </c>
    </row>
    <row r="494" spans="1:41" x14ac:dyDescent="0.2">
      <c r="AJ494" s="31"/>
      <c r="AK494" s="178"/>
      <c r="AL494" s="31"/>
      <c r="AM494" s="31"/>
      <c r="AN494" s="31"/>
      <c r="AO494" s="31"/>
    </row>
    <row r="495" spans="1:41" x14ac:dyDescent="0.2">
      <c r="A495" s="14" t="s">
        <v>644</v>
      </c>
      <c r="D495" s="47">
        <f>E495/(E495+E496)</f>
        <v>0.28655828349119267</v>
      </c>
      <c r="E495" s="89">
        <f t="shared" ref="E495:R495" si="248">E123+E199+E237+E275</f>
        <v>34332679.475331917</v>
      </c>
      <c r="F495" s="89">
        <f t="shared" si="248"/>
        <v>24094462.100837804</v>
      </c>
      <c r="G495" s="89">
        <f t="shared" si="248"/>
        <v>4564.6954750843688</v>
      </c>
      <c r="H495" s="89">
        <f t="shared" si="248"/>
        <v>1023.0564484402547</v>
      </c>
      <c r="I495" s="89">
        <f t="shared" si="248"/>
        <v>1980339.2507140725</v>
      </c>
      <c r="J495" s="89">
        <f t="shared" si="248"/>
        <v>6712.2943202020097</v>
      </c>
      <c r="K495" s="89">
        <f t="shared" si="248"/>
        <v>759347.88563491986</v>
      </c>
      <c r="L495" s="89">
        <f t="shared" si="248"/>
        <v>2157782.2929750509</v>
      </c>
      <c r="M495" s="89">
        <f t="shared" si="248"/>
        <v>1273361.2000000002</v>
      </c>
      <c r="N495" s="89">
        <f t="shared" si="248"/>
        <v>2614708.2000000002</v>
      </c>
      <c r="O495" s="89">
        <f t="shared" si="248"/>
        <v>1363432.5999999999</v>
      </c>
      <c r="P495" s="89">
        <f t="shared" si="248"/>
        <v>76945.898926348382</v>
      </c>
      <c r="Q495" s="89">
        <f t="shared" si="248"/>
        <v>0</v>
      </c>
      <c r="R495" s="89">
        <f t="shared" si="248"/>
        <v>0</v>
      </c>
      <c r="S495" s="89">
        <f t="shared" ref="S495:AF495" si="249">S123</f>
        <v>0</v>
      </c>
      <c r="T495" s="89">
        <f t="shared" si="249"/>
        <v>0</v>
      </c>
      <c r="U495" s="89">
        <f t="shared" si="249"/>
        <v>0</v>
      </c>
      <c r="V495" s="89">
        <f t="shared" si="249"/>
        <v>0</v>
      </c>
      <c r="W495" s="89">
        <f t="shared" si="249"/>
        <v>0</v>
      </c>
      <c r="X495" s="89">
        <f t="shared" si="249"/>
        <v>0</v>
      </c>
      <c r="Y495" s="89">
        <f t="shared" si="249"/>
        <v>0</v>
      </c>
      <c r="Z495" s="89">
        <f t="shared" si="249"/>
        <v>0</v>
      </c>
      <c r="AA495" s="89">
        <f t="shared" si="249"/>
        <v>0</v>
      </c>
      <c r="AB495" s="89">
        <f t="shared" si="249"/>
        <v>0</v>
      </c>
      <c r="AC495" s="89">
        <f t="shared" si="249"/>
        <v>0</v>
      </c>
      <c r="AD495" s="89">
        <f t="shared" si="249"/>
        <v>0</v>
      </c>
      <c r="AE495" s="89">
        <f t="shared" si="249"/>
        <v>0</v>
      </c>
      <c r="AF495" s="89">
        <f t="shared" si="249"/>
        <v>0</v>
      </c>
      <c r="AG495" s="89">
        <f>SUM(F495:AF495)</f>
        <v>34332679.475331917</v>
      </c>
      <c r="AH495" s="27" t="str">
        <f t="shared" ref="AH495:AH500" si="250">IF(ABS(E495-AG495)&lt;0.01,"ok","err")</f>
        <v>ok</v>
      </c>
      <c r="AJ495" s="179"/>
      <c r="AK495" s="179"/>
      <c r="AL495" s="179"/>
      <c r="AM495" s="179"/>
      <c r="AN495" s="179"/>
      <c r="AO495" s="179"/>
    </row>
    <row r="496" spans="1:41" x14ac:dyDescent="0.2">
      <c r="A496" s="14" t="s">
        <v>645</v>
      </c>
      <c r="D496" s="47">
        <f>1-D495</f>
        <v>0.71344171650880739</v>
      </c>
      <c r="E496" s="89">
        <f t="shared" ref="E496:R496" si="251">E124+E200+E238+E276</f>
        <v>85477779.524668083</v>
      </c>
      <c r="F496" s="89">
        <f t="shared" si="251"/>
        <v>53792284.459066808</v>
      </c>
      <c r="G496" s="89">
        <f t="shared" si="251"/>
        <v>10068.126278903097</v>
      </c>
      <c r="H496" s="89">
        <f t="shared" si="251"/>
        <v>13566.3789537134</v>
      </c>
      <c r="I496" s="89">
        <f t="shared" si="251"/>
        <v>5256159.3934889315</v>
      </c>
      <c r="J496" s="89">
        <f t="shared" si="251"/>
        <v>89098.705497207178</v>
      </c>
      <c r="K496" s="89">
        <f t="shared" si="251"/>
        <v>2357845.4692131123</v>
      </c>
      <c r="L496" s="89">
        <f t="shared" si="251"/>
        <v>7609463.1013254942</v>
      </c>
      <c r="M496" s="89">
        <f t="shared" si="251"/>
        <v>3821530.8</v>
      </c>
      <c r="N496" s="89">
        <f t="shared" si="251"/>
        <v>7343657.8000000007</v>
      </c>
      <c r="O496" s="89">
        <f t="shared" si="251"/>
        <v>4839090.3999999994</v>
      </c>
      <c r="P496" s="89">
        <f t="shared" si="251"/>
        <v>345014.89084390854</v>
      </c>
      <c r="Q496" s="89">
        <f t="shared" si="251"/>
        <v>0</v>
      </c>
      <c r="R496" s="89">
        <f t="shared" si="251"/>
        <v>0</v>
      </c>
      <c r="S496" s="89">
        <f t="shared" ref="S496:AF496" si="252">S124</f>
        <v>0</v>
      </c>
      <c r="T496" s="89">
        <f t="shared" si="252"/>
        <v>0</v>
      </c>
      <c r="U496" s="89">
        <f t="shared" si="252"/>
        <v>0</v>
      </c>
      <c r="V496" s="89">
        <f t="shared" si="252"/>
        <v>0</v>
      </c>
      <c r="W496" s="89">
        <f t="shared" si="252"/>
        <v>0</v>
      </c>
      <c r="X496" s="89">
        <f t="shared" si="252"/>
        <v>0</v>
      </c>
      <c r="Y496" s="89">
        <f t="shared" si="252"/>
        <v>0</v>
      </c>
      <c r="Z496" s="89">
        <f t="shared" si="252"/>
        <v>0</v>
      </c>
      <c r="AA496" s="89">
        <f t="shared" si="252"/>
        <v>0</v>
      </c>
      <c r="AB496" s="89">
        <f t="shared" si="252"/>
        <v>0</v>
      </c>
      <c r="AC496" s="89">
        <f t="shared" si="252"/>
        <v>0</v>
      </c>
      <c r="AD496" s="89">
        <f t="shared" si="252"/>
        <v>0</v>
      </c>
      <c r="AE496" s="89">
        <f t="shared" si="252"/>
        <v>0</v>
      </c>
      <c r="AF496" s="89">
        <f t="shared" si="252"/>
        <v>0</v>
      </c>
      <c r="AG496" s="89">
        <f t="shared" ref="AG496:AG499" si="253">SUM(F496:AF496)</f>
        <v>85477779.524668068</v>
      </c>
      <c r="AH496" s="27" t="str">
        <f t="shared" si="250"/>
        <v>ok</v>
      </c>
      <c r="AJ496" s="179"/>
      <c r="AK496" s="179"/>
      <c r="AL496" s="179"/>
      <c r="AM496" s="179"/>
      <c r="AN496" s="179"/>
      <c r="AO496" s="179"/>
    </row>
    <row r="497" spans="1:41" x14ac:dyDescent="0.2">
      <c r="A497" s="14" t="s">
        <v>889</v>
      </c>
      <c r="E497" s="89">
        <f t="shared" ref="E497:R497" si="254">E128+E204+E242+E280</f>
        <v>0</v>
      </c>
      <c r="F497" s="89">
        <f t="shared" si="254"/>
        <v>0</v>
      </c>
      <c r="G497" s="89">
        <f t="shared" si="254"/>
        <v>0</v>
      </c>
      <c r="H497" s="89">
        <f t="shared" si="254"/>
        <v>0</v>
      </c>
      <c r="I497" s="89">
        <f t="shared" si="254"/>
        <v>0</v>
      </c>
      <c r="J497" s="89">
        <f t="shared" si="254"/>
        <v>0</v>
      </c>
      <c r="K497" s="89">
        <f t="shared" si="254"/>
        <v>0</v>
      </c>
      <c r="L497" s="89">
        <f t="shared" si="254"/>
        <v>0</v>
      </c>
      <c r="M497" s="89">
        <f t="shared" si="254"/>
        <v>0</v>
      </c>
      <c r="N497" s="89">
        <f t="shared" si="254"/>
        <v>0</v>
      </c>
      <c r="O497" s="89">
        <f t="shared" si="254"/>
        <v>0</v>
      </c>
      <c r="P497" s="89">
        <f t="shared" si="254"/>
        <v>0</v>
      </c>
      <c r="Q497" s="89">
        <f t="shared" si="254"/>
        <v>0</v>
      </c>
      <c r="R497" s="89">
        <f t="shared" si="254"/>
        <v>0</v>
      </c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>
        <f t="shared" si="253"/>
        <v>0</v>
      </c>
      <c r="AH497" s="27" t="str">
        <f t="shared" si="250"/>
        <v>ok</v>
      </c>
      <c r="AJ497" s="179"/>
      <c r="AK497" s="179"/>
      <c r="AL497" s="179"/>
      <c r="AM497" s="179"/>
      <c r="AN497" s="179"/>
      <c r="AO497" s="179"/>
    </row>
    <row r="498" spans="1:41" x14ac:dyDescent="0.2">
      <c r="A498" s="14" t="s">
        <v>646</v>
      </c>
      <c r="D498" s="189">
        <f>E498/(E498+E499)</f>
        <v>0.46057281044816462</v>
      </c>
      <c r="E498" s="89">
        <f t="shared" ref="E498:AF498" si="255">E131+E134+E139+E207+E210+E215+E245+E248+E253+E283+E286+E291</f>
        <v>15629787.989867553</v>
      </c>
      <c r="F498" s="89">
        <f t="shared" si="255"/>
        <v>13022555.38800019</v>
      </c>
      <c r="G498" s="89">
        <f t="shared" si="255"/>
        <v>2434.2378852400598</v>
      </c>
      <c r="H498" s="89">
        <f t="shared" si="255"/>
        <v>88974.71898298031</v>
      </c>
      <c r="I498" s="89">
        <f t="shared" si="255"/>
        <v>702720.79483666737</v>
      </c>
      <c r="J498" s="89">
        <f t="shared" si="255"/>
        <v>89689.165768683481</v>
      </c>
      <c r="K498" s="89">
        <f t="shared" si="255"/>
        <v>225059.75642762729</v>
      </c>
      <c r="L498" s="89">
        <f t="shared" si="255"/>
        <v>623409.45660609205</v>
      </c>
      <c r="M498" s="89">
        <f t="shared" si="255"/>
        <v>291552.92955898953</v>
      </c>
      <c r="N498" s="89">
        <f t="shared" si="255"/>
        <v>553286.97264480381</v>
      </c>
      <c r="O498" s="89">
        <f t="shared" si="255"/>
        <v>0</v>
      </c>
      <c r="P498" s="89">
        <f t="shared" si="255"/>
        <v>30104.569156280188</v>
      </c>
      <c r="Q498" s="89">
        <f t="shared" si="255"/>
        <v>0</v>
      </c>
      <c r="R498" s="89">
        <f t="shared" si="255"/>
        <v>0</v>
      </c>
      <c r="S498" s="89">
        <f t="shared" si="255"/>
        <v>0</v>
      </c>
      <c r="T498" s="89">
        <f t="shared" si="255"/>
        <v>0</v>
      </c>
      <c r="U498" s="89">
        <f t="shared" si="255"/>
        <v>0</v>
      </c>
      <c r="V498" s="89">
        <f t="shared" si="255"/>
        <v>0</v>
      </c>
      <c r="W498" s="89">
        <f t="shared" si="255"/>
        <v>0</v>
      </c>
      <c r="X498" s="89">
        <f t="shared" si="255"/>
        <v>0</v>
      </c>
      <c r="Y498" s="89">
        <f t="shared" si="255"/>
        <v>0</v>
      </c>
      <c r="Z498" s="89">
        <f t="shared" si="255"/>
        <v>0</v>
      </c>
      <c r="AA498" s="89">
        <f t="shared" si="255"/>
        <v>0</v>
      </c>
      <c r="AB498" s="89">
        <f t="shared" si="255"/>
        <v>0</v>
      </c>
      <c r="AC498" s="89">
        <f t="shared" si="255"/>
        <v>0</v>
      </c>
      <c r="AD498" s="89">
        <f t="shared" si="255"/>
        <v>0</v>
      </c>
      <c r="AE498" s="89">
        <f t="shared" si="255"/>
        <v>0</v>
      </c>
      <c r="AF498" s="89">
        <f t="shared" si="255"/>
        <v>0</v>
      </c>
      <c r="AG498" s="89">
        <f t="shared" si="253"/>
        <v>15629787.989867551</v>
      </c>
      <c r="AH498" s="27" t="str">
        <f t="shared" si="250"/>
        <v>ok</v>
      </c>
      <c r="AJ498" s="179"/>
      <c r="AK498" s="179"/>
      <c r="AL498" s="179"/>
      <c r="AM498" s="179"/>
      <c r="AN498" s="179"/>
      <c r="AO498" s="179"/>
    </row>
    <row r="499" spans="1:41" x14ac:dyDescent="0.2">
      <c r="A499" s="14" t="s">
        <v>647</v>
      </c>
      <c r="D499" s="189">
        <f>E499/(E498+E499)</f>
        <v>0.53942718955183544</v>
      </c>
      <c r="E499" s="66">
        <f t="shared" ref="E499:AF499" si="256">E135+E140+E144+E147+E150+E153+E211+E216+E220+E223+E226+E229+E249+E254+E258+E261+E264+E267+E287+E292+E296+E299+E302+E305</f>
        <v>18305754.090132445</v>
      </c>
      <c r="F499" s="66">
        <f t="shared" si="256"/>
        <v>14013173.585666591</v>
      </c>
      <c r="G499" s="66">
        <f t="shared" si="256"/>
        <v>27253.511570008963</v>
      </c>
      <c r="H499" s="66">
        <f t="shared" si="256"/>
        <v>4513.7054478462951</v>
      </c>
      <c r="I499" s="66">
        <f t="shared" si="256"/>
        <v>718800.4127472546</v>
      </c>
      <c r="J499" s="66">
        <f t="shared" si="256"/>
        <v>11905.605856058564</v>
      </c>
      <c r="K499" s="66">
        <f t="shared" si="256"/>
        <v>38953.517331237272</v>
      </c>
      <c r="L499" s="66">
        <f t="shared" si="256"/>
        <v>30239.662722970897</v>
      </c>
      <c r="M499" s="66">
        <f t="shared" si="256"/>
        <v>3569.0794797967983</v>
      </c>
      <c r="N499" s="66">
        <f t="shared" si="256"/>
        <v>17042.886191479825</v>
      </c>
      <c r="O499" s="66">
        <f t="shared" si="256"/>
        <v>171.17239216439435</v>
      </c>
      <c r="P499" s="66">
        <f t="shared" si="256"/>
        <v>3440130.9507270358</v>
      </c>
      <c r="Q499" s="66">
        <f t="shared" si="256"/>
        <v>0</v>
      </c>
      <c r="R499" s="66">
        <f t="shared" si="256"/>
        <v>0</v>
      </c>
      <c r="S499" s="66">
        <f t="shared" si="256"/>
        <v>0</v>
      </c>
      <c r="T499" s="66">
        <f t="shared" si="256"/>
        <v>0</v>
      </c>
      <c r="U499" s="66">
        <f t="shared" si="256"/>
        <v>0</v>
      </c>
      <c r="V499" s="66">
        <f t="shared" si="256"/>
        <v>0</v>
      </c>
      <c r="W499" s="66">
        <f t="shared" si="256"/>
        <v>0</v>
      </c>
      <c r="X499" s="66">
        <f t="shared" si="256"/>
        <v>0</v>
      </c>
      <c r="Y499" s="66">
        <f t="shared" si="256"/>
        <v>0</v>
      </c>
      <c r="Z499" s="66">
        <f t="shared" si="256"/>
        <v>0</v>
      </c>
      <c r="AA499" s="66">
        <f t="shared" si="256"/>
        <v>0</v>
      </c>
      <c r="AB499" s="66">
        <f t="shared" si="256"/>
        <v>0</v>
      </c>
      <c r="AC499" s="66">
        <f t="shared" si="256"/>
        <v>0</v>
      </c>
      <c r="AD499" s="66">
        <f t="shared" si="256"/>
        <v>0</v>
      </c>
      <c r="AE499" s="66">
        <f t="shared" si="256"/>
        <v>0</v>
      </c>
      <c r="AF499" s="66">
        <f t="shared" si="256"/>
        <v>0</v>
      </c>
      <c r="AG499" s="89">
        <f t="shared" si="253"/>
        <v>18305754.090132445</v>
      </c>
      <c r="AH499" s="27" t="str">
        <f t="shared" si="250"/>
        <v>ok</v>
      </c>
      <c r="AJ499" s="179"/>
      <c r="AK499" s="179">
        <f>AG499-E499</f>
        <v>0</v>
      </c>
      <c r="AL499" s="179"/>
      <c r="AM499" s="179"/>
      <c r="AN499" s="179"/>
      <c r="AO499" s="179"/>
    </row>
    <row r="500" spans="1:41" x14ac:dyDescent="0.2">
      <c r="A500" s="14" t="s">
        <v>0</v>
      </c>
      <c r="D500" s="30"/>
      <c r="E500" s="177">
        <f>SUM(E495:E499)</f>
        <v>153746001.08000001</v>
      </c>
      <c r="F500" s="177">
        <f t="shared" ref="F500:R500" si="257">SUM(F495:F499)</f>
        <v>104922475.53357139</v>
      </c>
      <c r="G500" s="177">
        <f t="shared" si="257"/>
        <v>44320.571209236485</v>
      </c>
      <c r="H500" s="177">
        <f t="shared" si="257"/>
        <v>108077.85983298026</v>
      </c>
      <c r="I500" s="177">
        <f t="shared" si="257"/>
        <v>8658019.8517869264</v>
      </c>
      <c r="J500" s="177">
        <f t="shared" si="257"/>
        <v>197405.77144215125</v>
      </c>
      <c r="K500" s="177">
        <f t="shared" si="257"/>
        <v>3381206.6286068964</v>
      </c>
      <c r="L500" s="177">
        <f t="shared" si="257"/>
        <v>10420894.513629608</v>
      </c>
      <c r="M500" s="177">
        <f t="shared" si="257"/>
        <v>5390014.0090387864</v>
      </c>
      <c r="N500" s="177">
        <f t="shared" si="257"/>
        <v>10528695.858836284</v>
      </c>
      <c r="O500" s="177">
        <f t="shared" si="257"/>
        <v>6202694.1723921634</v>
      </c>
      <c r="P500" s="177">
        <f t="shared" si="257"/>
        <v>3892196.3096535727</v>
      </c>
      <c r="Q500" s="177">
        <f t="shared" si="257"/>
        <v>0</v>
      </c>
      <c r="R500" s="177">
        <f t="shared" si="257"/>
        <v>0</v>
      </c>
      <c r="S500" s="177">
        <f t="shared" ref="S500:AG500" si="258">SUM(S495:S499)</f>
        <v>0</v>
      </c>
      <c r="T500" s="177">
        <f t="shared" si="258"/>
        <v>0</v>
      </c>
      <c r="U500" s="177">
        <f t="shared" si="258"/>
        <v>0</v>
      </c>
      <c r="V500" s="177">
        <f t="shared" si="258"/>
        <v>0</v>
      </c>
      <c r="W500" s="177">
        <f t="shared" si="258"/>
        <v>0</v>
      </c>
      <c r="X500" s="177">
        <f t="shared" si="258"/>
        <v>0</v>
      </c>
      <c r="Y500" s="177">
        <f t="shared" si="258"/>
        <v>0</v>
      </c>
      <c r="Z500" s="177">
        <f t="shared" si="258"/>
        <v>0</v>
      </c>
      <c r="AA500" s="177">
        <f t="shared" si="258"/>
        <v>0</v>
      </c>
      <c r="AB500" s="177">
        <f t="shared" si="258"/>
        <v>0</v>
      </c>
      <c r="AC500" s="177">
        <f t="shared" si="258"/>
        <v>0</v>
      </c>
      <c r="AD500" s="177">
        <f t="shared" si="258"/>
        <v>0</v>
      </c>
      <c r="AE500" s="177">
        <f t="shared" si="258"/>
        <v>0</v>
      </c>
      <c r="AF500" s="177">
        <f t="shared" si="258"/>
        <v>0</v>
      </c>
      <c r="AG500" s="177">
        <f t="shared" si="258"/>
        <v>153746001.07999998</v>
      </c>
      <c r="AH500" s="27" t="str">
        <f t="shared" si="250"/>
        <v>ok</v>
      </c>
      <c r="AJ500" s="179"/>
      <c r="AK500" s="179"/>
      <c r="AL500" s="179"/>
      <c r="AM500" s="179"/>
      <c r="AN500" s="179"/>
      <c r="AO500" s="179"/>
    </row>
    <row r="502" spans="1:41" x14ac:dyDescent="0.2">
      <c r="A502" s="13" t="s">
        <v>696</v>
      </c>
      <c r="E502" s="89"/>
    </row>
    <row r="503" spans="1:41" x14ac:dyDescent="0.2">
      <c r="AJ503" s="31"/>
      <c r="AK503" s="178"/>
      <c r="AL503" s="31"/>
      <c r="AM503" s="31"/>
      <c r="AN503" s="31"/>
      <c r="AO503" s="31"/>
    </row>
    <row r="504" spans="1:41" x14ac:dyDescent="0.2">
      <c r="A504" s="14" t="s">
        <v>644</v>
      </c>
      <c r="D504" s="89"/>
      <c r="E504" s="89">
        <f>E495+(E359*'Purchased Power'!$P$172)</f>
        <v>34332679.475331917</v>
      </c>
      <c r="F504" s="89">
        <f>F495+(F359*'Purchased Power'!$P$172)</f>
        <v>24094462.100837804</v>
      </c>
      <c r="G504" s="89">
        <f>G495+(G359*'Purchased Power'!$P$172)</f>
        <v>4564.6954750843688</v>
      </c>
      <c r="H504" s="89">
        <f>H495+(H359*'Purchased Power'!$P$172)</f>
        <v>1023.0564484402547</v>
      </c>
      <c r="I504" s="89">
        <f>I495+(I359*'Purchased Power'!$P$172)</f>
        <v>1980339.2507140725</v>
      </c>
      <c r="J504" s="89">
        <f>J495+(J359*'Purchased Power'!$P$172)</f>
        <v>6712.2943202020097</v>
      </c>
      <c r="K504" s="89">
        <f>K495+(K359*'Purchased Power'!$P$172)</f>
        <v>759347.88563491986</v>
      </c>
      <c r="L504" s="89">
        <f>L495+(L359*'Purchased Power'!$P$172)</f>
        <v>2157782.2929750509</v>
      </c>
      <c r="M504" s="89">
        <f>M495+(M359*'Purchased Power'!$P$172)</f>
        <v>1273361.2000000002</v>
      </c>
      <c r="N504" s="89">
        <f>N495+(N359*'Purchased Power'!$P$172)</f>
        <v>2614708.2000000002</v>
      </c>
      <c r="O504" s="89">
        <f>O495+(O359*'Purchased Power'!$P$172)</f>
        <v>1363432.5999999999</v>
      </c>
      <c r="P504" s="89">
        <f>P495+(P359*'Purchased Power'!$P$172)</f>
        <v>76945.898926348382</v>
      </c>
      <c r="Q504" s="89">
        <f t="shared" ref="Q504:AF504" si="259">Q495+(Q359*$D$495)</f>
        <v>0</v>
      </c>
      <c r="R504" s="89">
        <f t="shared" si="259"/>
        <v>0</v>
      </c>
      <c r="S504" s="89">
        <f t="shared" si="259"/>
        <v>0</v>
      </c>
      <c r="T504" s="89">
        <f t="shared" si="259"/>
        <v>0</v>
      </c>
      <c r="U504" s="89">
        <f t="shared" si="259"/>
        <v>0</v>
      </c>
      <c r="V504" s="89">
        <f t="shared" si="259"/>
        <v>0</v>
      </c>
      <c r="W504" s="89">
        <f t="shared" si="259"/>
        <v>0</v>
      </c>
      <c r="X504" s="89">
        <f t="shared" si="259"/>
        <v>0</v>
      </c>
      <c r="Y504" s="89">
        <f t="shared" si="259"/>
        <v>0</v>
      </c>
      <c r="Z504" s="89">
        <f t="shared" si="259"/>
        <v>0</v>
      </c>
      <c r="AA504" s="89">
        <f t="shared" si="259"/>
        <v>0</v>
      </c>
      <c r="AB504" s="89">
        <f t="shared" si="259"/>
        <v>0</v>
      </c>
      <c r="AC504" s="89">
        <f t="shared" si="259"/>
        <v>0</v>
      </c>
      <c r="AD504" s="89">
        <f t="shared" si="259"/>
        <v>0</v>
      </c>
      <c r="AE504" s="89">
        <f t="shared" si="259"/>
        <v>0</v>
      </c>
      <c r="AF504" s="89">
        <f t="shared" si="259"/>
        <v>0</v>
      </c>
      <c r="AG504" s="89">
        <f t="shared" ref="AG504" si="260">SUM(F504:AF504)</f>
        <v>34332679.475331917</v>
      </c>
      <c r="AH504" s="27" t="str">
        <f t="shared" ref="AH504" si="261">IF(ABS(E504-AG504)&lt;0.01,"ok","err")</f>
        <v>ok</v>
      </c>
      <c r="AJ504" s="179"/>
      <c r="AK504" s="179"/>
      <c r="AL504" s="179"/>
      <c r="AM504" s="179"/>
      <c r="AN504" s="179"/>
      <c r="AO504" s="179"/>
    </row>
    <row r="505" spans="1:41" x14ac:dyDescent="0.2">
      <c r="A505" s="14" t="s">
        <v>645</v>
      </c>
      <c r="D505" s="89"/>
      <c r="E505" s="89">
        <f>E496+E358+(E359*'Purchased Power'!$P$173)</f>
        <v>85477779.524668083</v>
      </c>
      <c r="F505" s="89">
        <f>F496+F358+(F359*'Purchased Power'!$P$173)</f>
        <v>53792284.459066808</v>
      </c>
      <c r="G505" s="89">
        <f>G496+G358+(G359*'Purchased Power'!$P$173)</f>
        <v>10068.126278903097</v>
      </c>
      <c r="H505" s="89">
        <f>H496+H358+(H359*'Purchased Power'!$P$173)</f>
        <v>13566.3789537134</v>
      </c>
      <c r="I505" s="89">
        <f>I496+I358+(I359*'Purchased Power'!$P$173)</f>
        <v>5256159.3934889315</v>
      </c>
      <c r="J505" s="89">
        <f>J496+J358+(J359*'Purchased Power'!$P$173)</f>
        <v>89098.705497207178</v>
      </c>
      <c r="K505" s="89">
        <f>K496+K358+(K359*'Purchased Power'!$P$173)</f>
        <v>2357845.4692131123</v>
      </c>
      <c r="L505" s="89">
        <f>L496+L358+(L359*'Purchased Power'!$P$173)</f>
        <v>7609463.1013254942</v>
      </c>
      <c r="M505" s="89">
        <f>M496+M358+(M359*'Purchased Power'!$P$173)</f>
        <v>3821530.8</v>
      </c>
      <c r="N505" s="89">
        <f>N496+N358+(N359*'Purchased Power'!$P$173)</f>
        <v>7343657.8000000007</v>
      </c>
      <c r="O505" s="89">
        <f>O496+O358+(O359*'Purchased Power'!$P$173)</f>
        <v>4839090.3999999994</v>
      </c>
      <c r="P505" s="89">
        <f>P496+P358+(P359*'Purchased Power'!$P$173)</f>
        <v>345014.89084390854</v>
      </c>
      <c r="Q505" s="89">
        <f t="shared" ref="Q505:AF505" si="262">Q496+Q358+Q366+(Q359*$D$496)</f>
        <v>0</v>
      </c>
      <c r="R505" s="89">
        <f t="shared" si="262"/>
        <v>0</v>
      </c>
      <c r="S505" s="89">
        <f t="shared" si="262"/>
        <v>0</v>
      </c>
      <c r="T505" s="89">
        <f t="shared" si="262"/>
        <v>0</v>
      </c>
      <c r="U505" s="89">
        <f t="shared" si="262"/>
        <v>0</v>
      </c>
      <c r="V505" s="89">
        <f t="shared" si="262"/>
        <v>0</v>
      </c>
      <c r="W505" s="89">
        <f t="shared" si="262"/>
        <v>0</v>
      </c>
      <c r="X505" s="89">
        <f t="shared" si="262"/>
        <v>0</v>
      </c>
      <c r="Y505" s="89">
        <f t="shared" si="262"/>
        <v>0</v>
      </c>
      <c r="Z505" s="89">
        <f t="shared" si="262"/>
        <v>0</v>
      </c>
      <c r="AA505" s="89">
        <f t="shared" si="262"/>
        <v>0</v>
      </c>
      <c r="AB505" s="89">
        <f t="shared" si="262"/>
        <v>0</v>
      </c>
      <c r="AC505" s="89">
        <f t="shared" si="262"/>
        <v>0</v>
      </c>
      <c r="AD505" s="89">
        <f t="shared" si="262"/>
        <v>0</v>
      </c>
      <c r="AE505" s="89">
        <f t="shared" si="262"/>
        <v>0</v>
      </c>
      <c r="AF505" s="89">
        <f t="shared" si="262"/>
        <v>0</v>
      </c>
      <c r="AG505" s="89">
        <f t="shared" ref="AG505:AG509" si="263">SUM(F505:AF505)</f>
        <v>85477779.524668068</v>
      </c>
      <c r="AH505" s="27" t="str">
        <f t="shared" ref="AH505:AH509" si="264">IF(ABS(E505-AG505)&lt;0.01,"ok","err")</f>
        <v>ok</v>
      </c>
      <c r="AJ505" s="179"/>
      <c r="AK505" s="179"/>
      <c r="AL505" s="179"/>
      <c r="AM505" s="179"/>
      <c r="AN505" s="179"/>
      <c r="AO505" s="179"/>
    </row>
    <row r="506" spans="1:41" x14ac:dyDescent="0.2">
      <c r="A506" s="14" t="s">
        <v>889</v>
      </c>
      <c r="D506" s="89"/>
      <c r="E506" s="89">
        <f t="shared" ref="E506:P506" si="265">E497</f>
        <v>0</v>
      </c>
      <c r="F506" s="89">
        <f t="shared" si="265"/>
        <v>0</v>
      </c>
      <c r="G506" s="89">
        <f t="shared" si="265"/>
        <v>0</v>
      </c>
      <c r="H506" s="89">
        <f t="shared" si="265"/>
        <v>0</v>
      </c>
      <c r="I506" s="89">
        <f t="shared" si="265"/>
        <v>0</v>
      </c>
      <c r="J506" s="89">
        <f t="shared" si="265"/>
        <v>0</v>
      </c>
      <c r="K506" s="89">
        <f t="shared" si="265"/>
        <v>0</v>
      </c>
      <c r="L506" s="89">
        <f t="shared" si="265"/>
        <v>0</v>
      </c>
      <c r="M506" s="89">
        <f t="shared" si="265"/>
        <v>0</v>
      </c>
      <c r="N506" s="89">
        <f t="shared" si="265"/>
        <v>0</v>
      </c>
      <c r="O506" s="89">
        <f t="shared" si="265"/>
        <v>0</v>
      </c>
      <c r="P506" s="89">
        <f t="shared" si="265"/>
        <v>0</v>
      </c>
      <c r="Q506" s="89">
        <f t="shared" ref="Q506:AF506" si="266">Q497</f>
        <v>0</v>
      </c>
      <c r="R506" s="89">
        <f t="shared" si="266"/>
        <v>0</v>
      </c>
      <c r="S506" s="89">
        <f t="shared" si="266"/>
        <v>0</v>
      </c>
      <c r="T506" s="89">
        <f t="shared" si="266"/>
        <v>0</v>
      </c>
      <c r="U506" s="89">
        <f t="shared" si="266"/>
        <v>0</v>
      </c>
      <c r="V506" s="89">
        <f t="shared" si="266"/>
        <v>0</v>
      </c>
      <c r="W506" s="89">
        <f t="shared" si="266"/>
        <v>0</v>
      </c>
      <c r="X506" s="89">
        <f t="shared" si="266"/>
        <v>0</v>
      </c>
      <c r="Y506" s="89">
        <f t="shared" si="266"/>
        <v>0</v>
      </c>
      <c r="Z506" s="89">
        <f t="shared" si="266"/>
        <v>0</v>
      </c>
      <c r="AA506" s="89">
        <f t="shared" si="266"/>
        <v>0</v>
      </c>
      <c r="AB506" s="89">
        <f t="shared" si="266"/>
        <v>0</v>
      </c>
      <c r="AC506" s="89">
        <f t="shared" si="266"/>
        <v>0</v>
      </c>
      <c r="AD506" s="89">
        <f t="shared" si="266"/>
        <v>0</v>
      </c>
      <c r="AE506" s="89">
        <f t="shared" si="266"/>
        <v>0</v>
      </c>
      <c r="AF506" s="89">
        <f t="shared" si="266"/>
        <v>0</v>
      </c>
      <c r="AG506" s="89">
        <f t="shared" si="263"/>
        <v>0</v>
      </c>
      <c r="AH506" s="27" t="str">
        <f t="shared" si="264"/>
        <v>ok</v>
      </c>
      <c r="AJ506" s="179"/>
      <c r="AK506" s="179"/>
      <c r="AL506" s="179"/>
      <c r="AM506" s="179"/>
      <c r="AN506" s="179"/>
      <c r="AO506" s="179"/>
    </row>
    <row r="507" spans="1:41" x14ac:dyDescent="0.2">
      <c r="A507" s="14" t="s">
        <v>646</v>
      </c>
      <c r="D507" s="89"/>
      <c r="E507" s="89">
        <f>E498+SUM(E360:E372)*$D$498</f>
        <v>15984090.505984707</v>
      </c>
      <c r="F507" s="89">
        <f t="shared" ref="F507:P507" si="267">F498+SUM(F360:F372)*$D$498</f>
        <v>13188069.883478401</v>
      </c>
      <c r="G507" s="89">
        <f t="shared" si="267"/>
        <v>2405.7404975380477</v>
      </c>
      <c r="H507" s="89">
        <f t="shared" si="267"/>
        <v>88848.367013038369</v>
      </c>
      <c r="I507" s="89">
        <f t="shared" si="267"/>
        <v>725491.67842044157</v>
      </c>
      <c r="J507" s="89">
        <f t="shared" si="267"/>
        <v>89852.698422547823</v>
      </c>
      <c r="K507" s="89">
        <f t="shared" si="267"/>
        <v>241468.47363519057</v>
      </c>
      <c r="L507" s="89">
        <f t="shared" si="267"/>
        <v>779008.05818430474</v>
      </c>
      <c r="M507" s="89">
        <f t="shared" si="267"/>
        <v>291104.98460051272</v>
      </c>
      <c r="N507" s="89">
        <f t="shared" si="267"/>
        <v>552392.48396777024</v>
      </c>
      <c r="O507" s="89">
        <f t="shared" si="267"/>
        <v>0.18496739417420488</v>
      </c>
      <c r="P507" s="89">
        <f t="shared" si="267"/>
        <v>25447.952797567559</v>
      </c>
      <c r="Q507" s="89">
        <f t="shared" ref="Q507:AF507" si="268">Q498+Q370+(Q360+Q361+Q362+Q363+Q364+Q367+Q368+Q369)*$D$498</f>
        <v>0</v>
      </c>
      <c r="R507" s="89">
        <f t="shared" si="268"/>
        <v>0</v>
      </c>
      <c r="S507" s="89">
        <f t="shared" si="268"/>
        <v>0</v>
      </c>
      <c r="T507" s="89">
        <f t="shared" si="268"/>
        <v>0</v>
      </c>
      <c r="U507" s="89">
        <f t="shared" si="268"/>
        <v>0</v>
      </c>
      <c r="V507" s="89">
        <f t="shared" si="268"/>
        <v>0</v>
      </c>
      <c r="W507" s="89">
        <f t="shared" si="268"/>
        <v>0</v>
      </c>
      <c r="X507" s="89">
        <f t="shared" si="268"/>
        <v>0</v>
      </c>
      <c r="Y507" s="89">
        <f t="shared" si="268"/>
        <v>0</v>
      </c>
      <c r="Z507" s="89">
        <f t="shared" si="268"/>
        <v>0</v>
      </c>
      <c r="AA507" s="89">
        <f t="shared" si="268"/>
        <v>0</v>
      </c>
      <c r="AB507" s="89">
        <f t="shared" si="268"/>
        <v>0</v>
      </c>
      <c r="AC507" s="89">
        <f t="shared" si="268"/>
        <v>0</v>
      </c>
      <c r="AD507" s="89">
        <f t="shared" si="268"/>
        <v>0</v>
      </c>
      <c r="AE507" s="89">
        <f t="shared" si="268"/>
        <v>0</v>
      </c>
      <c r="AF507" s="89">
        <f t="shared" si="268"/>
        <v>0</v>
      </c>
      <c r="AG507" s="89">
        <f t="shared" si="263"/>
        <v>15984090.505984709</v>
      </c>
      <c r="AH507" s="27" t="str">
        <f t="shared" si="264"/>
        <v>ok</v>
      </c>
      <c r="AJ507" s="179"/>
      <c r="AK507" s="179"/>
      <c r="AL507" s="179"/>
      <c r="AM507" s="179"/>
      <c r="AN507" s="179"/>
      <c r="AO507" s="179"/>
    </row>
    <row r="508" spans="1:41" x14ac:dyDescent="0.2">
      <c r="A508" s="14" t="s">
        <v>647</v>
      </c>
      <c r="D508" s="89"/>
      <c r="E508" s="89">
        <f>E499+SUM(E360:E372)*$D$499</f>
        <v>18720716.515583154</v>
      </c>
      <c r="F508" s="89">
        <f t="shared" ref="F508:P508" si="269">F499+SUM(F360:F372)*$D$499</f>
        <v>14207025.713062093</v>
      </c>
      <c r="G508" s="89">
        <f t="shared" si="269"/>
        <v>27220.135162611601</v>
      </c>
      <c r="H508" s="89">
        <f t="shared" si="269"/>
        <v>4365.7208371746483</v>
      </c>
      <c r="I508" s="89">
        <f t="shared" si="269"/>
        <v>745469.88488403801</v>
      </c>
      <c r="J508" s="89">
        <f t="shared" si="269"/>
        <v>12097.13683199299</v>
      </c>
      <c r="K508" s="89">
        <f t="shared" si="269"/>
        <v>58171.560616974995</v>
      </c>
      <c r="L508" s="89">
        <f t="shared" si="269"/>
        <v>212478.20230557927</v>
      </c>
      <c r="M508" s="89">
        <f t="shared" si="269"/>
        <v>3044.4421487525447</v>
      </c>
      <c r="N508" s="89">
        <f t="shared" si="269"/>
        <v>15995.252674710426</v>
      </c>
      <c r="O508" s="89">
        <f t="shared" si="269"/>
        <v>171.38902770894816</v>
      </c>
      <c r="P508" s="89">
        <f t="shared" si="269"/>
        <v>3434677.0780315171</v>
      </c>
      <c r="Q508" s="89">
        <f t="shared" ref="Q508:AF508" si="270">Q499+(Q360+Q361+Q362+Q363+Q364+Q367+Q368+Q369)*$D$499</f>
        <v>0</v>
      </c>
      <c r="R508" s="89">
        <f t="shared" si="270"/>
        <v>0</v>
      </c>
      <c r="S508" s="89">
        <f t="shared" si="270"/>
        <v>0</v>
      </c>
      <c r="T508" s="89">
        <f t="shared" si="270"/>
        <v>0</v>
      </c>
      <c r="U508" s="89">
        <f t="shared" si="270"/>
        <v>0</v>
      </c>
      <c r="V508" s="89">
        <f t="shared" si="270"/>
        <v>0</v>
      </c>
      <c r="W508" s="89">
        <f t="shared" si="270"/>
        <v>0</v>
      </c>
      <c r="X508" s="89">
        <f t="shared" si="270"/>
        <v>0</v>
      </c>
      <c r="Y508" s="89">
        <f t="shared" si="270"/>
        <v>0</v>
      </c>
      <c r="Z508" s="89">
        <f t="shared" si="270"/>
        <v>0</v>
      </c>
      <c r="AA508" s="89">
        <f t="shared" si="270"/>
        <v>0</v>
      </c>
      <c r="AB508" s="89">
        <f t="shared" si="270"/>
        <v>0</v>
      </c>
      <c r="AC508" s="89">
        <f t="shared" si="270"/>
        <v>0</v>
      </c>
      <c r="AD508" s="89">
        <f t="shared" si="270"/>
        <v>0</v>
      </c>
      <c r="AE508" s="89">
        <f t="shared" si="270"/>
        <v>0</v>
      </c>
      <c r="AF508" s="89">
        <f t="shared" si="270"/>
        <v>0</v>
      </c>
      <c r="AG508" s="89">
        <f t="shared" si="263"/>
        <v>18720716.515583154</v>
      </c>
      <c r="AH508" s="27" t="str">
        <f t="shared" si="264"/>
        <v>ok</v>
      </c>
      <c r="AJ508" s="179"/>
      <c r="AK508" s="179"/>
      <c r="AL508" s="179"/>
      <c r="AM508" s="179"/>
      <c r="AN508" s="179"/>
      <c r="AO508" s="179"/>
    </row>
    <row r="509" spans="1:41" x14ac:dyDescent="0.2">
      <c r="A509" s="14" t="s">
        <v>0</v>
      </c>
      <c r="E509" s="177">
        <f>SUM(E504:E508)</f>
        <v>154515266.02156785</v>
      </c>
      <c r="F509" s="177">
        <f t="shared" ref="F509:AF509" si="271">SUM(F504:F508)</f>
        <v>105281842.1564451</v>
      </c>
      <c r="G509" s="177">
        <f t="shared" si="271"/>
        <v>44258.697414137117</v>
      </c>
      <c r="H509" s="177">
        <f t="shared" si="271"/>
        <v>107803.52325236668</v>
      </c>
      <c r="I509" s="177">
        <f t="shared" si="271"/>
        <v>8707460.2075074837</v>
      </c>
      <c r="J509" s="177">
        <f t="shared" si="271"/>
        <v>197760.83507194999</v>
      </c>
      <c r="K509" s="177">
        <f t="shared" si="271"/>
        <v>3416833.3891001977</v>
      </c>
      <c r="L509" s="177">
        <f t="shared" si="271"/>
        <v>10758731.654790429</v>
      </c>
      <c r="M509" s="177">
        <f t="shared" si="271"/>
        <v>5389041.4267492648</v>
      </c>
      <c r="N509" s="177">
        <f t="shared" si="271"/>
        <v>10526753.73664248</v>
      </c>
      <c r="O509" s="177">
        <f t="shared" si="271"/>
        <v>6202694.5739951022</v>
      </c>
      <c r="P509" s="177">
        <f t="shared" si="271"/>
        <v>3882085.8205993418</v>
      </c>
      <c r="Q509" s="177">
        <f t="shared" si="271"/>
        <v>0</v>
      </c>
      <c r="R509" s="177">
        <f t="shared" si="271"/>
        <v>0</v>
      </c>
      <c r="S509" s="89">
        <f t="shared" si="271"/>
        <v>0</v>
      </c>
      <c r="T509" s="89">
        <f t="shared" si="271"/>
        <v>0</v>
      </c>
      <c r="U509" s="89">
        <f t="shared" si="271"/>
        <v>0</v>
      </c>
      <c r="V509" s="89">
        <f t="shared" si="271"/>
        <v>0</v>
      </c>
      <c r="W509" s="89">
        <f t="shared" si="271"/>
        <v>0</v>
      </c>
      <c r="X509" s="89">
        <f t="shared" si="271"/>
        <v>0</v>
      </c>
      <c r="Y509" s="89">
        <f t="shared" si="271"/>
        <v>0</v>
      </c>
      <c r="Z509" s="89">
        <f t="shared" si="271"/>
        <v>0</v>
      </c>
      <c r="AA509" s="89">
        <f t="shared" si="271"/>
        <v>0</v>
      </c>
      <c r="AB509" s="89">
        <f t="shared" si="271"/>
        <v>0</v>
      </c>
      <c r="AC509" s="89">
        <f t="shared" si="271"/>
        <v>0</v>
      </c>
      <c r="AD509" s="89">
        <f t="shared" si="271"/>
        <v>0</v>
      </c>
      <c r="AE509" s="89">
        <f t="shared" si="271"/>
        <v>0</v>
      </c>
      <c r="AF509" s="89">
        <f t="shared" si="271"/>
        <v>0</v>
      </c>
      <c r="AG509" s="89">
        <f t="shared" si="263"/>
        <v>154515266.02156785</v>
      </c>
      <c r="AH509" s="27" t="str">
        <f t="shared" si="264"/>
        <v>ok</v>
      </c>
      <c r="AJ509" s="179"/>
      <c r="AK509" s="179"/>
      <c r="AL509" s="179"/>
      <c r="AM509" s="179"/>
      <c r="AN509" s="179"/>
      <c r="AO509" s="179"/>
    </row>
    <row r="510" spans="1:41" x14ac:dyDescent="0.2">
      <c r="D510" s="103" t="s">
        <v>1204</v>
      </c>
      <c r="E510" s="89">
        <f>E509-E500</f>
        <v>769264.94156783819</v>
      </c>
      <c r="F510" s="89"/>
    </row>
    <row r="511" spans="1:41" x14ac:dyDescent="0.2">
      <c r="A511" s="13" t="s">
        <v>76</v>
      </c>
      <c r="D511" s="26" t="s">
        <v>1203</v>
      </c>
      <c r="E511" s="190">
        <f>E510-E375</f>
        <v>-2.2700987756252289E-8</v>
      </c>
      <c r="F511" s="89"/>
      <c r="G511" s="89"/>
      <c r="H511" s="89"/>
      <c r="I511" s="89"/>
      <c r="J511" s="89"/>
      <c r="K511" s="89"/>
    </row>
    <row r="512" spans="1:41" x14ac:dyDescent="0.2">
      <c r="D512" s="26"/>
    </row>
    <row r="513" spans="1:34" x14ac:dyDescent="0.2">
      <c r="A513" s="14" t="s">
        <v>891</v>
      </c>
      <c r="E513" s="89">
        <f t="shared" ref="E513:R513" si="272">E85</f>
        <v>0</v>
      </c>
      <c r="F513" s="89">
        <f t="shared" si="272"/>
        <v>0</v>
      </c>
      <c r="G513" s="89">
        <f t="shared" si="272"/>
        <v>0</v>
      </c>
      <c r="H513" s="89">
        <f t="shared" si="272"/>
        <v>0</v>
      </c>
      <c r="I513" s="89">
        <f t="shared" si="272"/>
        <v>0</v>
      </c>
      <c r="J513" s="89">
        <f t="shared" si="272"/>
        <v>0</v>
      </c>
      <c r="K513" s="89">
        <f t="shared" si="272"/>
        <v>0</v>
      </c>
      <c r="L513" s="89">
        <f t="shared" si="272"/>
        <v>0</v>
      </c>
      <c r="M513" s="89">
        <f t="shared" si="272"/>
        <v>0</v>
      </c>
      <c r="N513" s="89">
        <f t="shared" si="272"/>
        <v>0</v>
      </c>
      <c r="O513" s="89">
        <f t="shared" si="272"/>
        <v>0</v>
      </c>
      <c r="P513" s="89">
        <f t="shared" si="272"/>
        <v>0</v>
      </c>
      <c r="Q513" s="89">
        <f t="shared" si="272"/>
        <v>0</v>
      </c>
      <c r="R513" s="89">
        <f t="shared" si="272"/>
        <v>0</v>
      </c>
      <c r="AG513" s="89">
        <f t="shared" ref="AG513:AG518" si="273">SUM(F513:AF513)</f>
        <v>0</v>
      </c>
      <c r="AH513" s="27" t="str">
        <f t="shared" ref="AH513:AH518" si="274">IF(ABS(E513-AG513)&lt;0.01,"ok","err")</f>
        <v>ok</v>
      </c>
    </row>
    <row r="514" spans="1:34" x14ac:dyDescent="0.2">
      <c r="A514" s="14" t="s">
        <v>892</v>
      </c>
      <c r="E514" s="89">
        <f t="shared" ref="E514:R514" si="275">E86</f>
        <v>0</v>
      </c>
      <c r="F514" s="89">
        <f t="shared" si="275"/>
        <v>0</v>
      </c>
      <c r="G514" s="89">
        <f t="shared" si="275"/>
        <v>0</v>
      </c>
      <c r="H514" s="89">
        <f t="shared" si="275"/>
        <v>0</v>
      </c>
      <c r="I514" s="89">
        <f t="shared" si="275"/>
        <v>0</v>
      </c>
      <c r="J514" s="89">
        <f t="shared" si="275"/>
        <v>0</v>
      </c>
      <c r="K514" s="89">
        <f t="shared" si="275"/>
        <v>0</v>
      </c>
      <c r="L514" s="89">
        <f t="shared" si="275"/>
        <v>0</v>
      </c>
      <c r="M514" s="89">
        <f t="shared" si="275"/>
        <v>0</v>
      </c>
      <c r="N514" s="89">
        <f t="shared" si="275"/>
        <v>0</v>
      </c>
      <c r="O514" s="89">
        <f t="shared" si="275"/>
        <v>0</v>
      </c>
      <c r="P514" s="89">
        <f t="shared" si="275"/>
        <v>0</v>
      </c>
      <c r="Q514" s="89">
        <f t="shared" si="275"/>
        <v>0</v>
      </c>
      <c r="R514" s="89">
        <f t="shared" si="275"/>
        <v>0</v>
      </c>
      <c r="AG514" s="89">
        <f t="shared" si="273"/>
        <v>0</v>
      </c>
      <c r="AH514" s="27" t="str">
        <f t="shared" si="274"/>
        <v>ok</v>
      </c>
    </row>
    <row r="515" spans="1:34" x14ac:dyDescent="0.2">
      <c r="A515" s="14" t="s">
        <v>889</v>
      </c>
      <c r="E515" s="89">
        <f t="shared" ref="E515:R515" si="276">E90</f>
        <v>0</v>
      </c>
      <c r="F515" s="89">
        <f t="shared" si="276"/>
        <v>0</v>
      </c>
      <c r="G515" s="89">
        <f t="shared" si="276"/>
        <v>0</v>
      </c>
      <c r="H515" s="89">
        <f t="shared" si="276"/>
        <v>0</v>
      </c>
      <c r="I515" s="89">
        <f t="shared" si="276"/>
        <v>0</v>
      </c>
      <c r="J515" s="89">
        <f t="shared" si="276"/>
        <v>0</v>
      </c>
      <c r="K515" s="89">
        <f t="shared" si="276"/>
        <v>0</v>
      </c>
      <c r="L515" s="89">
        <f t="shared" si="276"/>
        <v>0</v>
      </c>
      <c r="M515" s="89">
        <f t="shared" si="276"/>
        <v>0</v>
      </c>
      <c r="N515" s="89">
        <f t="shared" si="276"/>
        <v>0</v>
      </c>
      <c r="O515" s="89">
        <f t="shared" si="276"/>
        <v>0</v>
      </c>
      <c r="P515" s="89">
        <f t="shared" si="276"/>
        <v>0</v>
      </c>
      <c r="Q515" s="89">
        <f t="shared" si="276"/>
        <v>0</v>
      </c>
      <c r="R515" s="89">
        <f t="shared" si="276"/>
        <v>0</v>
      </c>
      <c r="AG515" s="89">
        <f t="shared" si="273"/>
        <v>0</v>
      </c>
      <c r="AH515" s="27" t="str">
        <f t="shared" si="274"/>
        <v>ok</v>
      </c>
    </row>
    <row r="516" spans="1:34" x14ac:dyDescent="0.2">
      <c r="A516" s="14" t="s">
        <v>646</v>
      </c>
      <c r="E516" s="89">
        <f t="shared" ref="E516:AF516" si="277">E93+E96+E101</f>
        <v>96689992.132689252</v>
      </c>
      <c r="F516" s="89">
        <f t="shared" si="277"/>
        <v>80509514.749111161</v>
      </c>
      <c r="G516" s="89">
        <f t="shared" si="277"/>
        <v>15050.328555611961</v>
      </c>
      <c r="H516" s="89">
        <f t="shared" si="277"/>
        <v>547090.91931046068</v>
      </c>
      <c r="I516" s="89">
        <f t="shared" si="277"/>
        <v>4356823.6436019102</v>
      </c>
      <c r="J516" s="89">
        <f t="shared" si="277"/>
        <v>551587.36976240098</v>
      </c>
      <c r="K516" s="89">
        <f t="shared" si="277"/>
        <v>1397633.8044442208</v>
      </c>
      <c r="L516" s="89">
        <f t="shared" si="277"/>
        <v>3872398.5805848925</v>
      </c>
      <c r="M516" s="89">
        <f t="shared" si="277"/>
        <v>1812832.1400524359</v>
      </c>
      <c r="N516" s="89">
        <f t="shared" si="277"/>
        <v>3440557.8959736056</v>
      </c>
      <c r="O516" s="89">
        <f t="shared" si="277"/>
        <v>0</v>
      </c>
      <c r="P516" s="89">
        <f t="shared" si="277"/>
        <v>186502.70129255479</v>
      </c>
      <c r="Q516" s="89">
        <f t="shared" si="277"/>
        <v>0</v>
      </c>
      <c r="R516" s="89">
        <f t="shared" si="277"/>
        <v>0</v>
      </c>
      <c r="S516" s="89">
        <f t="shared" si="277"/>
        <v>0</v>
      </c>
      <c r="T516" s="89">
        <f t="shared" si="277"/>
        <v>0</v>
      </c>
      <c r="U516" s="89">
        <f t="shared" si="277"/>
        <v>0</v>
      </c>
      <c r="V516" s="89">
        <f t="shared" si="277"/>
        <v>0</v>
      </c>
      <c r="W516" s="89">
        <f t="shared" si="277"/>
        <v>0</v>
      </c>
      <c r="X516" s="89">
        <f t="shared" si="277"/>
        <v>0</v>
      </c>
      <c r="Y516" s="89">
        <f t="shared" si="277"/>
        <v>0</v>
      </c>
      <c r="Z516" s="89">
        <f t="shared" si="277"/>
        <v>0</v>
      </c>
      <c r="AA516" s="89">
        <f t="shared" si="277"/>
        <v>0</v>
      </c>
      <c r="AB516" s="89">
        <f t="shared" si="277"/>
        <v>0</v>
      </c>
      <c r="AC516" s="89">
        <f t="shared" si="277"/>
        <v>0</v>
      </c>
      <c r="AD516" s="89">
        <f t="shared" si="277"/>
        <v>0</v>
      </c>
      <c r="AE516" s="89">
        <f t="shared" si="277"/>
        <v>0</v>
      </c>
      <c r="AF516" s="89">
        <f t="shared" si="277"/>
        <v>0</v>
      </c>
      <c r="AG516" s="89">
        <f t="shared" si="273"/>
        <v>96689992.132689282</v>
      </c>
      <c r="AH516" s="27" t="str">
        <f t="shared" si="274"/>
        <v>ok</v>
      </c>
    </row>
    <row r="517" spans="1:34" x14ac:dyDescent="0.2">
      <c r="A517" s="14" t="s">
        <v>647</v>
      </c>
      <c r="E517" s="66">
        <f t="shared" ref="E517:AD517" si="278">E97+E102+E106+E109+E112+E115</f>
        <v>111575106.4405607</v>
      </c>
      <c r="F517" s="66">
        <f t="shared" si="278"/>
        <v>83265550.710487604</v>
      </c>
      <c r="G517" s="66">
        <f t="shared" si="278"/>
        <v>161938.95235784265</v>
      </c>
      <c r="H517" s="66">
        <f t="shared" si="278"/>
        <v>26869.580121326318</v>
      </c>
      <c r="I517" s="66">
        <f t="shared" si="278"/>
        <v>4381733.5414505647</v>
      </c>
      <c r="J517" s="66">
        <f t="shared" si="278"/>
        <v>72700.416654671106</v>
      </c>
      <c r="K517" s="66">
        <f t="shared" si="278"/>
        <v>315231.67461669206</v>
      </c>
      <c r="L517" s="66">
        <f t="shared" si="278"/>
        <v>281574.56159088784</v>
      </c>
      <c r="M517" s="66">
        <f t="shared" si="278"/>
        <v>32356.675063358518</v>
      </c>
      <c r="N517" s="66">
        <f t="shared" si="278"/>
        <v>158255.42992405829</v>
      </c>
      <c r="O517" s="66">
        <f t="shared" si="278"/>
        <v>814.61920352687321</v>
      </c>
      <c r="P517" s="66">
        <f t="shared" si="278"/>
        <v>22878080.279090166</v>
      </c>
      <c r="Q517" s="66">
        <f t="shared" si="278"/>
        <v>0</v>
      </c>
      <c r="R517" s="66">
        <f t="shared" si="278"/>
        <v>0</v>
      </c>
      <c r="S517" s="66">
        <f t="shared" si="278"/>
        <v>0</v>
      </c>
      <c r="T517" s="66">
        <f t="shared" si="278"/>
        <v>0</v>
      </c>
      <c r="U517" s="66">
        <f t="shared" si="278"/>
        <v>0</v>
      </c>
      <c r="V517" s="66">
        <f t="shared" si="278"/>
        <v>0</v>
      </c>
      <c r="W517" s="66">
        <f t="shared" si="278"/>
        <v>0</v>
      </c>
      <c r="X517" s="66">
        <f t="shared" si="278"/>
        <v>0</v>
      </c>
      <c r="Y517" s="66">
        <f t="shared" si="278"/>
        <v>0</v>
      </c>
      <c r="Z517" s="66">
        <f t="shared" si="278"/>
        <v>0</v>
      </c>
      <c r="AA517" s="66">
        <f t="shared" si="278"/>
        <v>0</v>
      </c>
      <c r="AB517" s="66">
        <f t="shared" si="278"/>
        <v>0</v>
      </c>
      <c r="AC517" s="66">
        <f t="shared" si="278"/>
        <v>0</v>
      </c>
      <c r="AD517" s="66">
        <f t="shared" si="278"/>
        <v>0</v>
      </c>
      <c r="AE517" s="66"/>
      <c r="AF517" s="66">
        <f>AF97+AF102+AF106+AF109+AF112+AF115</f>
        <v>0</v>
      </c>
      <c r="AG517" s="89">
        <f t="shared" si="273"/>
        <v>111575106.4405607</v>
      </c>
      <c r="AH517" s="27" t="str">
        <f t="shared" si="274"/>
        <v>ok</v>
      </c>
    </row>
    <row r="518" spans="1:34" x14ac:dyDescent="0.2">
      <c r="A518" s="14" t="s">
        <v>0</v>
      </c>
      <c r="E518" s="177">
        <f>SUM(E513:E517)</f>
        <v>208265098.57324994</v>
      </c>
      <c r="F518" s="177">
        <f t="shared" ref="F518:R518" si="279">SUM(F513:F517)</f>
        <v>163775065.45959878</v>
      </c>
      <c r="G518" s="177">
        <f t="shared" si="279"/>
        <v>176989.2809134546</v>
      </c>
      <c r="H518" s="177">
        <f t="shared" si="279"/>
        <v>573960.49943178706</v>
      </c>
      <c r="I518" s="177">
        <f t="shared" si="279"/>
        <v>8738557.185052475</v>
      </c>
      <c r="J518" s="177">
        <f t="shared" si="279"/>
        <v>624287.78641707206</v>
      </c>
      <c r="K518" s="177">
        <f t="shared" si="279"/>
        <v>1712865.479060913</v>
      </c>
      <c r="L518" s="177">
        <f t="shared" si="279"/>
        <v>4153973.1421757806</v>
      </c>
      <c r="M518" s="177">
        <f t="shared" si="279"/>
        <v>1845188.8151157945</v>
      </c>
      <c r="N518" s="177">
        <f t="shared" si="279"/>
        <v>3598813.3258976638</v>
      </c>
      <c r="O518" s="177">
        <f t="shared" si="279"/>
        <v>814.61920352687321</v>
      </c>
      <c r="P518" s="177">
        <f t="shared" si="279"/>
        <v>23064582.980382722</v>
      </c>
      <c r="Q518" s="177">
        <f t="shared" si="279"/>
        <v>0</v>
      </c>
      <c r="R518" s="177">
        <f t="shared" si="279"/>
        <v>0</v>
      </c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77">
        <f t="shared" si="273"/>
        <v>208265098.57324997</v>
      </c>
      <c r="AH518" s="27" t="str">
        <f t="shared" si="274"/>
        <v>ok</v>
      </c>
    </row>
    <row r="521" spans="1:34" x14ac:dyDescent="0.2">
      <c r="A521" s="13" t="s">
        <v>759</v>
      </c>
      <c r="C521" s="140">
        <v>3.483804326651558E-2</v>
      </c>
      <c r="R521" s="45"/>
    </row>
    <row r="522" spans="1:34" x14ac:dyDescent="0.2">
      <c r="A522" s="14" t="s">
        <v>891</v>
      </c>
      <c r="E522" s="89">
        <f>E504+(E513*$C$521)</f>
        <v>34332679.475331917</v>
      </c>
      <c r="F522" s="89">
        <f t="shared" ref="F522:R522" si="280">F504+(F513*$C$521)</f>
        <v>24094462.100837804</v>
      </c>
      <c r="G522" s="89">
        <f t="shared" si="280"/>
        <v>4564.6954750843688</v>
      </c>
      <c r="H522" s="89">
        <f t="shared" si="280"/>
        <v>1023.0564484402547</v>
      </c>
      <c r="I522" s="89">
        <f t="shared" si="280"/>
        <v>1980339.2507140725</v>
      </c>
      <c r="J522" s="89">
        <f t="shared" si="280"/>
        <v>6712.2943202020097</v>
      </c>
      <c r="K522" s="89">
        <f t="shared" si="280"/>
        <v>759347.88563491986</v>
      </c>
      <c r="L522" s="89">
        <f t="shared" si="280"/>
        <v>2157782.2929750509</v>
      </c>
      <c r="M522" s="89">
        <f t="shared" si="280"/>
        <v>1273361.2000000002</v>
      </c>
      <c r="N522" s="89">
        <f t="shared" si="280"/>
        <v>2614708.2000000002</v>
      </c>
      <c r="O522" s="89">
        <f t="shared" si="280"/>
        <v>1363432.5999999999</v>
      </c>
      <c r="P522" s="89">
        <f t="shared" si="280"/>
        <v>76945.898926348382</v>
      </c>
      <c r="Q522" s="89">
        <f t="shared" si="280"/>
        <v>0</v>
      </c>
      <c r="R522" s="89">
        <f t="shared" si="280"/>
        <v>0</v>
      </c>
      <c r="S522" s="14">
        <f>S504</f>
        <v>0</v>
      </c>
    </row>
    <row r="523" spans="1:34" x14ac:dyDescent="0.2">
      <c r="A523" s="14" t="s">
        <v>892</v>
      </c>
      <c r="E523" s="89">
        <f>E505+(E514*$C$521)</f>
        <v>85477779.524668083</v>
      </c>
      <c r="F523" s="89">
        <f t="shared" ref="F523:R523" si="281">F505+(F514*$C$521)</f>
        <v>53792284.459066808</v>
      </c>
      <c r="G523" s="89">
        <f t="shared" si="281"/>
        <v>10068.126278903097</v>
      </c>
      <c r="H523" s="89">
        <f t="shared" si="281"/>
        <v>13566.3789537134</v>
      </c>
      <c r="I523" s="89">
        <f t="shared" si="281"/>
        <v>5256159.3934889315</v>
      </c>
      <c r="J523" s="89">
        <f t="shared" si="281"/>
        <v>89098.705497207178</v>
      </c>
      <c r="K523" s="89">
        <f t="shared" si="281"/>
        <v>2357845.4692131123</v>
      </c>
      <c r="L523" s="89">
        <f t="shared" si="281"/>
        <v>7609463.1013254942</v>
      </c>
      <c r="M523" s="89">
        <f t="shared" si="281"/>
        <v>3821530.8</v>
      </c>
      <c r="N523" s="89">
        <f t="shared" si="281"/>
        <v>7343657.8000000007</v>
      </c>
      <c r="O523" s="89">
        <f t="shared" si="281"/>
        <v>4839090.3999999994</v>
      </c>
      <c r="P523" s="89">
        <f t="shared" si="281"/>
        <v>345014.89084390854</v>
      </c>
      <c r="Q523" s="89">
        <f t="shared" si="281"/>
        <v>0</v>
      </c>
      <c r="R523" s="89">
        <f t="shared" si="281"/>
        <v>0</v>
      </c>
      <c r="S523" s="14">
        <f>S505</f>
        <v>0</v>
      </c>
    </row>
    <row r="524" spans="1:34" x14ac:dyDescent="0.2">
      <c r="A524" s="14" t="s">
        <v>889</v>
      </c>
      <c r="E524" s="89">
        <f>E506+(E515*$C$521)</f>
        <v>0</v>
      </c>
      <c r="F524" s="89">
        <f t="shared" ref="F524:R524" si="282">F506+(F515*$C$521)</f>
        <v>0</v>
      </c>
      <c r="G524" s="89">
        <f t="shared" si="282"/>
        <v>0</v>
      </c>
      <c r="H524" s="89">
        <f t="shared" si="282"/>
        <v>0</v>
      </c>
      <c r="I524" s="89">
        <f t="shared" si="282"/>
        <v>0</v>
      </c>
      <c r="J524" s="89">
        <f t="shared" si="282"/>
        <v>0</v>
      </c>
      <c r="K524" s="89">
        <f t="shared" si="282"/>
        <v>0</v>
      </c>
      <c r="L524" s="89">
        <f t="shared" si="282"/>
        <v>0</v>
      </c>
      <c r="M524" s="89">
        <f t="shared" si="282"/>
        <v>0</v>
      </c>
      <c r="N524" s="89">
        <f t="shared" si="282"/>
        <v>0</v>
      </c>
      <c r="O524" s="89">
        <f t="shared" si="282"/>
        <v>0</v>
      </c>
      <c r="P524" s="89">
        <f t="shared" si="282"/>
        <v>0</v>
      </c>
      <c r="Q524" s="89">
        <f t="shared" si="282"/>
        <v>0</v>
      </c>
      <c r="R524" s="89">
        <f t="shared" si="282"/>
        <v>0</v>
      </c>
    </row>
    <row r="525" spans="1:34" x14ac:dyDescent="0.2">
      <c r="A525" s="14" t="s">
        <v>646</v>
      </c>
      <c r="E525" s="89">
        <f>E507+(E516*$C$521)</f>
        <v>19352580.635342386</v>
      </c>
      <c r="F525" s="89">
        <f t="shared" ref="F525:R525" si="283">F507+(F516*$C$521)</f>
        <v>15992863.84167411</v>
      </c>
      <c r="G525" s="89">
        <f t="shared" si="283"/>
        <v>2930.064494933732</v>
      </c>
      <c r="H525" s="89">
        <f t="shared" si="283"/>
        <v>107907.94413069398</v>
      </c>
      <c r="I525" s="89">
        <f t="shared" si="283"/>
        <v>877274.88902082294</v>
      </c>
      <c r="J525" s="89">
        <f t="shared" si="283"/>
        <v>109068.92307559388</v>
      </c>
      <c r="K525" s="89">
        <f t="shared" si="283"/>
        <v>290159.30058516312</v>
      </c>
      <c r="L525" s="89">
        <f t="shared" si="283"/>
        <v>913914.84747991478</v>
      </c>
      <c r="M525" s="89">
        <f t="shared" si="283"/>
        <v>354260.50913058949</v>
      </c>
      <c r="N525" s="89">
        <f t="shared" si="283"/>
        <v>672254.78880865057</v>
      </c>
      <c r="O525" s="89">
        <f t="shared" si="283"/>
        <v>0.18496739417420488</v>
      </c>
      <c r="P525" s="89">
        <f t="shared" si="283"/>
        <v>31945.341974519615</v>
      </c>
      <c r="Q525" s="89">
        <f t="shared" si="283"/>
        <v>0</v>
      </c>
      <c r="R525" s="89">
        <f t="shared" si="283"/>
        <v>0</v>
      </c>
      <c r="S525" s="14">
        <f>S507+(S517*$C$521)</f>
        <v>0</v>
      </c>
    </row>
    <row r="526" spans="1:34" x14ac:dyDescent="0.2">
      <c r="A526" s="14" t="s">
        <v>647</v>
      </c>
      <c r="E526" s="89">
        <f>E508+(E517*$C$521)</f>
        <v>22607774.901225489</v>
      </c>
      <c r="F526" s="89">
        <f t="shared" ref="F526:R526" si="284">F508+(F517*$C$521)</f>
        <v>17107834.571324307</v>
      </c>
      <c r="G526" s="89">
        <f t="shared" si="284"/>
        <v>32861.771391388327</v>
      </c>
      <c r="H526" s="89">
        <f t="shared" si="284"/>
        <v>5301.804431994522</v>
      </c>
      <c r="I526" s="89">
        <f t="shared" si="284"/>
        <v>898120.9075834353</v>
      </c>
      <c r="J526" s="89">
        <f t="shared" si="284"/>
        <v>14629.877092902132</v>
      </c>
      <c r="K526" s="89">
        <f t="shared" si="284"/>
        <v>69153.615336247472</v>
      </c>
      <c r="L526" s="89">
        <f t="shared" si="284"/>
        <v>222287.70906503277</v>
      </c>
      <c r="M526" s="89">
        <f t="shared" si="284"/>
        <v>4171.6853945704142</v>
      </c>
      <c r="N526" s="89">
        <f t="shared" si="284"/>
        <v>21508.562189565793</v>
      </c>
      <c r="O526" s="89">
        <f t="shared" si="284"/>
        <v>199.76876676715182</v>
      </c>
      <c r="P526" s="89">
        <f t="shared" si="284"/>
        <v>4231704.6286492776</v>
      </c>
      <c r="Q526" s="89">
        <f t="shared" si="284"/>
        <v>0</v>
      </c>
      <c r="R526" s="89">
        <f t="shared" si="284"/>
        <v>0</v>
      </c>
      <c r="S526" s="14">
        <f>S508+(S518*$C$521)</f>
        <v>0</v>
      </c>
    </row>
    <row r="527" spans="1:34" x14ac:dyDescent="0.2">
      <c r="A527" s="14" t="s">
        <v>0</v>
      </c>
      <c r="C527" s="49"/>
      <c r="E527" s="177">
        <f>SUM(E522:E526)</f>
        <v>161770814.53656787</v>
      </c>
      <c r="F527" s="177">
        <f t="shared" ref="F527:R527" si="285">SUM(F522:F526)</f>
        <v>110987444.97290301</v>
      </c>
      <c r="G527" s="177">
        <f t="shared" si="285"/>
        <v>50424.657640309524</v>
      </c>
      <c r="H527" s="177">
        <f t="shared" si="285"/>
        <v>127799.18396484216</v>
      </c>
      <c r="I527" s="177">
        <f t="shared" si="285"/>
        <v>9011894.4408072624</v>
      </c>
      <c r="J527" s="177">
        <f t="shared" si="285"/>
        <v>219509.79998590521</v>
      </c>
      <c r="K527" s="177">
        <f t="shared" si="285"/>
        <v>3476506.2707694424</v>
      </c>
      <c r="L527" s="177">
        <f t="shared" si="285"/>
        <v>10903447.950845493</v>
      </c>
      <c r="M527" s="177">
        <f t="shared" si="285"/>
        <v>5453324.1945251599</v>
      </c>
      <c r="N527" s="177">
        <f t="shared" si="285"/>
        <v>10652129.350998217</v>
      </c>
      <c r="O527" s="177">
        <f t="shared" si="285"/>
        <v>6202722.9537341604</v>
      </c>
      <c r="P527" s="177">
        <f t="shared" si="285"/>
        <v>4685610.7603940545</v>
      </c>
      <c r="Q527" s="177">
        <f t="shared" si="285"/>
        <v>0</v>
      </c>
      <c r="R527" s="177">
        <f t="shared" si="285"/>
        <v>0</v>
      </c>
      <c r="S527" s="14">
        <f>SUM(S522:S526)</f>
        <v>0</v>
      </c>
    </row>
    <row r="528" spans="1:34" x14ac:dyDescent="0.2">
      <c r="D528" s="26" t="s">
        <v>1047</v>
      </c>
      <c r="E528" s="276">
        <v>161770814.53656787</v>
      </c>
    </row>
    <row r="529" spans="1:32" x14ac:dyDescent="0.2">
      <c r="D529" s="26" t="s">
        <v>1048</v>
      </c>
      <c r="E529" s="89">
        <f>E528-E527</f>
        <v>0</v>
      </c>
    </row>
    <row r="530" spans="1:32" x14ac:dyDescent="0.2">
      <c r="E530" s="89"/>
    </row>
    <row r="531" spans="1:32" x14ac:dyDescent="0.2">
      <c r="A531" s="13" t="s">
        <v>648</v>
      </c>
    </row>
    <row r="533" spans="1:32" x14ac:dyDescent="0.2">
      <c r="A533" s="14" t="s">
        <v>995</v>
      </c>
      <c r="F533" s="97">
        <f t="shared" ref="F533:I536" si="286">F504/F$413</f>
        <v>2.8585711306823056E-2</v>
      </c>
      <c r="G533" s="97">
        <f t="shared" ref="G533:H533" si="287">G504/G$413</f>
        <v>2.8934428721376578E-2</v>
      </c>
      <c r="H533" s="97">
        <f t="shared" si="287"/>
        <v>4.8126846921804287E-3</v>
      </c>
      <c r="I533" s="47">
        <f>I504/I$428</f>
        <v>5.7295619100385258</v>
      </c>
      <c r="J533" s="97">
        <f t="shared" ref="J533" si="288">J504/J$413</f>
        <v>4.8078549112906648E-3</v>
      </c>
      <c r="K533" s="47">
        <f>K504/K$428</f>
        <v>6.8765038914221668</v>
      </c>
      <c r="L533" s="47">
        <f>L504/L$428</f>
        <v>7.0570902220970684</v>
      </c>
      <c r="M533" s="47">
        <f>M504/M$428</f>
        <v>8.9181950239101617</v>
      </c>
      <c r="N533" s="47">
        <f>N504/N$428</f>
        <v>9.6510170406004807</v>
      </c>
      <c r="O533" s="47">
        <f>O504/O$428</f>
        <v>7.1430698476405068</v>
      </c>
      <c r="Q533" s="97" t="e">
        <f>Q504/Q$413</f>
        <v>#DIV/0!</v>
      </c>
      <c r="R533" s="47" t="e">
        <f>R504/R$428</f>
        <v>#DIV/0!</v>
      </c>
      <c r="S533" s="47" t="e">
        <f>S504/S$413</f>
        <v>#DIV/0!</v>
      </c>
      <c r="T533" s="47">
        <f>T495/1251.6</f>
        <v>0</v>
      </c>
      <c r="U533" s="47" t="e">
        <f>U495/U416</f>
        <v>#DIV/0!</v>
      </c>
      <c r="V533" s="47" t="e">
        <f>V495/V416</f>
        <v>#DIV/0!</v>
      </c>
      <c r="W533" s="47" t="e">
        <f>W495/W416</f>
        <v>#DIV/0!</v>
      </c>
      <c r="X533" s="97" t="e">
        <f>X495/X413</f>
        <v>#DIV/0!</v>
      </c>
      <c r="Y533" s="47" t="e">
        <f>Y495/Y416</f>
        <v>#DIV/0!</v>
      </c>
      <c r="Z533" s="192">
        <f>Z495/3624.9</f>
        <v>0</v>
      </c>
      <c r="AA533" s="88">
        <f>AA495/9725.8</f>
        <v>0</v>
      </c>
      <c r="AB533" s="88">
        <f>AB495/12443</f>
        <v>0</v>
      </c>
      <c r="AC533" s="88">
        <f>AC495/9726</f>
        <v>0</v>
      </c>
      <c r="AD533" s="88">
        <f>AD495/10680</f>
        <v>0</v>
      </c>
      <c r="AE533" s="88"/>
      <c r="AF533" s="88"/>
    </row>
    <row r="534" spans="1:32" x14ac:dyDescent="0.2">
      <c r="A534" s="14" t="s">
        <v>893</v>
      </c>
      <c r="F534" s="97">
        <f t="shared" si="286"/>
        <v>6.3819258867286358E-2</v>
      </c>
      <c r="G534" s="97">
        <f t="shared" ref="G534:H534" si="289">G505/G$413</f>
        <v>6.3819258867286371E-2</v>
      </c>
      <c r="H534" s="97">
        <f t="shared" si="289"/>
        <v>6.3819258867286371E-2</v>
      </c>
      <c r="I534" s="97">
        <f t="shared" si="286"/>
        <v>6.3819258867286358E-2</v>
      </c>
      <c r="J534" s="97">
        <f t="shared" ref="J534" si="290">J505/J$413</f>
        <v>6.3819258867286371E-2</v>
      </c>
      <c r="K534" s="97">
        <f t="shared" ref="K534:M534" si="291">K505/K$413</f>
        <v>6.3819258867286358E-2</v>
      </c>
      <c r="L534" s="97">
        <f t="shared" si="291"/>
        <v>6.3819258867286358E-2</v>
      </c>
      <c r="M534" s="97">
        <f t="shared" si="291"/>
        <v>5.4983807064807606E-2</v>
      </c>
      <c r="N534" s="97">
        <f t="shared" ref="N534" si="292">N505/N$413</f>
        <v>5.261472324562453E-2</v>
      </c>
      <c r="O534" s="97">
        <f t="shared" ref="O534" si="293">O505/O$413</f>
        <v>5.105989670878211E-2</v>
      </c>
      <c r="Q534" s="97" t="e">
        <f t="shared" ref="Q534:S534" si="294">Q505/Q$413</f>
        <v>#DIV/0!</v>
      </c>
      <c r="R534" s="97" t="e">
        <f t="shared" si="294"/>
        <v>#DIV/0!</v>
      </c>
      <c r="S534" s="47" t="e">
        <f t="shared" si="294"/>
        <v>#DIV/0!</v>
      </c>
      <c r="T534" s="47" t="e">
        <f>T496/T$413</f>
        <v>#DIV/0!</v>
      </c>
      <c r="U534" s="47" t="e">
        <f>U496/U$416</f>
        <v>#DIV/0!</v>
      </c>
      <c r="V534" s="47" t="e">
        <f>V496/V$416</f>
        <v>#DIV/0!</v>
      </c>
      <c r="W534" s="47" t="e">
        <f>W496/W$416</f>
        <v>#DIV/0!</v>
      </c>
      <c r="X534" s="97" t="e">
        <f>X496/X$413</f>
        <v>#DIV/0!</v>
      </c>
      <c r="Y534" s="47" t="e">
        <f>Y496/Y$416</f>
        <v>#DIV/0!</v>
      </c>
      <c r="Z534" s="14" t="e">
        <f>Z496/Z$413</f>
        <v>#DIV/0!</v>
      </c>
      <c r="AA534" s="14" t="e">
        <f>AA496/AA$413</f>
        <v>#DIV/0!</v>
      </c>
      <c r="AB534" s="14" t="e">
        <f>AB496/AB$413</f>
        <v>#DIV/0!</v>
      </c>
      <c r="AC534" s="14" t="e">
        <f>AC496/AC$413</f>
        <v>#DIV/0!</v>
      </c>
      <c r="AD534" s="14" t="e">
        <f>AD496/AD$413</f>
        <v>#DIV/0!</v>
      </c>
    </row>
    <row r="535" spans="1:32" x14ac:dyDescent="0.2">
      <c r="A535" s="14" t="s">
        <v>996</v>
      </c>
      <c r="F535" s="97">
        <f t="shared" si="286"/>
        <v>0</v>
      </c>
      <c r="G535" s="97">
        <f t="shared" ref="G535:H535" si="295">G506/G$413</f>
        <v>0</v>
      </c>
      <c r="H535" s="97">
        <f t="shared" si="295"/>
        <v>0</v>
      </c>
      <c r="I535" s="47">
        <f t="shared" ref="I535" si="296">I506/I$428</f>
        <v>0</v>
      </c>
      <c r="J535" s="97">
        <f t="shared" ref="J535" si="297">J506/J$413</f>
        <v>0</v>
      </c>
      <c r="K535" s="47">
        <f t="shared" ref="K535:M535" si="298">K506/K$428</f>
        <v>0</v>
      </c>
      <c r="L535" s="47">
        <f t="shared" si="298"/>
        <v>0</v>
      </c>
      <c r="M535" s="47">
        <f t="shared" si="298"/>
        <v>0</v>
      </c>
      <c r="N535" s="47">
        <f t="shared" ref="N535" si="299">N506/N$428</f>
        <v>0</v>
      </c>
      <c r="O535" s="47">
        <f t="shared" ref="O535" si="300">O506/O$428</f>
        <v>0</v>
      </c>
      <c r="Q535" s="97" t="e">
        <f t="shared" ref="Q535" si="301">Q506/Q$413</f>
        <v>#DIV/0!</v>
      </c>
      <c r="R535" s="47" t="e">
        <f>R506/R$428</f>
        <v>#DIV/0!</v>
      </c>
      <c r="S535" s="47"/>
      <c r="T535" s="47"/>
      <c r="U535" s="47"/>
      <c r="V535" s="47"/>
      <c r="W535" s="47"/>
      <c r="X535" s="97"/>
      <c r="Y535" s="47"/>
    </row>
    <row r="536" spans="1:32" x14ac:dyDescent="0.2">
      <c r="A536" s="14" t="s">
        <v>997</v>
      </c>
      <c r="F536" s="97">
        <f t="shared" si="286"/>
        <v>1.5646348808517813E-2</v>
      </c>
      <c r="G536" s="97">
        <f t="shared" ref="G536:H536" si="302">G507/G$413</f>
        <v>1.5249369279526165E-2</v>
      </c>
      <c r="H536" s="97">
        <f t="shared" si="302"/>
        <v>0.41796244625679579</v>
      </c>
      <c r="I536" s="47">
        <f t="shared" ref="I536" si="303">I507/I$428</f>
        <v>2.0990087861101761</v>
      </c>
      <c r="J536" s="97">
        <f t="shared" ref="J536" si="304">J507/J$413</f>
        <v>6.4359325857237484E-2</v>
      </c>
      <c r="K536" s="47">
        <f t="shared" ref="K536:M536" si="305">K507/K$428</f>
        <v>2.1866906197016478</v>
      </c>
      <c r="L536" s="47">
        <f t="shared" si="305"/>
        <v>2.5477686828023507</v>
      </c>
      <c r="M536" s="47">
        <f t="shared" si="305"/>
        <v>2.0388017359879793</v>
      </c>
      <c r="N536" s="47">
        <f t="shared" ref="N536" si="306">N507/N$428</f>
        <v>2.0389079270385042</v>
      </c>
      <c r="O536" s="47">
        <f t="shared" ref="O536" si="307">O507/O$428</f>
        <v>9.6905048047288823E-7</v>
      </c>
      <c r="Q536" s="97" t="e">
        <f>Q507/Q$413</f>
        <v>#DIV/0!</v>
      </c>
      <c r="R536" s="47" t="e">
        <f>R507/R$428</f>
        <v>#DIV/0!</v>
      </c>
      <c r="S536" s="47" t="e">
        <f>S507/S$413</f>
        <v>#DIV/0!</v>
      </c>
      <c r="T536" s="47">
        <f>T498/1251.6</f>
        <v>0</v>
      </c>
      <c r="U536" s="47" t="e">
        <f>U498/U416</f>
        <v>#DIV/0!</v>
      </c>
      <c r="V536" s="47" t="e">
        <f>V498/V416</f>
        <v>#DIV/0!</v>
      </c>
      <c r="W536" s="47" t="e">
        <f>W498/W416</f>
        <v>#DIV/0!</v>
      </c>
      <c r="X536" s="97" t="e">
        <f>X498/X413</f>
        <v>#DIV/0!</v>
      </c>
      <c r="Y536" s="47" t="e">
        <f>Y498/Y416</f>
        <v>#DIV/0!</v>
      </c>
      <c r="Z536" s="192">
        <f>Z498/12877</f>
        <v>0</v>
      </c>
      <c r="AA536" s="88">
        <f>AA498/11922</f>
        <v>0</v>
      </c>
      <c r="AB536" s="88">
        <f>AB498/14745</f>
        <v>0</v>
      </c>
      <c r="AC536" s="88">
        <f>AC498/10526</f>
        <v>0</v>
      </c>
      <c r="AD536" s="88">
        <f>AD498/11459</f>
        <v>0</v>
      </c>
      <c r="AE536" s="88"/>
      <c r="AF536" s="88"/>
    </row>
    <row r="537" spans="1:32" s="47" customFormat="1" x14ac:dyDescent="0.2">
      <c r="A537" s="47" t="s">
        <v>894</v>
      </c>
      <c r="F537" s="47">
        <f t="shared" ref="F537:S537" si="308">F508/F416</f>
        <v>19.610024665998559</v>
      </c>
      <c r="G537" s="47">
        <f t="shared" ref="G537:H537" si="309">G508/G416</f>
        <v>19.318761648411357</v>
      </c>
      <c r="H537" s="47">
        <f t="shared" si="309"/>
        <v>19.147898408660737</v>
      </c>
      <c r="I537" s="47">
        <f>I508/I416</f>
        <v>20.454093312957198</v>
      </c>
      <c r="J537" s="47">
        <f t="shared" ref="J537" si="310">J508/J416</f>
        <v>20.714275397248269</v>
      </c>
      <c r="K537" s="47">
        <f>K508/K416</f>
        <v>78.082631700637577</v>
      </c>
      <c r="L537" s="47">
        <f>L508/L416</f>
        <v>596.84888288084062</v>
      </c>
      <c r="M537" s="47">
        <f>M508/M416</f>
        <v>84.567837465348461</v>
      </c>
      <c r="N537" s="47">
        <f>N508/N416</f>
        <v>444.31257429751184</v>
      </c>
      <c r="O537" s="47">
        <f>O508/O416</f>
        <v>14.28241897574568</v>
      </c>
      <c r="P537" s="14"/>
      <c r="Q537" s="47" t="e">
        <f t="shared" si="308"/>
        <v>#DIV/0!</v>
      </c>
      <c r="R537" s="47" t="e">
        <f t="shared" si="308"/>
        <v>#DIV/0!</v>
      </c>
      <c r="S537" s="47" t="e">
        <f t="shared" si="308"/>
        <v>#DIV/0!</v>
      </c>
      <c r="T537" s="47" t="e">
        <f t="shared" ref="T537:AD537" si="311">T499/T416</f>
        <v>#DIV/0!</v>
      </c>
      <c r="U537" s="47" t="e">
        <f t="shared" si="311"/>
        <v>#DIV/0!</v>
      </c>
      <c r="V537" s="47" t="e">
        <f t="shared" si="311"/>
        <v>#DIV/0!</v>
      </c>
      <c r="W537" s="47" t="e">
        <f t="shared" si="311"/>
        <v>#DIV/0!</v>
      </c>
      <c r="X537" s="47" t="e">
        <f t="shared" si="311"/>
        <v>#DIV/0!</v>
      </c>
      <c r="Y537" s="47" t="e">
        <f t="shared" si="311"/>
        <v>#DIV/0!</v>
      </c>
      <c r="Z537" s="47" t="e">
        <f t="shared" si="311"/>
        <v>#DIV/0!</v>
      </c>
      <c r="AA537" s="47" t="e">
        <f t="shared" si="311"/>
        <v>#DIV/0!</v>
      </c>
      <c r="AB537" s="47" t="e">
        <f t="shared" si="311"/>
        <v>#DIV/0!</v>
      </c>
      <c r="AC537" s="47" t="e">
        <f t="shared" si="311"/>
        <v>#DIV/0!</v>
      </c>
      <c r="AD537" s="47" t="e">
        <f t="shared" si="311"/>
        <v>#DIV/0!</v>
      </c>
    </row>
    <row r="540" spans="1:32" x14ac:dyDescent="0.2">
      <c r="A540" s="13" t="s">
        <v>649</v>
      </c>
    </row>
    <row r="541" spans="1:32" x14ac:dyDescent="0.2">
      <c r="A541" s="13"/>
    </row>
    <row r="542" spans="1:32" x14ac:dyDescent="0.2">
      <c r="A542" s="14" t="s">
        <v>995</v>
      </c>
      <c r="F542" s="97">
        <f t="shared" ref="F542:F545" si="312">F513/F$413</f>
        <v>0</v>
      </c>
      <c r="G542" s="97">
        <f t="shared" ref="G542:H542" si="313">G513/G$413</f>
        <v>0</v>
      </c>
      <c r="H542" s="97">
        <f t="shared" si="313"/>
        <v>0</v>
      </c>
      <c r="I542" s="47">
        <f>I513/I$428</f>
        <v>0</v>
      </c>
      <c r="J542" s="97">
        <f t="shared" ref="J542" si="314">J513/J$413</f>
        <v>0</v>
      </c>
      <c r="K542" s="47">
        <f>K513/K$428</f>
        <v>0</v>
      </c>
      <c r="L542" s="47">
        <f>L513/L$428</f>
        <v>0</v>
      </c>
      <c r="M542" s="47">
        <f>M513/M$428</f>
        <v>0</v>
      </c>
      <c r="N542" s="47">
        <f>N513/N$428</f>
        <v>0</v>
      </c>
      <c r="O542" s="47">
        <f>O513/O$428</f>
        <v>0</v>
      </c>
      <c r="Q542" s="97" t="e">
        <f t="shared" ref="Q542" si="315">Q513/Q$413</f>
        <v>#DIV/0!</v>
      </c>
      <c r="R542" s="47" t="e">
        <f>R513/R$428</f>
        <v>#DIV/0!</v>
      </c>
    </row>
    <row r="543" spans="1:32" x14ac:dyDescent="0.2">
      <c r="A543" s="14" t="s">
        <v>893</v>
      </c>
      <c r="F543" s="97">
        <f t="shared" si="312"/>
        <v>0</v>
      </c>
      <c r="G543" s="97">
        <f t="shared" ref="G543:H543" si="316">G514/G$413</f>
        <v>0</v>
      </c>
      <c r="H543" s="97">
        <f t="shared" si="316"/>
        <v>0</v>
      </c>
      <c r="I543" s="97">
        <f>I514/I$413</f>
        <v>0</v>
      </c>
      <c r="J543" s="97">
        <f t="shared" ref="J543" si="317">J514/J$413</f>
        <v>0</v>
      </c>
      <c r="K543" s="97">
        <f>K514/K$413</f>
        <v>0</v>
      </c>
      <c r="L543" s="97">
        <f>L514/L$413</f>
        <v>0</v>
      </c>
      <c r="M543" s="97">
        <f>M514/M$413</f>
        <v>0</v>
      </c>
      <c r="N543" s="97">
        <f>N514/N$413</f>
        <v>0</v>
      </c>
      <c r="O543" s="97">
        <f>O514/O$413</f>
        <v>0</v>
      </c>
      <c r="Q543" s="97" t="e">
        <f t="shared" ref="Q543" si="318">Q514/Q$413</f>
        <v>#DIV/0!</v>
      </c>
      <c r="R543" s="97" t="e">
        <f>R514/R$413</f>
        <v>#DIV/0!</v>
      </c>
    </row>
    <row r="544" spans="1:32" x14ac:dyDescent="0.2">
      <c r="A544" s="14" t="s">
        <v>996</v>
      </c>
      <c r="F544" s="97">
        <f t="shared" si="312"/>
        <v>0</v>
      </c>
      <c r="G544" s="97">
        <f t="shared" ref="G544:H544" si="319">G515/G$413</f>
        <v>0</v>
      </c>
      <c r="H544" s="97">
        <f t="shared" si="319"/>
        <v>0</v>
      </c>
      <c r="I544" s="47">
        <f t="shared" ref="I544" si="320">I515/I$428</f>
        <v>0</v>
      </c>
      <c r="J544" s="97">
        <f t="shared" ref="J544" si="321">J515/J$413</f>
        <v>0</v>
      </c>
      <c r="K544" s="47">
        <f t="shared" ref="K544:M544" si="322">K515/K$428</f>
        <v>0</v>
      </c>
      <c r="L544" s="47">
        <f t="shared" si="322"/>
        <v>0</v>
      </c>
      <c r="M544" s="47">
        <f t="shared" si="322"/>
        <v>0</v>
      </c>
      <c r="N544" s="47">
        <f t="shared" ref="N544" si="323">N515/N$428</f>
        <v>0</v>
      </c>
      <c r="O544" s="47">
        <f t="shared" ref="O544" si="324">O515/O$428</f>
        <v>0</v>
      </c>
      <c r="Q544" s="97" t="e">
        <f t="shared" ref="Q544" si="325">Q515/Q$413</f>
        <v>#DIV/0!</v>
      </c>
      <c r="R544" s="47" t="e">
        <f>R515/R$428</f>
        <v>#DIV/0!</v>
      </c>
    </row>
    <row r="545" spans="1:37" x14ac:dyDescent="0.2">
      <c r="A545" s="14" t="s">
        <v>997</v>
      </c>
      <c r="F545" s="97">
        <f t="shared" si="312"/>
        <v>9.5516626867983914E-2</v>
      </c>
      <c r="G545" s="97">
        <f t="shared" ref="G545:H545" si="326">G516/G$413</f>
        <v>9.5400155651698529E-2</v>
      </c>
      <c r="H545" s="97">
        <f t="shared" si="326"/>
        <v>2.5736371601103643</v>
      </c>
      <c r="I545" s="47">
        <f t="shared" ref="I545" si="327">I516/I$428</f>
        <v>12.605259825121227</v>
      </c>
      <c r="J545" s="97">
        <f t="shared" ref="J545" si="328">J516/J$413</f>
        <v>0.39508876074406812</v>
      </c>
      <c r="K545" s="47">
        <f t="shared" ref="K545:M545" si="329">K516/K$428</f>
        <v>12.656694615022028</v>
      </c>
      <c r="L545" s="47">
        <f t="shared" si="329"/>
        <v>12.664793036849797</v>
      </c>
      <c r="M545" s="47">
        <f t="shared" si="329"/>
        <v>12.696468661523566</v>
      </c>
      <c r="N545" s="47">
        <f t="shared" ref="N545" si="330">N516/N$428</f>
        <v>12.699269036297741</v>
      </c>
      <c r="O545" s="47">
        <f t="shared" ref="O545" si="331">O516/O$428</f>
        <v>0</v>
      </c>
      <c r="Q545" s="97" t="e">
        <f t="shared" ref="Q545" si="332">Q516/Q$413</f>
        <v>#DIV/0!</v>
      </c>
      <c r="R545" s="47" t="e">
        <f>R516/R$428</f>
        <v>#DIV/0!</v>
      </c>
      <c r="S545" s="47">
        <f>S516/5037.7</f>
        <v>0</v>
      </c>
      <c r="T545" s="47">
        <f>T516/1251.6</f>
        <v>0</v>
      </c>
      <c r="U545" s="47" t="e">
        <f>U516/U416</f>
        <v>#DIV/0!</v>
      </c>
      <c r="V545" s="47" t="e">
        <f>V516/V416</f>
        <v>#DIV/0!</v>
      </c>
      <c r="W545" s="47" t="e">
        <f>W516/W416</f>
        <v>#DIV/0!</v>
      </c>
      <c r="X545" s="47" t="e">
        <f>X516/X416</f>
        <v>#DIV/0!</v>
      </c>
      <c r="Y545" s="47" t="e">
        <f>Y516/Y416</f>
        <v>#DIV/0!</v>
      </c>
      <c r="Z545" s="193">
        <f>Z516/12877</f>
        <v>0</v>
      </c>
      <c r="AA545" s="88">
        <f>AA516/11922</f>
        <v>0</v>
      </c>
      <c r="AB545" s="88">
        <f>AB516/14745</f>
        <v>0</v>
      </c>
      <c r="AC545" s="88">
        <f>AC516/10526</f>
        <v>0</v>
      </c>
      <c r="AD545" s="88">
        <f>AD516/11459</f>
        <v>0</v>
      </c>
      <c r="AE545" s="88"/>
      <c r="AF545" s="88"/>
    </row>
    <row r="546" spans="1:37" x14ac:dyDescent="0.2">
      <c r="A546" s="14" t="s">
        <v>894</v>
      </c>
      <c r="F546" s="47">
        <f t="shared" ref="F546:M546" si="333">F517/F$416</f>
        <v>114.93183275929215</v>
      </c>
      <c r="G546" s="47">
        <f t="shared" ref="G546:H546" si="334">G517/G$416</f>
        <v>114.93183275929215</v>
      </c>
      <c r="H546" s="47">
        <f t="shared" si="334"/>
        <v>117.84903561985227</v>
      </c>
      <c r="I546" s="47">
        <f t="shared" si="333"/>
        <v>120.22536194508491</v>
      </c>
      <c r="J546" s="47">
        <f t="shared" ref="J546" si="335">J517/J$416</f>
        <v>124.4870148196423</v>
      </c>
      <c r="K546" s="47">
        <f t="shared" si="333"/>
        <v>423.12976458616384</v>
      </c>
      <c r="L546" s="47">
        <f t="shared" si="333"/>
        <v>790.93977974968493</v>
      </c>
      <c r="M546" s="47">
        <f t="shared" si="333"/>
        <v>898.79652953773666</v>
      </c>
      <c r="N546" s="47">
        <f t="shared" ref="N546" si="336">N517/N$416</f>
        <v>4395.9841645571751</v>
      </c>
      <c r="O546" s="47">
        <f t="shared" ref="O546" si="337">O517/O$416</f>
        <v>67.884933627239434</v>
      </c>
      <c r="Q546" s="47" t="e">
        <f t="shared" ref="Q546" si="338">Q517/Q$416</f>
        <v>#DIV/0!</v>
      </c>
      <c r="R546" s="47" t="e">
        <f>R517/R$416</f>
        <v>#DIV/0!</v>
      </c>
      <c r="S546" s="47" t="e">
        <f t="shared" ref="S546:AD546" si="339">S517/S$416</f>
        <v>#DIV/0!</v>
      </c>
      <c r="T546" s="47" t="e">
        <f t="shared" si="339"/>
        <v>#DIV/0!</v>
      </c>
      <c r="U546" s="47" t="e">
        <f t="shared" si="339"/>
        <v>#DIV/0!</v>
      </c>
      <c r="V546" s="47" t="e">
        <f t="shared" si="339"/>
        <v>#DIV/0!</v>
      </c>
      <c r="W546" s="47" t="e">
        <f t="shared" si="339"/>
        <v>#DIV/0!</v>
      </c>
      <c r="X546" s="47" t="e">
        <f t="shared" si="339"/>
        <v>#DIV/0!</v>
      </c>
      <c r="Y546" s="47" t="e">
        <f t="shared" si="339"/>
        <v>#DIV/0!</v>
      </c>
      <c r="Z546" s="194" t="e">
        <f t="shared" si="339"/>
        <v>#DIV/0!</v>
      </c>
      <c r="AA546" s="194" t="e">
        <f t="shared" si="339"/>
        <v>#DIV/0!</v>
      </c>
      <c r="AB546" s="194" t="e">
        <f t="shared" si="339"/>
        <v>#DIV/0!</v>
      </c>
      <c r="AC546" s="194" t="e">
        <f t="shared" si="339"/>
        <v>#DIV/0!</v>
      </c>
      <c r="AD546" s="194" t="e">
        <f t="shared" si="339"/>
        <v>#DIV/0!</v>
      </c>
      <c r="AE546" s="194"/>
      <c r="AF546" s="194"/>
    </row>
    <row r="549" spans="1:37" x14ac:dyDescent="0.2">
      <c r="A549" s="25" t="s">
        <v>666</v>
      </c>
      <c r="B549" s="101"/>
      <c r="C549" s="14" t="s">
        <v>900</v>
      </c>
      <c r="F549" s="46">
        <f t="shared" ref="F549:M549" si="340">F387</f>
        <v>8.1100824466715914E-3</v>
      </c>
      <c r="G549" s="46">
        <f t="shared" ref="G549:H549" si="341">G387</f>
        <v>-1.761502821609939E-2</v>
      </c>
      <c r="H549" s="46">
        <f t="shared" si="341"/>
        <v>-0.14379872973109795</v>
      </c>
      <c r="I549" s="46">
        <f t="shared" si="340"/>
        <v>0.3897864034424427</v>
      </c>
      <c r="J549" s="46">
        <f t="shared" ref="J549" si="342">J387</f>
        <v>1.878564422426781E-2</v>
      </c>
      <c r="K549" s="46">
        <f t="shared" si="340"/>
        <v>0.24834731303770866</v>
      </c>
      <c r="L549" s="46">
        <f t="shared" si="340"/>
        <v>3.3949918680031145E-2</v>
      </c>
      <c r="M549" s="46">
        <f t="shared" si="340"/>
        <v>3.41910692995065E-2</v>
      </c>
      <c r="N549" s="46">
        <f t="shared" ref="N549" si="343">N387</f>
        <v>4.05386255472353E-2</v>
      </c>
      <c r="O549" s="46">
        <f t="shared" ref="O549" si="344">O387</f>
        <v>42.305306012307049</v>
      </c>
      <c r="Q549" s="46" t="e">
        <f t="shared" ref="Q549:R549" si="345">Q387</f>
        <v>#DIV/0!</v>
      </c>
      <c r="R549" s="46" t="e">
        <f t="shared" si="345"/>
        <v>#DIV/0!</v>
      </c>
    </row>
    <row r="550" spans="1:37" x14ac:dyDescent="0.2">
      <c r="A550" s="13"/>
    </row>
    <row r="551" spans="1:37" x14ac:dyDescent="0.2">
      <c r="A551" s="13" t="s">
        <v>761</v>
      </c>
    </row>
    <row r="552" spans="1:37" x14ac:dyDescent="0.2">
      <c r="A552" s="14" t="s">
        <v>998</v>
      </c>
      <c r="F552" s="187">
        <f t="shared" ref="F552:G552" si="346">F533</f>
        <v>2.8585711306823056E-2</v>
      </c>
      <c r="G552" s="187">
        <f t="shared" si="346"/>
        <v>2.8934428721376578E-2</v>
      </c>
      <c r="H552" s="187">
        <f t="shared" ref="H552" si="347">H533</f>
        <v>4.8126846921804287E-3</v>
      </c>
      <c r="I552" s="47">
        <f t="shared" ref="I552:J552" si="348">I533</f>
        <v>5.7295619100385258</v>
      </c>
      <c r="J552" s="187">
        <f t="shared" si="348"/>
        <v>4.8078549112906648E-3</v>
      </c>
      <c r="K552" s="47">
        <f t="shared" ref="K552:M552" si="349">K533</f>
        <v>6.8765038914221668</v>
      </c>
      <c r="L552" s="47">
        <f t="shared" si="349"/>
        <v>7.0570902220970684</v>
      </c>
      <c r="M552" s="47">
        <f t="shared" si="349"/>
        <v>8.9181950239101617</v>
      </c>
      <c r="N552" s="47">
        <f t="shared" ref="N552" si="350">N533</f>
        <v>9.6510170406004807</v>
      </c>
      <c r="O552" s="47">
        <f t="shared" ref="O552" si="351">O533</f>
        <v>7.1430698476405068</v>
      </c>
      <c r="Q552" s="187" t="e">
        <f t="shared" ref="Q552:S552" si="352">Q533</f>
        <v>#DIV/0!</v>
      </c>
      <c r="R552" s="47" t="e">
        <f>R533</f>
        <v>#DIV/0!</v>
      </c>
      <c r="S552" s="187" t="e">
        <f t="shared" si="352"/>
        <v>#DIV/0!</v>
      </c>
      <c r="T552" s="187" t="e">
        <f>#REF!</f>
        <v>#REF!</v>
      </c>
      <c r="U552" s="187" t="e">
        <f>#REF!</f>
        <v>#REF!</v>
      </c>
      <c r="V552" s="187" t="e">
        <f>#REF!</f>
        <v>#REF!</v>
      </c>
      <c r="W552" s="187" t="e">
        <f>#REF!</f>
        <v>#REF!</v>
      </c>
      <c r="X552" s="187" t="e">
        <f>#REF!</f>
        <v>#REF!</v>
      </c>
      <c r="Y552" s="187" t="e">
        <f>#REF!</f>
        <v>#REF!</v>
      </c>
      <c r="Z552" s="187" t="e">
        <f>#REF!</f>
        <v>#REF!</v>
      </c>
      <c r="AA552" s="187" t="e">
        <f>#REF!</f>
        <v>#REF!</v>
      </c>
      <c r="AB552" s="187" t="e">
        <f>#REF!</f>
        <v>#REF!</v>
      </c>
      <c r="AC552" s="187" t="e">
        <f>#REF!</f>
        <v>#REF!</v>
      </c>
      <c r="AD552" s="187" t="e">
        <f>#REF!</f>
        <v>#REF!</v>
      </c>
      <c r="AE552" s="187" t="e">
        <f>#REF!</f>
        <v>#REF!</v>
      </c>
      <c r="AF552" s="187" t="e">
        <f>#REF!</f>
        <v>#REF!</v>
      </c>
    </row>
    <row r="553" spans="1:37" x14ac:dyDescent="0.2">
      <c r="A553" s="14" t="s">
        <v>999</v>
      </c>
      <c r="F553" s="187">
        <f>(F513*F387)/F$413</f>
        <v>0</v>
      </c>
      <c r="G553" s="187">
        <f>(G513*G387)/G$413</f>
        <v>0</v>
      </c>
      <c r="H553" s="187">
        <f>(H513*H387)/H$413</f>
        <v>0</v>
      </c>
      <c r="I553" s="47">
        <f>(I513*I387)/I$428</f>
        <v>0</v>
      </c>
      <c r="J553" s="187">
        <f>(J513*J387)/J$413</f>
        <v>0</v>
      </c>
      <c r="K553" s="47">
        <f>(K513*K387)/K$428</f>
        <v>0</v>
      </c>
      <c r="L553" s="47">
        <f>(L513*L387)/L$428</f>
        <v>0</v>
      </c>
      <c r="M553" s="47">
        <f>(M513*M387)/M$428</f>
        <v>0</v>
      </c>
      <c r="N553" s="47">
        <f>(N513*N387)/N$428</f>
        <v>0</v>
      </c>
      <c r="O553" s="47">
        <f>(O513*O387)/O$428</f>
        <v>0</v>
      </c>
      <c r="Q553" s="187" t="e">
        <f>(Q513*Q387)/Q$413</f>
        <v>#DIV/0!</v>
      </c>
      <c r="R553" s="47" t="e">
        <f>(R513*R387)/R$428</f>
        <v>#DIV/0!</v>
      </c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</row>
    <row r="554" spans="1:37" x14ac:dyDescent="0.2">
      <c r="A554" s="14" t="s">
        <v>895</v>
      </c>
      <c r="F554" s="187">
        <f t="shared" ref="F554:S554" si="353">F534</f>
        <v>6.3819258867286358E-2</v>
      </c>
      <c r="G554" s="187">
        <f t="shared" ref="G554:H554" si="354">G534</f>
        <v>6.3819258867286371E-2</v>
      </c>
      <c r="H554" s="187">
        <f t="shared" si="354"/>
        <v>6.3819258867286371E-2</v>
      </c>
      <c r="I554" s="187">
        <f t="shared" ref="I554:J554" si="355">I534</f>
        <v>6.3819258867286358E-2</v>
      </c>
      <c r="J554" s="187">
        <f t="shared" si="355"/>
        <v>6.3819258867286371E-2</v>
      </c>
      <c r="K554" s="187">
        <f t="shared" ref="K554:M554" si="356">K534</f>
        <v>6.3819258867286358E-2</v>
      </c>
      <c r="L554" s="187">
        <f t="shared" si="356"/>
        <v>6.3819258867286358E-2</v>
      </c>
      <c r="M554" s="187">
        <f t="shared" si="356"/>
        <v>5.4983807064807606E-2</v>
      </c>
      <c r="N554" s="187">
        <f t="shared" ref="N554" si="357">N534</f>
        <v>5.261472324562453E-2</v>
      </c>
      <c r="O554" s="187">
        <f t="shared" ref="O554" si="358">O534</f>
        <v>5.105989670878211E-2</v>
      </c>
      <c r="Q554" s="187" t="e">
        <f t="shared" si="353"/>
        <v>#DIV/0!</v>
      </c>
      <c r="R554" s="187" t="e">
        <f t="shared" si="353"/>
        <v>#DIV/0!</v>
      </c>
      <c r="S554" s="187" t="e">
        <f t="shared" si="353"/>
        <v>#DIV/0!</v>
      </c>
      <c r="T554" s="187" t="e">
        <f>#REF!</f>
        <v>#REF!</v>
      </c>
      <c r="U554" s="187" t="e">
        <f>#REF!</f>
        <v>#REF!</v>
      </c>
      <c r="V554" s="187" t="e">
        <f>#REF!</f>
        <v>#REF!</v>
      </c>
      <c r="W554" s="187" t="e">
        <f>#REF!</f>
        <v>#REF!</v>
      </c>
      <c r="X554" s="187" t="e">
        <f>#REF!</f>
        <v>#REF!</v>
      </c>
      <c r="Y554" s="187" t="e">
        <f>#REF!</f>
        <v>#REF!</v>
      </c>
      <c r="Z554" s="187" t="e">
        <f>#REF!</f>
        <v>#REF!</v>
      </c>
      <c r="AA554" s="187" t="e">
        <f>#REF!</f>
        <v>#REF!</v>
      </c>
      <c r="AB554" s="187" t="e">
        <f>#REF!</f>
        <v>#REF!</v>
      </c>
      <c r="AC554" s="187" t="e">
        <f>#REF!</f>
        <v>#REF!</v>
      </c>
      <c r="AD554" s="187" t="e">
        <f>#REF!</f>
        <v>#REF!</v>
      </c>
      <c r="AE554" s="187" t="e">
        <f>#REF!</f>
        <v>#REF!</v>
      </c>
      <c r="AF554" s="187" t="e">
        <f>#REF!</f>
        <v>#REF!</v>
      </c>
    </row>
    <row r="555" spans="1:37" x14ac:dyDescent="0.2">
      <c r="A555" s="14" t="s">
        <v>896</v>
      </c>
      <c r="F555" s="187">
        <f t="shared" ref="F555:G555" si="359">(F514*F387)/F$413</f>
        <v>0</v>
      </c>
      <c r="G555" s="187">
        <f t="shared" si="359"/>
        <v>0</v>
      </c>
      <c r="H555" s="187">
        <f t="shared" ref="H555" si="360">(H514*H387)/H$413</f>
        <v>0</v>
      </c>
      <c r="I555" s="187">
        <f t="shared" ref="I555:J555" si="361">(I514*I387)/I$413</f>
        <v>0</v>
      </c>
      <c r="J555" s="187">
        <f t="shared" si="361"/>
        <v>0</v>
      </c>
      <c r="K555" s="187">
        <f t="shared" ref="K555:M555" si="362">(K514*K387)/K$413</f>
        <v>0</v>
      </c>
      <c r="L555" s="187">
        <f t="shared" si="362"/>
        <v>0</v>
      </c>
      <c r="M555" s="187">
        <f t="shared" si="362"/>
        <v>0</v>
      </c>
      <c r="N555" s="187">
        <f t="shared" ref="N555" si="363">(N514*N387)/N$413</f>
        <v>0</v>
      </c>
      <c r="O555" s="187">
        <f t="shared" ref="O555" si="364">(O514*O387)/O$413</f>
        <v>0</v>
      </c>
      <c r="Q555" s="187" t="e">
        <f t="shared" ref="Q555:R555" si="365">(Q514*Q387)/Q$413</f>
        <v>#DIV/0!</v>
      </c>
      <c r="R555" s="187" t="e">
        <f t="shared" si="365"/>
        <v>#DIV/0!</v>
      </c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</row>
    <row r="556" spans="1:37" x14ac:dyDescent="0.2"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</row>
    <row r="557" spans="1:37" x14ac:dyDescent="0.2">
      <c r="A557" s="13" t="s">
        <v>889</v>
      </c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</row>
    <row r="558" spans="1:37" x14ac:dyDescent="0.2">
      <c r="A558" s="14" t="s">
        <v>1000</v>
      </c>
      <c r="F558" s="187">
        <f t="shared" ref="F558:R558" si="366">F535</f>
        <v>0</v>
      </c>
      <c r="G558" s="187">
        <f t="shared" ref="G558:H558" si="367">G535</f>
        <v>0</v>
      </c>
      <c r="H558" s="187">
        <f t="shared" si="367"/>
        <v>0</v>
      </c>
      <c r="I558" s="47">
        <f t="shared" ref="I558:J558" si="368">I535</f>
        <v>0</v>
      </c>
      <c r="J558" s="187">
        <f t="shared" si="368"/>
        <v>0</v>
      </c>
      <c r="K558" s="47">
        <f t="shared" ref="K558:M558" si="369">K535</f>
        <v>0</v>
      </c>
      <c r="L558" s="47">
        <f t="shared" si="369"/>
        <v>0</v>
      </c>
      <c r="M558" s="47">
        <f t="shared" si="369"/>
        <v>0</v>
      </c>
      <c r="N558" s="47">
        <f t="shared" ref="N558" si="370">N535</f>
        <v>0</v>
      </c>
      <c r="O558" s="47">
        <f t="shared" ref="O558" si="371">O535</f>
        <v>0</v>
      </c>
      <c r="Q558" s="187" t="e">
        <f t="shared" si="366"/>
        <v>#DIV/0!</v>
      </c>
      <c r="R558" s="47" t="e">
        <f t="shared" si="366"/>
        <v>#DIV/0!</v>
      </c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</row>
    <row r="559" spans="1:37" s="74" customFormat="1" ht="15" x14ac:dyDescent="0.2">
      <c r="A559" s="74" t="s">
        <v>1001</v>
      </c>
      <c r="E559" s="195"/>
      <c r="F559" s="196">
        <f>(F515*F387)/F$413</f>
        <v>0</v>
      </c>
      <c r="G559" s="196">
        <f>(G515*G387)/G$413</f>
        <v>0</v>
      </c>
      <c r="H559" s="196">
        <f>(H515*H387)/H$413</f>
        <v>0</v>
      </c>
      <c r="I559" s="141">
        <f>(I515*I387)/I$428</f>
        <v>0</v>
      </c>
      <c r="J559" s="196">
        <f>(J515*J387)/J$413</f>
        <v>0</v>
      </c>
      <c r="K559" s="141">
        <f>(K515*K387)/K$428</f>
        <v>0</v>
      </c>
      <c r="L559" s="141">
        <f>(L515*L387)/L$428</f>
        <v>0</v>
      </c>
      <c r="M559" s="141">
        <f>(M515*M387)/M$428</f>
        <v>0</v>
      </c>
      <c r="N559" s="141">
        <f>(N515*N387)/N$428</f>
        <v>0</v>
      </c>
      <c r="O559" s="141">
        <f>(O515*O387)/O$428</f>
        <v>0</v>
      </c>
      <c r="P559" s="14"/>
      <c r="Q559" s="196" t="e">
        <f>(Q515*Q387)/Q$413</f>
        <v>#DIV/0!</v>
      </c>
      <c r="R559" s="141" t="e">
        <f>(R515*R387)/R$428</f>
        <v>#DIV/0!</v>
      </c>
      <c r="AK559" s="77"/>
    </row>
    <row r="560" spans="1:37" x14ac:dyDescent="0.2">
      <c r="B560" s="14" t="s">
        <v>1002</v>
      </c>
      <c r="F560" s="197">
        <f>F559+F558</f>
        <v>0</v>
      </c>
      <c r="G560" s="197">
        <f>G559+G558</f>
        <v>0</v>
      </c>
      <c r="H560" s="197">
        <f>H559+H558</f>
        <v>0</v>
      </c>
      <c r="I560" s="47">
        <f t="shared" ref="I560" si="372">I559+I558</f>
        <v>0</v>
      </c>
      <c r="J560" s="197">
        <f>J559+J558</f>
        <v>0</v>
      </c>
      <c r="K560" s="47">
        <f t="shared" ref="K560:M560" si="373">K559+K558</f>
        <v>0</v>
      </c>
      <c r="L560" s="47">
        <f t="shared" si="373"/>
        <v>0</v>
      </c>
      <c r="M560" s="47">
        <f t="shared" si="373"/>
        <v>0</v>
      </c>
      <c r="N560" s="47">
        <f t="shared" ref="N560" si="374">N559+N558</f>
        <v>0</v>
      </c>
      <c r="O560" s="47">
        <f t="shared" ref="O560" si="375">O559+O558</f>
        <v>0</v>
      </c>
      <c r="Q560" s="197" t="e">
        <f t="shared" ref="Q560:R560" si="376">Q559+Q558</f>
        <v>#DIV/0!</v>
      </c>
      <c r="R560" s="47" t="e">
        <f t="shared" si="376"/>
        <v>#DIV/0!</v>
      </c>
    </row>
    <row r="562" spans="1:32" x14ac:dyDescent="0.2">
      <c r="A562" s="13" t="s">
        <v>667</v>
      </c>
    </row>
    <row r="563" spans="1:32" x14ac:dyDescent="0.2">
      <c r="A563" s="14" t="s">
        <v>1003</v>
      </c>
      <c r="F563" s="187">
        <f t="shared" ref="F563:S563" si="377">F536</f>
        <v>1.5646348808517813E-2</v>
      </c>
      <c r="G563" s="187">
        <f t="shared" ref="G563:H563" si="378">G536</f>
        <v>1.5249369279526165E-2</v>
      </c>
      <c r="H563" s="187">
        <f t="shared" si="378"/>
        <v>0.41796244625679579</v>
      </c>
      <c r="I563" s="47">
        <f t="shared" ref="I563:J563" si="379">I536</f>
        <v>2.0990087861101761</v>
      </c>
      <c r="J563" s="187">
        <f t="shared" si="379"/>
        <v>6.4359325857237484E-2</v>
      </c>
      <c r="K563" s="47">
        <f t="shared" ref="K563:M563" si="380">K536</f>
        <v>2.1866906197016478</v>
      </c>
      <c r="L563" s="47">
        <f t="shared" si="380"/>
        <v>2.5477686828023507</v>
      </c>
      <c r="M563" s="47">
        <f t="shared" si="380"/>
        <v>2.0388017359879793</v>
      </c>
      <c r="N563" s="47">
        <f t="shared" ref="N563" si="381">N536</f>
        <v>2.0389079270385042</v>
      </c>
      <c r="O563" s="47">
        <f t="shared" ref="O563" si="382">O536</f>
        <v>9.6905048047288823E-7</v>
      </c>
      <c r="Q563" s="187" t="e">
        <f t="shared" si="377"/>
        <v>#DIV/0!</v>
      </c>
      <c r="R563" s="47" t="e">
        <f t="shared" si="377"/>
        <v>#DIV/0!</v>
      </c>
      <c r="S563" s="187" t="e">
        <f t="shared" si="377"/>
        <v>#DIV/0!</v>
      </c>
      <c r="T563" s="187" t="e">
        <f>#REF!</f>
        <v>#REF!</v>
      </c>
      <c r="U563" s="187" t="e">
        <f>#REF!</f>
        <v>#REF!</v>
      </c>
      <c r="V563" s="187" t="e">
        <f>#REF!</f>
        <v>#REF!</v>
      </c>
      <c r="W563" s="187" t="e">
        <f>#REF!</f>
        <v>#REF!</v>
      </c>
      <c r="X563" s="187" t="e">
        <f>#REF!</f>
        <v>#REF!</v>
      </c>
      <c r="Y563" s="187" t="e">
        <f>#REF!</f>
        <v>#REF!</v>
      </c>
      <c r="Z563" s="187" t="e">
        <f>#REF!</f>
        <v>#REF!</v>
      </c>
      <c r="AA563" s="187" t="e">
        <f>#REF!</f>
        <v>#REF!</v>
      </c>
      <c r="AB563" s="187" t="e">
        <f>#REF!</f>
        <v>#REF!</v>
      </c>
      <c r="AC563" s="187" t="e">
        <f>#REF!</f>
        <v>#REF!</v>
      </c>
      <c r="AD563" s="187" t="e">
        <f>#REF!</f>
        <v>#REF!</v>
      </c>
      <c r="AE563" s="187" t="e">
        <f>#REF!</f>
        <v>#REF!</v>
      </c>
      <c r="AF563" s="187" t="e">
        <f>#REF!</f>
        <v>#REF!</v>
      </c>
    </row>
    <row r="564" spans="1:32" ht="15" x14ac:dyDescent="0.35">
      <c r="A564" s="74" t="s">
        <v>1004</v>
      </c>
      <c r="E564" s="187"/>
      <c r="F564" s="198">
        <f>(F516*F387)/F$413</f>
        <v>7.7464771892731649E-4</v>
      </c>
      <c r="G564" s="198">
        <f>(G516*G387)/G$413</f>
        <v>-1.6804764336249434E-3</v>
      </c>
      <c r="H564" s="198">
        <f>(H516*H387)/H$413</f>
        <v>-0.37008575441262076</v>
      </c>
      <c r="I564" s="102">
        <f>(I516*I387)/I$428</f>
        <v>4.9133588916915167</v>
      </c>
      <c r="J564" s="198">
        <f>(J516*J387)/J$413</f>
        <v>7.4219968963449299E-3</v>
      </c>
      <c r="K564" s="102">
        <f>(K516*K387)/K$428</f>
        <v>3.1432560995795571</v>
      </c>
      <c r="L564" s="102">
        <f>(L516*L387)/L$428</f>
        <v>0.4299686937004753</v>
      </c>
      <c r="M564" s="102">
        <f>(M516*M387)/M$428</f>
        <v>0.43410583986516477</v>
      </c>
      <c r="N564" s="102">
        <f>(N516*N387)/N$428</f>
        <v>0.51481091218607378</v>
      </c>
      <c r="O564" s="102">
        <f>(O516*O387)/O$428</f>
        <v>0</v>
      </c>
      <c r="Q564" s="198" t="e">
        <f>(Q516*Q387)/Q$413</f>
        <v>#DIV/0!</v>
      </c>
      <c r="R564" s="102" t="e">
        <f>(R516*R387)/R$428</f>
        <v>#DIV/0!</v>
      </c>
      <c r="S564" s="198" t="e">
        <f>(S516*S387)/S$413</f>
        <v>#DIV/0!</v>
      </c>
      <c r="T564" s="198" t="e">
        <f>(#REF!*T330)/1026.4</f>
        <v>#REF!</v>
      </c>
      <c r="U564" s="198" t="e">
        <f>(#REF!*U330)/11504</f>
        <v>#REF!</v>
      </c>
      <c r="V564" s="198" t="e">
        <f>(#REF!*V330)/7284</f>
        <v>#REF!</v>
      </c>
      <c r="W564" s="198" t="e">
        <f>(#REF!*W330)/320.47</f>
        <v>#REF!</v>
      </c>
      <c r="X564" s="198" t="e">
        <f>(#REF!*X330)/26669</f>
        <v>#REF!</v>
      </c>
      <c r="Y564" s="198" t="e">
        <f>(#REF!*Y330)/68503</f>
        <v>#REF!</v>
      </c>
      <c r="Z564" s="198" t="e">
        <f>(#REF!*Z330)/Z$413</f>
        <v>#REF!</v>
      </c>
      <c r="AA564" s="198" t="e">
        <f>(#REF!*AA330)/17492.7</f>
        <v>#REF!</v>
      </c>
      <c r="AB564" s="198" t="e">
        <f>(#REF!*AB330)/10846</f>
        <v>#REF!</v>
      </c>
      <c r="AC564" s="198" t="e">
        <f>(#REF!*AC330)/12274</f>
        <v>#REF!</v>
      </c>
      <c r="AD564" s="198" t="e">
        <f>(#REF!*AD330)/10405</f>
        <v>#REF!</v>
      </c>
      <c r="AE564" s="198" t="e">
        <f>(#REF!*AE330)/12044</f>
        <v>#REF!</v>
      </c>
      <c r="AF564" s="198" t="e">
        <f>(#REF!*#REF!)/AF$426/12</f>
        <v>#REF!</v>
      </c>
    </row>
    <row r="565" spans="1:32" x14ac:dyDescent="0.2">
      <c r="B565" s="14" t="s">
        <v>1005</v>
      </c>
      <c r="F565" s="187">
        <f>F563+F564</f>
        <v>1.6420996527445129E-2</v>
      </c>
      <c r="G565" s="187">
        <f>G563+G564</f>
        <v>1.3568892845901221E-2</v>
      </c>
      <c r="H565" s="187">
        <f>H563+H564</f>
        <v>4.7876691844175034E-2</v>
      </c>
      <c r="I565" s="47">
        <f t="shared" ref="I565" si="383">I563+I564</f>
        <v>7.0123676778016932</v>
      </c>
      <c r="J565" s="187">
        <f>J563+J564</f>
        <v>7.1781322753582413E-2</v>
      </c>
      <c r="K565" s="47">
        <f t="shared" ref="K565:M565" si="384">K563+K564</f>
        <v>5.3299467192812049</v>
      </c>
      <c r="L565" s="47">
        <f t="shared" si="384"/>
        <v>2.9777373765028261</v>
      </c>
      <c r="M565" s="47">
        <f t="shared" si="384"/>
        <v>2.472907575853144</v>
      </c>
      <c r="N565" s="47">
        <f t="shared" ref="N565" si="385">N563+N564</f>
        <v>2.5537188392245778</v>
      </c>
      <c r="O565" s="47">
        <f t="shared" ref="O565" si="386">O563+O564</f>
        <v>9.6905048047288823E-7</v>
      </c>
      <c r="Q565" s="187" t="e">
        <f t="shared" ref="Q565:AF565" si="387">Q563+Q564</f>
        <v>#DIV/0!</v>
      </c>
      <c r="R565" s="47" t="e">
        <f t="shared" si="387"/>
        <v>#DIV/0!</v>
      </c>
      <c r="S565" s="187" t="e">
        <f t="shared" si="387"/>
        <v>#DIV/0!</v>
      </c>
      <c r="T565" s="187" t="e">
        <f t="shared" si="387"/>
        <v>#REF!</v>
      </c>
      <c r="U565" s="187" t="e">
        <f t="shared" si="387"/>
        <v>#REF!</v>
      </c>
      <c r="V565" s="187" t="e">
        <f t="shared" si="387"/>
        <v>#REF!</v>
      </c>
      <c r="W565" s="187" t="e">
        <f t="shared" si="387"/>
        <v>#REF!</v>
      </c>
      <c r="X565" s="187" t="e">
        <f t="shared" si="387"/>
        <v>#REF!</v>
      </c>
      <c r="Y565" s="187" t="e">
        <f t="shared" si="387"/>
        <v>#REF!</v>
      </c>
      <c r="Z565" s="187" t="e">
        <f t="shared" si="387"/>
        <v>#REF!</v>
      </c>
      <c r="AA565" s="187" t="e">
        <f t="shared" si="387"/>
        <v>#REF!</v>
      </c>
      <c r="AB565" s="187" t="e">
        <f t="shared" si="387"/>
        <v>#REF!</v>
      </c>
      <c r="AC565" s="187" t="e">
        <f t="shared" si="387"/>
        <v>#REF!</v>
      </c>
      <c r="AD565" s="187" t="e">
        <f t="shared" si="387"/>
        <v>#REF!</v>
      </c>
      <c r="AE565" s="187" t="e">
        <f t="shared" si="387"/>
        <v>#REF!</v>
      </c>
      <c r="AF565" s="187" t="e">
        <f t="shared" si="387"/>
        <v>#REF!</v>
      </c>
    </row>
    <row r="567" spans="1:32" x14ac:dyDescent="0.2">
      <c r="A567" s="13" t="s">
        <v>668</v>
      </c>
    </row>
    <row r="568" spans="1:32" x14ac:dyDescent="0.2">
      <c r="A568" s="14" t="s">
        <v>669</v>
      </c>
      <c r="F568" s="45">
        <f t="shared" ref="F568:S568" si="388">F537</f>
        <v>19.610024665998559</v>
      </c>
      <c r="G568" s="45">
        <f t="shared" ref="G568:H568" si="389">G537</f>
        <v>19.318761648411357</v>
      </c>
      <c r="H568" s="45">
        <f t="shared" si="389"/>
        <v>19.147898408660737</v>
      </c>
      <c r="I568" s="45">
        <f t="shared" ref="I568:J568" si="390">I537</f>
        <v>20.454093312957198</v>
      </c>
      <c r="J568" s="45">
        <f t="shared" si="390"/>
        <v>20.714275397248269</v>
      </c>
      <c r="K568" s="45">
        <f t="shared" ref="K568:M568" si="391">K537</f>
        <v>78.082631700637577</v>
      </c>
      <c r="L568" s="45">
        <f t="shared" si="391"/>
        <v>596.84888288084062</v>
      </c>
      <c r="M568" s="45">
        <f t="shared" si="391"/>
        <v>84.567837465348461</v>
      </c>
      <c r="N568" s="45">
        <f t="shared" ref="N568" si="392">N537</f>
        <v>444.31257429751184</v>
      </c>
      <c r="O568" s="45">
        <f t="shared" ref="O568" si="393">O537</f>
        <v>14.28241897574568</v>
      </c>
      <c r="Q568" s="45" t="e">
        <f t="shared" si="388"/>
        <v>#DIV/0!</v>
      </c>
      <c r="R568" s="45" t="e">
        <f t="shared" si="388"/>
        <v>#DIV/0!</v>
      </c>
      <c r="S568" s="45" t="e">
        <f t="shared" si="388"/>
        <v>#DIV/0!</v>
      </c>
      <c r="T568" s="45" t="e">
        <f>#REF!</f>
        <v>#REF!</v>
      </c>
      <c r="U568" s="45" t="e">
        <f>#REF!</f>
        <v>#REF!</v>
      </c>
      <c r="V568" s="45" t="e">
        <f>#REF!</f>
        <v>#REF!</v>
      </c>
      <c r="W568" s="45" t="e">
        <f>#REF!</f>
        <v>#REF!</v>
      </c>
      <c r="X568" s="45" t="e">
        <f>#REF!</f>
        <v>#REF!</v>
      </c>
      <c r="Y568" s="45" t="e">
        <f>#REF!</f>
        <v>#REF!</v>
      </c>
      <c r="Z568" s="45" t="e">
        <f>#REF!</f>
        <v>#REF!</v>
      </c>
      <c r="AA568" s="45" t="e">
        <f>#REF!</f>
        <v>#REF!</v>
      </c>
      <c r="AB568" s="45" t="e">
        <f>#REF!</f>
        <v>#REF!</v>
      </c>
      <c r="AC568" s="45" t="e">
        <f>#REF!</f>
        <v>#REF!</v>
      </c>
      <c r="AD568" s="45" t="e">
        <f>#REF!</f>
        <v>#REF!</v>
      </c>
      <c r="AE568" s="45" t="e">
        <f>#REF!</f>
        <v>#REF!</v>
      </c>
      <c r="AF568" s="45" t="e">
        <f>#REF!</f>
        <v>#REF!</v>
      </c>
    </row>
    <row r="569" spans="1:32" ht="15" x14ac:dyDescent="0.35">
      <c r="A569" s="14" t="s">
        <v>670</v>
      </c>
      <c r="E569" s="45"/>
      <c r="F569" s="102">
        <f t="shared" ref="F569:G569" si="394">(F517*F387)/F416</f>
        <v>0.93210663942493033</v>
      </c>
      <c r="G569" s="102">
        <f t="shared" si="394"/>
        <v>-2.0245274769829478</v>
      </c>
      <c r="H569" s="102">
        <f t="shared" ref="H569" si="395">(H517*H387)/H416</f>
        <v>-16.946541622169672</v>
      </c>
      <c r="I569" s="102">
        <f t="shared" ref="I569:J569" si="396">(I517*I387)/I416</f>
        <v>46.862211435140566</v>
      </c>
      <c r="J569" s="102">
        <f t="shared" si="396"/>
        <v>2.3385687709429548</v>
      </c>
      <c r="K569" s="102">
        <f t="shared" ref="K569:M569" si="397">(K517*K387)/K416</f>
        <v>105.08314010125201</v>
      </c>
      <c r="L569" s="102">
        <f t="shared" si="397"/>
        <v>26.852341203303546</v>
      </c>
      <c r="M569" s="102">
        <f t="shared" si="397"/>
        <v>30.730814427580697</v>
      </c>
      <c r="N569" s="102">
        <f t="shared" ref="N569" si="398">(N517*N387)/N416</f>
        <v>178.20715595855933</v>
      </c>
      <c r="O569" s="102">
        <f t="shared" ref="O569" si="399">(O517*O387)/O416</f>
        <v>2871.8928907255176</v>
      </c>
      <c r="Q569" s="102" t="e">
        <f t="shared" ref="Q569:S569" si="400">(Q517*Q387)/Q416</f>
        <v>#DIV/0!</v>
      </c>
      <c r="R569" s="102" t="e">
        <f t="shared" si="400"/>
        <v>#DIV/0!</v>
      </c>
      <c r="S569" s="102" t="e">
        <f t="shared" si="400"/>
        <v>#DIV/0!</v>
      </c>
      <c r="T569" s="102" t="e">
        <f>(#REF!*T330)/T416</f>
        <v>#REF!</v>
      </c>
      <c r="U569" s="102" t="e">
        <f>(#REF!*U330)/U416</f>
        <v>#REF!</v>
      </c>
      <c r="V569" s="102" t="e">
        <f>(#REF!*V330)/V416</f>
        <v>#REF!</v>
      </c>
      <c r="W569" s="102" t="e">
        <f>(#REF!*W330)/W416</f>
        <v>#REF!</v>
      </c>
      <c r="X569" s="102" t="e">
        <f>(#REF!*X330)/X416</f>
        <v>#REF!</v>
      </c>
      <c r="Y569" s="102" t="e">
        <f>(#REF!*Y330)/Y416</f>
        <v>#REF!</v>
      </c>
      <c r="Z569" s="102" t="e">
        <f>(#REF!*Z330)/Z416</f>
        <v>#REF!</v>
      </c>
      <c r="AA569" s="102" t="e">
        <f>(#REF!*AA330)/AA416</f>
        <v>#REF!</v>
      </c>
      <c r="AB569" s="102" t="e">
        <f>(#REF!*AB330)/AB416</f>
        <v>#REF!</v>
      </c>
      <c r="AC569" s="102" t="e">
        <f>(#REF!*AC330)/AC416</f>
        <v>#REF!</v>
      </c>
      <c r="AD569" s="102" t="e">
        <f>(#REF!*AD330)/AD416</f>
        <v>#REF!</v>
      </c>
      <c r="AE569" s="102" t="e">
        <f>(#REF!*AE330)/AE416</f>
        <v>#REF!</v>
      </c>
      <c r="AF569" s="102" t="e">
        <f>(#REF!*#REF!)/#REF!</f>
        <v>#REF!</v>
      </c>
    </row>
    <row r="570" spans="1:32" x14ac:dyDescent="0.2">
      <c r="B570" s="14" t="s">
        <v>671</v>
      </c>
      <c r="F570" s="45">
        <f>F568+F569</f>
        <v>20.542131305423489</v>
      </c>
      <c r="G570" s="45">
        <f>G568+G569</f>
        <v>17.29423417142841</v>
      </c>
      <c r="H570" s="45">
        <f>H568+H569</f>
        <v>2.2013567864910648</v>
      </c>
      <c r="I570" s="45">
        <f t="shared" ref="I570" si="401">I568+I569</f>
        <v>67.316304748097764</v>
      </c>
      <c r="J570" s="45">
        <f>J568+J569</f>
        <v>23.052844168191225</v>
      </c>
      <c r="K570" s="45">
        <f t="shared" ref="K570:M570" si="402">K568+K569</f>
        <v>183.1657718018896</v>
      </c>
      <c r="L570" s="45">
        <f t="shared" si="402"/>
        <v>623.7012240841442</v>
      </c>
      <c r="M570" s="45">
        <f t="shared" si="402"/>
        <v>115.29865189292916</v>
      </c>
      <c r="N570" s="45">
        <f t="shared" ref="N570" si="403">N568+N569</f>
        <v>622.51973025607117</v>
      </c>
      <c r="O570" s="45">
        <f t="shared" ref="O570" si="404">O568+O569</f>
        <v>2886.1753097012634</v>
      </c>
      <c r="Q570" s="45" t="e">
        <f t="shared" ref="Q570:AF570" si="405">Q568+Q569</f>
        <v>#DIV/0!</v>
      </c>
      <c r="R570" s="45" t="e">
        <f t="shared" si="405"/>
        <v>#DIV/0!</v>
      </c>
      <c r="S570" s="45" t="e">
        <f t="shared" si="405"/>
        <v>#DIV/0!</v>
      </c>
      <c r="T570" s="45" t="e">
        <f t="shared" si="405"/>
        <v>#REF!</v>
      </c>
      <c r="U570" s="45" t="e">
        <f t="shared" si="405"/>
        <v>#REF!</v>
      </c>
      <c r="V570" s="45" t="e">
        <f t="shared" si="405"/>
        <v>#REF!</v>
      </c>
      <c r="W570" s="45" t="e">
        <f t="shared" si="405"/>
        <v>#REF!</v>
      </c>
      <c r="X570" s="45" t="e">
        <f t="shared" si="405"/>
        <v>#REF!</v>
      </c>
      <c r="Y570" s="45" t="e">
        <f t="shared" si="405"/>
        <v>#REF!</v>
      </c>
      <c r="Z570" s="45" t="e">
        <f t="shared" si="405"/>
        <v>#REF!</v>
      </c>
      <c r="AA570" s="45" t="e">
        <f t="shared" si="405"/>
        <v>#REF!</v>
      </c>
      <c r="AB570" s="45" t="e">
        <f t="shared" si="405"/>
        <v>#REF!</v>
      </c>
      <c r="AC570" s="45" t="e">
        <f t="shared" si="405"/>
        <v>#REF!</v>
      </c>
      <c r="AD570" s="45" t="e">
        <f t="shared" si="405"/>
        <v>#REF!</v>
      </c>
      <c r="AE570" s="45" t="e">
        <f t="shared" si="405"/>
        <v>#REF!</v>
      </c>
      <c r="AF570" s="45" t="e">
        <f t="shared" si="405"/>
        <v>#REF!</v>
      </c>
    </row>
    <row r="574" spans="1:32" x14ac:dyDescent="0.2">
      <c r="A574" s="25" t="s">
        <v>672</v>
      </c>
      <c r="B574" s="101"/>
      <c r="C574" s="199">
        <f>E387</f>
        <v>1.9517647250572017E-2</v>
      </c>
      <c r="F574" s="46">
        <f t="shared" ref="F574:R574" si="406">$C$574</f>
        <v>1.9517647250572017E-2</v>
      </c>
      <c r="G574" s="46">
        <f t="shared" si="406"/>
        <v>1.9517647250572017E-2</v>
      </c>
      <c r="H574" s="46">
        <f t="shared" si="406"/>
        <v>1.9517647250572017E-2</v>
      </c>
      <c r="I574" s="46">
        <f t="shared" si="406"/>
        <v>1.9517647250572017E-2</v>
      </c>
      <c r="J574" s="46">
        <f t="shared" si="406"/>
        <v>1.9517647250572017E-2</v>
      </c>
      <c r="K574" s="46">
        <f t="shared" si="406"/>
        <v>1.9517647250572017E-2</v>
      </c>
      <c r="L574" s="46">
        <f t="shared" si="406"/>
        <v>1.9517647250572017E-2</v>
      </c>
      <c r="M574" s="46">
        <f t="shared" si="406"/>
        <v>1.9517647250572017E-2</v>
      </c>
      <c r="N574" s="46">
        <f t="shared" si="406"/>
        <v>1.9517647250572017E-2</v>
      </c>
      <c r="O574" s="46">
        <f t="shared" si="406"/>
        <v>1.9517647250572017E-2</v>
      </c>
      <c r="Q574" s="46">
        <f t="shared" si="406"/>
        <v>1.9517647250572017E-2</v>
      </c>
      <c r="R574" s="46">
        <f t="shared" si="406"/>
        <v>1.9517647250572017E-2</v>
      </c>
    </row>
    <row r="575" spans="1:32" x14ac:dyDescent="0.2">
      <c r="A575" s="13"/>
    </row>
    <row r="576" spans="1:32" x14ac:dyDescent="0.2">
      <c r="A576" s="13" t="s">
        <v>761</v>
      </c>
    </row>
    <row r="577" spans="1:37" x14ac:dyDescent="0.2">
      <c r="A577" s="14" t="s">
        <v>998</v>
      </c>
      <c r="F577" s="187">
        <f t="shared" ref="F577:G577" si="407">F552</f>
        <v>2.8585711306823056E-2</v>
      </c>
      <c r="G577" s="187">
        <f t="shared" si="407"/>
        <v>2.8934428721376578E-2</v>
      </c>
      <c r="H577" s="187">
        <f t="shared" ref="H577" si="408">H552</f>
        <v>4.8126846921804287E-3</v>
      </c>
      <c r="I577" s="47">
        <f t="shared" ref="I577:J577" si="409">I552</f>
        <v>5.7295619100385258</v>
      </c>
      <c r="J577" s="187">
        <f t="shared" si="409"/>
        <v>4.8078549112906648E-3</v>
      </c>
      <c r="K577" s="47">
        <f t="shared" ref="K577:M577" si="410">K552</f>
        <v>6.8765038914221668</v>
      </c>
      <c r="L577" s="47">
        <f t="shared" si="410"/>
        <v>7.0570902220970684</v>
      </c>
      <c r="M577" s="47">
        <f t="shared" si="410"/>
        <v>8.9181950239101617</v>
      </c>
      <c r="N577" s="47">
        <f t="shared" ref="N577" si="411">N552</f>
        <v>9.6510170406004807</v>
      </c>
      <c r="O577" s="47">
        <f t="shared" ref="O577" si="412">O552</f>
        <v>7.1430698476405068</v>
      </c>
      <c r="Q577" s="187" t="e">
        <f t="shared" ref="Q577" si="413">Q552</f>
        <v>#DIV/0!</v>
      </c>
      <c r="R577" s="47" t="e">
        <f>R552</f>
        <v>#DIV/0!</v>
      </c>
      <c r="S577" s="187" t="e">
        <f t="shared" ref="S577:AE577" si="414">S533</f>
        <v>#DIV/0!</v>
      </c>
      <c r="T577" s="187">
        <f t="shared" si="414"/>
        <v>0</v>
      </c>
      <c r="U577" s="187" t="e">
        <f t="shared" si="414"/>
        <v>#DIV/0!</v>
      </c>
      <c r="V577" s="187" t="e">
        <f t="shared" si="414"/>
        <v>#DIV/0!</v>
      </c>
      <c r="W577" s="187" t="e">
        <f t="shared" si="414"/>
        <v>#DIV/0!</v>
      </c>
      <c r="X577" s="187" t="e">
        <f t="shared" si="414"/>
        <v>#DIV/0!</v>
      </c>
      <c r="Y577" s="187" t="e">
        <f t="shared" si="414"/>
        <v>#DIV/0!</v>
      </c>
      <c r="Z577" s="187">
        <f t="shared" si="414"/>
        <v>0</v>
      </c>
      <c r="AA577" s="187">
        <f t="shared" si="414"/>
        <v>0</v>
      </c>
      <c r="AB577" s="187">
        <f t="shared" si="414"/>
        <v>0</v>
      </c>
      <c r="AC577" s="187">
        <f t="shared" si="414"/>
        <v>0</v>
      </c>
      <c r="AD577" s="187">
        <f t="shared" si="414"/>
        <v>0</v>
      </c>
      <c r="AE577" s="187">
        <f t="shared" si="414"/>
        <v>0</v>
      </c>
      <c r="AF577" s="187" t="e">
        <f>#REF!</f>
        <v>#REF!</v>
      </c>
    </row>
    <row r="578" spans="1:37" x14ac:dyDescent="0.2">
      <c r="A578" s="14" t="s">
        <v>999</v>
      </c>
      <c r="E578" s="200"/>
      <c r="F578" s="187">
        <f>(F513*$E$387)/F$413</f>
        <v>0</v>
      </c>
      <c r="G578" s="187">
        <f>(G513*$E$387)/G$413</f>
        <v>0</v>
      </c>
      <c r="H578" s="187">
        <f>(H513*$E$387)/H$413</f>
        <v>0</v>
      </c>
      <c r="I578" s="47">
        <f>(I513*$E$387)/I$428</f>
        <v>0</v>
      </c>
      <c r="J578" s="187">
        <f>(J513*$E$387)/J$413</f>
        <v>0</v>
      </c>
      <c r="K578" s="47">
        <f>(K513*$E$387)/K$428</f>
        <v>0</v>
      </c>
      <c r="L578" s="47">
        <f>(L513*$E$387)/L$428</f>
        <v>0</v>
      </c>
      <c r="M578" s="47">
        <f>(M513*$E$387)/M$428</f>
        <v>0</v>
      </c>
      <c r="N578" s="47">
        <f>(N513*$E$387)/N$428</f>
        <v>0</v>
      </c>
      <c r="O578" s="47">
        <f>(O513*$E$387)/O$428</f>
        <v>0</v>
      </c>
      <c r="Q578" s="187" t="e">
        <f>(Q513*$E$387)/Q$413</f>
        <v>#DIV/0!</v>
      </c>
      <c r="R578" s="47" t="e">
        <f>(R513*$E$387)/R$428</f>
        <v>#DIV/0!</v>
      </c>
      <c r="S578" s="187" t="e">
        <f t="shared" ref="S578:AE578" si="415">S534</f>
        <v>#DIV/0!</v>
      </c>
      <c r="T578" s="187" t="e">
        <f t="shared" si="415"/>
        <v>#DIV/0!</v>
      </c>
      <c r="U578" s="187" t="e">
        <f t="shared" si="415"/>
        <v>#DIV/0!</v>
      </c>
      <c r="V578" s="187" t="e">
        <f t="shared" si="415"/>
        <v>#DIV/0!</v>
      </c>
      <c r="W578" s="187" t="e">
        <f t="shared" si="415"/>
        <v>#DIV/0!</v>
      </c>
      <c r="X578" s="187" t="e">
        <f t="shared" si="415"/>
        <v>#DIV/0!</v>
      </c>
      <c r="Y578" s="187" t="e">
        <f t="shared" si="415"/>
        <v>#DIV/0!</v>
      </c>
      <c r="Z578" s="187" t="e">
        <f t="shared" si="415"/>
        <v>#DIV/0!</v>
      </c>
      <c r="AA578" s="187" t="e">
        <f t="shared" si="415"/>
        <v>#DIV/0!</v>
      </c>
      <c r="AB578" s="187" t="e">
        <f t="shared" si="415"/>
        <v>#DIV/0!</v>
      </c>
      <c r="AC578" s="187" t="e">
        <f t="shared" si="415"/>
        <v>#DIV/0!</v>
      </c>
      <c r="AD578" s="187" t="e">
        <f t="shared" si="415"/>
        <v>#DIV/0!</v>
      </c>
      <c r="AE578" s="187">
        <f t="shared" si="415"/>
        <v>0</v>
      </c>
      <c r="AF578" s="187" t="e">
        <f>#REF!</f>
        <v>#REF!</v>
      </c>
    </row>
    <row r="579" spans="1:37" x14ac:dyDescent="0.2">
      <c r="A579" s="14" t="s">
        <v>895</v>
      </c>
      <c r="F579" s="187">
        <f t="shared" ref="F579:G579" si="416">F554</f>
        <v>6.3819258867286358E-2</v>
      </c>
      <c r="G579" s="187">
        <f t="shared" si="416"/>
        <v>6.3819258867286371E-2</v>
      </c>
      <c r="H579" s="187">
        <f t="shared" ref="H579" si="417">H554</f>
        <v>6.3819258867286371E-2</v>
      </c>
      <c r="I579" s="187">
        <f t="shared" ref="I579:J579" si="418">I554</f>
        <v>6.3819258867286358E-2</v>
      </c>
      <c r="J579" s="187">
        <f t="shared" si="418"/>
        <v>6.3819258867286371E-2</v>
      </c>
      <c r="K579" s="187">
        <f t="shared" ref="K579:M579" si="419">K554</f>
        <v>6.3819258867286358E-2</v>
      </c>
      <c r="L579" s="187">
        <f t="shared" si="419"/>
        <v>6.3819258867286358E-2</v>
      </c>
      <c r="M579" s="187">
        <f t="shared" si="419"/>
        <v>5.4983807064807606E-2</v>
      </c>
      <c r="N579" s="187">
        <f t="shared" ref="N579" si="420">N554</f>
        <v>5.261472324562453E-2</v>
      </c>
      <c r="O579" s="187">
        <f t="shared" ref="O579" si="421">O554</f>
        <v>5.105989670878211E-2</v>
      </c>
      <c r="Q579" s="187" t="e">
        <f t="shared" ref="Q579" si="422">Q554</f>
        <v>#DIV/0!</v>
      </c>
      <c r="R579" s="187" t="e">
        <f>R554</f>
        <v>#DIV/0!</v>
      </c>
      <c r="S579" s="187">
        <f>S559</f>
        <v>0</v>
      </c>
      <c r="T579" s="187" t="e">
        <f>#REF!</f>
        <v>#REF!</v>
      </c>
      <c r="U579" s="187" t="e">
        <f>#REF!</f>
        <v>#REF!</v>
      </c>
      <c r="V579" s="187" t="e">
        <f>#REF!</f>
        <v>#REF!</v>
      </c>
      <c r="W579" s="187" t="e">
        <f>#REF!</f>
        <v>#REF!</v>
      </c>
      <c r="X579" s="187" t="e">
        <f>#REF!</f>
        <v>#REF!</v>
      </c>
      <c r="Y579" s="187" t="e">
        <f>#REF!</f>
        <v>#REF!</v>
      </c>
      <c r="Z579" s="187" t="e">
        <f>#REF!</f>
        <v>#REF!</v>
      </c>
      <c r="AA579" s="187" t="e">
        <f>#REF!</f>
        <v>#REF!</v>
      </c>
      <c r="AB579" s="187" t="e">
        <f>#REF!</f>
        <v>#REF!</v>
      </c>
      <c r="AC579" s="187" t="e">
        <f>#REF!</f>
        <v>#REF!</v>
      </c>
      <c r="AD579" s="187" t="e">
        <f>#REF!</f>
        <v>#REF!</v>
      </c>
      <c r="AE579" s="187" t="e">
        <f>#REF!</f>
        <v>#REF!</v>
      </c>
      <c r="AF579" s="187" t="e">
        <f>#REF!</f>
        <v>#REF!</v>
      </c>
    </row>
    <row r="580" spans="1:37" x14ac:dyDescent="0.2">
      <c r="A580" s="14" t="s">
        <v>896</v>
      </c>
      <c r="D580" s="187"/>
      <c r="F580" s="187">
        <f t="shared" ref="F580:G580" si="423">(F514*$E$387)/F$413</f>
        <v>0</v>
      </c>
      <c r="G580" s="187">
        <f t="shared" si="423"/>
        <v>0</v>
      </c>
      <c r="H580" s="187">
        <f t="shared" ref="H580" si="424">(H514*$E$387)/H$413</f>
        <v>0</v>
      </c>
      <c r="I580" s="48">
        <f t="shared" ref="I580:J580" si="425">(I514*$E$387)/I$413</f>
        <v>0</v>
      </c>
      <c r="J580" s="187">
        <f t="shared" si="425"/>
        <v>0</v>
      </c>
      <c r="K580" s="48">
        <f t="shared" ref="K580:M580" si="426">(K514*$E$387)/K$413</f>
        <v>0</v>
      </c>
      <c r="L580" s="48">
        <f t="shared" si="426"/>
        <v>0</v>
      </c>
      <c r="M580" s="48">
        <f t="shared" si="426"/>
        <v>0</v>
      </c>
      <c r="N580" s="48">
        <f t="shared" ref="N580" si="427">(N514*$E$387)/N$413</f>
        <v>0</v>
      </c>
      <c r="O580" s="48">
        <f t="shared" ref="O580" si="428">(O514*$E$387)/O$413</f>
        <v>0</v>
      </c>
      <c r="Q580" s="187" t="e">
        <f t="shared" ref="Q580:R580" si="429">(Q514*$E$387)/Q$413</f>
        <v>#DIV/0!</v>
      </c>
      <c r="R580" s="48" t="e">
        <f t="shared" si="429"/>
        <v>#DIV/0!</v>
      </c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</row>
    <row r="581" spans="1:37" x14ac:dyDescent="0.2"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</row>
    <row r="582" spans="1:37" x14ac:dyDescent="0.2">
      <c r="A582" s="13" t="s">
        <v>889</v>
      </c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</row>
    <row r="583" spans="1:37" x14ac:dyDescent="0.2">
      <c r="A583" s="14" t="s">
        <v>1000</v>
      </c>
      <c r="F583" s="187">
        <f t="shared" ref="F583:G583" si="430">F558</f>
        <v>0</v>
      </c>
      <c r="G583" s="187">
        <f t="shared" si="430"/>
        <v>0</v>
      </c>
      <c r="H583" s="187">
        <f t="shared" ref="H583" si="431">H558</f>
        <v>0</v>
      </c>
      <c r="I583" s="47">
        <f t="shared" ref="I583:J583" si="432">I558</f>
        <v>0</v>
      </c>
      <c r="J583" s="187">
        <f t="shared" si="432"/>
        <v>0</v>
      </c>
      <c r="K583" s="47">
        <f t="shared" ref="K583:M583" si="433">K558</f>
        <v>0</v>
      </c>
      <c r="L583" s="47">
        <f t="shared" si="433"/>
        <v>0</v>
      </c>
      <c r="M583" s="47">
        <f t="shared" si="433"/>
        <v>0</v>
      </c>
      <c r="N583" s="47">
        <f t="shared" ref="N583" si="434">N558</f>
        <v>0</v>
      </c>
      <c r="O583" s="47">
        <f t="shared" ref="O583" si="435">O558</f>
        <v>0</v>
      </c>
      <c r="Q583" s="187" t="e">
        <f t="shared" ref="Q583" si="436">Q558</f>
        <v>#DIV/0!</v>
      </c>
      <c r="R583" s="47" t="e">
        <f>R558</f>
        <v>#DIV/0!</v>
      </c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</row>
    <row r="584" spans="1:37" s="74" customFormat="1" ht="15" x14ac:dyDescent="0.35">
      <c r="A584" s="74" t="s">
        <v>1001</v>
      </c>
      <c r="D584" s="195"/>
      <c r="F584" s="198">
        <f>(F515*$E$387)/F$413</f>
        <v>0</v>
      </c>
      <c r="G584" s="198">
        <f>(G515*$E$387)/G$413</f>
        <v>0</v>
      </c>
      <c r="H584" s="198">
        <f>(H515*$E$387)/H$413</f>
        <v>0</v>
      </c>
      <c r="I584" s="102">
        <f>(I515*$E$387)/I$428</f>
        <v>0</v>
      </c>
      <c r="J584" s="198">
        <f>(J515*$E$387)/J$413</f>
        <v>0</v>
      </c>
      <c r="K584" s="102">
        <f>(K515*$E$387)/K$428</f>
        <v>0</v>
      </c>
      <c r="L584" s="102">
        <f>(L515*$E$387)/L$428</f>
        <v>0</v>
      </c>
      <c r="M584" s="102">
        <f>(M515*$E$387)/M$428</f>
        <v>0</v>
      </c>
      <c r="N584" s="102">
        <f>(N515*$E$387)/N$428</f>
        <v>0</v>
      </c>
      <c r="O584" s="102">
        <f>(O515*$E$387)/O$428</f>
        <v>0</v>
      </c>
      <c r="P584" s="14"/>
      <c r="Q584" s="198" t="e">
        <f>(Q515*$E$387)/Q$413</f>
        <v>#DIV/0!</v>
      </c>
      <c r="R584" s="102" t="e">
        <f>(R515*$E$387)/R$428</f>
        <v>#DIV/0!</v>
      </c>
      <c r="AK584" s="77"/>
    </row>
    <row r="585" spans="1:37" x14ac:dyDescent="0.2">
      <c r="B585" s="14" t="s">
        <v>1002</v>
      </c>
      <c r="F585" s="187">
        <f>F583+F584</f>
        <v>0</v>
      </c>
      <c r="G585" s="187">
        <f>G583+G584</f>
        <v>0</v>
      </c>
      <c r="H585" s="187">
        <f>H583+H584</f>
        <v>0</v>
      </c>
      <c r="I585" s="47">
        <f t="shared" ref="I585" si="437">I583+I584</f>
        <v>0</v>
      </c>
      <c r="J585" s="187">
        <f>J583+J584</f>
        <v>0</v>
      </c>
      <c r="K585" s="47">
        <f t="shared" ref="K585:M585" si="438">K583+K584</f>
        <v>0</v>
      </c>
      <c r="L585" s="47">
        <f t="shared" si="438"/>
        <v>0</v>
      </c>
      <c r="M585" s="47">
        <f t="shared" si="438"/>
        <v>0</v>
      </c>
      <c r="N585" s="47">
        <f t="shared" ref="N585" si="439">N583+N584</f>
        <v>0</v>
      </c>
      <c r="O585" s="47">
        <f t="shared" ref="O585" si="440">O583+O584</f>
        <v>0</v>
      </c>
      <c r="Q585" s="187" t="e">
        <f t="shared" ref="Q585:R585" si="441">Q583+Q584</f>
        <v>#DIV/0!</v>
      </c>
      <c r="R585" s="47" t="e">
        <f t="shared" si="441"/>
        <v>#DIV/0!</v>
      </c>
    </row>
    <row r="587" spans="1:37" x14ac:dyDescent="0.2">
      <c r="A587" s="13" t="s">
        <v>667</v>
      </c>
    </row>
    <row r="588" spans="1:37" x14ac:dyDescent="0.2">
      <c r="A588" s="14" t="s">
        <v>1003</v>
      </c>
      <c r="F588" s="187">
        <f t="shared" ref="F588:S588" si="442">F536</f>
        <v>1.5646348808517813E-2</v>
      </c>
      <c r="G588" s="187">
        <f t="shared" ref="G588:H588" si="443">G536</f>
        <v>1.5249369279526165E-2</v>
      </c>
      <c r="H588" s="187">
        <f t="shared" si="443"/>
        <v>0.41796244625679579</v>
      </c>
      <c r="I588" s="47">
        <f t="shared" ref="I588:J588" si="444">I536</f>
        <v>2.0990087861101761</v>
      </c>
      <c r="J588" s="187">
        <f t="shared" si="444"/>
        <v>6.4359325857237484E-2</v>
      </c>
      <c r="K588" s="47">
        <f t="shared" ref="K588:M588" si="445">K536</f>
        <v>2.1866906197016478</v>
      </c>
      <c r="L588" s="47">
        <f t="shared" si="445"/>
        <v>2.5477686828023507</v>
      </c>
      <c r="M588" s="47">
        <f t="shared" si="445"/>
        <v>2.0388017359879793</v>
      </c>
      <c r="N588" s="47">
        <f t="shared" ref="N588" si="446">N536</f>
        <v>2.0389079270385042</v>
      </c>
      <c r="O588" s="47">
        <f t="shared" ref="O588" si="447">O536</f>
        <v>9.6905048047288823E-7</v>
      </c>
      <c r="Q588" s="187" t="e">
        <f t="shared" si="442"/>
        <v>#DIV/0!</v>
      </c>
      <c r="R588" s="47" t="e">
        <f t="shared" si="442"/>
        <v>#DIV/0!</v>
      </c>
      <c r="S588" s="187" t="e">
        <f t="shared" si="442"/>
        <v>#DIV/0!</v>
      </c>
      <c r="T588" s="187" t="e">
        <f>#REF!</f>
        <v>#REF!</v>
      </c>
      <c r="U588" s="187" t="e">
        <f>#REF!</f>
        <v>#REF!</v>
      </c>
      <c r="V588" s="187" t="e">
        <f>#REF!</f>
        <v>#REF!</v>
      </c>
      <c r="W588" s="187" t="e">
        <f>#REF!</f>
        <v>#REF!</v>
      </c>
      <c r="X588" s="187" t="e">
        <f>#REF!</f>
        <v>#REF!</v>
      </c>
      <c r="Y588" s="187" t="e">
        <f>#REF!</f>
        <v>#REF!</v>
      </c>
      <c r="Z588" s="187" t="e">
        <f>#REF!</f>
        <v>#REF!</v>
      </c>
      <c r="AA588" s="187" t="e">
        <f>#REF!</f>
        <v>#REF!</v>
      </c>
      <c r="AB588" s="187" t="e">
        <f>#REF!</f>
        <v>#REF!</v>
      </c>
      <c r="AC588" s="187" t="e">
        <f>#REF!</f>
        <v>#REF!</v>
      </c>
      <c r="AD588" s="187" t="e">
        <f>#REF!</f>
        <v>#REF!</v>
      </c>
      <c r="AE588" s="187" t="e">
        <f>#REF!</f>
        <v>#REF!</v>
      </c>
      <c r="AF588" s="187" t="e">
        <f>#REF!</f>
        <v>#REF!</v>
      </c>
    </row>
    <row r="589" spans="1:37" ht="15" x14ac:dyDescent="0.35">
      <c r="A589" s="74" t="s">
        <v>1004</v>
      </c>
      <c r="D589" s="200"/>
      <c r="F589" s="198">
        <f>(F516*$E$387)/F413</f>
        <v>1.8642598297738196E-3</v>
      </c>
      <c r="G589" s="198">
        <f>(G516*$E$387)/G413</f>
        <v>1.8619865856595163E-3</v>
      </c>
      <c r="H589" s="198">
        <f>(H516*$E$387)/H413</f>
        <v>5.0231342241998024E-2</v>
      </c>
      <c r="I589" s="102">
        <f>(I516*$E$387)/I428</f>
        <v>0.24602501476852318</v>
      </c>
      <c r="J589" s="198">
        <f>(J516*$E$387)/J413</f>
        <v>7.7112030648683674E-3</v>
      </c>
      <c r="K589" s="102">
        <f>(K516*$E$387)/K428</f>
        <v>0.24702890085421433</v>
      </c>
      <c r="L589" s="102">
        <f>(L516*$E$387)/L428</f>
        <v>0.24718696299473508</v>
      </c>
      <c r="M589" s="102">
        <f>(M516*$E$387)/M428</f>
        <v>0.24780519666355919</v>
      </c>
      <c r="N589" s="102">
        <f>(N516*$E$387)/N428</f>
        <v>0.24785985339057096</v>
      </c>
      <c r="O589" s="102">
        <f>(O516*$E$387)/O428</f>
        <v>0</v>
      </c>
      <c r="Q589" s="198" t="e">
        <f>(Q516*$E$387)/Q413</f>
        <v>#DIV/0!</v>
      </c>
      <c r="R589" s="102" t="e">
        <f>(R516*$E$387)/R428</f>
        <v>#DIV/0!</v>
      </c>
      <c r="S589" s="198" t="e">
        <f>(S516*$E$387)/S413</f>
        <v>#DIV/0!</v>
      </c>
      <c r="T589" s="198" t="e">
        <f>(#REF!*$E$330)/1026.4</f>
        <v>#REF!</v>
      </c>
      <c r="U589" s="198" t="e">
        <f>(#REF!*$E$330)/11504</f>
        <v>#REF!</v>
      </c>
      <c r="V589" s="198" t="e">
        <f>(#REF!*$E$330)/7284</f>
        <v>#REF!</v>
      </c>
      <c r="W589" s="198" t="e">
        <f>(#REF!*$E$330)/320.47</f>
        <v>#REF!</v>
      </c>
      <c r="X589" s="198" t="e">
        <f>(#REF!*$E$330)/26669</f>
        <v>#REF!</v>
      </c>
      <c r="Y589" s="198" t="e">
        <f>(#REF!*$E$330)/68503</f>
        <v>#REF!</v>
      </c>
      <c r="Z589" s="198" t="e">
        <f>(#REF!*$E$330)/Z413</f>
        <v>#REF!</v>
      </c>
      <c r="AA589" s="198" t="e">
        <f>(#REF!*$E$330)/17492.7</f>
        <v>#REF!</v>
      </c>
      <c r="AB589" s="198" t="e">
        <f>(#REF!*$E$330)/10846</f>
        <v>#REF!</v>
      </c>
      <c r="AC589" s="198" t="e">
        <f>(#REF!*$E$330)/12274</f>
        <v>#REF!</v>
      </c>
      <c r="AD589" s="198" t="e">
        <f>(#REF!*$E$330)/10405</f>
        <v>#REF!</v>
      </c>
      <c r="AE589" s="198" t="e">
        <f>(#REF!*$E$330)/120444</f>
        <v>#REF!</v>
      </c>
      <c r="AF589" s="198" t="e">
        <f>(#REF!*$E$330)/AF493/12</f>
        <v>#REF!</v>
      </c>
    </row>
    <row r="590" spans="1:37" x14ac:dyDescent="0.2">
      <c r="B590" s="14" t="s">
        <v>1005</v>
      </c>
      <c r="F590" s="187">
        <f t="shared" ref="F590:AF590" si="448">F588+F589</f>
        <v>1.7510608638291632E-2</v>
      </c>
      <c r="G590" s="187">
        <f t="shared" ref="G590:H590" si="449">G588+G589</f>
        <v>1.7111355865185682E-2</v>
      </c>
      <c r="H590" s="187">
        <f t="shared" si="449"/>
        <v>0.46819378849879384</v>
      </c>
      <c r="I590" s="47">
        <f t="shared" ref="I590:J590" si="450">I588+I589</f>
        <v>2.3450338008786993</v>
      </c>
      <c r="J590" s="187">
        <f t="shared" si="450"/>
        <v>7.2070528922105859E-2</v>
      </c>
      <c r="K590" s="47">
        <f t="shared" ref="K590:M590" si="451">K588+K589</f>
        <v>2.4337195205558619</v>
      </c>
      <c r="L590" s="47">
        <f t="shared" si="451"/>
        <v>2.7949556457970859</v>
      </c>
      <c r="M590" s="47">
        <f t="shared" si="451"/>
        <v>2.2866069326515386</v>
      </c>
      <c r="N590" s="47">
        <f t="shared" ref="N590" si="452">N588+N589</f>
        <v>2.2867677804290754</v>
      </c>
      <c r="O590" s="47">
        <f t="shared" ref="O590" si="453">O588+O589</f>
        <v>9.6905048047288823E-7</v>
      </c>
      <c r="Q590" s="187" t="e">
        <f t="shared" si="448"/>
        <v>#DIV/0!</v>
      </c>
      <c r="R590" s="47" t="e">
        <f t="shared" si="448"/>
        <v>#DIV/0!</v>
      </c>
      <c r="S590" s="187" t="e">
        <f t="shared" si="448"/>
        <v>#DIV/0!</v>
      </c>
      <c r="T590" s="187" t="e">
        <f t="shared" si="448"/>
        <v>#REF!</v>
      </c>
      <c r="U590" s="187" t="e">
        <f t="shared" si="448"/>
        <v>#REF!</v>
      </c>
      <c r="V590" s="187" t="e">
        <f t="shared" si="448"/>
        <v>#REF!</v>
      </c>
      <c r="W590" s="187" t="e">
        <f t="shared" si="448"/>
        <v>#REF!</v>
      </c>
      <c r="X590" s="187" t="e">
        <f t="shared" si="448"/>
        <v>#REF!</v>
      </c>
      <c r="Y590" s="187" t="e">
        <f t="shared" si="448"/>
        <v>#REF!</v>
      </c>
      <c r="Z590" s="187" t="e">
        <f t="shared" si="448"/>
        <v>#REF!</v>
      </c>
      <c r="AA590" s="187" t="e">
        <f t="shared" si="448"/>
        <v>#REF!</v>
      </c>
      <c r="AB590" s="187" t="e">
        <f t="shared" si="448"/>
        <v>#REF!</v>
      </c>
      <c r="AC590" s="187" t="e">
        <f t="shared" si="448"/>
        <v>#REF!</v>
      </c>
      <c r="AD590" s="187" t="e">
        <f t="shared" si="448"/>
        <v>#REF!</v>
      </c>
      <c r="AE590" s="187" t="e">
        <f t="shared" si="448"/>
        <v>#REF!</v>
      </c>
      <c r="AF590" s="187" t="e">
        <f t="shared" si="448"/>
        <v>#REF!</v>
      </c>
    </row>
    <row r="592" spans="1:37" x14ac:dyDescent="0.2">
      <c r="A592" s="13" t="s">
        <v>668</v>
      </c>
    </row>
    <row r="593" spans="1:32" x14ac:dyDescent="0.2">
      <c r="A593" s="14" t="s">
        <v>669</v>
      </c>
      <c r="F593" s="45">
        <f t="shared" ref="F593:S593" si="454">F537</f>
        <v>19.610024665998559</v>
      </c>
      <c r="G593" s="45">
        <f t="shared" ref="G593:H593" si="455">G537</f>
        <v>19.318761648411357</v>
      </c>
      <c r="H593" s="45">
        <f t="shared" si="455"/>
        <v>19.147898408660737</v>
      </c>
      <c r="I593" s="45">
        <f t="shared" ref="I593:J593" si="456">I537</f>
        <v>20.454093312957198</v>
      </c>
      <c r="J593" s="45">
        <f t="shared" si="456"/>
        <v>20.714275397248269</v>
      </c>
      <c r="K593" s="45">
        <f t="shared" ref="K593:M593" si="457">K537</f>
        <v>78.082631700637577</v>
      </c>
      <c r="L593" s="45">
        <f t="shared" si="457"/>
        <v>596.84888288084062</v>
      </c>
      <c r="M593" s="45">
        <f t="shared" si="457"/>
        <v>84.567837465348461</v>
      </c>
      <c r="N593" s="45">
        <f t="shared" ref="N593" si="458">N537</f>
        <v>444.31257429751184</v>
      </c>
      <c r="O593" s="45">
        <f t="shared" ref="O593" si="459">O537</f>
        <v>14.28241897574568</v>
      </c>
      <c r="Q593" s="45" t="e">
        <f t="shared" si="454"/>
        <v>#DIV/0!</v>
      </c>
      <c r="R593" s="45" t="e">
        <f t="shared" si="454"/>
        <v>#DIV/0!</v>
      </c>
      <c r="S593" s="45" t="e">
        <f t="shared" si="454"/>
        <v>#DIV/0!</v>
      </c>
      <c r="T593" s="45" t="e">
        <f>#REF!</f>
        <v>#REF!</v>
      </c>
      <c r="U593" s="45" t="e">
        <f>#REF!</f>
        <v>#REF!</v>
      </c>
      <c r="V593" s="45" t="e">
        <f>#REF!</f>
        <v>#REF!</v>
      </c>
      <c r="W593" s="45" t="e">
        <f>#REF!</f>
        <v>#REF!</v>
      </c>
      <c r="X593" s="45" t="e">
        <f>#REF!</f>
        <v>#REF!</v>
      </c>
      <c r="Y593" s="45" t="e">
        <f>#REF!</f>
        <v>#REF!</v>
      </c>
      <c r="Z593" s="45" t="e">
        <f>#REF!</f>
        <v>#REF!</v>
      </c>
      <c r="AA593" s="45" t="e">
        <f>#REF!</f>
        <v>#REF!</v>
      </c>
      <c r="AB593" s="45" t="e">
        <f>#REF!</f>
        <v>#REF!</v>
      </c>
      <c r="AC593" s="45" t="e">
        <f>#REF!</f>
        <v>#REF!</v>
      </c>
      <c r="AD593" s="45" t="e">
        <f>#REF!</f>
        <v>#REF!</v>
      </c>
      <c r="AE593" s="45" t="e">
        <f>#REF!</f>
        <v>#REF!</v>
      </c>
      <c r="AF593" s="45" t="e">
        <f>#REF!</f>
        <v>#REF!</v>
      </c>
    </row>
    <row r="594" spans="1:32" ht="15" x14ac:dyDescent="0.35">
      <c r="A594" s="14" t="s">
        <v>670</v>
      </c>
      <c r="D594" s="45"/>
      <c r="F594" s="102">
        <f t="shared" ref="F594:AF594" si="460">(F517*$E$387)/F416</f>
        <v>2.2431989696576013</v>
      </c>
      <c r="G594" s="102">
        <f t="shared" ref="G594:H594" si="461">(G517*$E$387)/G416</f>
        <v>2.2431989696576013</v>
      </c>
      <c r="H594" s="102">
        <f t="shared" si="461"/>
        <v>2.3001359060483737</v>
      </c>
      <c r="I594" s="102">
        <f t="shared" ref="I594:J594" si="462">(I517*$E$387)/I416</f>
        <v>2.346516205016512</v>
      </c>
      <c r="J594" s="102">
        <f t="shared" si="462"/>
        <v>2.4296936425265097</v>
      </c>
      <c r="K594" s="102">
        <f t="shared" ref="K594:M594" si="463">(K517*$E$387)/K416</f>
        <v>8.2584974864103255</v>
      </c>
      <c r="L594" s="102">
        <f t="shared" si="463"/>
        <v>15.437283617599475</v>
      </c>
      <c r="M594" s="102">
        <f t="shared" si="463"/>
        <v>17.542393613555877</v>
      </c>
      <c r="N594" s="102">
        <f t="shared" ref="N594" si="464">(N517*$E$387)/N416</f>
        <v>85.799268242927468</v>
      </c>
      <c r="O594" s="102">
        <f t="shared" ref="O594" si="465">(O517*$E$387)/O416</f>
        <v>1.3249541881649536</v>
      </c>
      <c r="Q594" s="102" t="e">
        <f t="shared" si="460"/>
        <v>#DIV/0!</v>
      </c>
      <c r="R594" s="102" t="e">
        <f t="shared" si="460"/>
        <v>#DIV/0!</v>
      </c>
      <c r="S594" s="102" t="e">
        <f t="shared" si="460"/>
        <v>#DIV/0!</v>
      </c>
      <c r="T594" s="102" t="e">
        <f t="shared" si="460"/>
        <v>#DIV/0!</v>
      </c>
      <c r="U594" s="102" t="e">
        <f t="shared" si="460"/>
        <v>#DIV/0!</v>
      </c>
      <c r="V594" s="102" t="e">
        <f t="shared" si="460"/>
        <v>#DIV/0!</v>
      </c>
      <c r="W594" s="102" t="e">
        <f t="shared" si="460"/>
        <v>#DIV/0!</v>
      </c>
      <c r="X594" s="102" t="e">
        <f t="shared" si="460"/>
        <v>#DIV/0!</v>
      </c>
      <c r="Y594" s="102" t="e">
        <f t="shared" si="460"/>
        <v>#DIV/0!</v>
      </c>
      <c r="Z594" s="102" t="e">
        <f t="shared" si="460"/>
        <v>#DIV/0!</v>
      </c>
      <c r="AA594" s="102" t="e">
        <f t="shared" si="460"/>
        <v>#DIV/0!</v>
      </c>
      <c r="AB594" s="102" t="e">
        <f t="shared" si="460"/>
        <v>#DIV/0!</v>
      </c>
      <c r="AC594" s="102" t="e">
        <f t="shared" si="460"/>
        <v>#DIV/0!</v>
      </c>
      <c r="AD594" s="102" t="e">
        <f t="shared" si="460"/>
        <v>#DIV/0!</v>
      </c>
      <c r="AE594" s="102" t="e">
        <f t="shared" si="460"/>
        <v>#DIV/0!</v>
      </c>
      <c r="AF594" s="102" t="e">
        <f t="shared" si="460"/>
        <v>#DIV/0!</v>
      </c>
    </row>
    <row r="595" spans="1:32" x14ac:dyDescent="0.2">
      <c r="B595" s="14" t="s">
        <v>671</v>
      </c>
      <c r="F595" s="45">
        <f t="shared" ref="F595:AF595" si="466">F593+F594</f>
        <v>21.85322363565616</v>
      </c>
      <c r="G595" s="45">
        <f t="shared" ref="G595:H595" si="467">G593+G594</f>
        <v>21.561960618068959</v>
      </c>
      <c r="H595" s="45">
        <f t="shared" si="467"/>
        <v>21.448034314709112</v>
      </c>
      <c r="I595" s="45">
        <f t="shared" ref="I595:J595" si="468">I593+I594</f>
        <v>22.800609517973712</v>
      </c>
      <c r="J595" s="45">
        <f t="shared" si="468"/>
        <v>23.143969039774777</v>
      </c>
      <c r="K595" s="45">
        <f t="shared" ref="K595:M595" si="469">K593+K594</f>
        <v>86.341129187047898</v>
      </c>
      <c r="L595" s="45">
        <f t="shared" si="469"/>
        <v>612.28616649844014</v>
      </c>
      <c r="M595" s="45">
        <f t="shared" si="469"/>
        <v>102.11023107890433</v>
      </c>
      <c r="N595" s="45">
        <f t="shared" ref="N595" si="470">N593+N594</f>
        <v>530.11184254043928</v>
      </c>
      <c r="O595" s="45">
        <f t="shared" ref="O595" si="471">O593+O594</f>
        <v>15.607373163910633</v>
      </c>
      <c r="Q595" s="45" t="e">
        <f t="shared" si="466"/>
        <v>#DIV/0!</v>
      </c>
      <c r="R595" s="45" t="e">
        <f t="shared" si="466"/>
        <v>#DIV/0!</v>
      </c>
      <c r="S595" s="45" t="e">
        <f t="shared" si="466"/>
        <v>#DIV/0!</v>
      </c>
      <c r="T595" s="45" t="e">
        <f t="shared" si="466"/>
        <v>#REF!</v>
      </c>
      <c r="U595" s="45" t="e">
        <f t="shared" si="466"/>
        <v>#REF!</v>
      </c>
      <c r="V595" s="45" t="e">
        <f t="shared" si="466"/>
        <v>#REF!</v>
      </c>
      <c r="W595" s="45" t="e">
        <f t="shared" si="466"/>
        <v>#REF!</v>
      </c>
      <c r="X595" s="45" t="e">
        <f t="shared" si="466"/>
        <v>#REF!</v>
      </c>
      <c r="Y595" s="45" t="e">
        <f t="shared" si="466"/>
        <v>#REF!</v>
      </c>
      <c r="Z595" s="45" t="e">
        <f t="shared" si="466"/>
        <v>#REF!</v>
      </c>
      <c r="AA595" s="45" t="e">
        <f t="shared" si="466"/>
        <v>#REF!</v>
      </c>
      <c r="AB595" s="45" t="e">
        <f t="shared" si="466"/>
        <v>#REF!</v>
      </c>
      <c r="AC595" s="45" t="e">
        <f t="shared" si="466"/>
        <v>#REF!</v>
      </c>
      <c r="AD595" s="45" t="e">
        <f t="shared" si="466"/>
        <v>#REF!</v>
      </c>
      <c r="AE595" s="45" t="e">
        <f t="shared" si="466"/>
        <v>#REF!</v>
      </c>
      <c r="AF595" s="45" t="e">
        <f t="shared" si="466"/>
        <v>#REF!</v>
      </c>
    </row>
    <row r="600" spans="1:32" x14ac:dyDescent="0.2">
      <c r="A600" s="25" t="s">
        <v>697</v>
      </c>
      <c r="C600" s="199">
        <f>C521</f>
        <v>3.483804326651558E-2</v>
      </c>
      <c r="F600" s="67">
        <f>$C$521</f>
        <v>3.483804326651558E-2</v>
      </c>
      <c r="G600" s="67">
        <f>$C$521</f>
        <v>3.483804326651558E-2</v>
      </c>
      <c r="H600" s="67">
        <f>$C$521</f>
        <v>3.483804326651558E-2</v>
      </c>
      <c r="I600" s="67">
        <f t="shared" ref="I600:S600" si="472">$C$521</f>
        <v>3.483804326651558E-2</v>
      </c>
      <c r="J600" s="67">
        <f>$C$521</f>
        <v>3.483804326651558E-2</v>
      </c>
      <c r="K600" s="67">
        <f t="shared" si="472"/>
        <v>3.483804326651558E-2</v>
      </c>
      <c r="L600" s="67">
        <f t="shared" si="472"/>
        <v>3.483804326651558E-2</v>
      </c>
      <c r="M600" s="67">
        <f t="shared" si="472"/>
        <v>3.483804326651558E-2</v>
      </c>
      <c r="N600" s="67">
        <f t="shared" si="472"/>
        <v>3.483804326651558E-2</v>
      </c>
      <c r="O600" s="67">
        <f t="shared" si="472"/>
        <v>3.483804326651558E-2</v>
      </c>
      <c r="Q600" s="67">
        <f t="shared" si="472"/>
        <v>3.483804326651558E-2</v>
      </c>
      <c r="R600" s="67">
        <f t="shared" si="472"/>
        <v>3.483804326651558E-2</v>
      </c>
      <c r="S600" s="67">
        <f t="shared" si="472"/>
        <v>3.483804326651558E-2</v>
      </c>
      <c r="T600" s="67">
        <v>0.2</v>
      </c>
      <c r="U600" s="67">
        <v>0.2</v>
      </c>
      <c r="V600" s="67">
        <v>0.08</v>
      </c>
      <c r="W600" s="67">
        <v>0.08</v>
      </c>
      <c r="X600" s="67">
        <v>0.2</v>
      </c>
      <c r="Y600" s="67">
        <v>0.08</v>
      </c>
      <c r="Z600" s="67">
        <v>0.08</v>
      </c>
      <c r="AA600" s="67">
        <v>0.08</v>
      </c>
      <c r="AB600" s="67">
        <v>0.08</v>
      </c>
      <c r="AC600" s="67">
        <v>0.08</v>
      </c>
      <c r="AD600" s="67">
        <v>0.08</v>
      </c>
      <c r="AE600" s="67">
        <v>0.08</v>
      </c>
      <c r="AF600" s="67">
        <v>0.08</v>
      </c>
    </row>
    <row r="601" spans="1:32" x14ac:dyDescent="0.2">
      <c r="A601" s="13"/>
    </row>
    <row r="602" spans="1:32" x14ac:dyDescent="0.2">
      <c r="A602" s="13" t="s">
        <v>761</v>
      </c>
    </row>
    <row r="603" spans="1:32" x14ac:dyDescent="0.2">
      <c r="A603" s="14" t="s">
        <v>998</v>
      </c>
      <c r="F603" s="187">
        <f t="shared" ref="F603:G603" si="473">F552</f>
        <v>2.8585711306823056E-2</v>
      </c>
      <c r="G603" s="187">
        <f t="shared" si="473"/>
        <v>2.8934428721376578E-2</v>
      </c>
      <c r="H603" s="187">
        <f t="shared" ref="H603" si="474">H552</f>
        <v>4.8126846921804287E-3</v>
      </c>
      <c r="I603" s="47">
        <f t="shared" ref="I603:J603" si="475">I552</f>
        <v>5.7295619100385258</v>
      </c>
      <c r="J603" s="187">
        <f t="shared" si="475"/>
        <v>4.8078549112906648E-3</v>
      </c>
      <c r="K603" s="47">
        <f t="shared" ref="K603:M603" si="476">K552</f>
        <v>6.8765038914221668</v>
      </c>
      <c r="L603" s="47">
        <f t="shared" si="476"/>
        <v>7.0570902220970684</v>
      </c>
      <c r="M603" s="47">
        <f t="shared" si="476"/>
        <v>8.9181950239101617</v>
      </c>
      <c r="N603" s="47">
        <f t="shared" ref="N603" si="477">N552</f>
        <v>9.6510170406004807</v>
      </c>
      <c r="O603" s="47">
        <f t="shared" ref="O603" si="478">O552</f>
        <v>7.1430698476405068</v>
      </c>
      <c r="Q603" s="187" t="e">
        <f t="shared" ref="Q603" si="479">Q552</f>
        <v>#DIV/0!</v>
      </c>
      <c r="R603" s="47" t="e">
        <f>R552</f>
        <v>#DIV/0!</v>
      </c>
      <c r="S603" s="187" t="e">
        <f t="shared" ref="S603:AF603" si="480">S577</f>
        <v>#DIV/0!</v>
      </c>
      <c r="T603" s="187">
        <f t="shared" si="480"/>
        <v>0</v>
      </c>
      <c r="U603" s="187" t="e">
        <f t="shared" si="480"/>
        <v>#DIV/0!</v>
      </c>
      <c r="V603" s="187" t="e">
        <f t="shared" si="480"/>
        <v>#DIV/0!</v>
      </c>
      <c r="W603" s="187" t="e">
        <f t="shared" si="480"/>
        <v>#DIV/0!</v>
      </c>
      <c r="X603" s="187" t="e">
        <f t="shared" si="480"/>
        <v>#DIV/0!</v>
      </c>
      <c r="Y603" s="187" t="e">
        <f t="shared" si="480"/>
        <v>#DIV/0!</v>
      </c>
      <c r="Z603" s="187">
        <f t="shared" si="480"/>
        <v>0</v>
      </c>
      <c r="AA603" s="187">
        <f t="shared" si="480"/>
        <v>0</v>
      </c>
      <c r="AB603" s="187">
        <f t="shared" si="480"/>
        <v>0</v>
      </c>
      <c r="AC603" s="187">
        <f t="shared" si="480"/>
        <v>0</v>
      </c>
      <c r="AD603" s="187">
        <f t="shared" si="480"/>
        <v>0</v>
      </c>
      <c r="AE603" s="187">
        <f t="shared" si="480"/>
        <v>0</v>
      </c>
      <c r="AF603" s="187" t="e">
        <f t="shared" si="480"/>
        <v>#REF!</v>
      </c>
    </row>
    <row r="604" spans="1:32" x14ac:dyDescent="0.2">
      <c r="A604" s="14" t="s">
        <v>999</v>
      </c>
      <c r="D604" s="187"/>
      <c r="F604" s="187">
        <f>(F513*$C$521)/F$413</f>
        <v>0</v>
      </c>
      <c r="G604" s="187">
        <f>(G513*$C$521)/G$413</f>
        <v>0</v>
      </c>
      <c r="H604" s="187">
        <f>(H513*$C$521)/H$413</f>
        <v>0</v>
      </c>
      <c r="I604" s="47">
        <f>(I513*$C$521)/I$428</f>
        <v>0</v>
      </c>
      <c r="J604" s="187">
        <f>(J513*$C$521)/J$413</f>
        <v>0</v>
      </c>
      <c r="K604" s="47">
        <f>(K513*$C$521)/K$428</f>
        <v>0</v>
      </c>
      <c r="L604" s="47">
        <f>(L513*$C$521)/L$428</f>
        <v>0</v>
      </c>
      <c r="M604" s="47">
        <f>(M513*$C$521)/M$428</f>
        <v>0</v>
      </c>
      <c r="N604" s="47">
        <f>(N513*$C$521)/N$428</f>
        <v>0</v>
      </c>
      <c r="O604" s="47">
        <f>(O513*$C$521)/O$428</f>
        <v>0</v>
      </c>
      <c r="Q604" s="187" t="e">
        <f>(Q513*$C$521)/Q$413</f>
        <v>#DIV/0!</v>
      </c>
      <c r="R604" s="47" t="e">
        <f>(R513*$C$521)/R$428</f>
        <v>#DIV/0!</v>
      </c>
      <c r="S604" s="187" t="e">
        <f t="shared" ref="S604:AF604" si="481">S578</f>
        <v>#DIV/0!</v>
      </c>
      <c r="T604" s="187" t="e">
        <f t="shared" si="481"/>
        <v>#DIV/0!</v>
      </c>
      <c r="U604" s="187" t="e">
        <f t="shared" si="481"/>
        <v>#DIV/0!</v>
      </c>
      <c r="V604" s="187" t="e">
        <f t="shared" si="481"/>
        <v>#DIV/0!</v>
      </c>
      <c r="W604" s="187" t="e">
        <f t="shared" si="481"/>
        <v>#DIV/0!</v>
      </c>
      <c r="X604" s="187" t="e">
        <f t="shared" si="481"/>
        <v>#DIV/0!</v>
      </c>
      <c r="Y604" s="187" t="e">
        <f t="shared" si="481"/>
        <v>#DIV/0!</v>
      </c>
      <c r="Z604" s="187" t="e">
        <f t="shared" si="481"/>
        <v>#DIV/0!</v>
      </c>
      <c r="AA604" s="187" t="e">
        <f t="shared" si="481"/>
        <v>#DIV/0!</v>
      </c>
      <c r="AB604" s="187" t="e">
        <f t="shared" si="481"/>
        <v>#DIV/0!</v>
      </c>
      <c r="AC604" s="187" t="e">
        <f t="shared" si="481"/>
        <v>#DIV/0!</v>
      </c>
      <c r="AD604" s="187" t="e">
        <f t="shared" si="481"/>
        <v>#DIV/0!</v>
      </c>
      <c r="AE604" s="187">
        <f t="shared" si="481"/>
        <v>0</v>
      </c>
      <c r="AF604" s="187" t="e">
        <f t="shared" si="481"/>
        <v>#REF!</v>
      </c>
    </row>
    <row r="605" spans="1:32" x14ac:dyDescent="0.2">
      <c r="A605" s="14" t="s">
        <v>895</v>
      </c>
      <c r="F605" s="187">
        <f t="shared" ref="F605:G605" si="482">F554</f>
        <v>6.3819258867286358E-2</v>
      </c>
      <c r="G605" s="187">
        <f t="shared" si="482"/>
        <v>6.3819258867286371E-2</v>
      </c>
      <c r="H605" s="187">
        <f t="shared" ref="H605" si="483">H554</f>
        <v>6.3819258867286371E-2</v>
      </c>
      <c r="I605" s="187">
        <f t="shared" ref="I605:J605" si="484">I554</f>
        <v>6.3819258867286358E-2</v>
      </c>
      <c r="J605" s="187">
        <f t="shared" si="484"/>
        <v>6.3819258867286371E-2</v>
      </c>
      <c r="K605" s="187">
        <f t="shared" ref="K605:M605" si="485">K554</f>
        <v>6.3819258867286358E-2</v>
      </c>
      <c r="L605" s="187">
        <f t="shared" si="485"/>
        <v>6.3819258867286358E-2</v>
      </c>
      <c r="M605" s="187">
        <f t="shared" si="485"/>
        <v>5.4983807064807606E-2</v>
      </c>
      <c r="N605" s="187">
        <f t="shared" ref="N605" si="486">N554</f>
        <v>5.261472324562453E-2</v>
      </c>
      <c r="O605" s="187">
        <f t="shared" ref="O605" si="487">O554</f>
        <v>5.105989670878211E-2</v>
      </c>
      <c r="Q605" s="187" t="e">
        <f t="shared" ref="Q605" si="488">Q554</f>
        <v>#DIV/0!</v>
      </c>
      <c r="R605" s="187" t="e">
        <f>R554</f>
        <v>#DIV/0!</v>
      </c>
      <c r="S605" s="187">
        <f>S585</f>
        <v>0</v>
      </c>
      <c r="T605" s="187" t="e">
        <f>#REF!</f>
        <v>#REF!</v>
      </c>
      <c r="U605" s="187" t="e">
        <f>#REF!</f>
        <v>#REF!</v>
      </c>
      <c r="V605" s="187" t="e">
        <f>#REF!</f>
        <v>#REF!</v>
      </c>
      <c r="W605" s="187" t="e">
        <f>#REF!</f>
        <v>#REF!</v>
      </c>
      <c r="X605" s="187" t="e">
        <f>#REF!</f>
        <v>#REF!</v>
      </c>
      <c r="Y605" s="187" t="e">
        <f>#REF!</f>
        <v>#REF!</v>
      </c>
      <c r="Z605" s="187" t="e">
        <f>#REF!</f>
        <v>#REF!</v>
      </c>
      <c r="AA605" s="187" t="e">
        <f>#REF!</f>
        <v>#REF!</v>
      </c>
      <c r="AB605" s="187" t="e">
        <f>#REF!</f>
        <v>#REF!</v>
      </c>
      <c r="AC605" s="187" t="e">
        <f>#REF!</f>
        <v>#REF!</v>
      </c>
      <c r="AD605" s="187" t="e">
        <f>#REF!</f>
        <v>#REF!</v>
      </c>
      <c r="AE605" s="187" t="e">
        <f>#REF!</f>
        <v>#REF!</v>
      </c>
      <c r="AF605" s="187" t="e">
        <f>#REF!</f>
        <v>#REF!</v>
      </c>
    </row>
    <row r="606" spans="1:32" x14ac:dyDescent="0.2">
      <c r="A606" s="14" t="s">
        <v>896</v>
      </c>
      <c r="D606" s="187"/>
      <c r="F606" s="187">
        <f t="shared" ref="F606:R606" si="489">(F514*$C$521)/F$413</f>
        <v>0</v>
      </c>
      <c r="G606" s="187">
        <f t="shared" ref="G606:H606" si="490">(G514*$C$521)/G$413</f>
        <v>0</v>
      </c>
      <c r="H606" s="187">
        <f t="shared" si="490"/>
        <v>0</v>
      </c>
      <c r="I606" s="187">
        <f t="shared" ref="I606:J606" si="491">(I514*$C$521)/I$413</f>
        <v>0</v>
      </c>
      <c r="J606" s="187">
        <f t="shared" si="491"/>
        <v>0</v>
      </c>
      <c r="K606" s="187">
        <f t="shared" ref="K606:M606" si="492">(K514*$C$521)/K$413</f>
        <v>0</v>
      </c>
      <c r="L606" s="187">
        <f t="shared" si="492"/>
        <v>0</v>
      </c>
      <c r="M606" s="187">
        <f t="shared" si="492"/>
        <v>0</v>
      </c>
      <c r="N606" s="187">
        <f t="shared" ref="N606" si="493">(N514*$C$521)/N$413</f>
        <v>0</v>
      </c>
      <c r="O606" s="187">
        <f t="shared" ref="O606" si="494">(O514*$C$521)/O$413</f>
        <v>0</v>
      </c>
      <c r="Q606" s="187" t="e">
        <f t="shared" si="489"/>
        <v>#DIV/0!</v>
      </c>
      <c r="R606" s="187" t="e">
        <f t="shared" si="489"/>
        <v>#DIV/0!</v>
      </c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</row>
    <row r="607" spans="1:32" x14ac:dyDescent="0.2"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</row>
    <row r="608" spans="1:32" x14ac:dyDescent="0.2">
      <c r="A608" s="13" t="s">
        <v>889</v>
      </c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</row>
    <row r="609" spans="1:37" x14ac:dyDescent="0.2">
      <c r="A609" s="14" t="s">
        <v>1000</v>
      </c>
      <c r="F609" s="187">
        <f t="shared" ref="F609:G609" si="495">F558</f>
        <v>0</v>
      </c>
      <c r="G609" s="187">
        <f t="shared" si="495"/>
        <v>0</v>
      </c>
      <c r="H609" s="187">
        <f t="shared" ref="H609" si="496">H558</f>
        <v>0</v>
      </c>
      <c r="I609" s="47">
        <f t="shared" ref="I609:J609" si="497">I558</f>
        <v>0</v>
      </c>
      <c r="J609" s="187">
        <f t="shared" si="497"/>
        <v>0</v>
      </c>
      <c r="K609" s="47">
        <f t="shared" ref="K609:M609" si="498">K558</f>
        <v>0</v>
      </c>
      <c r="L609" s="47">
        <f t="shared" si="498"/>
        <v>0</v>
      </c>
      <c r="M609" s="47">
        <f t="shared" si="498"/>
        <v>0</v>
      </c>
      <c r="N609" s="47">
        <f t="shared" ref="N609" si="499">N558</f>
        <v>0</v>
      </c>
      <c r="O609" s="47">
        <f t="shared" ref="O609" si="500">O558</f>
        <v>0</v>
      </c>
      <c r="Q609" s="187" t="e">
        <f t="shared" ref="Q609" si="501">Q558</f>
        <v>#DIV/0!</v>
      </c>
      <c r="R609" s="47" t="e">
        <f>R558</f>
        <v>#DIV/0!</v>
      </c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</row>
    <row r="610" spans="1:37" s="74" customFormat="1" ht="15" x14ac:dyDescent="0.35">
      <c r="A610" s="74" t="s">
        <v>1001</v>
      </c>
      <c r="D610" s="187"/>
      <c r="F610" s="198">
        <f>(F515*$C$521)/F$413</f>
        <v>0</v>
      </c>
      <c r="G610" s="198">
        <f>(G515*$C$521)/G$413</f>
        <v>0</v>
      </c>
      <c r="H610" s="198">
        <f>(H515*$C$521)/H$413</f>
        <v>0</v>
      </c>
      <c r="I610" s="102">
        <f>(I515*$C$521)/I$428</f>
        <v>0</v>
      </c>
      <c r="J610" s="198">
        <f>(J515*$C$521)/J$413</f>
        <v>0</v>
      </c>
      <c r="K610" s="102">
        <f>(K515*$C$521)/K$428</f>
        <v>0</v>
      </c>
      <c r="L610" s="102">
        <f>(L515*$C$521)/L$428</f>
        <v>0</v>
      </c>
      <c r="M610" s="102">
        <f>(M515*$C$521)/M$428</f>
        <v>0</v>
      </c>
      <c r="N610" s="102">
        <f>(N515*$C$521)/N$428</f>
        <v>0</v>
      </c>
      <c r="O610" s="102">
        <f>(O515*$C$521)/O$428</f>
        <v>0</v>
      </c>
      <c r="P610" s="14"/>
      <c r="Q610" s="198" t="e">
        <f>(Q515*$C$521)/Q$413</f>
        <v>#DIV/0!</v>
      </c>
      <c r="R610" s="102" t="e">
        <f>(R515*$C$521)/R$428</f>
        <v>#DIV/0!</v>
      </c>
      <c r="AK610" s="77"/>
    </row>
    <row r="611" spans="1:37" x14ac:dyDescent="0.2">
      <c r="B611" s="14" t="s">
        <v>1002</v>
      </c>
      <c r="F611" s="187">
        <f>F609+F610</f>
        <v>0</v>
      </c>
      <c r="G611" s="187">
        <f>G609+G610</f>
        <v>0</v>
      </c>
      <c r="H611" s="187">
        <f>H609+H610</f>
        <v>0</v>
      </c>
      <c r="I611" s="47">
        <f t="shared" ref="I611" si="502">I609+I610</f>
        <v>0</v>
      </c>
      <c r="J611" s="187">
        <f>J609+J610</f>
        <v>0</v>
      </c>
      <c r="K611" s="47">
        <f t="shared" ref="K611:M611" si="503">K609+K610</f>
        <v>0</v>
      </c>
      <c r="L611" s="47">
        <f t="shared" si="503"/>
        <v>0</v>
      </c>
      <c r="M611" s="47">
        <f t="shared" si="503"/>
        <v>0</v>
      </c>
      <c r="N611" s="47">
        <f t="shared" ref="N611" si="504">N609+N610</f>
        <v>0</v>
      </c>
      <c r="O611" s="47">
        <f t="shared" ref="O611" si="505">O609+O610</f>
        <v>0</v>
      </c>
      <c r="Q611" s="187" t="e">
        <f t="shared" ref="Q611:R611" si="506">Q609+Q610</f>
        <v>#DIV/0!</v>
      </c>
      <c r="R611" s="47" t="e">
        <f t="shared" si="506"/>
        <v>#DIV/0!</v>
      </c>
    </row>
    <row r="612" spans="1:37" x14ac:dyDescent="0.2">
      <c r="F612" s="187"/>
      <c r="G612" s="187"/>
      <c r="H612" s="187"/>
      <c r="I612" s="201"/>
      <c r="J612" s="187"/>
      <c r="K612" s="201"/>
      <c r="L612" s="201"/>
      <c r="M612" s="201"/>
      <c r="N612" s="201"/>
      <c r="O612" s="201"/>
      <c r="Q612" s="187"/>
      <c r="R612" s="187"/>
    </row>
    <row r="613" spans="1:37" x14ac:dyDescent="0.2">
      <c r="A613" s="13" t="s">
        <v>667</v>
      </c>
    </row>
    <row r="614" spans="1:37" x14ac:dyDescent="0.2">
      <c r="A614" s="14" t="s">
        <v>1003</v>
      </c>
      <c r="F614" s="187">
        <f>F563</f>
        <v>1.5646348808517813E-2</v>
      </c>
      <c r="G614" s="187">
        <f>G563</f>
        <v>1.5249369279526165E-2</v>
      </c>
      <c r="H614" s="187">
        <f>H563</f>
        <v>0.41796244625679579</v>
      </c>
      <c r="I614" s="47">
        <f t="shared" ref="I614" si="507">I588</f>
        <v>2.0990087861101761</v>
      </c>
      <c r="J614" s="187">
        <f>J563</f>
        <v>6.4359325857237484E-2</v>
      </c>
      <c r="K614" s="47">
        <f t="shared" ref="K614:M614" si="508">K588</f>
        <v>2.1866906197016478</v>
      </c>
      <c r="L614" s="47">
        <f t="shared" si="508"/>
        <v>2.5477686828023507</v>
      </c>
      <c r="M614" s="47">
        <f t="shared" si="508"/>
        <v>2.0388017359879793</v>
      </c>
      <c r="N614" s="47">
        <f t="shared" ref="N614" si="509">N588</f>
        <v>2.0389079270385042</v>
      </c>
      <c r="O614" s="47">
        <f t="shared" ref="O614" si="510">O588</f>
        <v>9.6905048047288823E-7</v>
      </c>
      <c r="Q614" s="187" t="e">
        <f t="shared" ref="Q614:AE614" si="511">Q588</f>
        <v>#DIV/0!</v>
      </c>
      <c r="R614" s="47" t="e">
        <f t="shared" si="511"/>
        <v>#DIV/0!</v>
      </c>
      <c r="S614" s="187" t="e">
        <f t="shared" si="511"/>
        <v>#DIV/0!</v>
      </c>
      <c r="T614" s="187" t="e">
        <f t="shared" si="511"/>
        <v>#REF!</v>
      </c>
      <c r="U614" s="187" t="e">
        <f t="shared" si="511"/>
        <v>#REF!</v>
      </c>
      <c r="V614" s="187" t="e">
        <f t="shared" si="511"/>
        <v>#REF!</v>
      </c>
      <c r="W614" s="187" t="e">
        <f t="shared" si="511"/>
        <v>#REF!</v>
      </c>
      <c r="X614" s="187" t="e">
        <f t="shared" si="511"/>
        <v>#REF!</v>
      </c>
      <c r="Y614" s="187" t="e">
        <f t="shared" si="511"/>
        <v>#REF!</v>
      </c>
      <c r="Z614" s="187" t="e">
        <f t="shared" si="511"/>
        <v>#REF!</v>
      </c>
      <c r="AA614" s="187" t="e">
        <f t="shared" si="511"/>
        <v>#REF!</v>
      </c>
      <c r="AB614" s="187" t="e">
        <f t="shared" si="511"/>
        <v>#REF!</v>
      </c>
      <c r="AC614" s="187" t="e">
        <f t="shared" si="511"/>
        <v>#REF!</v>
      </c>
      <c r="AD614" s="187" t="e">
        <f t="shared" si="511"/>
        <v>#REF!</v>
      </c>
      <c r="AE614" s="187" t="e">
        <f t="shared" si="511"/>
        <v>#REF!</v>
      </c>
      <c r="AF614" s="187">
        <f>AF536</f>
        <v>0</v>
      </c>
    </row>
    <row r="615" spans="1:37" ht="15" x14ac:dyDescent="0.35">
      <c r="A615" s="74" t="s">
        <v>1004</v>
      </c>
      <c r="D615" s="187"/>
      <c r="F615" s="198">
        <f>(F516*F600)/F413</f>
        <v>3.327612379498448E-3</v>
      </c>
      <c r="G615" s="198">
        <f>(G516*G600)/G413</f>
        <v>3.3235547502261939E-3</v>
      </c>
      <c r="H615" s="198">
        <f>(H516*H600)/H413</f>
        <v>8.9660482736237154E-2</v>
      </c>
      <c r="I615" s="102">
        <f>(I516*I600)/I428</f>
        <v>0.43914258717324389</v>
      </c>
      <c r="J615" s="198">
        <f>(J516*J600)/J413</f>
        <v>1.3764119340915868E-2</v>
      </c>
      <c r="K615" s="102">
        <f>(K516*K600)/K428</f>
        <v>0.44093447460921215</v>
      </c>
      <c r="L615" s="102">
        <f>(L516*L600)/L428</f>
        <v>0.44121660777923849</v>
      </c>
      <c r="M615" s="102">
        <f>(M516*M600)/M428</f>
        <v>0.44232012456211711</v>
      </c>
      <c r="N615" s="102">
        <f>(N516*N600)/N428</f>
        <v>0.44241768413966237</v>
      </c>
      <c r="O615" s="102">
        <f>(O516*O600)/O428</f>
        <v>0</v>
      </c>
      <c r="Q615" s="198" t="e">
        <f>(Q516*Q600)/Q413</f>
        <v>#DIV/0!</v>
      </c>
      <c r="R615" s="102" t="e">
        <f>(R516*R600)/R428</f>
        <v>#DIV/0!</v>
      </c>
      <c r="S615" s="198" t="e">
        <f t="shared" ref="S615:AF615" si="512">(S516*S600)/S413</f>
        <v>#DIV/0!</v>
      </c>
      <c r="T615" s="198" t="e">
        <f t="shared" si="512"/>
        <v>#DIV/0!</v>
      </c>
      <c r="U615" s="198" t="e">
        <f t="shared" si="512"/>
        <v>#DIV/0!</v>
      </c>
      <c r="V615" s="198" t="e">
        <f t="shared" si="512"/>
        <v>#DIV/0!</v>
      </c>
      <c r="W615" s="198" t="e">
        <f t="shared" si="512"/>
        <v>#DIV/0!</v>
      </c>
      <c r="X615" s="198" t="e">
        <f t="shared" si="512"/>
        <v>#DIV/0!</v>
      </c>
      <c r="Y615" s="198" t="e">
        <f t="shared" si="512"/>
        <v>#DIV/0!</v>
      </c>
      <c r="Z615" s="198" t="e">
        <f t="shared" si="512"/>
        <v>#DIV/0!</v>
      </c>
      <c r="AA615" s="198" t="e">
        <f t="shared" si="512"/>
        <v>#DIV/0!</v>
      </c>
      <c r="AB615" s="198" t="e">
        <f t="shared" si="512"/>
        <v>#DIV/0!</v>
      </c>
      <c r="AC615" s="198" t="e">
        <f t="shared" si="512"/>
        <v>#DIV/0!</v>
      </c>
      <c r="AD615" s="198" t="e">
        <f t="shared" si="512"/>
        <v>#DIV/0!</v>
      </c>
      <c r="AE615" s="198" t="e">
        <f t="shared" si="512"/>
        <v>#DIV/0!</v>
      </c>
      <c r="AF615" s="198" t="e">
        <f t="shared" si="512"/>
        <v>#DIV/0!</v>
      </c>
    </row>
    <row r="616" spans="1:37" x14ac:dyDescent="0.2">
      <c r="B616" s="14" t="s">
        <v>1005</v>
      </c>
      <c r="F616" s="187">
        <f t="shared" ref="F616:AF616" si="513">F614+F615</f>
        <v>1.897396118801626E-2</v>
      </c>
      <c r="G616" s="187">
        <f t="shared" ref="G616:H616" si="514">G614+G615</f>
        <v>1.8572924029752358E-2</v>
      </c>
      <c r="H616" s="187">
        <f t="shared" si="514"/>
        <v>0.50762292899303296</v>
      </c>
      <c r="I616" s="47">
        <f>I614+I615</f>
        <v>2.5381513732834198</v>
      </c>
      <c r="J616" s="187">
        <f t="shared" ref="J616" si="515">J614+J615</f>
        <v>7.8123445198153355E-2</v>
      </c>
      <c r="K616" s="47">
        <f>K614+K615</f>
        <v>2.6276250943108601</v>
      </c>
      <c r="L616" s="47">
        <f>L614+L615</f>
        <v>2.988985290581589</v>
      </c>
      <c r="M616" s="47">
        <f>M614+M615</f>
        <v>2.4811218605500964</v>
      </c>
      <c r="N616" s="47">
        <f>N614+N615</f>
        <v>2.4813256111781667</v>
      </c>
      <c r="O616" s="47">
        <f>O614+O615</f>
        <v>9.6905048047288823E-7</v>
      </c>
      <c r="Q616" s="187" t="e">
        <f t="shared" si="513"/>
        <v>#DIV/0!</v>
      </c>
      <c r="R616" s="47" t="e">
        <f>R614+R615</f>
        <v>#DIV/0!</v>
      </c>
      <c r="S616" s="187" t="e">
        <f t="shared" si="513"/>
        <v>#DIV/0!</v>
      </c>
      <c r="T616" s="187" t="e">
        <f t="shared" si="513"/>
        <v>#REF!</v>
      </c>
      <c r="U616" s="187" t="e">
        <f t="shared" si="513"/>
        <v>#REF!</v>
      </c>
      <c r="V616" s="187" t="e">
        <f t="shared" si="513"/>
        <v>#REF!</v>
      </c>
      <c r="W616" s="187" t="e">
        <f t="shared" si="513"/>
        <v>#REF!</v>
      </c>
      <c r="X616" s="187" t="e">
        <f t="shared" si="513"/>
        <v>#REF!</v>
      </c>
      <c r="Y616" s="187" t="e">
        <f t="shared" si="513"/>
        <v>#REF!</v>
      </c>
      <c r="Z616" s="187" t="e">
        <f t="shared" si="513"/>
        <v>#REF!</v>
      </c>
      <c r="AA616" s="187" t="e">
        <f t="shared" si="513"/>
        <v>#REF!</v>
      </c>
      <c r="AB616" s="187" t="e">
        <f t="shared" si="513"/>
        <v>#REF!</v>
      </c>
      <c r="AC616" s="187" t="e">
        <f t="shared" si="513"/>
        <v>#REF!</v>
      </c>
      <c r="AD616" s="187" t="e">
        <f t="shared" si="513"/>
        <v>#REF!</v>
      </c>
      <c r="AE616" s="187" t="e">
        <f t="shared" si="513"/>
        <v>#REF!</v>
      </c>
      <c r="AF616" s="187" t="e">
        <f t="shared" si="513"/>
        <v>#DIV/0!</v>
      </c>
    </row>
    <row r="618" spans="1:37" x14ac:dyDescent="0.2">
      <c r="A618" s="13" t="s">
        <v>668</v>
      </c>
    </row>
    <row r="619" spans="1:37" x14ac:dyDescent="0.2">
      <c r="A619" s="14" t="s">
        <v>669</v>
      </c>
      <c r="F619" s="45">
        <f t="shared" ref="F619:AE619" si="516">F593</f>
        <v>19.610024665998559</v>
      </c>
      <c r="G619" s="45">
        <f t="shared" ref="G619:H619" si="517">G593</f>
        <v>19.318761648411357</v>
      </c>
      <c r="H619" s="45">
        <f t="shared" si="517"/>
        <v>19.147898408660737</v>
      </c>
      <c r="I619" s="45">
        <f t="shared" ref="I619:J619" si="518">I593</f>
        <v>20.454093312957198</v>
      </c>
      <c r="J619" s="45">
        <f t="shared" si="518"/>
        <v>20.714275397248269</v>
      </c>
      <c r="K619" s="45">
        <f t="shared" ref="K619:M619" si="519">K593</f>
        <v>78.082631700637577</v>
      </c>
      <c r="L619" s="45">
        <f t="shared" si="519"/>
        <v>596.84888288084062</v>
      </c>
      <c r="M619" s="45">
        <f t="shared" si="519"/>
        <v>84.567837465348461</v>
      </c>
      <c r="N619" s="45">
        <f t="shared" ref="N619" si="520">N593</f>
        <v>444.31257429751184</v>
      </c>
      <c r="O619" s="45">
        <f t="shared" ref="O619" si="521">O593</f>
        <v>14.28241897574568</v>
      </c>
      <c r="Q619" s="45" t="e">
        <f t="shared" si="516"/>
        <v>#DIV/0!</v>
      </c>
      <c r="R619" s="45" t="e">
        <f t="shared" si="516"/>
        <v>#DIV/0!</v>
      </c>
      <c r="S619" s="45" t="e">
        <f t="shared" si="516"/>
        <v>#DIV/0!</v>
      </c>
      <c r="T619" s="45" t="e">
        <f t="shared" si="516"/>
        <v>#REF!</v>
      </c>
      <c r="U619" s="45" t="e">
        <f t="shared" si="516"/>
        <v>#REF!</v>
      </c>
      <c r="V619" s="45" t="e">
        <f t="shared" si="516"/>
        <v>#REF!</v>
      </c>
      <c r="W619" s="45" t="e">
        <f t="shared" si="516"/>
        <v>#REF!</v>
      </c>
      <c r="X619" s="45" t="e">
        <f t="shared" si="516"/>
        <v>#REF!</v>
      </c>
      <c r="Y619" s="45" t="e">
        <f t="shared" si="516"/>
        <v>#REF!</v>
      </c>
      <c r="Z619" s="45" t="e">
        <f t="shared" si="516"/>
        <v>#REF!</v>
      </c>
      <c r="AA619" s="45" t="e">
        <f t="shared" si="516"/>
        <v>#REF!</v>
      </c>
      <c r="AB619" s="45" t="e">
        <f t="shared" si="516"/>
        <v>#REF!</v>
      </c>
      <c r="AC619" s="45" t="e">
        <f t="shared" si="516"/>
        <v>#REF!</v>
      </c>
      <c r="AD619" s="45" t="e">
        <f t="shared" si="516"/>
        <v>#REF!</v>
      </c>
      <c r="AE619" s="45" t="e">
        <f t="shared" si="516"/>
        <v>#REF!</v>
      </c>
      <c r="AF619" s="45">
        <f>AF537</f>
        <v>0</v>
      </c>
    </row>
    <row r="620" spans="1:37" ht="15" x14ac:dyDescent="0.35">
      <c r="A620" s="14" t="s">
        <v>670</v>
      </c>
      <c r="D620" s="47"/>
      <c r="F620" s="102">
        <f t="shared" ref="F620:AF620" si="522">(F517*F$600)/F416</f>
        <v>4.0040001623681531</v>
      </c>
      <c r="G620" s="102">
        <f t="shared" ref="G620:H620" si="523">(G517*G$600)/G416</f>
        <v>4.0040001623681523</v>
      </c>
      <c r="H620" s="102">
        <f t="shared" si="523"/>
        <v>4.1056298018415491</v>
      </c>
      <c r="I620" s="102">
        <f t="shared" ref="I620:J620" si="524">(I517*I$600)/I416</f>
        <v>4.1884163611753644</v>
      </c>
      <c r="J620" s="102">
        <f t="shared" si="524"/>
        <v>4.3368840084060647</v>
      </c>
      <c r="K620" s="102">
        <f t="shared" ref="K620:M620" si="525">(K517*K$600)/K416</f>
        <v>14.741013046003328</v>
      </c>
      <c r="L620" s="102">
        <f t="shared" si="525"/>
        <v>27.554794268127829</v>
      </c>
      <c r="M620" s="102">
        <f t="shared" si="525"/>
        <v>31.312312383829717</v>
      </c>
      <c r="N620" s="102">
        <f t="shared" ref="N620" si="526">(N517*N$600)/N416</f>
        <v>153.14748652376022</v>
      </c>
      <c r="O620" s="102">
        <f t="shared" ref="O620" si="527">(O517*O$600)/O416</f>
        <v>2.3649782548503056</v>
      </c>
      <c r="Q620" s="102" t="e">
        <f t="shared" si="522"/>
        <v>#DIV/0!</v>
      </c>
      <c r="R620" s="102" t="e">
        <f t="shared" si="522"/>
        <v>#DIV/0!</v>
      </c>
      <c r="S620" s="102" t="e">
        <f t="shared" si="522"/>
        <v>#DIV/0!</v>
      </c>
      <c r="T620" s="102" t="e">
        <f t="shared" si="522"/>
        <v>#DIV/0!</v>
      </c>
      <c r="U620" s="102" t="e">
        <f t="shared" si="522"/>
        <v>#DIV/0!</v>
      </c>
      <c r="V620" s="102" t="e">
        <f t="shared" si="522"/>
        <v>#DIV/0!</v>
      </c>
      <c r="W620" s="102" t="e">
        <f t="shared" si="522"/>
        <v>#DIV/0!</v>
      </c>
      <c r="X620" s="102" t="e">
        <f t="shared" si="522"/>
        <v>#DIV/0!</v>
      </c>
      <c r="Y620" s="102" t="e">
        <f t="shared" si="522"/>
        <v>#DIV/0!</v>
      </c>
      <c r="Z620" s="102" t="e">
        <f t="shared" si="522"/>
        <v>#DIV/0!</v>
      </c>
      <c r="AA620" s="102" t="e">
        <f t="shared" si="522"/>
        <v>#DIV/0!</v>
      </c>
      <c r="AB620" s="102" t="e">
        <f t="shared" si="522"/>
        <v>#DIV/0!</v>
      </c>
      <c r="AC620" s="102" t="e">
        <f t="shared" si="522"/>
        <v>#DIV/0!</v>
      </c>
      <c r="AD620" s="102" t="e">
        <f t="shared" si="522"/>
        <v>#DIV/0!</v>
      </c>
      <c r="AE620" s="102" t="e">
        <f t="shared" si="522"/>
        <v>#DIV/0!</v>
      </c>
      <c r="AF620" s="102" t="e">
        <f t="shared" si="522"/>
        <v>#DIV/0!</v>
      </c>
    </row>
    <row r="621" spans="1:37" x14ac:dyDescent="0.2">
      <c r="B621" s="14" t="s">
        <v>671</v>
      </c>
      <c r="F621" s="45">
        <f t="shared" ref="F621:AF621" si="528">F619+F620</f>
        <v>23.614024828366713</v>
      </c>
      <c r="G621" s="45">
        <f t="shared" ref="G621:H621" si="529">G619+G620</f>
        <v>23.322761810779511</v>
      </c>
      <c r="H621" s="45">
        <f t="shared" si="529"/>
        <v>23.253528210502285</v>
      </c>
      <c r="I621" s="45">
        <f t="shared" ref="I621:J621" si="530">I619+I620</f>
        <v>24.642509674132562</v>
      </c>
      <c r="J621" s="45">
        <f t="shared" si="530"/>
        <v>25.051159405654332</v>
      </c>
      <c r="K621" s="45">
        <f t="shared" ref="K621:M621" si="531">K619+K620</f>
        <v>92.823644746640909</v>
      </c>
      <c r="L621" s="45">
        <f t="shared" si="531"/>
        <v>624.40367714896843</v>
      </c>
      <c r="M621" s="45">
        <f t="shared" si="531"/>
        <v>115.88014984917818</v>
      </c>
      <c r="N621" s="45">
        <f t="shared" ref="N621" si="532">N619+N620</f>
        <v>597.46006082127201</v>
      </c>
      <c r="O621" s="45">
        <f t="shared" ref="O621" si="533">O619+O620</f>
        <v>16.647397230595985</v>
      </c>
      <c r="Q621" s="45" t="e">
        <f t="shared" si="528"/>
        <v>#DIV/0!</v>
      </c>
      <c r="R621" s="45" t="e">
        <f t="shared" si="528"/>
        <v>#DIV/0!</v>
      </c>
      <c r="S621" s="45" t="e">
        <f t="shared" si="528"/>
        <v>#DIV/0!</v>
      </c>
      <c r="T621" s="45" t="e">
        <f t="shared" si="528"/>
        <v>#REF!</v>
      </c>
      <c r="U621" s="45" t="e">
        <f t="shared" si="528"/>
        <v>#REF!</v>
      </c>
      <c r="V621" s="45" t="e">
        <f t="shared" si="528"/>
        <v>#REF!</v>
      </c>
      <c r="W621" s="45" t="e">
        <f t="shared" si="528"/>
        <v>#REF!</v>
      </c>
      <c r="X621" s="45" t="e">
        <f t="shared" si="528"/>
        <v>#REF!</v>
      </c>
      <c r="Y621" s="45" t="e">
        <f t="shared" si="528"/>
        <v>#REF!</v>
      </c>
      <c r="Z621" s="45" t="e">
        <f t="shared" si="528"/>
        <v>#REF!</v>
      </c>
      <c r="AA621" s="45" t="e">
        <f t="shared" si="528"/>
        <v>#REF!</v>
      </c>
      <c r="AB621" s="45" t="e">
        <f t="shared" si="528"/>
        <v>#REF!</v>
      </c>
      <c r="AC621" s="45" t="e">
        <f t="shared" si="528"/>
        <v>#REF!</v>
      </c>
      <c r="AD621" s="45" t="e">
        <f t="shared" si="528"/>
        <v>#REF!</v>
      </c>
      <c r="AE621" s="45" t="e">
        <f t="shared" si="528"/>
        <v>#REF!</v>
      </c>
      <c r="AF621" s="45" t="e">
        <f t="shared" si="528"/>
        <v>#DIV/0!</v>
      </c>
    </row>
    <row r="622" spans="1:37" x14ac:dyDescent="0.2"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</row>
    <row r="625" spans="1:32" x14ac:dyDescent="0.2">
      <c r="A625" s="25" t="s">
        <v>873</v>
      </c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Q625" s="45"/>
      <c r="R625" s="45"/>
      <c r="S625" s="89"/>
    </row>
    <row r="627" spans="1:32" x14ac:dyDescent="0.2">
      <c r="A627" s="13" t="s">
        <v>874</v>
      </c>
      <c r="E627" s="46">
        <f>E330</f>
        <v>1.7656051230814967E-2</v>
      </c>
      <c r="F627" s="202">
        <f t="shared" ref="F627:G627" si="534">F387</f>
        <v>8.1100824466715914E-3</v>
      </c>
      <c r="G627" s="202">
        <f t="shared" si="534"/>
        <v>-1.761502821609939E-2</v>
      </c>
      <c r="H627" s="202">
        <f t="shared" ref="H627" si="535">H387</f>
        <v>-0.14379872973109795</v>
      </c>
      <c r="I627" s="202">
        <f t="shared" ref="I627:J627" si="536">I387</f>
        <v>0.3897864034424427</v>
      </c>
      <c r="J627" s="202">
        <f t="shared" si="536"/>
        <v>1.878564422426781E-2</v>
      </c>
      <c r="K627" s="202">
        <f t="shared" ref="K627:M627" si="537">K387</f>
        <v>0.24834731303770866</v>
      </c>
      <c r="L627" s="202">
        <f t="shared" si="537"/>
        <v>3.3949918680031145E-2</v>
      </c>
      <c r="M627" s="202">
        <f t="shared" si="537"/>
        <v>3.41910692995065E-2</v>
      </c>
      <c r="N627" s="202">
        <f t="shared" ref="N627" si="538">N387</f>
        <v>4.05386255472353E-2</v>
      </c>
      <c r="O627" s="202">
        <f t="shared" ref="O627" si="539">O387</f>
        <v>42.305306012307049</v>
      </c>
      <c r="Q627" s="202" t="e">
        <f t="shared" ref="Q627:R627" si="540">Q387</f>
        <v>#DIV/0!</v>
      </c>
      <c r="R627" s="202" t="e">
        <f t="shared" si="540"/>
        <v>#DIV/0!</v>
      </c>
      <c r="S627" s="202">
        <f>S315</f>
        <v>0</v>
      </c>
    </row>
    <row r="628" spans="1:32" x14ac:dyDescent="0.2"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S628" s="75"/>
    </row>
    <row r="629" spans="1:32" x14ac:dyDescent="0.2">
      <c r="B629" s="14" t="s">
        <v>875</v>
      </c>
      <c r="F629" s="203">
        <f t="shared" ref="F629:R629" si="541">F570</f>
        <v>20.542131305423489</v>
      </c>
      <c r="G629" s="203">
        <f t="shared" ref="G629:H629" si="542">G570</f>
        <v>17.29423417142841</v>
      </c>
      <c r="H629" s="203">
        <f t="shared" si="542"/>
        <v>2.2013567864910648</v>
      </c>
      <c r="I629" s="203">
        <f t="shared" ref="I629:J629" si="543">I570</f>
        <v>67.316304748097764</v>
      </c>
      <c r="J629" s="203">
        <f t="shared" si="543"/>
        <v>23.052844168191225</v>
      </c>
      <c r="K629" s="203">
        <f t="shared" ref="K629:M629" si="544">K570</f>
        <v>183.1657718018896</v>
      </c>
      <c r="L629" s="203">
        <f t="shared" si="544"/>
        <v>623.7012240841442</v>
      </c>
      <c r="M629" s="203">
        <f t="shared" si="544"/>
        <v>115.29865189292916</v>
      </c>
      <c r="N629" s="203">
        <f t="shared" ref="N629" si="545">N570</f>
        <v>622.51973025607117</v>
      </c>
      <c r="O629" s="203">
        <f t="shared" ref="O629" si="546">O570</f>
        <v>2886.1753097012634</v>
      </c>
      <c r="Q629" s="203" t="e">
        <f t="shared" si="541"/>
        <v>#DIV/0!</v>
      </c>
      <c r="R629" s="203" t="e">
        <f t="shared" si="541"/>
        <v>#DIV/0!</v>
      </c>
      <c r="S629" s="203">
        <f>S571</f>
        <v>0</v>
      </c>
    </row>
    <row r="630" spans="1:32" x14ac:dyDescent="0.2">
      <c r="B630" s="14" t="s">
        <v>760</v>
      </c>
      <c r="F630" s="204">
        <f>F552+F553+F554+F555+F560+F565</f>
        <v>0.10882596670155453</v>
      </c>
      <c r="G630" s="204">
        <f>G552+G553+G554+G555+G560+G565</f>
        <v>0.10632258043456418</v>
      </c>
      <c r="H630" s="204">
        <f>H552+H553+H554+H555+H560+H565</f>
        <v>0.11650863540364184</v>
      </c>
      <c r="I630" s="204">
        <f>I554+I555</f>
        <v>6.3819258867286358E-2</v>
      </c>
      <c r="J630" s="204">
        <f>J552+J553+J554+J555+J560+J565</f>
        <v>0.14040843653215945</v>
      </c>
      <c r="K630" s="204">
        <f>K554+K555</f>
        <v>6.3819258867286358E-2</v>
      </c>
      <c r="L630" s="204">
        <f>L554+L555</f>
        <v>6.3819258867286358E-2</v>
      </c>
      <c r="M630" s="204">
        <f>M554+M555</f>
        <v>5.4983807064807606E-2</v>
      </c>
      <c r="N630" s="204">
        <f>N554+N555</f>
        <v>5.261472324562453E-2</v>
      </c>
      <c r="O630" s="204">
        <f>O554+O555</f>
        <v>5.105989670878211E-2</v>
      </c>
      <c r="Q630" s="204" t="e">
        <f>Q552+Q553+Q554+Q555+Q560+Q565</f>
        <v>#DIV/0!</v>
      </c>
      <c r="R630" s="204" t="e">
        <f>R554+R555</f>
        <v>#DIV/0!</v>
      </c>
      <c r="S630" s="204" t="e">
        <f>S554+S559+S564+S565</f>
        <v>#DIV/0!</v>
      </c>
    </row>
    <row r="631" spans="1:32" x14ac:dyDescent="0.2">
      <c r="B631" s="14" t="s">
        <v>876</v>
      </c>
      <c r="F631" s="203">
        <v>0</v>
      </c>
      <c r="G631" s="203">
        <v>0</v>
      </c>
      <c r="H631" s="203">
        <v>0</v>
      </c>
      <c r="I631" s="203">
        <f>I552+I553+I560+I565</f>
        <v>12.741929587840218</v>
      </c>
      <c r="J631" s="203">
        <v>0</v>
      </c>
      <c r="K631" s="203">
        <f>K552+K553+K560+K565</f>
        <v>12.206450610703371</v>
      </c>
      <c r="L631" s="203">
        <f>L552+L553+L560+L565</f>
        <v>10.034827598599895</v>
      </c>
      <c r="M631" s="203">
        <f>M552+M553+M560+M565</f>
        <v>11.391102599763306</v>
      </c>
      <c r="N631" s="203">
        <f>N552+N553+N560+N565</f>
        <v>12.204735879825058</v>
      </c>
      <c r="O631" s="203">
        <f>O552+O553+O560+O565</f>
        <v>7.1430708166909875</v>
      </c>
      <c r="Q631" s="203">
        <v>0</v>
      </c>
      <c r="R631" s="203" t="e">
        <f>R552+R553+R560+R565</f>
        <v>#DIV/0!</v>
      </c>
      <c r="S631" s="203">
        <v>0</v>
      </c>
    </row>
    <row r="632" spans="1:32" x14ac:dyDescent="0.2"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32" x14ac:dyDescent="0.2">
      <c r="A633" s="13" t="s">
        <v>877</v>
      </c>
      <c r="E633" s="46">
        <f>E387</f>
        <v>1.9517647250572017E-2</v>
      </c>
      <c r="F633" s="202">
        <f>E633</f>
        <v>1.9517647250572017E-2</v>
      </c>
      <c r="G633" s="202">
        <f>F633</f>
        <v>1.9517647250572017E-2</v>
      </c>
      <c r="H633" s="202">
        <f>G633</f>
        <v>1.9517647250572017E-2</v>
      </c>
      <c r="I633" s="202">
        <f t="shared" ref="I633:O633" si="547">H633</f>
        <v>1.9517647250572017E-2</v>
      </c>
      <c r="J633" s="202">
        <f>I633</f>
        <v>1.9517647250572017E-2</v>
      </c>
      <c r="K633" s="202">
        <f t="shared" si="547"/>
        <v>1.9517647250572017E-2</v>
      </c>
      <c r="L633" s="202">
        <f t="shared" si="547"/>
        <v>1.9517647250572017E-2</v>
      </c>
      <c r="M633" s="202">
        <f t="shared" si="547"/>
        <v>1.9517647250572017E-2</v>
      </c>
      <c r="N633" s="202">
        <f t="shared" si="547"/>
        <v>1.9517647250572017E-2</v>
      </c>
      <c r="O633" s="202">
        <f t="shared" si="547"/>
        <v>1.9517647250572017E-2</v>
      </c>
      <c r="Q633" s="202">
        <f t="shared" ref="Q633:R633" si="548">P633</f>
        <v>0</v>
      </c>
      <c r="R633" s="202">
        <f t="shared" si="548"/>
        <v>0</v>
      </c>
      <c r="S633" s="202">
        <f>$E$385</f>
        <v>208265098.57324994</v>
      </c>
    </row>
    <row r="634" spans="1:32" x14ac:dyDescent="0.2"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Q634" s="202"/>
      <c r="R634" s="202"/>
      <c r="S634" s="202"/>
    </row>
    <row r="635" spans="1:32" x14ac:dyDescent="0.2">
      <c r="B635" s="14" t="s">
        <v>875</v>
      </c>
      <c r="F635" s="203">
        <f t="shared" ref="F635:G635" si="549">F595</f>
        <v>21.85322363565616</v>
      </c>
      <c r="G635" s="203">
        <f t="shared" si="549"/>
        <v>21.561960618068959</v>
      </c>
      <c r="H635" s="203">
        <f t="shared" ref="H635" si="550">H595</f>
        <v>21.448034314709112</v>
      </c>
      <c r="I635" s="203">
        <f t="shared" ref="I635:J635" si="551">I595</f>
        <v>22.800609517973712</v>
      </c>
      <c r="J635" s="203">
        <f t="shared" si="551"/>
        <v>23.143969039774777</v>
      </c>
      <c r="K635" s="203">
        <f t="shared" ref="K635:M635" si="552">K595</f>
        <v>86.341129187047898</v>
      </c>
      <c r="L635" s="203">
        <f t="shared" si="552"/>
        <v>612.28616649844014</v>
      </c>
      <c r="M635" s="203">
        <f t="shared" si="552"/>
        <v>102.11023107890433</v>
      </c>
      <c r="N635" s="203">
        <f t="shared" ref="N635" si="553">N595</f>
        <v>530.11184254043928</v>
      </c>
      <c r="O635" s="203">
        <f t="shared" ref="O635" si="554">O595</f>
        <v>15.607373163910633</v>
      </c>
      <c r="Q635" s="203" t="e">
        <f t="shared" ref="Q635:S635" si="555">Q595</f>
        <v>#DIV/0!</v>
      </c>
      <c r="R635" s="203" t="e">
        <f t="shared" si="555"/>
        <v>#DIV/0!</v>
      </c>
      <c r="S635" s="203" t="e">
        <f t="shared" si="555"/>
        <v>#DIV/0!</v>
      </c>
    </row>
    <row r="636" spans="1:32" x14ac:dyDescent="0.2">
      <c r="B636" s="14" t="s">
        <v>760</v>
      </c>
      <c r="F636" s="204">
        <f>F577+F578+F579+F580+F585+F590</f>
        <v>0.10991557881240105</v>
      </c>
      <c r="G636" s="204">
        <f>G577+G578+G579+G580+G585+G590</f>
        <v>0.10986504345384863</v>
      </c>
      <c r="H636" s="204">
        <f>H577+H578+H579+H580+H585+H590</f>
        <v>0.53682573205826067</v>
      </c>
      <c r="I636" s="204">
        <f>I579+I580</f>
        <v>6.3819258867286358E-2</v>
      </c>
      <c r="J636" s="204">
        <f>J577+J578+J579+J580+J585+J590</f>
        <v>0.14069764270068291</v>
      </c>
      <c r="K636" s="204">
        <f>K579+K580</f>
        <v>6.3819258867286358E-2</v>
      </c>
      <c r="L636" s="204">
        <f>L579+L580</f>
        <v>6.3819258867286358E-2</v>
      </c>
      <c r="M636" s="204">
        <f>M579+M580</f>
        <v>5.4983807064807606E-2</v>
      </c>
      <c r="N636" s="204">
        <f>N579+N580</f>
        <v>5.261472324562453E-2</v>
      </c>
      <c r="O636" s="204">
        <f>O579+O580</f>
        <v>5.105989670878211E-2</v>
      </c>
      <c r="Q636" s="204" t="e">
        <f>Q577+Q578+Q579+Q580+Q585+Q590</f>
        <v>#DIV/0!</v>
      </c>
      <c r="R636" s="204" t="e">
        <f>R579+R580</f>
        <v>#DIV/0!</v>
      </c>
      <c r="S636" s="204" t="e">
        <f>S577+S578+S588+S589</f>
        <v>#DIV/0!</v>
      </c>
    </row>
    <row r="637" spans="1:32" x14ac:dyDescent="0.2">
      <c r="B637" s="14" t="s">
        <v>876</v>
      </c>
      <c r="F637" s="203">
        <v>0</v>
      </c>
      <c r="G637" s="203">
        <v>0</v>
      </c>
      <c r="H637" s="203">
        <v>0</v>
      </c>
      <c r="I637" s="203">
        <f>I577+I578+I585+I590</f>
        <v>8.0745957109172259</v>
      </c>
      <c r="J637" s="203">
        <v>0</v>
      </c>
      <c r="K637" s="203">
        <f>K577+K578+K585+K590</f>
        <v>9.3102234119780292</v>
      </c>
      <c r="L637" s="203">
        <f>L577+L578+L585+L590</f>
        <v>9.8520458678941552</v>
      </c>
      <c r="M637" s="203">
        <f>M577+M578+M585+M590</f>
        <v>11.204801956561701</v>
      </c>
      <c r="N637" s="203">
        <f>N577+N578+N585+N590</f>
        <v>11.937784821029556</v>
      </c>
      <c r="O637" s="203">
        <f>O577+O578+O585+O590</f>
        <v>7.1430708166909875</v>
      </c>
      <c r="Q637" s="203">
        <v>0</v>
      </c>
      <c r="R637" s="203" t="e">
        <f>R577+R578+R585+R590</f>
        <v>#DIV/0!</v>
      </c>
      <c r="S637" s="203">
        <v>0</v>
      </c>
      <c r="AF637" s="14" t="s">
        <v>937</v>
      </c>
    </row>
    <row r="638" spans="1:32" x14ac:dyDescent="0.2"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Q638" s="26"/>
      <c r="R638" s="26"/>
      <c r="S638" s="26"/>
    </row>
    <row r="639" spans="1:32" x14ac:dyDescent="0.2">
      <c r="A639" s="13" t="s">
        <v>878</v>
      </c>
      <c r="E639" s="46">
        <f>C521</f>
        <v>3.483804326651558E-2</v>
      </c>
      <c r="F639" s="202">
        <f>E639</f>
        <v>3.483804326651558E-2</v>
      </c>
      <c r="G639" s="202">
        <f>F639</f>
        <v>3.483804326651558E-2</v>
      </c>
      <c r="H639" s="202">
        <f>G639</f>
        <v>3.483804326651558E-2</v>
      </c>
      <c r="I639" s="202">
        <f t="shared" ref="I639:O639" si="556">H639</f>
        <v>3.483804326651558E-2</v>
      </c>
      <c r="J639" s="202">
        <f>I639</f>
        <v>3.483804326651558E-2</v>
      </c>
      <c r="K639" s="202">
        <f t="shared" si="556"/>
        <v>3.483804326651558E-2</v>
      </c>
      <c r="L639" s="202">
        <f t="shared" si="556"/>
        <v>3.483804326651558E-2</v>
      </c>
      <c r="M639" s="202">
        <f t="shared" si="556"/>
        <v>3.483804326651558E-2</v>
      </c>
      <c r="N639" s="202">
        <f t="shared" si="556"/>
        <v>3.483804326651558E-2</v>
      </c>
      <c r="O639" s="202">
        <f t="shared" si="556"/>
        <v>3.483804326651558E-2</v>
      </c>
      <c r="Q639" s="202">
        <f t="shared" ref="Q639:R639" si="557">P639</f>
        <v>0</v>
      </c>
      <c r="R639" s="202">
        <f t="shared" si="557"/>
        <v>0</v>
      </c>
      <c r="S639" s="202">
        <f>$C$570</f>
        <v>0</v>
      </c>
    </row>
    <row r="640" spans="1:32" x14ac:dyDescent="0.2">
      <c r="A640" s="13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Q640" s="202"/>
      <c r="R640" s="202"/>
      <c r="S640" s="202"/>
    </row>
    <row r="641" spans="2:19" x14ac:dyDescent="0.2">
      <c r="B641" s="14" t="s">
        <v>875</v>
      </c>
      <c r="F641" s="203">
        <f>F621</f>
        <v>23.614024828366713</v>
      </c>
      <c r="G641" s="203">
        <f>G621</f>
        <v>23.322761810779511</v>
      </c>
      <c r="H641" s="203">
        <f>H621</f>
        <v>23.253528210502285</v>
      </c>
      <c r="I641" s="203">
        <f t="shared" ref="I641" si="558">I621</f>
        <v>24.642509674132562</v>
      </c>
      <c r="J641" s="203">
        <f>J621</f>
        <v>25.051159405654332</v>
      </c>
      <c r="K641" s="203">
        <f t="shared" ref="K641:M641" si="559">K621</f>
        <v>92.823644746640909</v>
      </c>
      <c r="L641" s="203">
        <f t="shared" si="559"/>
        <v>624.40367714896843</v>
      </c>
      <c r="M641" s="203">
        <f t="shared" si="559"/>
        <v>115.88014984917818</v>
      </c>
      <c r="N641" s="203">
        <f t="shared" ref="N641" si="560">N621</f>
        <v>597.46006082127201</v>
      </c>
      <c r="O641" s="203">
        <f t="shared" ref="O641" si="561">O621</f>
        <v>16.647397230595985</v>
      </c>
      <c r="Q641" s="203" t="e">
        <f t="shared" ref="Q641:R641" si="562">Q621</f>
        <v>#DIV/0!</v>
      </c>
      <c r="R641" s="203" t="e">
        <f t="shared" si="562"/>
        <v>#DIV/0!</v>
      </c>
      <c r="S641" s="203" t="e">
        <f>S621</f>
        <v>#DIV/0!</v>
      </c>
    </row>
    <row r="642" spans="2:19" x14ac:dyDescent="0.2">
      <c r="B642" s="14" t="s">
        <v>760</v>
      </c>
      <c r="F642" s="204">
        <f>F603+F604+F605+F606+F611+F616</f>
        <v>0.11137893136212568</v>
      </c>
      <c r="G642" s="204">
        <f>G603+G604+G605+G606+G611+G616</f>
        <v>0.11132661161841531</v>
      </c>
      <c r="H642" s="204">
        <f>H603+H604+H605+H606+H611+H616</f>
        <v>0.57625487255249974</v>
      </c>
      <c r="I642" s="204">
        <f>I605+I606</f>
        <v>6.3819258867286358E-2</v>
      </c>
      <c r="J642" s="204">
        <f>J603+J604+J605+J606+J611+J616</f>
        <v>0.14675055897673039</v>
      </c>
      <c r="K642" s="204">
        <f>K605+K606</f>
        <v>6.3819258867286358E-2</v>
      </c>
      <c r="L642" s="204">
        <f>L605+L606</f>
        <v>6.3819258867286358E-2</v>
      </c>
      <c r="M642" s="204">
        <f>M605+M606</f>
        <v>5.4983807064807606E-2</v>
      </c>
      <c r="N642" s="204">
        <f>N605+N606</f>
        <v>5.261472324562453E-2</v>
      </c>
      <c r="O642" s="204">
        <f>O605+O606</f>
        <v>5.105989670878211E-2</v>
      </c>
      <c r="Q642" s="204" t="e">
        <f t="shared" ref="Q642" si="563">Q603+Q604+Q605+Q606+Q611+Q616</f>
        <v>#DIV/0!</v>
      </c>
      <c r="R642" s="204" t="e">
        <f>R605+R606</f>
        <v>#DIV/0!</v>
      </c>
      <c r="S642" s="204" t="e">
        <f>S603+S604+S614+S615</f>
        <v>#DIV/0!</v>
      </c>
    </row>
    <row r="643" spans="2:19" x14ac:dyDescent="0.2">
      <c r="B643" s="14" t="s">
        <v>876</v>
      </c>
      <c r="F643" s="203">
        <v>0</v>
      </c>
      <c r="G643" s="203">
        <v>0</v>
      </c>
      <c r="H643" s="203">
        <v>0</v>
      </c>
      <c r="I643" s="203">
        <f>I603+I604+I611+I616</f>
        <v>8.267713283321946</v>
      </c>
      <c r="J643" s="203">
        <v>0</v>
      </c>
      <c r="K643" s="203">
        <f>K603+K604+K611+K616</f>
        <v>9.5041289857330273</v>
      </c>
      <c r="L643" s="203">
        <f>L603+L604+L611+L616</f>
        <v>10.046075512678657</v>
      </c>
      <c r="M643" s="203">
        <f>M603+M604+M611+M616</f>
        <v>11.399316884460259</v>
      </c>
      <c r="N643" s="203">
        <f>N603+N604+N611+N616</f>
        <v>12.132342651778647</v>
      </c>
      <c r="O643" s="203">
        <f>O603+O604+O611+O616</f>
        <v>7.1430708166909875</v>
      </c>
      <c r="Q643" s="203">
        <v>0</v>
      </c>
      <c r="R643" s="203" t="e">
        <f>R603+R604+R611+R616</f>
        <v>#DIV/0!</v>
      </c>
      <c r="S643" s="203">
        <v>0</v>
      </c>
    </row>
    <row r="644" spans="2:19" x14ac:dyDescent="0.2">
      <c r="B644" s="26"/>
    </row>
  </sheetData>
  <phoneticPr fontId="0" type="noConversion"/>
  <conditionalFormatting sqref="AH1">
    <cfRule type="cellIs" dxfId="4" priority="47" operator="equal">
      <formula>"err"</formula>
    </cfRule>
  </conditionalFormatting>
  <conditionalFormatting sqref="AH4:AH622">
    <cfRule type="containsText" dxfId="3" priority="1" operator="containsText" text="err">
      <formula>NOT(ISERROR(SEARCH("err",AH4)))</formula>
    </cfRule>
    <cfRule type="cellIs" dxfId="2" priority="2" operator="equal">
      <formula>"""err"""</formula>
    </cfRule>
  </conditionalFormatting>
  <conditionalFormatting sqref="AH343">
    <cfRule type="containsText" dxfId="1" priority="35" operator="containsText" text="err">
      <formula>NOT(ISERROR(SEARCH("err",AH343)))</formula>
    </cfRule>
    <cfRule type="cellIs" dxfId="0" priority="36" operator="equal">
      <formula>"""err"""</formula>
    </cfRule>
  </conditionalFormatting>
  <printOptions horizontalCentered="1"/>
  <pageMargins left="0.25" right="0.25" top="1.25" bottom="0.5" header="0.5" footer="0.2"/>
  <pageSetup scale="50" pageOrder="overThenDown" orientation="landscape" r:id="rId1"/>
  <headerFooter alignWithMargins="0">
    <oddHeader>&amp;C&amp;"Times New Roman,Bold"BLUE GRASS ENERGY
Cost of Service Study
Class Allocation
12 Months Ended December 31, 2024</oddHeader>
    <oddFooter>&amp;RExhibit JW-5
Page &amp;P of &amp;N</oddFooter>
  </headerFooter>
  <rowBreaks count="18" manualBreakCount="18">
    <brk id="42" max="15" man="1"/>
    <brk id="80" max="15" man="1"/>
    <brk id="118" max="15" man="1"/>
    <brk id="156" max="15" man="1"/>
    <brk id="194" max="15" man="1"/>
    <brk id="232" max="15" man="1"/>
    <brk id="270" max="15" man="1"/>
    <brk id="308" max="15" man="1"/>
    <brk id="332" max="15" man="1"/>
    <brk id="388" max="15" man="1"/>
    <brk id="428" max="15" man="1"/>
    <brk id="472" max="15" man="1"/>
    <brk id="491" max="15" man="1"/>
    <brk id="529" max="15" man="1"/>
    <brk id="547" max="15" man="1"/>
    <brk id="572" max="15" man="1"/>
    <brk id="598" max="15" man="1"/>
    <brk id="623" max="15" man="1"/>
  </rowBreaks>
  <colBreaks count="2" manualBreakCount="2">
    <brk id="19" max="568" man="1"/>
    <brk id="25" max="568" man="1"/>
  </colBreaks>
  <ignoredErrors>
    <ignoredError sqref="F436:M436 F457:M457 F443:M443 F464:M464 F578 F604 F490:K490 F483:J483 E450:M450 M483:P483 L490:M490 K483:L483 F471:K471 K407 I406:J406 F406:H406 AG372 E342 N406:O406 I533:I553 K534:O543 I564:J564 G578:O578 I589:J589 G604:O604 I614:I615 I630:I642 J533:J553 J630:J642 N490:P490 J614:J615 I361:P361 F361:G361 P419 N450 N457 N436:P449 N458:P464 O457:P457 N451:P456 O450:P450 L471:P471" formula="1"/>
    <ignoredError sqref="AG34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7"/>
  <sheetViews>
    <sheetView view="pageBreakPreview" topLeftCell="A99" zoomScale="75" zoomScaleNormal="75" zoomScaleSheetLayoutView="75" workbookViewId="0">
      <selection activeCell="K33" sqref="K33"/>
    </sheetView>
  </sheetViews>
  <sheetFormatPr defaultColWidth="9.140625" defaultRowHeight="12.75" x14ac:dyDescent="0.2"/>
  <cols>
    <col min="1" max="1" width="43.140625" style="14" customWidth="1"/>
    <col min="2" max="2" width="10.28515625" style="27" customWidth="1"/>
    <col min="3" max="3" width="12.5703125" style="14" bestFit="1" customWidth="1"/>
    <col min="4" max="4" width="14.85546875" style="14" customWidth="1"/>
    <col min="5" max="5" width="15.28515625" style="14" customWidth="1"/>
    <col min="6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2.7109375" style="14" customWidth="1"/>
    <col min="13" max="13" width="12.5703125" style="14" bestFit="1" customWidth="1"/>
    <col min="14" max="14" width="16" style="14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13.28515625" style="14" customWidth="1"/>
    <col min="22" max="22" width="15" style="14" bestFit="1" customWidth="1"/>
    <col min="23" max="23" width="16.7109375" style="14" bestFit="1" customWidth="1"/>
    <col min="24" max="24" width="13.140625" style="14" bestFit="1" customWidth="1"/>
    <col min="25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tr">
        <f>'Summary of Returns'!A1</f>
        <v>BLUE GRASS ENERGY</v>
      </c>
    </row>
    <row r="2" spans="1:27" x14ac:dyDescent="0.2">
      <c r="A2" s="14" t="s">
        <v>676</v>
      </c>
    </row>
    <row r="3" spans="1:27" x14ac:dyDescent="0.2">
      <c r="C3" s="103"/>
      <c r="D3" s="26"/>
      <c r="E3" s="26"/>
      <c r="F3" s="21" t="s">
        <v>721</v>
      </c>
      <c r="G3" s="21" t="s">
        <v>684</v>
      </c>
      <c r="H3" s="26"/>
      <c r="I3" s="26"/>
      <c r="J3" s="26"/>
      <c r="K3" s="26"/>
      <c r="M3" s="103"/>
      <c r="N3" s="26"/>
      <c r="O3" s="26"/>
      <c r="Q3" s="21"/>
      <c r="R3" s="21"/>
      <c r="U3" s="21"/>
      <c r="V3" s="21"/>
      <c r="W3" s="26"/>
      <c r="X3" s="26"/>
    </row>
    <row r="4" spans="1:27" x14ac:dyDescent="0.2">
      <c r="A4" s="27"/>
      <c r="C4" s="26"/>
      <c r="D4" s="26"/>
      <c r="E4" s="26"/>
      <c r="F4" s="21" t="s">
        <v>683</v>
      </c>
      <c r="G4" s="21" t="s">
        <v>683</v>
      </c>
      <c r="H4" s="21" t="s">
        <v>693</v>
      </c>
      <c r="I4" s="21" t="s">
        <v>684</v>
      </c>
      <c r="J4" s="21" t="s">
        <v>686</v>
      </c>
      <c r="K4" s="21" t="s">
        <v>687</v>
      </c>
      <c r="M4" s="26"/>
      <c r="N4" s="26"/>
      <c r="O4" s="26"/>
      <c r="P4" s="27"/>
      <c r="Q4" s="21"/>
      <c r="R4" s="21"/>
      <c r="T4" s="27"/>
      <c r="U4" s="21"/>
      <c r="V4" s="21"/>
      <c r="W4" s="21"/>
      <c r="X4" s="21"/>
    </row>
    <row r="5" spans="1:27" s="21" customFormat="1" x14ac:dyDescent="0.2">
      <c r="B5" s="57"/>
      <c r="C5" s="21" t="s">
        <v>580</v>
      </c>
      <c r="F5" s="21" t="s">
        <v>722</v>
      </c>
      <c r="G5" s="21" t="s">
        <v>12</v>
      </c>
      <c r="H5" s="21" t="s">
        <v>694</v>
      </c>
      <c r="I5" s="21" t="s">
        <v>643</v>
      </c>
      <c r="J5" s="21" t="s">
        <v>643</v>
      </c>
      <c r="K5" s="21" t="s">
        <v>643</v>
      </c>
      <c r="L5" s="14"/>
      <c r="M5" s="21" t="str">
        <f>C5</f>
        <v>Average</v>
      </c>
      <c r="O5" s="26" t="s">
        <v>901</v>
      </c>
      <c r="Q5" s="21" t="s">
        <v>901</v>
      </c>
    </row>
    <row r="6" spans="1:27" s="21" customFormat="1" x14ac:dyDescent="0.2">
      <c r="A6" s="205" t="s">
        <v>858</v>
      </c>
      <c r="B6" s="104" t="s">
        <v>866</v>
      </c>
      <c r="C6" s="20" t="s">
        <v>582</v>
      </c>
      <c r="D6" s="20" t="s">
        <v>935</v>
      </c>
      <c r="E6" s="20" t="s">
        <v>346</v>
      </c>
      <c r="F6" s="20" t="s">
        <v>10</v>
      </c>
      <c r="G6" s="20" t="s">
        <v>682</v>
      </c>
      <c r="H6" s="20" t="s">
        <v>695</v>
      </c>
      <c r="I6" s="20" t="s">
        <v>685</v>
      </c>
      <c r="J6" s="20" t="s">
        <v>685</v>
      </c>
      <c r="K6" s="20" t="s">
        <v>685</v>
      </c>
      <c r="L6" s="205" t="s">
        <v>858</v>
      </c>
      <c r="M6" s="20" t="str">
        <f t="shared" ref="M6:M25" si="0">C6</f>
        <v>Customers</v>
      </c>
      <c r="N6" s="20" t="str">
        <f t="shared" ref="N6:N14" si="1">D6</f>
        <v>kWh</v>
      </c>
      <c r="O6" s="20" t="s">
        <v>861</v>
      </c>
      <c r="P6" s="20" t="str">
        <f>E6</f>
        <v>Revenue</v>
      </c>
      <c r="Q6" s="20" t="s">
        <v>902</v>
      </c>
      <c r="U6" s="20"/>
      <c r="V6" s="20"/>
      <c r="W6" s="20"/>
      <c r="X6" s="20"/>
    </row>
    <row r="7" spans="1:27" x14ac:dyDescent="0.2">
      <c r="A7" s="27"/>
      <c r="C7" s="49"/>
      <c r="D7" s="49"/>
      <c r="E7" s="49"/>
      <c r="G7" s="49"/>
      <c r="H7" s="49"/>
      <c r="I7" s="49"/>
      <c r="J7" s="49"/>
      <c r="K7" s="49"/>
      <c r="L7" s="27"/>
      <c r="M7" s="49"/>
      <c r="N7" s="49"/>
      <c r="O7" s="49"/>
      <c r="P7" s="49"/>
      <c r="Q7" s="49"/>
    </row>
    <row r="8" spans="1:27" x14ac:dyDescent="0.2">
      <c r="A8" s="100" t="str">
        <f>'Summary of Returns'!B10</f>
        <v>Residential and Farm</v>
      </c>
      <c r="B8" s="217" t="str">
        <f>'Summary of Returns'!C10</f>
        <v>GS-1</v>
      </c>
      <c r="C8" s="105">
        <f>O39/12</f>
        <v>60373.142287506394</v>
      </c>
      <c r="D8" s="105">
        <f>O40</f>
        <v>842884819</v>
      </c>
      <c r="E8" s="107">
        <v>104312448.5</v>
      </c>
      <c r="F8" s="34">
        <f>O47</f>
        <v>6432374.2714378173</v>
      </c>
      <c r="G8" s="34">
        <f>P47</f>
        <v>816381.44014550268</v>
      </c>
      <c r="H8" s="106">
        <f>Q43</f>
        <v>393740.28713946161</v>
      </c>
      <c r="I8" s="105">
        <f>R45</f>
        <v>2299702.2269583596</v>
      </c>
      <c r="J8" s="105">
        <f>S45</f>
        <v>569939.36254343542</v>
      </c>
      <c r="K8" s="105">
        <f>T45</f>
        <v>1729762.8644149243</v>
      </c>
      <c r="L8" s="100" t="str">
        <f>B8</f>
        <v>GS-1</v>
      </c>
      <c r="M8" s="105">
        <f t="shared" si="0"/>
        <v>60373.142287506394</v>
      </c>
      <c r="N8" s="105">
        <f t="shared" si="1"/>
        <v>842884819</v>
      </c>
      <c r="O8" s="67">
        <f t="shared" ref="O8:O15" si="2">D8/$D$25</f>
        <v>0.60532606314421344</v>
      </c>
      <c r="P8" s="107">
        <f t="shared" ref="P8:P15" si="3">E8</f>
        <v>104312448.5</v>
      </c>
      <c r="Q8" s="67">
        <f t="shared" ref="Q8:Q15" si="4">E8/$E$25</f>
        <v>0.66835738063926231</v>
      </c>
      <c r="T8" s="217"/>
      <c r="U8" s="257"/>
      <c r="V8" s="257"/>
      <c r="W8" s="257"/>
      <c r="X8" s="257"/>
      <c r="Y8" s="21"/>
      <c r="Z8" s="21"/>
      <c r="AA8" s="21"/>
    </row>
    <row r="9" spans="1:27" x14ac:dyDescent="0.2">
      <c r="A9" s="100" t="str">
        <f>'Summary of Returns'!B11</f>
        <v>Residential and Farm Inclining Block</v>
      </c>
      <c r="B9" s="217" t="str">
        <f>'Summary of Returns'!C11</f>
        <v>GS-2</v>
      </c>
      <c r="C9" s="105">
        <f>O49/12</f>
        <v>117.41666666666667</v>
      </c>
      <c r="D9" s="105">
        <f>O50</f>
        <v>157760</v>
      </c>
      <c r="E9" s="107">
        <v>40621.12999999999</v>
      </c>
      <c r="F9" s="34">
        <f>O57</f>
        <v>1202.2386854980941</v>
      </c>
      <c r="G9" s="34">
        <f>P57</f>
        <v>145.19862604540026</v>
      </c>
      <c r="H9" s="106">
        <f>Q53</f>
        <v>72.104351710440397</v>
      </c>
      <c r="I9" s="105">
        <f>R55</f>
        <v>435.67855159021195</v>
      </c>
      <c r="J9" s="105">
        <f>S55</f>
        <v>112.65747305524619</v>
      </c>
      <c r="K9" s="105">
        <f>T55</f>
        <v>323.0210785349658</v>
      </c>
      <c r="L9" s="100" t="str">
        <f t="shared" ref="L9:L18" si="5">B9</f>
        <v>GS-2</v>
      </c>
      <c r="M9" s="105">
        <f t="shared" si="0"/>
        <v>117.41666666666667</v>
      </c>
      <c r="N9" s="105">
        <f t="shared" si="1"/>
        <v>157760</v>
      </c>
      <c r="O9" s="67">
        <f t="shared" si="2"/>
        <v>1.1329690316991118E-4</v>
      </c>
      <c r="P9" s="107">
        <f t="shared" si="3"/>
        <v>40621.12999999999</v>
      </c>
      <c r="Q9" s="67">
        <f t="shared" si="4"/>
        <v>2.6027029789648694E-4</v>
      </c>
      <c r="T9" s="217"/>
      <c r="U9" s="257"/>
      <c r="V9" s="257"/>
      <c r="W9" s="257"/>
      <c r="X9" s="257"/>
      <c r="Y9" s="21"/>
      <c r="Z9" s="21"/>
      <c r="AA9" s="21"/>
    </row>
    <row r="10" spans="1:27" x14ac:dyDescent="0.2">
      <c r="A10" s="100" t="str">
        <f>'Summary of Returns'!B12</f>
        <v>Residential and Farm Time-of-Day Rate</v>
      </c>
      <c r="B10" s="217" t="str">
        <f>'Summary of Returns'!C12</f>
        <v>GS-3</v>
      </c>
      <c r="C10" s="105">
        <f>O59/12</f>
        <v>19</v>
      </c>
      <c r="D10" s="105">
        <f>O60</f>
        <v>212575</v>
      </c>
      <c r="E10" s="107">
        <v>24871.39</v>
      </c>
      <c r="F10" s="34">
        <f>O67</f>
        <v>44301.183050179199</v>
      </c>
      <c r="G10" s="34">
        <f>P67</f>
        <v>4614.7359999999999</v>
      </c>
      <c r="H10" s="106">
        <f>Q63</f>
        <v>66.498015873015873</v>
      </c>
      <c r="I10" s="105">
        <f>R65</f>
        <v>97.645889870285004</v>
      </c>
      <c r="J10" s="105">
        <f>S65</f>
        <v>16.730227001194741</v>
      </c>
      <c r="K10" s="105">
        <f>T65</f>
        <v>80.915662869090255</v>
      </c>
      <c r="L10" s="100" t="str">
        <f t="shared" si="5"/>
        <v>GS-3</v>
      </c>
      <c r="M10" s="105">
        <f t="shared" si="0"/>
        <v>19</v>
      </c>
      <c r="N10" s="105">
        <f t="shared" si="1"/>
        <v>212575</v>
      </c>
      <c r="O10" s="67">
        <f t="shared" si="2"/>
        <v>1.5266283716622637E-4</v>
      </c>
      <c r="P10" s="107">
        <f t="shared" si="3"/>
        <v>24871.39</v>
      </c>
      <c r="Q10" s="67">
        <f t="shared" si="4"/>
        <v>1.593575581082975E-4</v>
      </c>
      <c r="T10" s="217"/>
      <c r="U10" s="257"/>
      <c r="V10" s="257"/>
      <c r="W10" s="257"/>
      <c r="X10" s="257"/>
      <c r="Y10" s="21"/>
      <c r="Z10" s="21"/>
      <c r="AA10" s="21"/>
    </row>
    <row r="11" spans="1:27" x14ac:dyDescent="0.2">
      <c r="A11" s="100" t="str">
        <f>'Summary of Returns'!B13</f>
        <v>General Service (0-100 KW)</v>
      </c>
      <c r="B11" s="217" t="str">
        <f>'Summary of Returns'!C13</f>
        <v>SC-1</v>
      </c>
      <c r="C11" s="105">
        <f>O69/12</f>
        <v>3037.1666666666665</v>
      </c>
      <c r="D11" s="105">
        <f>O70</f>
        <v>82360082</v>
      </c>
      <c r="E11" s="107">
        <v>11829985.08</v>
      </c>
      <c r="F11" s="34">
        <f>O77</f>
        <v>345635.37</v>
      </c>
      <c r="G11" s="34">
        <f>P77</f>
        <v>31080.967000000001</v>
      </c>
      <c r="H11" s="106">
        <f>Q73</f>
        <v>22363.351561907322</v>
      </c>
      <c r="I11" s="105">
        <f>R75</f>
        <v>189013.99690685957</v>
      </c>
      <c r="J11" s="105">
        <f>S75</f>
        <v>48107.314303443389</v>
      </c>
      <c r="K11" s="105">
        <f>T75</f>
        <v>140906.68260341618</v>
      </c>
      <c r="L11" s="100" t="str">
        <f t="shared" si="5"/>
        <v>SC-1</v>
      </c>
      <c r="M11" s="105">
        <f t="shared" si="0"/>
        <v>3037.1666666666665</v>
      </c>
      <c r="N11" s="105">
        <f t="shared" si="1"/>
        <v>82360082</v>
      </c>
      <c r="O11" s="67">
        <f t="shared" si="2"/>
        <v>5.9147706867519939E-2</v>
      </c>
      <c r="P11" s="107">
        <f t="shared" si="3"/>
        <v>11829985.08</v>
      </c>
      <c r="Q11" s="67">
        <f t="shared" si="4"/>
        <v>7.5797835778635317E-2</v>
      </c>
      <c r="T11" s="217"/>
      <c r="U11" s="257"/>
      <c r="V11" s="257"/>
      <c r="W11" s="257"/>
      <c r="X11" s="257"/>
      <c r="Y11" s="21"/>
      <c r="Z11" s="21"/>
      <c r="AA11" s="21"/>
    </row>
    <row r="12" spans="1:27" x14ac:dyDescent="0.2">
      <c r="A12" s="100" t="str">
        <f>'Summary of Returns'!B14</f>
        <v>General Service 0-100 KW Time of Day Rate</v>
      </c>
      <c r="B12" s="217" t="str">
        <f>'Summary of Returns'!C14</f>
        <v>SC-2</v>
      </c>
      <c r="C12" s="105">
        <f>O79/12</f>
        <v>48.666666666666664</v>
      </c>
      <c r="D12" s="105">
        <f>O80</f>
        <v>1396110</v>
      </c>
      <c r="E12" s="107">
        <v>204998.66000000003</v>
      </c>
      <c r="F12" s="34">
        <f>O87</f>
        <v>44644.656237070703</v>
      </c>
      <c r="G12" s="34">
        <f>P87</f>
        <v>4614.7359999999999</v>
      </c>
      <c r="H12" s="106">
        <f>Q83</f>
        <v>377.82936507936506</v>
      </c>
      <c r="I12" s="105">
        <f>R85</f>
        <v>640.65668416111953</v>
      </c>
      <c r="J12" s="105">
        <f>S85</f>
        <v>157.0046594982079</v>
      </c>
      <c r="K12" s="105">
        <f>T85</f>
        <v>483.65202466291163</v>
      </c>
      <c r="L12" s="100" t="str">
        <f t="shared" si="5"/>
        <v>SC-2</v>
      </c>
      <c r="M12" s="105">
        <f t="shared" si="0"/>
        <v>48.666666666666664</v>
      </c>
      <c r="N12" s="105">
        <f t="shared" si="1"/>
        <v>1396110</v>
      </c>
      <c r="O12" s="67">
        <f t="shared" si="2"/>
        <v>1.0026301945014243E-3</v>
      </c>
      <c r="P12" s="107">
        <f t="shared" si="3"/>
        <v>204998.66000000003</v>
      </c>
      <c r="Q12" s="67">
        <f t="shared" si="4"/>
        <v>1.3134805040278461E-3</v>
      </c>
      <c r="T12" s="217"/>
      <c r="U12" s="257"/>
      <c r="V12" s="257"/>
      <c r="W12" s="257"/>
      <c r="X12" s="257"/>
      <c r="Y12" s="21"/>
      <c r="Z12" s="21"/>
      <c r="AA12" s="21"/>
    </row>
    <row r="13" spans="1:27" x14ac:dyDescent="0.2">
      <c r="A13" s="100" t="str">
        <f>'Summary of Returns'!B15</f>
        <v>Large Power (101 - 500 kW)</v>
      </c>
      <c r="B13" s="217" t="str">
        <f>'Summary of Returns'!C15</f>
        <v>LP-1</v>
      </c>
      <c r="C13" s="105">
        <f>O89/12</f>
        <v>62.083333333333336</v>
      </c>
      <c r="D13" s="105">
        <f>O90</f>
        <v>36945673</v>
      </c>
      <c r="E13" s="107">
        <v>3845410.46</v>
      </c>
      <c r="F13" s="34">
        <f>O97</f>
        <v>110426.44600000001</v>
      </c>
      <c r="G13" s="34">
        <f>P97</f>
        <v>10047.460999999999</v>
      </c>
      <c r="H13" s="106">
        <f>Q93</f>
        <v>8407.7690895614833</v>
      </c>
      <c r="I13" s="105">
        <f>R95</f>
        <v>72476.157231583362</v>
      </c>
      <c r="J13" s="105">
        <f>S95</f>
        <v>17599.561696990342</v>
      </c>
      <c r="K13" s="105">
        <f>T95</f>
        <v>54876.59553459302</v>
      </c>
      <c r="L13" s="100" t="str">
        <f t="shared" si="5"/>
        <v>LP-1</v>
      </c>
      <c r="M13" s="105">
        <f t="shared" si="0"/>
        <v>62.083333333333336</v>
      </c>
      <c r="N13" s="105">
        <f t="shared" si="1"/>
        <v>36945673</v>
      </c>
      <c r="O13" s="67">
        <f t="shared" si="2"/>
        <v>2.653290020555402E-2</v>
      </c>
      <c r="P13" s="107">
        <f t="shared" si="3"/>
        <v>3845410.46</v>
      </c>
      <c r="Q13" s="67">
        <f t="shared" si="4"/>
        <v>2.4638559438362916E-2</v>
      </c>
      <c r="T13" s="217"/>
      <c r="U13" s="257"/>
      <c r="V13" s="257"/>
      <c r="W13" s="257"/>
      <c r="X13" s="257"/>
      <c r="Y13" s="21"/>
      <c r="Z13" s="21"/>
      <c r="AA13" s="21"/>
    </row>
    <row r="14" spans="1:27" x14ac:dyDescent="0.2">
      <c r="A14" s="100" t="str">
        <f>'Summary of Returns'!B16</f>
        <v>Large Power (over 500 kW)</v>
      </c>
      <c r="B14" s="217" t="str">
        <f>'Summary of Returns'!C16</f>
        <v>LP-2</v>
      </c>
      <c r="C14" s="105">
        <f>O99/12</f>
        <v>29.666666666666668</v>
      </c>
      <c r="D14" s="105">
        <f>O100</f>
        <v>119234589</v>
      </c>
      <c r="E14" s="107">
        <v>10652733.910000002</v>
      </c>
      <c r="F14" s="34">
        <f>O107</f>
        <v>305760.90500000003</v>
      </c>
      <c r="G14" s="34">
        <f>P107</f>
        <v>28504.214</v>
      </c>
      <c r="H14" s="106">
        <f>Q103</f>
        <v>23682.110331481814</v>
      </c>
      <c r="I14" s="105">
        <f>R105</f>
        <v>205950.09441084365</v>
      </c>
      <c r="J14" s="105">
        <f>S105</f>
        <v>51866.424789521625</v>
      </c>
      <c r="K14" s="105">
        <f>T105</f>
        <v>154083.66962132201</v>
      </c>
      <c r="L14" s="100" t="str">
        <f t="shared" si="5"/>
        <v>LP-2</v>
      </c>
      <c r="M14" s="105">
        <f t="shared" si="0"/>
        <v>29.666666666666668</v>
      </c>
      <c r="N14" s="105">
        <f t="shared" si="1"/>
        <v>119234589</v>
      </c>
      <c r="O14" s="67">
        <f t="shared" si="2"/>
        <v>8.5629498506827828E-2</v>
      </c>
      <c r="P14" s="107">
        <f t="shared" si="3"/>
        <v>10652733.910000002</v>
      </c>
      <c r="Q14" s="67">
        <f t="shared" si="4"/>
        <v>6.8254876911787263E-2</v>
      </c>
      <c r="T14" s="217"/>
      <c r="U14" s="257"/>
      <c r="V14" s="257"/>
      <c r="W14" s="257"/>
      <c r="X14" s="257"/>
      <c r="Y14" s="21"/>
      <c r="Z14" s="21"/>
      <c r="AA14" s="21"/>
    </row>
    <row r="15" spans="1:27" x14ac:dyDescent="0.2">
      <c r="A15" s="100" t="str">
        <f>'Summary of Returns'!B17</f>
        <v>Large Industrial (1,000 - 3,999 kW)</v>
      </c>
      <c r="B15" s="217" t="str">
        <f>'Summary of Returns'!C17</f>
        <v>B-1</v>
      </c>
      <c r="C15" s="105">
        <f>O109/12</f>
        <v>3</v>
      </c>
      <c r="D15" s="105">
        <f>O110</f>
        <v>69502841</v>
      </c>
      <c r="E15" s="107">
        <v>5523086.7700000005</v>
      </c>
      <c r="F15" s="34">
        <f>O117</f>
        <v>142782.39000000001</v>
      </c>
      <c r="G15" s="34">
        <f>P117</f>
        <v>29810.12</v>
      </c>
      <c r="H15" s="106">
        <f>Q113</f>
        <v>27291.887893372852</v>
      </c>
      <c r="I15" s="105">
        <f>R115</f>
        <v>105799.17850279964</v>
      </c>
      <c r="J15" s="105">
        <f>S115</f>
        <v>12063.248504001032</v>
      </c>
      <c r="K15" s="105">
        <f>T115</f>
        <v>93735.929998798601</v>
      </c>
      <c r="L15" s="100" t="str">
        <f t="shared" si="5"/>
        <v>B-1</v>
      </c>
      <c r="M15" s="105">
        <f t="shared" si="0"/>
        <v>3</v>
      </c>
      <c r="N15" s="105">
        <f t="shared" ref="N15:N25" si="6">D15</f>
        <v>69502841</v>
      </c>
      <c r="O15" s="67">
        <f t="shared" si="2"/>
        <v>4.9914152172988925E-2</v>
      </c>
      <c r="P15" s="107">
        <f t="shared" si="3"/>
        <v>5523086.7700000005</v>
      </c>
      <c r="Q15" s="67">
        <f t="shared" si="4"/>
        <v>3.5387874215612569E-2</v>
      </c>
      <c r="T15" s="217"/>
      <c r="U15" s="257"/>
      <c r="V15" s="257"/>
      <c r="W15" s="257"/>
      <c r="X15" s="257"/>
      <c r="Y15" s="21"/>
      <c r="Z15" s="21"/>
      <c r="AA15" s="21"/>
    </row>
    <row r="16" spans="1:27" x14ac:dyDescent="0.2">
      <c r="A16" s="100" t="str">
        <f>'Summary of Returns'!B18</f>
        <v>Large Industrial (over 4,000 kW)</v>
      </c>
      <c r="B16" s="217" t="str">
        <f>'Summary of Returns'!C18</f>
        <v>B-2</v>
      </c>
      <c r="C16" s="105">
        <f>O119/12</f>
        <v>3</v>
      </c>
      <c r="D16" s="105">
        <f>O120</f>
        <v>139574198</v>
      </c>
      <c r="E16" s="107">
        <v>10811543.060000001</v>
      </c>
      <c r="F16" s="34">
        <f>O127</f>
        <v>270925.66399999999</v>
      </c>
      <c r="G16" s="34">
        <f>P127</f>
        <v>23859.238000000001</v>
      </c>
      <c r="H16" s="106">
        <f>Q123</f>
        <v>22322.006998173263</v>
      </c>
      <c r="I16" s="105">
        <f>R125</f>
        <v>202365.78527905385</v>
      </c>
      <c r="J16" s="105">
        <f>S125</f>
        <v>52484.839803422605</v>
      </c>
      <c r="K16" s="105">
        <f>T125</f>
        <v>149880.94547563125</v>
      </c>
      <c r="L16" s="100" t="str">
        <f t="shared" si="5"/>
        <v>B-2</v>
      </c>
      <c r="M16" s="105">
        <f t="shared" ref="M16:M23" si="7">C16</f>
        <v>3</v>
      </c>
      <c r="N16" s="105">
        <f t="shared" ref="N16:N23" si="8">D16</f>
        <v>139574198</v>
      </c>
      <c r="O16" s="67">
        <f t="shared" ref="O16:O23" si="9">D16/$D$25</f>
        <v>0.10023658973012178</v>
      </c>
      <c r="P16" s="107">
        <f t="shared" ref="P16:P23" si="10">E16</f>
        <v>10811543.060000001</v>
      </c>
      <c r="Q16" s="67">
        <f t="shared" ref="Q16:Q23" si="11">E16/$E$25</f>
        <v>6.9272409038027657E-2</v>
      </c>
      <c r="T16" s="217"/>
      <c r="U16" s="257"/>
      <c r="V16" s="257"/>
      <c r="W16" s="257"/>
      <c r="X16" s="257"/>
      <c r="Y16" s="21"/>
      <c r="Z16" s="21"/>
      <c r="AA16" s="21"/>
    </row>
    <row r="17" spans="1:27" x14ac:dyDescent="0.2">
      <c r="A17" s="100" t="str">
        <f>'Summary of Returns'!B19</f>
        <v>Large Industrial Rate (15,000+ kW)</v>
      </c>
      <c r="B17" s="217" t="str">
        <f>'Summary of Returns'!C19</f>
        <v>G1</v>
      </c>
      <c r="C17" s="105">
        <f>O129/12</f>
        <v>1</v>
      </c>
      <c r="D17" s="105">
        <f>O130</f>
        <v>94772820</v>
      </c>
      <c r="E17" s="107">
        <v>6318330.3299999991</v>
      </c>
      <c r="F17" s="34">
        <f>O137</f>
        <v>190874.87999999998</v>
      </c>
      <c r="G17" s="34">
        <f>P137</f>
        <v>15999.84</v>
      </c>
      <c r="H17" s="106">
        <f>Q133</f>
        <v>15999.840000000002</v>
      </c>
      <c r="I17" s="105">
        <f>R135</f>
        <v>152699.90400000001</v>
      </c>
      <c r="J17" s="105">
        <f>S135</f>
        <v>38249.856000000007</v>
      </c>
      <c r="K17" s="105">
        <f>T135</f>
        <v>114450.04800000001</v>
      </c>
      <c r="L17" s="100" t="str">
        <f t="shared" si="5"/>
        <v>G1</v>
      </c>
      <c r="M17" s="105">
        <f t="shared" si="7"/>
        <v>1</v>
      </c>
      <c r="N17" s="105">
        <f t="shared" si="8"/>
        <v>94772820</v>
      </c>
      <c r="O17" s="67">
        <f t="shared" si="9"/>
        <v>6.8062037339499379E-2</v>
      </c>
      <c r="P17" s="107">
        <f t="shared" si="10"/>
        <v>6318330.3299999991</v>
      </c>
      <c r="Q17" s="67">
        <f t="shared" si="11"/>
        <v>4.0483209531529743E-2</v>
      </c>
      <c r="T17" s="217"/>
      <c r="U17" s="257"/>
      <c r="V17" s="257"/>
      <c r="W17" s="257"/>
      <c r="X17" s="257"/>
      <c r="Y17" s="21"/>
      <c r="Z17" s="21"/>
      <c r="AA17" s="21"/>
    </row>
    <row r="18" spans="1:27" x14ac:dyDescent="0.2">
      <c r="A18" s="100" t="str">
        <f>'Summary of Returns'!B20</f>
        <v>Lighting</v>
      </c>
      <c r="B18" s="217" t="str">
        <f>'Summary of Returns'!C20</f>
        <v>L</v>
      </c>
      <c r="C18" s="105">
        <f>O139/12</f>
        <v>15341.5</v>
      </c>
      <c r="D18" s="105">
        <f>O140</f>
        <v>5406125</v>
      </c>
      <c r="E18" s="107">
        <v>2508831.6100000916</v>
      </c>
      <c r="F18" s="34">
        <f>O147</f>
        <v>14824.048854326677</v>
      </c>
      <c r="G18" s="34">
        <f>P147</f>
        <v>1342.1696428571429</v>
      </c>
      <c r="H18" s="105">
        <f>Q143</f>
        <v>1342.1696428571429</v>
      </c>
      <c r="I18" s="105">
        <f>R145</f>
        <v>7344.121415770609</v>
      </c>
      <c r="J18" s="105">
        <f>S145</f>
        <v>0</v>
      </c>
      <c r="K18" s="105">
        <f>T145</f>
        <v>7344.121415770609</v>
      </c>
      <c r="L18" s="100" t="str">
        <f t="shared" si="5"/>
        <v>L</v>
      </c>
      <c r="M18" s="105">
        <f t="shared" si="7"/>
        <v>15341.5</v>
      </c>
      <c r="N18" s="105">
        <f t="shared" si="8"/>
        <v>5406125</v>
      </c>
      <c r="O18" s="67">
        <f t="shared" si="9"/>
        <v>3.882462098437095E-3</v>
      </c>
      <c r="P18" s="107">
        <f t="shared" si="10"/>
        <v>2508831.6100000916</v>
      </c>
      <c r="Q18" s="67">
        <f t="shared" si="11"/>
        <v>1.6074746086749601E-2</v>
      </c>
      <c r="T18" s="217"/>
      <c r="U18" s="257"/>
      <c r="V18" s="257"/>
      <c r="W18" s="257"/>
      <c r="X18" s="257"/>
      <c r="Y18" s="21"/>
      <c r="Z18" s="21"/>
      <c r="AA18" s="21"/>
    </row>
    <row r="19" spans="1:27" hidden="1" x14ac:dyDescent="0.2">
      <c r="A19" s="100">
        <f>'Summary of Returns'!B21</f>
        <v>0</v>
      </c>
      <c r="B19" s="217">
        <f>'Summary of Returns'!C21</f>
        <v>0</v>
      </c>
      <c r="C19" s="105">
        <v>0</v>
      </c>
      <c r="D19" s="105">
        <f>O150</f>
        <v>0</v>
      </c>
      <c r="E19" s="105">
        <v>0</v>
      </c>
      <c r="F19" s="34">
        <f>O157</f>
        <v>0</v>
      </c>
      <c r="G19" s="34">
        <f>P157</f>
        <v>0</v>
      </c>
      <c r="H19" s="34">
        <f>Q153</f>
        <v>0</v>
      </c>
      <c r="I19" s="105">
        <f>R155</f>
        <v>0</v>
      </c>
      <c r="J19" s="105">
        <f>S155</f>
        <v>0</v>
      </c>
      <c r="K19" s="105">
        <f>T155</f>
        <v>0</v>
      </c>
      <c r="L19" s="100">
        <f t="shared" ref="L19:L23" si="12">A19</f>
        <v>0</v>
      </c>
      <c r="M19" s="105">
        <f t="shared" si="7"/>
        <v>0</v>
      </c>
      <c r="N19" s="105">
        <f t="shared" si="8"/>
        <v>0</v>
      </c>
      <c r="O19" s="67">
        <f t="shared" si="9"/>
        <v>0</v>
      </c>
      <c r="P19" s="107">
        <f t="shared" si="10"/>
        <v>0</v>
      </c>
      <c r="Q19" s="67">
        <f t="shared" si="11"/>
        <v>0</v>
      </c>
      <c r="U19" s="257"/>
      <c r="V19" s="257"/>
      <c r="W19" s="257"/>
      <c r="X19" s="257"/>
      <c r="Y19" s="21"/>
      <c r="Z19" s="21"/>
      <c r="AA19" s="21"/>
    </row>
    <row r="20" spans="1:27" hidden="1" x14ac:dyDescent="0.2">
      <c r="A20" s="100">
        <f>'Summary of Returns'!B22</f>
        <v>0</v>
      </c>
      <c r="B20" s="217">
        <f>'Summary of Returns'!C22</f>
        <v>0</v>
      </c>
      <c r="C20" s="105">
        <v>0</v>
      </c>
      <c r="D20" s="105">
        <f>O160</f>
        <v>0</v>
      </c>
      <c r="E20" s="105">
        <v>0</v>
      </c>
      <c r="F20" s="34">
        <f>O167</f>
        <v>0</v>
      </c>
      <c r="G20" s="34">
        <f>P167</f>
        <v>0</v>
      </c>
      <c r="H20" s="106">
        <f>Q163</f>
        <v>0</v>
      </c>
      <c r="I20" s="105">
        <f>R165</f>
        <v>0</v>
      </c>
      <c r="J20" s="105">
        <f>S165</f>
        <v>0</v>
      </c>
      <c r="K20" s="105">
        <f>T165</f>
        <v>0</v>
      </c>
      <c r="L20" s="100">
        <f t="shared" si="12"/>
        <v>0</v>
      </c>
      <c r="M20" s="105">
        <f t="shared" si="7"/>
        <v>0</v>
      </c>
      <c r="N20" s="105">
        <f t="shared" si="8"/>
        <v>0</v>
      </c>
      <c r="O20" s="67">
        <f t="shared" si="9"/>
        <v>0</v>
      </c>
      <c r="P20" s="107">
        <f t="shared" si="10"/>
        <v>0</v>
      </c>
      <c r="Q20" s="67">
        <f t="shared" si="11"/>
        <v>0</v>
      </c>
      <c r="U20" s="257"/>
      <c r="V20" s="257"/>
      <c r="W20" s="257"/>
      <c r="X20" s="257"/>
      <c r="Y20" s="21"/>
      <c r="Z20" s="21"/>
      <c r="AA20" s="21"/>
    </row>
    <row r="21" spans="1:27" hidden="1" x14ac:dyDescent="0.2">
      <c r="A21" s="100">
        <f>'Summary of Returns'!B23</f>
        <v>0</v>
      </c>
      <c r="B21" s="217">
        <f>'Summary of Returns'!C23</f>
        <v>0</v>
      </c>
      <c r="C21" s="105">
        <v>0</v>
      </c>
      <c r="D21" s="105">
        <f>O170</f>
        <v>0</v>
      </c>
      <c r="E21" s="105"/>
      <c r="F21" s="34">
        <f>O177</f>
        <v>0</v>
      </c>
      <c r="G21" s="34">
        <f>P177</f>
        <v>0</v>
      </c>
      <c r="H21" s="106">
        <f>Q173</f>
        <v>0</v>
      </c>
      <c r="I21" s="105">
        <f>R175</f>
        <v>0</v>
      </c>
      <c r="J21" s="105">
        <f>S175</f>
        <v>0</v>
      </c>
      <c r="K21" s="105">
        <f>T175</f>
        <v>0</v>
      </c>
      <c r="L21" s="100">
        <f t="shared" si="12"/>
        <v>0</v>
      </c>
      <c r="M21" s="105">
        <f t="shared" si="7"/>
        <v>0</v>
      </c>
      <c r="N21" s="105">
        <f t="shared" si="8"/>
        <v>0</v>
      </c>
      <c r="O21" s="67">
        <f t="shared" si="9"/>
        <v>0</v>
      </c>
      <c r="P21" s="107">
        <f t="shared" si="10"/>
        <v>0</v>
      </c>
      <c r="Q21" s="67">
        <f t="shared" si="11"/>
        <v>0</v>
      </c>
      <c r="U21" s="257"/>
      <c r="V21" s="257"/>
      <c r="W21" s="257"/>
      <c r="X21" s="257"/>
      <c r="Y21" s="21"/>
      <c r="Z21" s="21"/>
      <c r="AA21" s="21"/>
    </row>
    <row r="22" spans="1:27" hidden="1" x14ac:dyDescent="0.2">
      <c r="A22" s="100">
        <f>'Summary of Returns'!B24</f>
        <v>0</v>
      </c>
      <c r="B22" s="217">
        <f>'Summary of Returns'!C24</f>
        <v>0</v>
      </c>
      <c r="C22" s="105">
        <v>0</v>
      </c>
      <c r="D22" s="105">
        <f>O180</f>
        <v>0</v>
      </c>
      <c r="E22" s="105"/>
      <c r="F22" s="34">
        <f>O187</f>
        <v>0</v>
      </c>
      <c r="G22" s="34">
        <f>P187</f>
        <v>0</v>
      </c>
      <c r="H22" s="106">
        <f>Q183</f>
        <v>0</v>
      </c>
      <c r="I22" s="105">
        <f>R185</f>
        <v>0</v>
      </c>
      <c r="J22" s="105">
        <f>S185</f>
        <v>0</v>
      </c>
      <c r="K22" s="105">
        <f>T185</f>
        <v>0</v>
      </c>
      <c r="L22" s="100">
        <f t="shared" si="12"/>
        <v>0</v>
      </c>
      <c r="M22" s="105">
        <f t="shared" si="7"/>
        <v>0</v>
      </c>
      <c r="N22" s="105">
        <f t="shared" si="8"/>
        <v>0</v>
      </c>
      <c r="O22" s="67">
        <f t="shared" si="9"/>
        <v>0</v>
      </c>
      <c r="P22" s="107">
        <f t="shared" si="10"/>
        <v>0</v>
      </c>
      <c r="Q22" s="67">
        <f t="shared" si="11"/>
        <v>0</v>
      </c>
      <c r="U22" s="257"/>
      <c r="V22" s="257"/>
      <c r="W22" s="257"/>
      <c r="X22" s="257"/>
      <c r="Y22" s="21"/>
      <c r="Z22" s="21"/>
      <c r="AA22" s="21"/>
    </row>
    <row r="23" spans="1:27" hidden="1" x14ac:dyDescent="0.2">
      <c r="A23" s="100">
        <f>'Summary of Returns'!B25</f>
        <v>0</v>
      </c>
      <c r="B23" s="217">
        <f>'Summary of Returns'!C25</f>
        <v>0</v>
      </c>
      <c r="C23" s="105">
        <v>0</v>
      </c>
      <c r="D23" s="105">
        <f>O190</f>
        <v>0</v>
      </c>
      <c r="E23" s="105"/>
      <c r="F23" s="34">
        <f>O197</f>
        <v>0</v>
      </c>
      <c r="G23" s="34">
        <f>P197</f>
        <v>0</v>
      </c>
      <c r="H23" s="106">
        <f>Q193</f>
        <v>0</v>
      </c>
      <c r="I23" s="105">
        <f>R195</f>
        <v>0</v>
      </c>
      <c r="J23" s="105">
        <f>S195</f>
        <v>0</v>
      </c>
      <c r="K23" s="105">
        <f>T195</f>
        <v>0</v>
      </c>
      <c r="L23" s="100">
        <f t="shared" si="12"/>
        <v>0</v>
      </c>
      <c r="M23" s="105">
        <f t="shared" si="7"/>
        <v>0</v>
      </c>
      <c r="N23" s="105">
        <f t="shared" si="8"/>
        <v>0</v>
      </c>
      <c r="O23" s="67">
        <f t="shared" si="9"/>
        <v>0</v>
      </c>
      <c r="P23" s="107">
        <f t="shared" si="10"/>
        <v>0</v>
      </c>
      <c r="Q23" s="67">
        <f t="shared" si="11"/>
        <v>0</v>
      </c>
      <c r="U23" s="257"/>
      <c r="V23" s="257"/>
      <c r="W23" s="257"/>
      <c r="X23" s="257"/>
      <c r="Y23" s="21"/>
      <c r="Z23" s="21"/>
      <c r="AA23" s="21"/>
    </row>
    <row r="24" spans="1:27" hidden="1" x14ac:dyDescent="0.2">
      <c r="A24" s="30"/>
      <c r="C24" s="105"/>
      <c r="D24" s="105"/>
      <c r="E24" s="105"/>
      <c r="F24" s="34"/>
      <c r="G24" s="34"/>
      <c r="H24" s="34"/>
      <c r="I24" s="34"/>
      <c r="J24" s="34"/>
      <c r="K24" s="34"/>
      <c r="L24" s="30"/>
      <c r="M24" s="105"/>
      <c r="N24" s="105"/>
      <c r="O24" s="105"/>
      <c r="P24" s="105"/>
      <c r="Q24" s="67"/>
      <c r="U24" s="257"/>
      <c r="V24" s="257"/>
      <c r="W24" s="257"/>
      <c r="X24" s="257"/>
    </row>
    <row r="25" spans="1:27" x14ac:dyDescent="0.2">
      <c r="A25" s="24" t="s">
        <v>0</v>
      </c>
      <c r="B25" s="218"/>
      <c r="C25" s="109">
        <f t="shared" ref="C25:K25" si="13">SUM(C8:C24)</f>
        <v>79035.642287506387</v>
      </c>
      <c r="D25" s="206">
        <f t="shared" si="13"/>
        <v>1392447592</v>
      </c>
      <c r="E25" s="110">
        <f t="shared" si="13"/>
        <v>156072860.9000001</v>
      </c>
      <c r="F25" s="206">
        <f t="shared" si="13"/>
        <v>7903752.0532648917</v>
      </c>
      <c r="G25" s="206">
        <f t="shared" si="13"/>
        <v>966400.12041440525</v>
      </c>
      <c r="H25" s="206">
        <f t="shared" si="13"/>
        <v>515665.85438947828</v>
      </c>
      <c r="I25" s="206">
        <f t="shared" si="13"/>
        <v>3236525.4458308914</v>
      </c>
      <c r="J25" s="206">
        <f t="shared" si="13"/>
        <v>790597.00000036927</v>
      </c>
      <c r="K25" s="206">
        <f t="shared" si="13"/>
        <v>2445928.445830523</v>
      </c>
      <c r="L25" s="24" t="s">
        <v>0</v>
      </c>
      <c r="M25" s="109">
        <f t="shared" si="0"/>
        <v>79035.642287506387</v>
      </c>
      <c r="N25" s="109">
        <f t="shared" si="6"/>
        <v>1392447592</v>
      </c>
      <c r="O25" s="111">
        <f>D25/$D$25</f>
        <v>1</v>
      </c>
      <c r="P25" s="110">
        <f>E25</f>
        <v>156072860.9000001</v>
      </c>
      <c r="Q25" s="111">
        <f>E25/$E$25</f>
        <v>1</v>
      </c>
      <c r="U25" s="258"/>
      <c r="V25" s="258"/>
      <c r="W25" s="258"/>
      <c r="X25" s="258"/>
      <c r="Y25" s="21"/>
      <c r="Z25" s="21"/>
      <c r="AA25" s="21"/>
    </row>
    <row r="26" spans="1:27" x14ac:dyDescent="0.2">
      <c r="A26" s="30"/>
      <c r="B26" s="27" t="s">
        <v>1205</v>
      </c>
      <c r="C26" s="143">
        <f>C25-C18</f>
        <v>63694.142287506387</v>
      </c>
      <c r="D26" s="143"/>
      <c r="E26" s="144"/>
      <c r="F26" s="34"/>
      <c r="G26" s="34"/>
      <c r="H26" s="34"/>
      <c r="I26" s="34"/>
      <c r="J26" s="34"/>
      <c r="K26" s="34"/>
      <c r="L26" s="30" t="s">
        <v>1206</v>
      </c>
      <c r="M26" s="143">
        <f>SUM(M8:M13)</f>
        <v>63657.475620839723</v>
      </c>
      <c r="N26" s="143"/>
      <c r="O26" s="144"/>
      <c r="P26" s="76"/>
      <c r="Q26" s="76"/>
      <c r="R26" s="108"/>
      <c r="W26" s="21"/>
      <c r="X26" s="21"/>
      <c r="Y26" s="21"/>
      <c r="Z26" s="21"/>
      <c r="AA26" s="21"/>
    </row>
    <row r="27" spans="1:27" x14ac:dyDescent="0.2">
      <c r="A27" s="30"/>
      <c r="C27" s="253"/>
      <c r="D27" s="105"/>
      <c r="E27" s="107"/>
      <c r="F27" s="283"/>
      <c r="G27" s="254"/>
      <c r="H27" s="34"/>
      <c r="I27" s="34"/>
      <c r="J27" s="34"/>
      <c r="K27" s="34"/>
      <c r="L27" s="49"/>
      <c r="M27" s="105"/>
      <c r="N27" s="105"/>
      <c r="O27" s="107"/>
      <c r="P27" s="49"/>
      <c r="Q27" s="108"/>
      <c r="R27" s="108"/>
    </row>
    <row r="28" spans="1:27" x14ac:dyDescent="0.2">
      <c r="C28" s="105"/>
      <c r="D28" s="105"/>
      <c r="E28" s="107"/>
      <c r="F28" s="150"/>
      <c r="G28" s="34"/>
      <c r="H28" s="34"/>
      <c r="I28" s="34"/>
      <c r="J28" s="34"/>
      <c r="K28" s="34"/>
      <c r="L28" s="49"/>
      <c r="M28" s="105"/>
      <c r="N28" s="105"/>
      <c r="O28" s="107"/>
      <c r="Q28" s="34"/>
    </row>
    <row r="29" spans="1:27" x14ac:dyDescent="0.2">
      <c r="C29" s="142"/>
      <c r="D29" s="142"/>
      <c r="E29" s="142"/>
      <c r="F29" s="150"/>
      <c r="G29" s="34"/>
      <c r="H29" s="34"/>
      <c r="I29" s="34"/>
      <c r="J29" s="34"/>
      <c r="K29" s="34"/>
      <c r="L29" s="49"/>
      <c r="M29" s="105"/>
      <c r="N29" s="105"/>
      <c r="O29" s="105"/>
      <c r="Q29" s="34"/>
    </row>
    <row r="30" spans="1:27" x14ac:dyDescent="0.2">
      <c r="C30" s="166"/>
      <c r="D30" s="142"/>
      <c r="E30" s="142"/>
      <c r="F30" s="34"/>
      <c r="G30" s="34"/>
      <c r="H30" s="34"/>
      <c r="I30" s="34"/>
      <c r="J30" s="34"/>
      <c r="K30" s="34"/>
      <c r="L30" s="49"/>
      <c r="M30" s="105"/>
      <c r="N30" s="105"/>
      <c r="O30" s="105"/>
      <c r="Q30" s="34"/>
    </row>
    <row r="31" spans="1:27" x14ac:dyDescent="0.2">
      <c r="C31" s="105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</row>
    <row r="32" spans="1:27" x14ac:dyDescent="0.2">
      <c r="C32" s="213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U32" s="100"/>
      <c r="W32" s="100"/>
    </row>
    <row r="33" spans="1:24" x14ac:dyDescent="0.2">
      <c r="A33" s="13" t="str">
        <f>A1</f>
        <v>BLUE GRASS ENERGY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/>
      <c r="P33" s="112"/>
      <c r="Q33" s="112"/>
      <c r="U33" s="100"/>
      <c r="W33" s="100"/>
    </row>
    <row r="34" spans="1:24" x14ac:dyDescent="0.2">
      <c r="A34" s="14" t="s">
        <v>676</v>
      </c>
      <c r="C34" s="169">
        <f>24*31</f>
        <v>744</v>
      </c>
      <c r="D34" s="169">
        <f>24*28</f>
        <v>672</v>
      </c>
      <c r="E34" s="169">
        <f t="shared" ref="E34:N34" si="14">24*31</f>
        <v>744</v>
      </c>
      <c r="F34" s="169">
        <f>24*30</f>
        <v>720</v>
      </c>
      <c r="G34" s="169">
        <f t="shared" si="14"/>
        <v>744</v>
      </c>
      <c r="H34" s="169">
        <f>24*30</f>
        <v>720</v>
      </c>
      <c r="I34" s="169">
        <f t="shared" si="14"/>
        <v>744</v>
      </c>
      <c r="J34" s="169">
        <f t="shared" si="14"/>
        <v>744</v>
      </c>
      <c r="K34" s="169">
        <f>24*30</f>
        <v>720</v>
      </c>
      <c r="L34" s="169">
        <f t="shared" si="14"/>
        <v>744</v>
      </c>
      <c r="M34" s="169">
        <f>24*30</f>
        <v>720</v>
      </c>
      <c r="N34" s="169">
        <f t="shared" si="14"/>
        <v>744</v>
      </c>
      <c r="O34" s="213"/>
      <c r="P34" s="112"/>
      <c r="Q34" s="112"/>
      <c r="U34" s="100"/>
      <c r="W34" s="100"/>
    </row>
    <row r="35" spans="1:24" x14ac:dyDescent="0.2">
      <c r="C35" s="212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49"/>
      <c r="P35" s="49"/>
      <c r="Q35" s="113" t="s">
        <v>693</v>
      </c>
    </row>
    <row r="36" spans="1:24" x14ac:dyDescent="0.2">
      <c r="C36" s="169">
        <f>C201</f>
        <v>2.0948500605300069E-4</v>
      </c>
      <c r="D36" s="169">
        <f t="shared" ref="D36:N36" si="15">D201</f>
        <v>-6.3097104430198669E-8</v>
      </c>
      <c r="E36" s="169">
        <f t="shared" si="15"/>
        <v>-8.1013422459363937E-7</v>
      </c>
      <c r="F36" s="169">
        <f t="shared" si="15"/>
        <v>-1.6808218788355589E-5</v>
      </c>
      <c r="G36" s="169">
        <f t="shared" si="15"/>
        <v>-4.4611806515604258E-6</v>
      </c>
      <c r="H36" s="169">
        <f t="shared" si="15"/>
        <v>-1.1306838132441044E-7</v>
      </c>
      <c r="I36" s="169">
        <f t="shared" si="15"/>
        <v>-1.1705560609698296E-7</v>
      </c>
      <c r="J36" s="169">
        <f t="shared" si="15"/>
        <v>-1.388543751090765E-7</v>
      </c>
      <c r="K36" s="169">
        <f t="shared" si="15"/>
        <v>-0.4460050412453711</v>
      </c>
      <c r="L36" s="169">
        <f t="shared" si="15"/>
        <v>-1.2539094313979149E-5</v>
      </c>
      <c r="M36" s="169">
        <f t="shared" si="15"/>
        <v>-2.2718450054526329E-7</v>
      </c>
      <c r="N36" s="169">
        <f t="shared" si="15"/>
        <v>-5.7567376643419266E-8</v>
      </c>
      <c r="O36" s="169"/>
      <c r="P36" s="21" t="s">
        <v>688</v>
      </c>
      <c r="Q36" s="207" t="s">
        <v>694</v>
      </c>
      <c r="R36" s="21" t="s">
        <v>684</v>
      </c>
      <c r="S36" s="21" t="s">
        <v>686</v>
      </c>
      <c r="T36" s="21" t="s">
        <v>687</v>
      </c>
      <c r="V36" s="26"/>
      <c r="W36" s="26"/>
      <c r="X36" s="26"/>
    </row>
    <row r="37" spans="1:24" s="208" customFormat="1" ht="15" x14ac:dyDescent="0.35">
      <c r="A37" s="114" t="s">
        <v>865</v>
      </c>
      <c r="B37" s="115" t="s">
        <v>866</v>
      </c>
      <c r="C37" s="116" t="s">
        <v>1018</v>
      </c>
      <c r="D37" s="116" t="s">
        <v>1019</v>
      </c>
      <c r="E37" s="116" t="s">
        <v>1020</v>
      </c>
      <c r="F37" s="116" t="s">
        <v>1021</v>
      </c>
      <c r="G37" s="116" t="s">
        <v>1022</v>
      </c>
      <c r="H37" s="116" t="s">
        <v>1023</v>
      </c>
      <c r="I37" s="116" t="s">
        <v>1024</v>
      </c>
      <c r="J37" s="116" t="s">
        <v>1025</v>
      </c>
      <c r="K37" s="116" t="s">
        <v>1026</v>
      </c>
      <c r="L37" s="116" t="s">
        <v>1027</v>
      </c>
      <c r="M37" s="116" t="s">
        <v>1028</v>
      </c>
      <c r="N37" s="116" t="s">
        <v>1029</v>
      </c>
      <c r="O37" s="117" t="s">
        <v>0</v>
      </c>
      <c r="P37" s="117" t="s">
        <v>682</v>
      </c>
      <c r="Q37" s="117" t="s">
        <v>695</v>
      </c>
      <c r="R37" s="117" t="s">
        <v>689</v>
      </c>
      <c r="S37" s="117" t="s">
        <v>689</v>
      </c>
      <c r="T37" s="117" t="s">
        <v>689</v>
      </c>
      <c r="V37" s="259" t="s">
        <v>1192</v>
      </c>
      <c r="W37" s="259" t="s">
        <v>1195</v>
      </c>
      <c r="X37" s="259" t="s">
        <v>1194</v>
      </c>
    </row>
    <row r="38" spans="1:24" x14ac:dyDescent="0.2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34"/>
    </row>
    <row r="39" spans="1:24" x14ac:dyDescent="0.2">
      <c r="A39" s="15" t="str">
        <f>A8</f>
        <v>Residential and Farm</v>
      </c>
      <c r="B39" s="57" t="str">
        <f>B8</f>
        <v>GS-1</v>
      </c>
      <c r="C39" s="49">
        <v>59858.354838709674</v>
      </c>
      <c r="D39" s="49">
        <v>60093.821428571428</v>
      </c>
      <c r="E39" s="49">
        <v>59937.806451612902</v>
      </c>
      <c r="F39" s="49">
        <v>60155.133333333331</v>
      </c>
      <c r="G39" s="49">
        <v>60185.580645161288</v>
      </c>
      <c r="H39" s="49">
        <v>60410.3</v>
      </c>
      <c r="I39" s="49">
        <v>60427.193548387098</v>
      </c>
      <c r="J39" s="49">
        <v>60625.387096774197</v>
      </c>
      <c r="K39" s="49">
        <v>60573.866666666669</v>
      </c>
      <c r="L39" s="49">
        <v>60674.322580645159</v>
      </c>
      <c r="M39" s="49">
        <v>60726.166666666664</v>
      </c>
      <c r="N39" s="49">
        <v>60809.774193548386</v>
      </c>
      <c r="O39" s="49">
        <f>SUM(C39:N39)</f>
        <v>724477.7074500767</v>
      </c>
      <c r="P39" s="49"/>
      <c r="Q39" s="34"/>
      <c r="V39" s="34">
        <f>AVERAGE(C39:N39)</f>
        <v>60373.142287506394</v>
      </c>
      <c r="W39" s="34">
        <f>N39</f>
        <v>60809.774193548386</v>
      </c>
      <c r="X39" s="34">
        <f>W39-V39</f>
        <v>436.6319060419919</v>
      </c>
    </row>
    <row r="40" spans="1:24" x14ac:dyDescent="0.2">
      <c r="A40" s="14" t="s">
        <v>935</v>
      </c>
      <c r="C40" s="49">
        <v>98211296</v>
      </c>
      <c r="D40" s="49">
        <v>98749499</v>
      </c>
      <c r="E40" s="49">
        <v>67474758</v>
      </c>
      <c r="F40" s="49">
        <v>60647566</v>
      </c>
      <c r="G40" s="49">
        <v>51575458</v>
      </c>
      <c r="H40" s="49">
        <v>59834104</v>
      </c>
      <c r="I40" s="49">
        <v>76902684</v>
      </c>
      <c r="J40" s="49">
        <v>77158343</v>
      </c>
      <c r="K40" s="49">
        <v>67835417</v>
      </c>
      <c r="L40" s="49">
        <v>53283859</v>
      </c>
      <c r="M40" s="49">
        <v>50436112</v>
      </c>
      <c r="N40" s="49">
        <v>80775723</v>
      </c>
      <c r="O40" s="49">
        <f>SUM(C40:N40)</f>
        <v>842884819</v>
      </c>
      <c r="P40" s="112"/>
      <c r="Q40" s="112"/>
      <c r="U40" s="100"/>
    </row>
    <row r="41" spans="1:24" x14ac:dyDescent="0.2">
      <c r="A41" s="14" t="s">
        <v>679</v>
      </c>
      <c r="C41" s="49">
        <f>C40/C$34</f>
        <v>132004.43010752689</v>
      </c>
      <c r="D41" s="49">
        <f t="shared" ref="D41:N41" si="16">D40/D$34</f>
        <v>146948.65922619047</v>
      </c>
      <c r="E41" s="49">
        <f t="shared" si="16"/>
        <v>90691.879032258061</v>
      </c>
      <c r="F41" s="49">
        <f t="shared" si="16"/>
        <v>84232.73055555555</v>
      </c>
      <c r="G41" s="49">
        <f t="shared" si="16"/>
        <v>69321.852150537641</v>
      </c>
      <c r="H41" s="49">
        <f t="shared" si="16"/>
        <v>83102.922222222216</v>
      </c>
      <c r="I41" s="49">
        <f t="shared" si="16"/>
        <v>103363.82258064517</v>
      </c>
      <c r="J41" s="49">
        <f t="shared" si="16"/>
        <v>103707.45026881721</v>
      </c>
      <c r="K41" s="49">
        <f t="shared" si="16"/>
        <v>94215.856944444444</v>
      </c>
      <c r="L41" s="49">
        <f t="shared" si="16"/>
        <v>71618.090053763444</v>
      </c>
      <c r="M41" s="49">
        <f t="shared" si="16"/>
        <v>70050.155555555553</v>
      </c>
      <c r="N41" s="49">
        <f t="shared" si="16"/>
        <v>108569.52016129032</v>
      </c>
      <c r="O41" s="49">
        <f>O40/8760</f>
        <v>96219.72819634703</v>
      </c>
      <c r="P41" s="49"/>
      <c r="Q41" s="49"/>
    </row>
    <row r="42" spans="1:24" x14ac:dyDescent="0.2">
      <c r="A42" s="14" t="s">
        <v>754</v>
      </c>
      <c r="B42" s="27" t="s">
        <v>1008</v>
      </c>
      <c r="C42" s="67">
        <v>0.3352576162996786</v>
      </c>
      <c r="D42" s="67">
        <v>0.59335158575257829</v>
      </c>
      <c r="E42" s="67">
        <v>0.43892599567582624</v>
      </c>
      <c r="F42" s="67">
        <v>0.55185500471576576</v>
      </c>
      <c r="G42" s="67">
        <v>0.37707415492073798</v>
      </c>
      <c r="H42" s="67">
        <v>0.40255144995054443</v>
      </c>
      <c r="I42" s="67">
        <v>0.49173615548966937</v>
      </c>
      <c r="J42" s="67">
        <v>0.53413625628695827</v>
      </c>
      <c r="K42" s="67">
        <v>0.55879500000000004</v>
      </c>
      <c r="L42" s="67">
        <v>0.50268622452712108</v>
      </c>
      <c r="M42" s="67">
        <v>0.27588427269444338</v>
      </c>
      <c r="N42" s="67">
        <v>0.36247122494255363</v>
      </c>
      <c r="O42" s="67"/>
      <c r="Q42" s="34"/>
    </row>
    <row r="43" spans="1:24" x14ac:dyDescent="0.2">
      <c r="A43" s="14" t="s">
        <v>755</v>
      </c>
      <c r="C43" s="49">
        <f>C41/C42</f>
        <v>393740.28713946161</v>
      </c>
      <c r="D43" s="49">
        <f t="shared" ref="D43:N43" si="17">D41/D42</f>
        <v>247658.66099406802</v>
      </c>
      <c r="E43" s="49">
        <f t="shared" si="17"/>
        <v>206622.25506287755</v>
      </c>
      <c r="F43" s="49">
        <f t="shared" si="17"/>
        <v>152635.61956630225</v>
      </c>
      <c r="G43" s="49">
        <f t="shared" si="17"/>
        <v>183841.43077933646</v>
      </c>
      <c r="H43" s="49">
        <f t="shared" si="17"/>
        <v>206440.49905280891</v>
      </c>
      <c r="I43" s="49">
        <f t="shared" si="17"/>
        <v>210201.79506165412</v>
      </c>
      <c r="J43" s="49">
        <f t="shared" si="17"/>
        <v>194159.16640772205</v>
      </c>
      <c r="K43" s="49">
        <f t="shared" si="17"/>
        <v>168605.40438701928</v>
      </c>
      <c r="L43" s="49">
        <f t="shared" si="17"/>
        <v>142470.76319056656</v>
      </c>
      <c r="M43" s="49">
        <f t="shared" si="17"/>
        <v>253911.37693861895</v>
      </c>
      <c r="N43" s="49">
        <f t="shared" si="17"/>
        <v>299525.90078977164</v>
      </c>
      <c r="O43" s="49">
        <f>SUM(C43:N43)</f>
        <v>2659813.1593702077</v>
      </c>
      <c r="Q43" s="34">
        <f>MAX(C43:N43)</f>
        <v>393740.28713946161</v>
      </c>
    </row>
    <row r="44" spans="1:24" x14ac:dyDescent="0.2">
      <c r="A44" s="14" t="s">
        <v>680</v>
      </c>
      <c r="C44" s="67">
        <v>0.85</v>
      </c>
      <c r="D44" s="67">
        <v>0.85</v>
      </c>
      <c r="E44" s="67">
        <v>0.85</v>
      </c>
      <c r="F44" s="67">
        <v>0.8</v>
      </c>
      <c r="G44" s="67">
        <v>0.85</v>
      </c>
      <c r="H44" s="67">
        <v>0.9</v>
      </c>
      <c r="I44" s="67">
        <v>0.95</v>
      </c>
      <c r="J44" s="67">
        <v>0.95</v>
      </c>
      <c r="K44" s="67">
        <v>0.9</v>
      </c>
      <c r="L44" s="67">
        <v>0.85</v>
      </c>
      <c r="M44" s="67">
        <v>0.8</v>
      </c>
      <c r="N44" s="67">
        <v>0.85</v>
      </c>
      <c r="O44" s="67"/>
      <c r="P44" s="49"/>
      <c r="Q44" s="34"/>
    </row>
    <row r="45" spans="1:24" x14ac:dyDescent="0.2">
      <c r="A45" s="14" t="s">
        <v>681</v>
      </c>
      <c r="C45" s="49">
        <f>C43*C44</f>
        <v>334679.24406854238</v>
      </c>
      <c r="D45" s="49">
        <f t="shared" ref="D45:N45" si="18">D43*D44</f>
        <v>210509.86184495781</v>
      </c>
      <c r="E45" s="49">
        <f t="shared" si="18"/>
        <v>175628.9168034459</v>
      </c>
      <c r="F45" s="49">
        <f t="shared" si="18"/>
        <v>122108.49565304181</v>
      </c>
      <c r="G45" s="49">
        <f t="shared" si="18"/>
        <v>156265.21616243597</v>
      </c>
      <c r="H45" s="49">
        <f t="shared" si="18"/>
        <v>185796.44914752804</v>
      </c>
      <c r="I45" s="49">
        <f t="shared" si="18"/>
        <v>199691.7053085714</v>
      </c>
      <c r="J45" s="49">
        <f t="shared" si="18"/>
        <v>184451.20808733595</v>
      </c>
      <c r="K45" s="49">
        <f t="shared" si="18"/>
        <v>151744.86394831736</v>
      </c>
      <c r="L45" s="49">
        <f t="shared" si="18"/>
        <v>121100.14871198157</v>
      </c>
      <c r="M45" s="49">
        <f t="shared" si="18"/>
        <v>203129.10155089517</v>
      </c>
      <c r="N45" s="49">
        <f t="shared" si="18"/>
        <v>254597.01567130588</v>
      </c>
      <c r="O45" s="49">
        <f>SUM(C45:N45)</f>
        <v>2299702.2269583596</v>
      </c>
      <c r="P45" s="49"/>
      <c r="Q45" s="34"/>
      <c r="R45" s="34">
        <f>O45</f>
        <v>2299702.2269583596</v>
      </c>
      <c r="S45" s="34">
        <f>H45+I45+J45</f>
        <v>569939.36254343542</v>
      </c>
      <c r="T45" s="34">
        <f>R45-S45</f>
        <v>1729762.8644149243</v>
      </c>
    </row>
    <row r="46" spans="1:24" x14ac:dyDescent="0.2">
      <c r="A46" s="14" t="s">
        <v>756</v>
      </c>
      <c r="C46" s="67">
        <v>0.18</v>
      </c>
      <c r="D46" s="67">
        <v>0.18</v>
      </c>
      <c r="E46" s="67">
        <v>0.18</v>
      </c>
      <c r="F46" s="67">
        <v>0.18</v>
      </c>
      <c r="G46" s="67">
        <v>0.18</v>
      </c>
      <c r="H46" s="67">
        <v>0.18</v>
      </c>
      <c r="I46" s="67">
        <v>0.18</v>
      </c>
      <c r="J46" s="67">
        <v>0.18</v>
      </c>
      <c r="K46" s="67">
        <v>0.18</v>
      </c>
      <c r="L46" s="67">
        <v>0.18</v>
      </c>
      <c r="M46" s="67">
        <v>0.18</v>
      </c>
      <c r="N46" s="67">
        <v>0.18</v>
      </c>
      <c r="O46" s="67"/>
      <c r="P46" s="112"/>
      <c r="Q46" s="112"/>
      <c r="U46" s="100"/>
      <c r="W46" s="100"/>
    </row>
    <row r="47" spans="1:24" x14ac:dyDescent="0.2">
      <c r="A47" s="14" t="s">
        <v>757</v>
      </c>
      <c r="C47" s="49">
        <f>C41/C46</f>
        <v>733357.9450418161</v>
      </c>
      <c r="D47" s="49">
        <f t="shared" ref="D47:N47" si="19">D41/D46</f>
        <v>816381.44014550268</v>
      </c>
      <c r="E47" s="49">
        <f t="shared" si="19"/>
        <v>503843.77240143367</v>
      </c>
      <c r="F47" s="49">
        <f t="shared" si="19"/>
        <v>467959.61419753084</v>
      </c>
      <c r="G47" s="49">
        <f t="shared" si="19"/>
        <v>385121.40083632024</v>
      </c>
      <c r="H47" s="49">
        <f t="shared" si="19"/>
        <v>461682.90123456786</v>
      </c>
      <c r="I47" s="49">
        <f t="shared" si="19"/>
        <v>574243.45878136205</v>
      </c>
      <c r="J47" s="49">
        <f t="shared" si="19"/>
        <v>576152.50149342895</v>
      </c>
      <c r="K47" s="49">
        <f t="shared" si="19"/>
        <v>523421.42746913584</v>
      </c>
      <c r="L47" s="49">
        <f t="shared" si="19"/>
        <v>397878.27807646361</v>
      </c>
      <c r="M47" s="49">
        <f t="shared" si="19"/>
        <v>389167.53086419753</v>
      </c>
      <c r="N47" s="49">
        <f t="shared" si="19"/>
        <v>603164.00089605735</v>
      </c>
      <c r="O47" s="49">
        <f>SUM(C47:N47)</f>
        <v>6432374.2714378173</v>
      </c>
      <c r="P47" s="49">
        <f>MAX(C47:N47)</f>
        <v>816381.44014550268</v>
      </c>
      <c r="Q47" s="49"/>
    </row>
    <row r="48" spans="1:24" x14ac:dyDescent="0.2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24" x14ac:dyDescent="0.2">
      <c r="A49" s="15" t="str">
        <f>A9</f>
        <v>Residential and Farm Inclining Block</v>
      </c>
      <c r="B49" s="57" t="str">
        <f>B9</f>
        <v>GS-2</v>
      </c>
      <c r="C49" s="49">
        <v>120</v>
      </c>
      <c r="D49" s="49">
        <v>119</v>
      </c>
      <c r="E49" s="49">
        <v>118</v>
      </c>
      <c r="F49" s="49">
        <v>117</v>
      </c>
      <c r="G49" s="49">
        <v>117</v>
      </c>
      <c r="H49" s="49">
        <v>117</v>
      </c>
      <c r="I49" s="49">
        <v>116</v>
      </c>
      <c r="J49" s="49">
        <v>117</v>
      </c>
      <c r="K49" s="49">
        <v>116</v>
      </c>
      <c r="L49" s="49">
        <v>117</v>
      </c>
      <c r="M49" s="49">
        <v>118</v>
      </c>
      <c r="N49" s="49">
        <v>117</v>
      </c>
      <c r="O49" s="49">
        <f>SUM(C49:N49)</f>
        <v>1409</v>
      </c>
      <c r="P49" s="49"/>
      <c r="Q49" s="34"/>
      <c r="V49" s="34">
        <f>AVERAGE(C49:N49)</f>
        <v>117.41666666666667</v>
      </c>
      <c r="W49" s="34">
        <f>N49</f>
        <v>117</v>
      </c>
      <c r="X49" s="34">
        <f>W49-V49</f>
        <v>-0.4166666666666714</v>
      </c>
    </row>
    <row r="50" spans="1:24" x14ac:dyDescent="0.2">
      <c r="A50" s="14" t="s">
        <v>935</v>
      </c>
      <c r="C50" s="49">
        <v>14908</v>
      </c>
      <c r="D50" s="49">
        <v>15480</v>
      </c>
      <c r="E50" s="49">
        <v>9315</v>
      </c>
      <c r="F50" s="49">
        <v>8882</v>
      </c>
      <c r="G50" s="49">
        <v>9130</v>
      </c>
      <c r="H50" s="49">
        <v>12284</v>
      </c>
      <c r="I50" s="49">
        <v>14797</v>
      </c>
      <c r="J50" s="49">
        <v>15097</v>
      </c>
      <c r="K50" s="49">
        <v>14238</v>
      </c>
      <c r="L50" s="49">
        <v>12031</v>
      </c>
      <c r="M50" s="49">
        <v>12153</v>
      </c>
      <c r="N50" s="49">
        <v>19445</v>
      </c>
      <c r="O50" s="49">
        <f>SUM(C50:N50)</f>
        <v>157760</v>
      </c>
      <c r="P50" s="112"/>
      <c r="Q50" s="112"/>
      <c r="U50" s="100"/>
      <c r="W50" s="100"/>
    </row>
    <row r="51" spans="1:24" x14ac:dyDescent="0.2">
      <c r="A51" s="14" t="s">
        <v>679</v>
      </c>
      <c r="C51" s="49">
        <f>C50/744</f>
        <v>20.037634408602152</v>
      </c>
      <c r="D51" s="49">
        <f>D50/672</f>
        <v>23.035714285714285</v>
      </c>
      <c r="E51" s="49">
        <f t="shared" ref="E51:N51" si="20">E50/744</f>
        <v>12.52016129032258</v>
      </c>
      <c r="F51" s="49">
        <f>F50/720</f>
        <v>12.33611111111111</v>
      </c>
      <c r="G51" s="49">
        <f t="shared" si="20"/>
        <v>12.271505376344086</v>
      </c>
      <c r="H51" s="47">
        <f>H50/720</f>
        <v>17.06111111111111</v>
      </c>
      <c r="I51" s="47">
        <f>I50/744</f>
        <v>19.888440860215052</v>
      </c>
      <c r="J51" s="49">
        <f t="shared" si="20"/>
        <v>20.291666666666668</v>
      </c>
      <c r="K51" s="49">
        <f>K50/720</f>
        <v>19.774999999999999</v>
      </c>
      <c r="L51" s="49">
        <f t="shared" si="20"/>
        <v>16.170698924731184</v>
      </c>
      <c r="M51" s="49">
        <f>M50/720</f>
        <v>16.879166666666666</v>
      </c>
      <c r="N51" s="49">
        <f t="shared" si="20"/>
        <v>26.135752688172044</v>
      </c>
      <c r="O51" s="49">
        <f>O50/8760</f>
        <v>18.009132420091323</v>
      </c>
      <c r="P51" s="49"/>
      <c r="Q51" s="49"/>
    </row>
    <row r="52" spans="1:24" x14ac:dyDescent="0.2">
      <c r="A52" s="14" t="s">
        <v>754</v>
      </c>
      <c r="C52" s="67">
        <f>C42</f>
        <v>0.3352576162996786</v>
      </c>
      <c r="D52" s="67">
        <f t="shared" ref="D52:N52" si="21">D42</f>
        <v>0.59335158575257829</v>
      </c>
      <c r="E52" s="67">
        <f t="shared" si="21"/>
        <v>0.43892599567582624</v>
      </c>
      <c r="F52" s="67">
        <f t="shared" si="21"/>
        <v>0.55185500471576576</v>
      </c>
      <c r="G52" s="67">
        <f t="shared" si="21"/>
        <v>0.37707415492073798</v>
      </c>
      <c r="H52" s="67">
        <f t="shared" si="21"/>
        <v>0.40255144995054443</v>
      </c>
      <c r="I52" s="67">
        <f t="shared" si="21"/>
        <v>0.49173615548966937</v>
      </c>
      <c r="J52" s="67">
        <f t="shared" si="21"/>
        <v>0.53413625628695827</v>
      </c>
      <c r="K52" s="67">
        <f t="shared" si="21"/>
        <v>0.55879500000000004</v>
      </c>
      <c r="L52" s="67">
        <f t="shared" si="21"/>
        <v>0.50268622452712108</v>
      </c>
      <c r="M52" s="67">
        <f t="shared" si="21"/>
        <v>0.27588427269444338</v>
      </c>
      <c r="N52" s="67">
        <f t="shared" si="21"/>
        <v>0.36247122494255363</v>
      </c>
      <c r="O52" s="67"/>
      <c r="Q52" s="34"/>
    </row>
    <row r="53" spans="1:24" x14ac:dyDescent="0.2">
      <c r="A53" s="14" t="s">
        <v>755</v>
      </c>
      <c r="C53" s="47">
        <f>C51/C52</f>
        <v>59.767872329829487</v>
      </c>
      <c r="D53" s="47">
        <f t="shared" ref="D53:N53" si="22">D51/D52</f>
        <v>38.823043266155437</v>
      </c>
      <c r="E53" s="47">
        <f t="shared" si="22"/>
        <v>28.524538108172308</v>
      </c>
      <c r="F53" s="47">
        <f t="shared" si="22"/>
        <v>22.353899132372376</v>
      </c>
      <c r="G53" s="47">
        <f t="shared" si="22"/>
        <v>32.544010816449592</v>
      </c>
      <c r="H53" s="47">
        <f t="shared" si="22"/>
        <v>42.382436116444637</v>
      </c>
      <c r="I53" s="47">
        <f t="shared" si="22"/>
        <v>40.445349885672336</v>
      </c>
      <c r="J53" s="47">
        <f t="shared" si="22"/>
        <v>37.989682272691887</v>
      </c>
      <c r="K53" s="47">
        <f t="shared" si="22"/>
        <v>35.388648788911851</v>
      </c>
      <c r="L53" s="47">
        <f t="shared" si="22"/>
        <v>32.168573825437576</v>
      </c>
      <c r="M53" s="47">
        <f t="shared" si="22"/>
        <v>61.182054713793882</v>
      </c>
      <c r="N53" s="47">
        <f t="shared" si="22"/>
        <v>72.104351710440397</v>
      </c>
      <c r="O53" s="49">
        <f>SUM(C53:N53)</f>
        <v>503.67446096637173</v>
      </c>
      <c r="Q53" s="34">
        <f>MAX(C53:N53)</f>
        <v>72.104351710440397</v>
      </c>
    </row>
    <row r="54" spans="1:24" x14ac:dyDescent="0.2">
      <c r="A54" s="14" t="s">
        <v>680</v>
      </c>
      <c r="C54" s="67">
        <f>C44</f>
        <v>0.85</v>
      </c>
      <c r="D54" s="67">
        <f t="shared" ref="D54:N54" si="23">D44</f>
        <v>0.85</v>
      </c>
      <c r="E54" s="67">
        <f t="shared" si="23"/>
        <v>0.85</v>
      </c>
      <c r="F54" s="67">
        <f t="shared" si="23"/>
        <v>0.8</v>
      </c>
      <c r="G54" s="67">
        <f t="shared" si="23"/>
        <v>0.85</v>
      </c>
      <c r="H54" s="67">
        <f t="shared" si="23"/>
        <v>0.9</v>
      </c>
      <c r="I54" s="67">
        <f t="shared" si="23"/>
        <v>0.95</v>
      </c>
      <c r="J54" s="67">
        <f t="shared" si="23"/>
        <v>0.95</v>
      </c>
      <c r="K54" s="67">
        <f t="shared" si="23"/>
        <v>0.9</v>
      </c>
      <c r="L54" s="67">
        <f t="shared" si="23"/>
        <v>0.85</v>
      </c>
      <c r="M54" s="67">
        <f t="shared" si="23"/>
        <v>0.8</v>
      </c>
      <c r="N54" s="67">
        <f t="shared" si="23"/>
        <v>0.85</v>
      </c>
      <c r="O54" s="67"/>
      <c r="P54" s="49"/>
      <c r="Q54" s="34"/>
    </row>
    <row r="55" spans="1:24" x14ac:dyDescent="0.2">
      <c r="A55" s="14" t="s">
        <v>681</v>
      </c>
      <c r="C55" s="49">
        <f>C53*C54</f>
        <v>50.802691480355065</v>
      </c>
      <c r="D55" s="49">
        <f t="shared" ref="D55:N55" si="24">D53*D54</f>
        <v>32.999586776232121</v>
      </c>
      <c r="E55" s="49">
        <f t="shared" si="24"/>
        <v>24.245857391946462</v>
      </c>
      <c r="F55" s="49">
        <f t="shared" si="24"/>
        <v>17.883119305897903</v>
      </c>
      <c r="G55" s="49">
        <f t="shared" si="24"/>
        <v>27.662409193982153</v>
      </c>
      <c r="H55" s="49">
        <f t="shared" si="24"/>
        <v>38.144192504800174</v>
      </c>
      <c r="I55" s="49">
        <f t="shared" si="24"/>
        <v>38.423082391388718</v>
      </c>
      <c r="J55" s="49">
        <f t="shared" si="24"/>
        <v>36.090198159057294</v>
      </c>
      <c r="K55" s="49">
        <f t="shared" si="24"/>
        <v>31.849783910020665</v>
      </c>
      <c r="L55" s="49">
        <f t="shared" si="24"/>
        <v>27.34328775162194</v>
      </c>
      <c r="M55" s="49">
        <f t="shared" si="24"/>
        <v>48.945643771035108</v>
      </c>
      <c r="N55" s="49">
        <f t="shared" si="24"/>
        <v>61.288698953874338</v>
      </c>
      <c r="O55" s="49">
        <f>SUM(C55:N55)</f>
        <v>435.67855159021195</v>
      </c>
      <c r="P55" s="49"/>
      <c r="Q55" s="34"/>
      <c r="R55" s="34">
        <f>O55</f>
        <v>435.67855159021195</v>
      </c>
      <c r="S55" s="34">
        <f>H55+I55+J55</f>
        <v>112.65747305524619</v>
      </c>
      <c r="T55" s="34">
        <f>R55-S55</f>
        <v>323.0210785349658</v>
      </c>
    </row>
    <row r="56" spans="1:24" x14ac:dyDescent="0.2">
      <c r="A56" s="14" t="s">
        <v>756</v>
      </c>
      <c r="C56" s="67">
        <f>C46</f>
        <v>0.18</v>
      </c>
      <c r="D56" s="67">
        <f>C56</f>
        <v>0.18</v>
      </c>
      <c r="E56" s="67">
        <f>D56</f>
        <v>0.18</v>
      </c>
      <c r="F56" s="67">
        <f t="shared" ref="F56:N56" si="25">E56</f>
        <v>0.18</v>
      </c>
      <c r="G56" s="67">
        <f t="shared" si="25"/>
        <v>0.18</v>
      </c>
      <c r="H56" s="67">
        <f t="shared" si="25"/>
        <v>0.18</v>
      </c>
      <c r="I56" s="67">
        <f t="shared" si="25"/>
        <v>0.18</v>
      </c>
      <c r="J56" s="67">
        <f t="shared" si="25"/>
        <v>0.18</v>
      </c>
      <c r="K56" s="67">
        <f t="shared" si="25"/>
        <v>0.18</v>
      </c>
      <c r="L56" s="67">
        <f t="shared" si="25"/>
        <v>0.18</v>
      </c>
      <c r="M56" s="67">
        <f t="shared" si="25"/>
        <v>0.18</v>
      </c>
      <c r="N56" s="67">
        <f t="shared" si="25"/>
        <v>0.18</v>
      </c>
      <c r="O56" s="67"/>
      <c r="P56" s="112"/>
      <c r="Q56" s="112"/>
      <c r="U56" s="100"/>
      <c r="W56" s="100"/>
    </row>
    <row r="57" spans="1:24" x14ac:dyDescent="0.2">
      <c r="A57" s="14" t="s">
        <v>757</v>
      </c>
      <c r="C57" s="49">
        <f>C51/C56</f>
        <v>111.32019115890085</v>
      </c>
      <c r="D57" s="49">
        <f t="shared" ref="D57:N57" si="26">D51/D56</f>
        <v>127.97619047619048</v>
      </c>
      <c r="E57" s="49">
        <f t="shared" si="26"/>
        <v>69.556451612903231</v>
      </c>
      <c r="F57" s="49">
        <f t="shared" si="26"/>
        <v>68.533950617283949</v>
      </c>
      <c r="G57" s="49">
        <f t="shared" si="26"/>
        <v>68.175029868578264</v>
      </c>
      <c r="H57" s="49">
        <f t="shared" si="26"/>
        <v>94.783950617283949</v>
      </c>
      <c r="I57" s="49">
        <f t="shared" si="26"/>
        <v>110.49133811230585</v>
      </c>
      <c r="J57" s="49">
        <f t="shared" si="26"/>
        <v>112.7314814814815</v>
      </c>
      <c r="K57" s="49">
        <f t="shared" si="26"/>
        <v>109.86111111111111</v>
      </c>
      <c r="L57" s="49">
        <f t="shared" si="26"/>
        <v>89.837216248506579</v>
      </c>
      <c r="M57" s="49">
        <f t="shared" si="26"/>
        <v>93.773148148148152</v>
      </c>
      <c r="N57" s="49">
        <f t="shared" si="26"/>
        <v>145.19862604540026</v>
      </c>
      <c r="O57" s="49">
        <f>SUM(C57:N57)</f>
        <v>1202.2386854980941</v>
      </c>
      <c r="P57" s="49">
        <f>MAX(C57:N57)</f>
        <v>145.19862604540026</v>
      </c>
      <c r="Q57" s="49"/>
    </row>
    <row r="58" spans="1:24" x14ac:dyDescent="0.2"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U58" s="100"/>
      <c r="W58" s="100"/>
    </row>
    <row r="59" spans="1:24" x14ac:dyDescent="0.2">
      <c r="A59" s="15" t="str">
        <f>A10</f>
        <v>Residential and Farm Time-of-Day Rate</v>
      </c>
      <c r="B59" s="57" t="str">
        <f>B10</f>
        <v>GS-3</v>
      </c>
      <c r="C59" s="49">
        <v>19</v>
      </c>
      <c r="D59" s="49">
        <v>19</v>
      </c>
      <c r="E59" s="49">
        <v>19</v>
      </c>
      <c r="F59" s="49">
        <v>19</v>
      </c>
      <c r="G59" s="49">
        <v>19</v>
      </c>
      <c r="H59" s="49">
        <v>19</v>
      </c>
      <c r="I59" s="49">
        <v>19</v>
      </c>
      <c r="J59" s="49">
        <v>19</v>
      </c>
      <c r="K59" s="49">
        <v>19</v>
      </c>
      <c r="L59" s="49">
        <v>19</v>
      </c>
      <c r="M59" s="49">
        <v>19</v>
      </c>
      <c r="N59" s="49">
        <v>19</v>
      </c>
      <c r="O59" s="49">
        <f>SUM(C59:N59)</f>
        <v>228</v>
      </c>
      <c r="P59" s="49"/>
      <c r="Q59" s="34"/>
      <c r="V59" s="34">
        <f>AVERAGE(C59:N59)</f>
        <v>19</v>
      </c>
      <c r="W59" s="34">
        <f>N59</f>
        <v>19</v>
      </c>
      <c r="X59" s="34">
        <f>W59-V59</f>
        <v>0</v>
      </c>
    </row>
    <row r="60" spans="1:24" x14ac:dyDescent="0.2">
      <c r="A60" s="14" t="s">
        <v>935</v>
      </c>
      <c r="C60" s="49">
        <v>30237</v>
      </c>
      <c r="D60" s="49">
        <v>33515</v>
      </c>
      <c r="E60" s="49">
        <v>21632</v>
      </c>
      <c r="F60" s="49">
        <v>16638</v>
      </c>
      <c r="G60" s="49">
        <v>9941</v>
      </c>
      <c r="H60" s="49">
        <v>10676</v>
      </c>
      <c r="I60" s="49">
        <v>14147</v>
      </c>
      <c r="J60" s="49">
        <v>12163</v>
      </c>
      <c r="K60" s="49">
        <v>12788</v>
      </c>
      <c r="L60" s="49">
        <v>11614</v>
      </c>
      <c r="M60" s="49">
        <v>13290</v>
      </c>
      <c r="N60" s="49">
        <v>25934</v>
      </c>
      <c r="O60" s="49">
        <f>SUM(C60:N60)</f>
        <v>212575</v>
      </c>
      <c r="P60" s="112"/>
      <c r="Q60" s="112"/>
      <c r="U60" s="100"/>
      <c r="W60" s="100"/>
    </row>
    <row r="61" spans="1:24" x14ac:dyDescent="0.2">
      <c r="A61" s="14" t="s">
        <v>679</v>
      </c>
      <c r="C61" s="49">
        <f>C60/C$34</f>
        <v>40.641129032258064</v>
      </c>
      <c r="D61" s="49">
        <f t="shared" ref="D61" si="27">D60/D$34</f>
        <v>49.873511904761905</v>
      </c>
      <c r="E61" s="49">
        <f t="shared" ref="E61" si="28">E60/E$34</f>
        <v>29.0752688172043</v>
      </c>
      <c r="F61" s="49">
        <f t="shared" ref="F61" si="29">F60/F$34</f>
        <v>23.108333333333334</v>
      </c>
      <c r="G61" s="49">
        <f t="shared" ref="G61" si="30">G60/G$34</f>
        <v>13.361559139784946</v>
      </c>
      <c r="H61" s="49">
        <f t="shared" ref="H61" si="31">H60/H$34</f>
        <v>14.827777777777778</v>
      </c>
      <c r="I61" s="49">
        <f t="shared" ref="I61" si="32">I60/I$34</f>
        <v>19.01478494623656</v>
      </c>
      <c r="J61" s="49">
        <f t="shared" ref="J61" si="33">J60/J$34</f>
        <v>16.348118279569892</v>
      </c>
      <c r="K61" s="49">
        <f t="shared" ref="K61" si="34">K60/K$34</f>
        <v>17.761111111111113</v>
      </c>
      <c r="L61" s="49">
        <f t="shared" ref="L61" si="35">L60/L$34</f>
        <v>15.61021505376344</v>
      </c>
      <c r="M61" s="49">
        <f t="shared" ref="M61" si="36">M60/M$34</f>
        <v>18.458333333333332</v>
      </c>
      <c r="N61" s="49">
        <f t="shared" ref="N61" si="37">N60/N$34</f>
        <v>34.857526881720432</v>
      </c>
      <c r="O61" s="49">
        <f>O60/8760</f>
        <v>24.266552511415526</v>
      </c>
      <c r="P61" s="49"/>
      <c r="Q61" s="49"/>
    </row>
    <row r="62" spans="1:24" x14ac:dyDescent="0.2">
      <c r="A62" s="14" t="s">
        <v>754</v>
      </c>
      <c r="C62" s="67">
        <v>0.75</v>
      </c>
      <c r="D62" s="67">
        <v>0.75</v>
      </c>
      <c r="E62" s="67">
        <v>0.75</v>
      </c>
      <c r="F62" s="67">
        <v>0.75</v>
      </c>
      <c r="G62" s="67">
        <v>0.75</v>
      </c>
      <c r="H62" s="67">
        <v>0.75</v>
      </c>
      <c r="I62" s="67">
        <v>0.75</v>
      </c>
      <c r="J62" s="67">
        <v>0.75</v>
      </c>
      <c r="K62" s="67">
        <v>0.75</v>
      </c>
      <c r="L62" s="67">
        <v>0.75</v>
      </c>
      <c r="M62" s="67">
        <v>0.75</v>
      </c>
      <c r="N62" s="67">
        <v>0.75</v>
      </c>
      <c r="O62" s="67"/>
      <c r="Q62" s="34"/>
    </row>
    <row r="63" spans="1:24" x14ac:dyDescent="0.2">
      <c r="A63" s="14" t="s">
        <v>755</v>
      </c>
      <c r="C63" s="49">
        <f>C61/C62</f>
        <v>54.188172043010752</v>
      </c>
      <c r="D63" s="49">
        <f t="shared" ref="D63:N63" si="38">D61/D62</f>
        <v>66.498015873015873</v>
      </c>
      <c r="E63" s="49">
        <f t="shared" si="38"/>
        <v>38.767025089605731</v>
      </c>
      <c r="F63" s="49">
        <f t="shared" si="38"/>
        <v>30.811111111111114</v>
      </c>
      <c r="G63" s="49">
        <f t="shared" si="38"/>
        <v>17.815412186379927</v>
      </c>
      <c r="H63" s="49">
        <f t="shared" si="38"/>
        <v>19.770370370370369</v>
      </c>
      <c r="I63" s="49">
        <f t="shared" si="38"/>
        <v>25.353046594982079</v>
      </c>
      <c r="J63" s="49">
        <f t="shared" si="38"/>
        <v>21.797491039426522</v>
      </c>
      <c r="K63" s="49">
        <f t="shared" si="38"/>
        <v>23.681481481481484</v>
      </c>
      <c r="L63" s="49">
        <f t="shared" si="38"/>
        <v>20.813620071684586</v>
      </c>
      <c r="M63" s="49">
        <f t="shared" si="38"/>
        <v>24.611111111111111</v>
      </c>
      <c r="N63" s="49">
        <f t="shared" si="38"/>
        <v>46.476702508960578</v>
      </c>
      <c r="O63" s="49">
        <f>SUM(C63:N63)</f>
        <v>390.58355948114001</v>
      </c>
      <c r="Q63" s="34">
        <f>MAX(C63:N63)</f>
        <v>66.498015873015873</v>
      </c>
    </row>
    <row r="64" spans="1:24" x14ac:dyDescent="0.2">
      <c r="A64" s="14" t="s">
        <v>680</v>
      </c>
      <c r="C64" s="67">
        <v>0.25</v>
      </c>
      <c r="D64" s="67">
        <f>C64</f>
        <v>0.25</v>
      </c>
      <c r="E64" s="67">
        <f>D64</f>
        <v>0.25</v>
      </c>
      <c r="F64" s="67">
        <f t="shared" ref="F64:N64" si="39">E64</f>
        <v>0.25</v>
      </c>
      <c r="G64" s="67">
        <f t="shared" si="39"/>
        <v>0.25</v>
      </c>
      <c r="H64" s="67">
        <f t="shared" si="39"/>
        <v>0.25</v>
      </c>
      <c r="I64" s="67">
        <f t="shared" si="39"/>
        <v>0.25</v>
      </c>
      <c r="J64" s="67">
        <f t="shared" si="39"/>
        <v>0.25</v>
      </c>
      <c r="K64" s="67">
        <f t="shared" si="39"/>
        <v>0.25</v>
      </c>
      <c r="L64" s="67">
        <f t="shared" si="39"/>
        <v>0.25</v>
      </c>
      <c r="M64" s="67">
        <f t="shared" si="39"/>
        <v>0.25</v>
      </c>
      <c r="N64" s="67">
        <f t="shared" si="39"/>
        <v>0.25</v>
      </c>
      <c r="O64" s="67"/>
      <c r="P64" s="49"/>
      <c r="Q64" s="34"/>
    </row>
    <row r="65" spans="1:24" x14ac:dyDescent="0.2">
      <c r="A65" s="14" t="s">
        <v>681</v>
      </c>
      <c r="C65" s="49">
        <f>C63*C64</f>
        <v>13.547043010752688</v>
      </c>
      <c r="D65" s="49">
        <f t="shared" ref="D65:N65" si="40">D63*D64</f>
        <v>16.624503968253968</v>
      </c>
      <c r="E65" s="49">
        <f t="shared" si="40"/>
        <v>9.6917562724014328</v>
      </c>
      <c r="F65" s="49">
        <f t="shared" si="40"/>
        <v>7.7027777777777784</v>
      </c>
      <c r="G65" s="49">
        <f t="shared" si="40"/>
        <v>4.4538530465949817</v>
      </c>
      <c r="H65" s="49">
        <f t="shared" si="40"/>
        <v>4.9425925925925922</v>
      </c>
      <c r="I65" s="49">
        <f t="shared" si="40"/>
        <v>6.3382616487455197</v>
      </c>
      <c r="J65" s="49">
        <f t="shared" si="40"/>
        <v>5.4493727598566304</v>
      </c>
      <c r="K65" s="49">
        <f t="shared" si="40"/>
        <v>5.9203703703703709</v>
      </c>
      <c r="L65" s="49">
        <f t="shared" si="40"/>
        <v>5.2034050179211464</v>
      </c>
      <c r="M65" s="49">
        <f t="shared" si="40"/>
        <v>6.1527777777777777</v>
      </c>
      <c r="N65" s="49">
        <f t="shared" si="40"/>
        <v>11.619175627240145</v>
      </c>
      <c r="O65" s="49">
        <f>SUM(C65:N65)</f>
        <v>97.645889870285004</v>
      </c>
      <c r="P65" s="49"/>
      <c r="Q65" s="34"/>
      <c r="R65" s="34">
        <f>O65</f>
        <v>97.645889870285004</v>
      </c>
      <c r="S65" s="34">
        <f>H65+I65+J65</f>
        <v>16.730227001194741</v>
      </c>
      <c r="T65" s="34">
        <f>R65-S65</f>
        <v>80.915662869090255</v>
      </c>
    </row>
    <row r="66" spans="1:24" x14ac:dyDescent="0.2">
      <c r="A66" s="14" t="s">
        <v>756</v>
      </c>
      <c r="C66" s="67">
        <f>C46</f>
        <v>0.18</v>
      </c>
      <c r="D66" s="67">
        <f>C66</f>
        <v>0.18</v>
      </c>
      <c r="E66" s="67">
        <f>D66</f>
        <v>0.18</v>
      </c>
      <c r="F66" s="67">
        <f t="shared" ref="F66" si="41">E66</f>
        <v>0.18</v>
      </c>
      <c r="G66" s="67">
        <f t="shared" ref="G66" si="42">F66</f>
        <v>0.18</v>
      </c>
      <c r="H66" s="67">
        <f t="shared" ref="H66" si="43">G66</f>
        <v>0.18</v>
      </c>
      <c r="I66" s="67">
        <f t="shared" ref="I66" si="44">H66</f>
        <v>0.18</v>
      </c>
      <c r="J66" s="67">
        <f t="shared" ref="J66" si="45">I66</f>
        <v>0.18</v>
      </c>
      <c r="K66" s="67">
        <f t="shared" ref="K66" si="46">J66</f>
        <v>0.18</v>
      </c>
      <c r="L66" s="67">
        <f t="shared" ref="L66" si="47">K66</f>
        <v>0.18</v>
      </c>
      <c r="M66" s="67">
        <f t="shared" ref="M66" si="48">L66</f>
        <v>0.18</v>
      </c>
      <c r="N66" s="67">
        <f t="shared" ref="N66" si="49">M66</f>
        <v>0.18</v>
      </c>
      <c r="O66" s="67"/>
      <c r="P66" s="112"/>
      <c r="Q66" s="112"/>
      <c r="U66" s="100"/>
      <c r="W66" s="100"/>
    </row>
    <row r="67" spans="1:24" x14ac:dyDescent="0.2">
      <c r="A67" s="14" t="s">
        <v>757</v>
      </c>
      <c r="C67" s="49">
        <f>C61/C66</f>
        <v>225.78405017921148</v>
      </c>
      <c r="D67" s="49">
        <v>3591.71</v>
      </c>
      <c r="E67" s="49">
        <v>4071.1289999999999</v>
      </c>
      <c r="F67" s="49">
        <v>4182.01</v>
      </c>
      <c r="G67" s="49">
        <v>4113.59</v>
      </c>
      <c r="H67" s="49">
        <v>4614.7359999999999</v>
      </c>
      <c r="I67" s="49">
        <v>4315.3869999999997</v>
      </c>
      <c r="J67" s="49">
        <v>4035.087</v>
      </c>
      <c r="K67" s="49">
        <v>3944.1080000000002</v>
      </c>
      <c r="L67" s="49">
        <v>3889.9119999999998</v>
      </c>
      <c r="M67" s="49">
        <v>3650.136</v>
      </c>
      <c r="N67" s="49">
        <v>3667.5940000000001</v>
      </c>
      <c r="O67" s="49">
        <f>SUM(C67:N67)</f>
        <v>44301.183050179199</v>
      </c>
      <c r="P67" s="49">
        <f>MAX(C67:N67)</f>
        <v>4614.7359999999999</v>
      </c>
      <c r="Q67" s="49"/>
    </row>
    <row r="68" spans="1:24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34"/>
    </row>
    <row r="69" spans="1:24" x14ac:dyDescent="0.2">
      <c r="A69" s="15" t="str">
        <f>A11</f>
        <v>General Service (0-100 KW)</v>
      </c>
      <c r="B69" s="57" t="str">
        <f>B11</f>
        <v>SC-1</v>
      </c>
      <c r="C69" s="49">
        <v>2984</v>
      </c>
      <c r="D69" s="49">
        <v>2986</v>
      </c>
      <c r="E69" s="49">
        <v>3000</v>
      </c>
      <c r="F69" s="49">
        <v>3025</v>
      </c>
      <c r="G69" s="49">
        <v>3024</v>
      </c>
      <c r="H69" s="49">
        <v>3035</v>
      </c>
      <c r="I69" s="49">
        <v>3062</v>
      </c>
      <c r="J69" s="49">
        <v>3063</v>
      </c>
      <c r="K69" s="49">
        <v>3078</v>
      </c>
      <c r="L69" s="49">
        <v>3058</v>
      </c>
      <c r="M69" s="49">
        <v>3065</v>
      </c>
      <c r="N69" s="49">
        <v>3066</v>
      </c>
      <c r="O69" s="49">
        <f>SUM(C69:N69)</f>
        <v>36446</v>
      </c>
      <c r="P69" s="49"/>
      <c r="Q69" s="34"/>
      <c r="V69" s="34">
        <f>AVERAGE(C69:N69)</f>
        <v>3037.1666666666665</v>
      </c>
      <c r="W69" s="34">
        <f>N69</f>
        <v>3066</v>
      </c>
      <c r="X69" s="34">
        <f>W69-V69</f>
        <v>28.833333333333485</v>
      </c>
    </row>
    <row r="70" spans="1:24" x14ac:dyDescent="0.2">
      <c r="A70" s="14" t="s">
        <v>935</v>
      </c>
      <c r="C70" s="49">
        <v>6581357</v>
      </c>
      <c r="D70" s="49">
        <v>8037005</v>
      </c>
      <c r="E70" s="49">
        <v>6286484</v>
      </c>
      <c r="F70" s="49">
        <v>6163265</v>
      </c>
      <c r="G70" s="49">
        <v>5798469</v>
      </c>
      <c r="H70" s="49">
        <v>6487998</v>
      </c>
      <c r="I70" s="49">
        <v>7361223</v>
      </c>
      <c r="J70" s="49">
        <v>8575637</v>
      </c>
      <c r="K70" s="49">
        <v>8011496</v>
      </c>
      <c r="L70" s="49">
        <v>6765832</v>
      </c>
      <c r="M70" s="49">
        <v>6247173</v>
      </c>
      <c r="N70" s="49">
        <v>6044143</v>
      </c>
      <c r="O70" s="49">
        <f>SUM(C70:N70)</f>
        <v>82360082</v>
      </c>
      <c r="P70" s="112"/>
      <c r="Q70" s="112"/>
      <c r="U70" s="100"/>
      <c r="W70" s="100"/>
    </row>
    <row r="71" spans="1:24" x14ac:dyDescent="0.2">
      <c r="A71" s="14" t="s">
        <v>679</v>
      </c>
      <c r="C71" s="49">
        <f>C70/C$34</f>
        <v>8845.9099462365593</v>
      </c>
      <c r="D71" s="49">
        <f t="shared" ref="D71:N71" si="50">D70/D$34</f>
        <v>11959.828869047618</v>
      </c>
      <c r="E71" s="49">
        <f t="shared" si="50"/>
        <v>8449.5752688172051</v>
      </c>
      <c r="F71" s="49">
        <f t="shared" si="50"/>
        <v>8560.0902777777774</v>
      </c>
      <c r="G71" s="49">
        <f t="shared" si="50"/>
        <v>7793.6411290322585</v>
      </c>
      <c r="H71" s="49">
        <f t="shared" si="50"/>
        <v>9011.1083333333336</v>
      </c>
      <c r="I71" s="49">
        <f t="shared" si="50"/>
        <v>9894.1169354838712</v>
      </c>
      <c r="J71" s="49">
        <f t="shared" si="50"/>
        <v>11526.393817204302</v>
      </c>
      <c r="K71" s="49">
        <f t="shared" si="50"/>
        <v>11127.077777777778</v>
      </c>
      <c r="L71" s="49">
        <f t="shared" si="50"/>
        <v>9093.8602150537627</v>
      </c>
      <c r="M71" s="49">
        <f t="shared" si="50"/>
        <v>8676.6291666666675</v>
      </c>
      <c r="N71" s="49">
        <f t="shared" si="50"/>
        <v>8123.8481182795695</v>
      </c>
      <c r="O71" s="49">
        <f>O70/8760</f>
        <v>9401.835844748859</v>
      </c>
      <c r="P71" s="49"/>
      <c r="Q71" s="49"/>
    </row>
    <row r="72" spans="1:24" x14ac:dyDescent="0.2">
      <c r="A72" s="14" t="s">
        <v>754</v>
      </c>
      <c r="C72" s="67">
        <f>C76+0.15</f>
        <v>0.47044208947310062</v>
      </c>
      <c r="D72" s="67">
        <f t="shared" ref="D72:N72" si="51">D76+0.15</f>
        <v>0.53479590641589814</v>
      </c>
      <c r="E72" s="67">
        <f t="shared" si="51"/>
        <v>0.44768020664685337</v>
      </c>
      <c r="F72" s="67">
        <f t="shared" si="51"/>
        <v>0.45226924397601675</v>
      </c>
      <c r="G72" s="67">
        <f t="shared" si="51"/>
        <v>0.42165981609143899</v>
      </c>
      <c r="H72" s="67">
        <f t="shared" si="51"/>
        <v>0.48674354162850275</v>
      </c>
      <c r="I72" s="67">
        <f t="shared" si="51"/>
        <v>0.49181257103249987</v>
      </c>
      <c r="J72" s="67">
        <f t="shared" si="51"/>
        <v>0.53602573682244226</v>
      </c>
      <c r="K72" s="67">
        <f t="shared" si="51"/>
        <v>0.52731337319113392</v>
      </c>
      <c r="L72" s="67">
        <f t="shared" si="51"/>
        <v>0.47035893346291258</v>
      </c>
      <c r="M72" s="67">
        <f t="shared" si="51"/>
        <v>0.4512088536715626</v>
      </c>
      <c r="N72" s="67">
        <f t="shared" si="51"/>
        <v>0.42718461551173659</v>
      </c>
      <c r="O72" s="67"/>
      <c r="Q72" s="34"/>
    </row>
    <row r="73" spans="1:24" x14ac:dyDescent="0.2">
      <c r="A73" s="14" t="s">
        <v>755</v>
      </c>
      <c r="C73" s="49">
        <f>C71/C72</f>
        <v>18803.39821665204</v>
      </c>
      <c r="D73" s="49">
        <f t="shared" ref="D73:N73" si="52">D71/D72</f>
        <v>22363.351561907322</v>
      </c>
      <c r="E73" s="49">
        <f t="shared" si="52"/>
        <v>18874.131898984182</v>
      </c>
      <c r="F73" s="49">
        <f t="shared" si="52"/>
        <v>18926.978546062062</v>
      </c>
      <c r="G73" s="49">
        <f t="shared" si="52"/>
        <v>18483.243675613066</v>
      </c>
      <c r="H73" s="49">
        <f t="shared" si="52"/>
        <v>18513.05166409559</v>
      </c>
      <c r="I73" s="49">
        <f t="shared" si="52"/>
        <v>20117.657657087522</v>
      </c>
      <c r="J73" s="49">
        <f t="shared" si="52"/>
        <v>21503.433558121116</v>
      </c>
      <c r="K73" s="49">
        <f t="shared" si="52"/>
        <v>21101.451894611015</v>
      </c>
      <c r="L73" s="49">
        <f t="shared" si="52"/>
        <v>19333.873703858982</v>
      </c>
      <c r="M73" s="49">
        <f t="shared" si="52"/>
        <v>19229.740498360065</v>
      </c>
      <c r="N73" s="49">
        <f t="shared" si="52"/>
        <v>19017.183258221463</v>
      </c>
      <c r="O73" s="49">
        <f>SUM(C73:N73)</f>
        <v>236267.49613357443</v>
      </c>
      <c r="Q73" s="34">
        <f>MAX(C73:N73)</f>
        <v>22363.351561907322</v>
      </c>
    </row>
    <row r="74" spans="1:24" x14ac:dyDescent="0.2">
      <c r="A74" s="14" t="s">
        <v>680</v>
      </c>
      <c r="C74" s="67">
        <v>0.8</v>
      </c>
      <c r="D74" s="67">
        <f>C74</f>
        <v>0.8</v>
      </c>
      <c r="E74" s="67">
        <f t="shared" ref="E74" si="53">D74</f>
        <v>0.8</v>
      </c>
      <c r="F74" s="67">
        <f t="shared" ref="F74" si="54">E74</f>
        <v>0.8</v>
      </c>
      <c r="G74" s="67">
        <f t="shared" ref="G74" si="55">F74</f>
        <v>0.8</v>
      </c>
      <c r="H74" s="67">
        <f t="shared" ref="H74" si="56">G74</f>
        <v>0.8</v>
      </c>
      <c r="I74" s="67">
        <f t="shared" ref="I74" si="57">H74</f>
        <v>0.8</v>
      </c>
      <c r="J74" s="67">
        <f t="shared" ref="J74" si="58">I74</f>
        <v>0.8</v>
      </c>
      <c r="K74" s="67">
        <f t="shared" ref="K74" si="59">J74</f>
        <v>0.8</v>
      </c>
      <c r="L74" s="67">
        <f t="shared" ref="L74" si="60">K74</f>
        <v>0.8</v>
      </c>
      <c r="M74" s="67">
        <f t="shared" ref="M74" si="61">L74</f>
        <v>0.8</v>
      </c>
      <c r="N74" s="67">
        <f t="shared" ref="N74" si="62">M74</f>
        <v>0.8</v>
      </c>
      <c r="O74" s="67"/>
      <c r="P74" s="49"/>
      <c r="Q74" s="34"/>
    </row>
    <row r="75" spans="1:24" x14ac:dyDescent="0.2">
      <c r="A75" s="14" t="s">
        <v>681</v>
      </c>
      <c r="C75" s="49">
        <f>C73*C74</f>
        <v>15042.718573321632</v>
      </c>
      <c r="D75" s="49">
        <f t="shared" ref="D75:N75" si="63">D73*D74</f>
        <v>17890.68124952586</v>
      </c>
      <c r="E75" s="49">
        <f t="shared" si="63"/>
        <v>15099.305519187346</v>
      </c>
      <c r="F75" s="49">
        <f t="shared" si="63"/>
        <v>15141.582836849651</v>
      </c>
      <c r="G75" s="49">
        <f t="shared" si="63"/>
        <v>14786.594940490453</v>
      </c>
      <c r="H75" s="49">
        <f t="shared" si="63"/>
        <v>14810.441331276474</v>
      </c>
      <c r="I75" s="49">
        <f t="shared" si="63"/>
        <v>16094.126125670018</v>
      </c>
      <c r="J75" s="49">
        <f t="shared" si="63"/>
        <v>17202.746846496895</v>
      </c>
      <c r="K75" s="49">
        <f t="shared" si="63"/>
        <v>16881.161515688811</v>
      </c>
      <c r="L75" s="49">
        <f t="shared" si="63"/>
        <v>15467.098963087186</v>
      </c>
      <c r="M75" s="49">
        <f t="shared" si="63"/>
        <v>15383.792398688052</v>
      </c>
      <c r="N75" s="49">
        <f t="shared" si="63"/>
        <v>15213.746606577171</v>
      </c>
      <c r="O75" s="49">
        <f>SUM(C75:N75)</f>
        <v>189013.99690685957</v>
      </c>
      <c r="P75" s="49"/>
      <c r="Q75" s="34"/>
      <c r="R75" s="34">
        <f>O75</f>
        <v>189013.99690685957</v>
      </c>
      <c r="S75" s="34">
        <f>H75+I75+J75</f>
        <v>48107.314303443389</v>
      </c>
      <c r="T75" s="34">
        <f>R75-S75</f>
        <v>140906.68260341618</v>
      </c>
    </row>
    <row r="76" spans="1:24" x14ac:dyDescent="0.2">
      <c r="A76" s="14" t="s">
        <v>756</v>
      </c>
      <c r="C76" s="67">
        <f>C71/C77</f>
        <v>0.32044208947310066</v>
      </c>
      <c r="D76" s="67">
        <f t="shared" ref="D76:N76" si="64">D71/D77</f>
        <v>0.38479590641589811</v>
      </c>
      <c r="E76" s="67">
        <f t="shared" si="64"/>
        <v>0.29768020664685341</v>
      </c>
      <c r="F76" s="67">
        <f t="shared" si="64"/>
        <v>0.30226924397601679</v>
      </c>
      <c r="G76" s="67">
        <f t="shared" si="64"/>
        <v>0.27165981609143897</v>
      </c>
      <c r="H76" s="67">
        <f t="shared" si="64"/>
        <v>0.33674354162850273</v>
      </c>
      <c r="I76" s="67">
        <f t="shared" si="64"/>
        <v>0.34181257103249985</v>
      </c>
      <c r="J76" s="67">
        <f t="shared" si="64"/>
        <v>0.38602573682244229</v>
      </c>
      <c r="K76" s="67">
        <f t="shared" si="64"/>
        <v>0.37731337319113389</v>
      </c>
      <c r="L76" s="67">
        <f t="shared" si="64"/>
        <v>0.32035893346291255</v>
      </c>
      <c r="M76" s="67">
        <f t="shared" si="64"/>
        <v>0.30120885367156264</v>
      </c>
      <c r="N76" s="67">
        <f t="shared" si="64"/>
        <v>0.27718461551173657</v>
      </c>
      <c r="O76" s="67"/>
      <c r="P76" s="112"/>
      <c r="Q76" s="112"/>
      <c r="U76" s="100"/>
      <c r="W76" s="100"/>
    </row>
    <row r="77" spans="1:24" x14ac:dyDescent="0.2">
      <c r="A77" s="14" t="s">
        <v>757</v>
      </c>
      <c r="C77" s="49">
        <v>27605.330999999998</v>
      </c>
      <c r="D77" s="49">
        <v>31080.967000000001</v>
      </c>
      <c r="E77" s="49">
        <v>28384.739999999998</v>
      </c>
      <c r="F77" s="49">
        <v>28319.421999999999</v>
      </c>
      <c r="G77" s="49">
        <v>28688.973000000002</v>
      </c>
      <c r="H77" s="49">
        <v>26759.558000000001</v>
      </c>
      <c r="I77" s="49">
        <v>28946.03</v>
      </c>
      <c r="J77" s="49">
        <v>29859.133000000002</v>
      </c>
      <c r="K77" s="49">
        <v>29490.281999999999</v>
      </c>
      <c r="L77" s="49">
        <v>28386.472999999998</v>
      </c>
      <c r="M77" s="49">
        <v>28806.023000000001</v>
      </c>
      <c r="N77" s="49">
        <v>29308.437999999998</v>
      </c>
      <c r="O77" s="49">
        <f>SUM(C77:N77)</f>
        <v>345635.37</v>
      </c>
      <c r="P77" s="49">
        <f>MAX(C77:N77)</f>
        <v>31080.967000000001</v>
      </c>
      <c r="Q77" s="49"/>
    </row>
    <row r="79" spans="1:24" x14ac:dyDescent="0.2">
      <c r="A79" s="15" t="str">
        <f>A12</f>
        <v>General Service 0-100 KW Time of Day Rate</v>
      </c>
      <c r="B79" s="57" t="str">
        <f>B12</f>
        <v>SC-2</v>
      </c>
      <c r="C79" s="49">
        <v>48</v>
      </c>
      <c r="D79" s="49">
        <v>48</v>
      </c>
      <c r="E79" s="49">
        <v>48</v>
      </c>
      <c r="F79" s="49">
        <v>48</v>
      </c>
      <c r="G79" s="49">
        <v>49</v>
      </c>
      <c r="H79" s="49">
        <v>49</v>
      </c>
      <c r="I79" s="49">
        <v>49</v>
      </c>
      <c r="J79" s="49">
        <v>49</v>
      </c>
      <c r="K79" s="49">
        <v>49</v>
      </c>
      <c r="L79" s="49">
        <v>49</v>
      </c>
      <c r="M79" s="49">
        <v>49</v>
      </c>
      <c r="N79" s="49">
        <v>49</v>
      </c>
      <c r="O79" s="49">
        <f>SUM(C79:N79)</f>
        <v>584</v>
      </c>
      <c r="P79" s="49"/>
      <c r="Q79" s="34"/>
      <c r="V79" s="34">
        <f>AVERAGE(C79:N79)</f>
        <v>48.666666666666664</v>
      </c>
      <c r="W79" s="34">
        <f>N79</f>
        <v>49</v>
      </c>
      <c r="X79" s="34">
        <f>W79-V79</f>
        <v>0.3333333333333357</v>
      </c>
    </row>
    <row r="80" spans="1:24" x14ac:dyDescent="0.2">
      <c r="A80" s="14" t="s">
        <v>935</v>
      </c>
      <c r="C80" s="49">
        <v>135716</v>
      </c>
      <c r="D80" s="49">
        <v>190426</v>
      </c>
      <c r="E80" s="49">
        <v>117509</v>
      </c>
      <c r="F80" s="49">
        <v>105857</v>
      </c>
      <c r="G80" s="49">
        <v>85107</v>
      </c>
      <c r="H80" s="49">
        <v>85212</v>
      </c>
      <c r="I80" s="49">
        <v>118027</v>
      </c>
      <c r="J80" s="49">
        <v>144355</v>
      </c>
      <c r="K80" s="49">
        <v>128356</v>
      </c>
      <c r="L80" s="49">
        <v>104773</v>
      </c>
      <c r="M80" s="49">
        <v>83563</v>
      </c>
      <c r="N80" s="49">
        <v>97209</v>
      </c>
      <c r="O80" s="49">
        <f>SUM(C80:N80)</f>
        <v>1396110</v>
      </c>
      <c r="P80" s="112"/>
      <c r="Q80" s="112"/>
      <c r="U80" s="100"/>
      <c r="W80" s="100"/>
    </row>
    <row r="81" spans="1:24" x14ac:dyDescent="0.2">
      <c r="A81" s="14" t="s">
        <v>679</v>
      </c>
      <c r="C81" s="49">
        <f>C80/C$34</f>
        <v>182.41397849462365</v>
      </c>
      <c r="D81" s="49">
        <f t="shared" ref="D81:N81" si="65">D80/D$34</f>
        <v>283.3720238095238</v>
      </c>
      <c r="E81" s="49">
        <f t="shared" si="65"/>
        <v>157.94220430107526</v>
      </c>
      <c r="F81" s="49">
        <f t="shared" si="65"/>
        <v>147.02361111111111</v>
      </c>
      <c r="G81" s="49">
        <f t="shared" si="65"/>
        <v>114.39112903225806</v>
      </c>
      <c r="H81" s="49">
        <f t="shared" si="65"/>
        <v>118.35</v>
      </c>
      <c r="I81" s="49">
        <f t="shared" si="65"/>
        <v>158.63844086021504</v>
      </c>
      <c r="J81" s="49">
        <f t="shared" si="65"/>
        <v>194.02553763440861</v>
      </c>
      <c r="K81" s="49">
        <f t="shared" si="65"/>
        <v>178.27222222222221</v>
      </c>
      <c r="L81" s="49">
        <f t="shared" si="65"/>
        <v>140.82392473118279</v>
      </c>
      <c r="M81" s="49">
        <f t="shared" si="65"/>
        <v>116.05972222222222</v>
      </c>
      <c r="N81" s="49">
        <f t="shared" si="65"/>
        <v>130.65725806451613</v>
      </c>
      <c r="O81" s="49">
        <f>O80/8760</f>
        <v>159.37328767123287</v>
      </c>
      <c r="P81" s="49"/>
      <c r="Q81" s="49"/>
    </row>
    <row r="82" spans="1:24" x14ac:dyDescent="0.2">
      <c r="A82" s="14" t="s">
        <v>754</v>
      </c>
      <c r="C82" s="67">
        <v>0.75</v>
      </c>
      <c r="D82" s="67">
        <v>0.75</v>
      </c>
      <c r="E82" s="67">
        <v>0.75</v>
      </c>
      <c r="F82" s="67">
        <v>0.75</v>
      </c>
      <c r="G82" s="67">
        <v>0.75</v>
      </c>
      <c r="H82" s="67">
        <v>0.75</v>
      </c>
      <c r="I82" s="67">
        <v>0.75</v>
      </c>
      <c r="J82" s="67">
        <v>0.75</v>
      </c>
      <c r="K82" s="67">
        <v>0.75</v>
      </c>
      <c r="L82" s="67">
        <v>0.75</v>
      </c>
      <c r="M82" s="67">
        <v>0.75</v>
      </c>
      <c r="N82" s="67">
        <v>0.75</v>
      </c>
      <c r="O82" s="67"/>
      <c r="Q82" s="34"/>
    </row>
    <row r="83" spans="1:24" x14ac:dyDescent="0.2">
      <c r="A83" s="14" t="s">
        <v>755</v>
      </c>
      <c r="C83" s="49">
        <f>C81/C82</f>
        <v>243.21863799283153</v>
      </c>
      <c r="D83" s="49">
        <f t="shared" ref="D83:N83" si="66">D81/D82</f>
        <v>377.82936507936506</v>
      </c>
      <c r="E83" s="49">
        <f t="shared" si="66"/>
        <v>210.58960573476702</v>
      </c>
      <c r="F83" s="49">
        <f t="shared" si="66"/>
        <v>196.03148148148148</v>
      </c>
      <c r="G83" s="49">
        <f t="shared" si="66"/>
        <v>152.52150537634409</v>
      </c>
      <c r="H83" s="49">
        <f t="shared" si="66"/>
        <v>157.79999999999998</v>
      </c>
      <c r="I83" s="49">
        <f t="shared" si="66"/>
        <v>211.5179211469534</v>
      </c>
      <c r="J83" s="49">
        <f t="shared" si="66"/>
        <v>258.70071684587816</v>
      </c>
      <c r="K83" s="49">
        <f t="shared" si="66"/>
        <v>237.69629629629628</v>
      </c>
      <c r="L83" s="49">
        <f t="shared" si="66"/>
        <v>187.76523297491039</v>
      </c>
      <c r="M83" s="49">
        <f t="shared" si="66"/>
        <v>154.74629629629629</v>
      </c>
      <c r="N83" s="49">
        <f t="shared" si="66"/>
        <v>174.20967741935485</v>
      </c>
      <c r="O83" s="49">
        <f>SUM(C83:N83)</f>
        <v>2562.6267366444781</v>
      </c>
      <c r="Q83" s="34">
        <f>MAX(C83:N83)</f>
        <v>377.82936507936506</v>
      </c>
    </row>
    <row r="84" spans="1:24" x14ac:dyDescent="0.2">
      <c r="A84" s="14" t="s">
        <v>680</v>
      </c>
      <c r="C84" s="67">
        <v>0.25</v>
      </c>
      <c r="D84" s="67">
        <f t="shared" ref="D84:N84" si="67">C84</f>
        <v>0.25</v>
      </c>
      <c r="E84" s="67">
        <f t="shared" si="67"/>
        <v>0.25</v>
      </c>
      <c r="F84" s="67">
        <f t="shared" si="67"/>
        <v>0.25</v>
      </c>
      <c r="G84" s="67">
        <f t="shared" si="67"/>
        <v>0.25</v>
      </c>
      <c r="H84" s="67">
        <f t="shared" si="67"/>
        <v>0.25</v>
      </c>
      <c r="I84" s="67">
        <f t="shared" si="67"/>
        <v>0.25</v>
      </c>
      <c r="J84" s="67">
        <f t="shared" si="67"/>
        <v>0.25</v>
      </c>
      <c r="K84" s="67">
        <f t="shared" si="67"/>
        <v>0.25</v>
      </c>
      <c r="L84" s="67">
        <f t="shared" si="67"/>
        <v>0.25</v>
      </c>
      <c r="M84" s="67">
        <f t="shared" si="67"/>
        <v>0.25</v>
      </c>
      <c r="N84" s="67">
        <f t="shared" si="67"/>
        <v>0.25</v>
      </c>
      <c r="O84" s="67"/>
      <c r="P84" s="49"/>
      <c r="Q84" s="34"/>
    </row>
    <row r="85" spans="1:24" x14ac:dyDescent="0.2">
      <c r="A85" s="14" t="s">
        <v>681</v>
      </c>
      <c r="C85" s="49">
        <f>C83*C84</f>
        <v>60.804659498207883</v>
      </c>
      <c r="D85" s="49">
        <f t="shared" ref="D85:N85" si="68">D83*D84</f>
        <v>94.457341269841265</v>
      </c>
      <c r="E85" s="49">
        <f t="shared" si="68"/>
        <v>52.647401433691755</v>
      </c>
      <c r="F85" s="49">
        <f t="shared" si="68"/>
        <v>49.00787037037037</v>
      </c>
      <c r="G85" s="49">
        <f t="shared" si="68"/>
        <v>38.130376344086024</v>
      </c>
      <c r="H85" s="49">
        <f t="shared" si="68"/>
        <v>39.449999999999996</v>
      </c>
      <c r="I85" s="49">
        <f t="shared" si="68"/>
        <v>52.87948028673835</v>
      </c>
      <c r="J85" s="49">
        <f t="shared" si="68"/>
        <v>64.675179211469541</v>
      </c>
      <c r="K85" s="49">
        <f t="shared" si="68"/>
        <v>59.42407407407407</v>
      </c>
      <c r="L85" s="49">
        <f t="shared" si="68"/>
        <v>46.941308243727597</v>
      </c>
      <c r="M85" s="49">
        <f t="shared" si="68"/>
        <v>38.686574074074073</v>
      </c>
      <c r="N85" s="49">
        <f t="shared" si="68"/>
        <v>43.552419354838712</v>
      </c>
      <c r="O85" s="49">
        <f>SUM(C85:N85)</f>
        <v>640.65668416111953</v>
      </c>
      <c r="P85" s="49"/>
      <c r="Q85" s="34"/>
      <c r="R85" s="34">
        <f>O85</f>
        <v>640.65668416111953</v>
      </c>
      <c r="S85" s="34">
        <f>H85+I85+J85</f>
        <v>157.0046594982079</v>
      </c>
      <c r="T85" s="34">
        <f>R85-S85</f>
        <v>483.65202466291163</v>
      </c>
    </row>
    <row r="86" spans="1:24" x14ac:dyDescent="0.2">
      <c r="A86" s="14" t="s">
        <v>756</v>
      </c>
      <c r="C86" s="67">
        <f>C76</f>
        <v>0.32044208947310066</v>
      </c>
      <c r="D86" s="67">
        <f t="shared" ref="D86:N86" si="69">D76</f>
        <v>0.38479590641589811</v>
      </c>
      <c r="E86" s="67">
        <f t="shared" si="69"/>
        <v>0.29768020664685341</v>
      </c>
      <c r="F86" s="67">
        <f t="shared" si="69"/>
        <v>0.30226924397601679</v>
      </c>
      <c r="G86" s="67">
        <f t="shared" si="69"/>
        <v>0.27165981609143897</v>
      </c>
      <c r="H86" s="67">
        <f t="shared" si="69"/>
        <v>0.33674354162850273</v>
      </c>
      <c r="I86" s="67">
        <f t="shared" si="69"/>
        <v>0.34181257103249985</v>
      </c>
      <c r="J86" s="67">
        <f t="shared" si="69"/>
        <v>0.38602573682244229</v>
      </c>
      <c r="K86" s="67">
        <f t="shared" si="69"/>
        <v>0.37731337319113389</v>
      </c>
      <c r="L86" s="67">
        <f t="shared" si="69"/>
        <v>0.32035893346291255</v>
      </c>
      <c r="M86" s="67">
        <f t="shared" si="69"/>
        <v>0.30120885367156264</v>
      </c>
      <c r="N86" s="67">
        <f t="shared" si="69"/>
        <v>0.27718461551173657</v>
      </c>
      <c r="O86" s="67"/>
      <c r="P86" s="112"/>
      <c r="Q86" s="112"/>
      <c r="U86" s="100"/>
      <c r="W86" s="100"/>
    </row>
    <row r="87" spans="1:24" x14ac:dyDescent="0.2">
      <c r="A87" s="14" t="s">
        <v>757</v>
      </c>
      <c r="C87" s="49">
        <f>C81/C86</f>
        <v>569.25723707071347</v>
      </c>
      <c r="D87" s="49">
        <v>3591.71</v>
      </c>
      <c r="E87" s="49">
        <v>4071.1289999999999</v>
      </c>
      <c r="F87" s="49">
        <v>4182.01</v>
      </c>
      <c r="G87" s="49">
        <v>4113.59</v>
      </c>
      <c r="H87" s="49">
        <v>4614.7359999999999</v>
      </c>
      <c r="I87" s="49">
        <v>4315.3869999999997</v>
      </c>
      <c r="J87" s="49">
        <v>4035.087</v>
      </c>
      <c r="K87" s="49">
        <v>3944.1080000000002</v>
      </c>
      <c r="L87" s="49">
        <v>3889.9119999999998</v>
      </c>
      <c r="M87" s="49">
        <v>3650.136</v>
      </c>
      <c r="N87" s="49">
        <v>3667.5940000000001</v>
      </c>
      <c r="O87" s="49">
        <f>SUM(C87:N87)</f>
        <v>44644.656237070703</v>
      </c>
      <c r="P87" s="49">
        <f>MAX(C87:N87)</f>
        <v>4614.7359999999999</v>
      </c>
      <c r="Q87" s="49"/>
    </row>
    <row r="88" spans="1:24" x14ac:dyDescent="0.2">
      <c r="H88" s="209"/>
    </row>
    <row r="89" spans="1:24" x14ac:dyDescent="0.2">
      <c r="A89" s="15" t="str">
        <f>A13</f>
        <v>Large Power (101 - 500 kW)</v>
      </c>
      <c r="B89" s="57" t="str">
        <f>B13</f>
        <v>LP-1</v>
      </c>
      <c r="C89" s="49">
        <v>62</v>
      </c>
      <c r="D89" s="49">
        <v>62</v>
      </c>
      <c r="E89" s="49">
        <v>62</v>
      </c>
      <c r="F89" s="49">
        <v>62</v>
      </c>
      <c r="G89" s="49">
        <v>62</v>
      </c>
      <c r="H89" s="49">
        <v>62</v>
      </c>
      <c r="I89" s="49">
        <v>62</v>
      </c>
      <c r="J89" s="49">
        <v>62</v>
      </c>
      <c r="K89" s="49">
        <v>62</v>
      </c>
      <c r="L89" s="49">
        <v>62</v>
      </c>
      <c r="M89" s="49">
        <v>62</v>
      </c>
      <c r="N89" s="49">
        <v>63</v>
      </c>
      <c r="O89" s="49">
        <f>SUM(C89:N89)</f>
        <v>745</v>
      </c>
      <c r="P89" s="49"/>
      <c r="Q89" s="34"/>
      <c r="V89" s="34">
        <f>AVERAGE(C89:N89)</f>
        <v>62.083333333333336</v>
      </c>
      <c r="W89" s="34">
        <f>N89</f>
        <v>63</v>
      </c>
      <c r="X89" s="34">
        <f>W89-V89</f>
        <v>0.9166666666666643</v>
      </c>
    </row>
    <row r="90" spans="1:24" x14ac:dyDescent="0.2">
      <c r="A90" s="14" t="s">
        <v>935</v>
      </c>
      <c r="C90" s="49">
        <v>3035684</v>
      </c>
      <c r="D90" s="49">
        <v>3462136</v>
      </c>
      <c r="E90" s="49">
        <v>2921852</v>
      </c>
      <c r="F90" s="49">
        <v>2932056</v>
      </c>
      <c r="G90" s="49">
        <v>2851068</v>
      </c>
      <c r="H90" s="49">
        <v>3063496</v>
      </c>
      <c r="I90" s="49">
        <v>3039868</v>
      </c>
      <c r="J90" s="49">
        <v>3406656</v>
      </c>
      <c r="K90" s="49">
        <v>3410924</v>
      </c>
      <c r="L90" s="49">
        <v>3095308</v>
      </c>
      <c r="M90" s="49">
        <v>2948664</v>
      </c>
      <c r="N90" s="49">
        <v>2777961</v>
      </c>
      <c r="O90" s="49">
        <f>SUM(C90:N90)</f>
        <v>36945673</v>
      </c>
      <c r="P90" s="112"/>
      <c r="Q90" s="112"/>
      <c r="U90" s="100"/>
      <c r="W90" s="100"/>
    </row>
    <row r="91" spans="1:24" x14ac:dyDescent="0.2">
      <c r="A91" s="14" t="s">
        <v>679</v>
      </c>
      <c r="C91" s="49">
        <f>C90/C$34</f>
        <v>4080.2204301075267</v>
      </c>
      <c r="D91" s="49">
        <f t="shared" ref="D91:N91" si="70">D90/D$34</f>
        <v>5151.9880952380954</v>
      </c>
      <c r="E91" s="49">
        <f t="shared" si="70"/>
        <v>3927.2204301075267</v>
      </c>
      <c r="F91" s="49">
        <f t="shared" si="70"/>
        <v>4072.3</v>
      </c>
      <c r="G91" s="49">
        <f t="shared" si="70"/>
        <v>3832.0806451612902</v>
      </c>
      <c r="H91" s="49">
        <f t="shared" si="70"/>
        <v>4254.8555555555558</v>
      </c>
      <c r="I91" s="49">
        <f t="shared" si="70"/>
        <v>4085.8440860215055</v>
      </c>
      <c r="J91" s="49">
        <f t="shared" si="70"/>
        <v>4578.8387096774195</v>
      </c>
      <c r="K91" s="49">
        <f t="shared" si="70"/>
        <v>4737.3944444444442</v>
      </c>
      <c r="L91" s="49">
        <f t="shared" si="70"/>
        <v>4160.3602150537636</v>
      </c>
      <c r="M91" s="49">
        <f t="shared" si="70"/>
        <v>4095.3666666666668</v>
      </c>
      <c r="N91" s="49">
        <f t="shared" si="70"/>
        <v>3733.8185483870966</v>
      </c>
      <c r="O91" s="49">
        <f>O90/8760</f>
        <v>4217.5425799086761</v>
      </c>
      <c r="P91" s="49"/>
      <c r="Q91" s="49"/>
    </row>
    <row r="92" spans="1:24" x14ac:dyDescent="0.2">
      <c r="A92" s="14" t="s">
        <v>754</v>
      </c>
      <c r="C92" s="67">
        <f>C96+0.1</f>
        <v>0.54127980128205688</v>
      </c>
      <c r="D92" s="67">
        <f t="shared" ref="D92:N92" si="71">D96+0.1</f>
        <v>0.61276517472803282</v>
      </c>
      <c r="E92" s="67">
        <f t="shared" si="71"/>
        <v>0.50320956409378848</v>
      </c>
      <c r="F92" s="67">
        <f t="shared" si="71"/>
        <v>0.54120188320387352</v>
      </c>
      <c r="G92" s="67">
        <f t="shared" si="71"/>
        <v>0.51422578864047408</v>
      </c>
      <c r="H92" s="67">
        <f t="shared" si="71"/>
        <v>0.57821008212967229</v>
      </c>
      <c r="I92" s="67">
        <f t="shared" si="71"/>
        <v>0.56637780646608604</v>
      </c>
      <c r="J92" s="67">
        <f t="shared" si="71"/>
        <v>0.61652960980588223</v>
      </c>
      <c r="K92" s="67">
        <f t="shared" si="71"/>
        <v>0.59383497220123482</v>
      </c>
      <c r="L92" s="67">
        <f t="shared" si="71"/>
        <v>0.53397733906611189</v>
      </c>
      <c r="M92" s="67">
        <f t="shared" si="71"/>
        <v>0.5836374150290502</v>
      </c>
      <c r="N92" s="67">
        <f t="shared" si="71"/>
        <v>0.52715347159567039</v>
      </c>
      <c r="O92" s="67"/>
      <c r="Q92" s="34"/>
    </row>
    <row r="93" spans="1:24" x14ac:dyDescent="0.2">
      <c r="A93" s="14" t="s">
        <v>755</v>
      </c>
      <c r="C93" s="49">
        <f>C91/C92</f>
        <v>7538.0984482392578</v>
      </c>
      <c r="D93" s="49">
        <f t="shared" ref="D93:N93" si="72">D91/D92</f>
        <v>8407.7690895614833</v>
      </c>
      <c r="E93" s="49">
        <f t="shared" si="72"/>
        <v>7804.3437770899945</v>
      </c>
      <c r="F93" s="49">
        <f t="shared" si="72"/>
        <v>7524.5488354406625</v>
      </c>
      <c r="G93" s="49">
        <f t="shared" si="72"/>
        <v>7452.1362596237395</v>
      </c>
      <c r="H93" s="49">
        <f t="shared" si="72"/>
        <v>7358.667181803552</v>
      </c>
      <c r="I93" s="49">
        <f t="shared" si="72"/>
        <v>7213.9904483813143</v>
      </c>
      <c r="J93" s="49">
        <f t="shared" si="72"/>
        <v>7426.7944910530614</v>
      </c>
      <c r="K93" s="49">
        <f t="shared" si="72"/>
        <v>7977.6279037319273</v>
      </c>
      <c r="L93" s="49">
        <f t="shared" si="72"/>
        <v>7791.2673641355932</v>
      </c>
      <c r="M93" s="49">
        <f t="shared" si="72"/>
        <v>7016.9707445209324</v>
      </c>
      <c r="N93" s="49">
        <f t="shared" si="72"/>
        <v>7082.9819958976877</v>
      </c>
      <c r="O93" s="49">
        <f>SUM(C93:N93)</f>
        <v>90595.196539479221</v>
      </c>
      <c r="Q93" s="34">
        <f>MAX(C93:N93)</f>
        <v>8407.7690895614833</v>
      </c>
    </row>
    <row r="94" spans="1:24" x14ac:dyDescent="0.2">
      <c r="A94" s="14" t="s">
        <v>680</v>
      </c>
      <c r="C94" s="67">
        <v>0.8</v>
      </c>
      <c r="D94" s="67">
        <f>C94</f>
        <v>0.8</v>
      </c>
      <c r="E94" s="67">
        <f t="shared" ref="E94" si="73">D94</f>
        <v>0.8</v>
      </c>
      <c r="F94" s="67">
        <f t="shared" ref="F94" si="74">E94</f>
        <v>0.8</v>
      </c>
      <c r="G94" s="67">
        <f t="shared" ref="G94" si="75">F94</f>
        <v>0.8</v>
      </c>
      <c r="H94" s="67">
        <f t="shared" ref="H94" si="76">G94</f>
        <v>0.8</v>
      </c>
      <c r="I94" s="67">
        <f t="shared" ref="I94" si="77">H94</f>
        <v>0.8</v>
      </c>
      <c r="J94" s="67">
        <f t="shared" ref="J94" si="78">I94</f>
        <v>0.8</v>
      </c>
      <c r="K94" s="67">
        <f t="shared" ref="K94" si="79">J94</f>
        <v>0.8</v>
      </c>
      <c r="L94" s="67">
        <f t="shared" ref="L94" si="80">K94</f>
        <v>0.8</v>
      </c>
      <c r="M94" s="67">
        <f t="shared" ref="M94" si="81">L94</f>
        <v>0.8</v>
      </c>
      <c r="N94" s="67">
        <f t="shared" ref="N94" si="82">M94</f>
        <v>0.8</v>
      </c>
      <c r="O94" s="67"/>
      <c r="P94" s="49"/>
      <c r="Q94" s="34"/>
    </row>
    <row r="95" spans="1:24" x14ac:dyDescent="0.2">
      <c r="A95" s="14" t="s">
        <v>681</v>
      </c>
      <c r="C95" s="49">
        <f>C93*C94</f>
        <v>6030.4787585914064</v>
      </c>
      <c r="D95" s="49">
        <f t="shared" ref="D95:N95" si="83">D93*D94</f>
        <v>6726.2152716491873</v>
      </c>
      <c r="E95" s="49">
        <f t="shared" si="83"/>
        <v>6243.4750216719958</v>
      </c>
      <c r="F95" s="49">
        <f t="shared" si="83"/>
        <v>6019.6390683525306</v>
      </c>
      <c r="G95" s="49">
        <f t="shared" si="83"/>
        <v>5961.7090076989916</v>
      </c>
      <c r="H95" s="49">
        <f t="shared" si="83"/>
        <v>5886.9337454428423</v>
      </c>
      <c r="I95" s="49">
        <f t="shared" si="83"/>
        <v>5771.1923587050514</v>
      </c>
      <c r="J95" s="49">
        <f t="shared" si="83"/>
        <v>5941.4355928424493</v>
      </c>
      <c r="K95" s="49">
        <f t="shared" si="83"/>
        <v>6382.1023229855418</v>
      </c>
      <c r="L95" s="49">
        <f t="shared" si="83"/>
        <v>6233.0138913084747</v>
      </c>
      <c r="M95" s="49">
        <f t="shared" si="83"/>
        <v>5613.5765956167461</v>
      </c>
      <c r="N95" s="49">
        <f t="shared" si="83"/>
        <v>5666.3855967181507</v>
      </c>
      <c r="O95" s="49">
        <f>SUM(C95:N95)</f>
        <v>72476.157231583362</v>
      </c>
      <c r="P95" s="49"/>
      <c r="Q95" s="34"/>
      <c r="R95" s="34">
        <f>O95</f>
        <v>72476.157231583362</v>
      </c>
      <c r="S95" s="34">
        <f>H95+I95+J95</f>
        <v>17599.561696990342</v>
      </c>
      <c r="T95" s="34">
        <f>R95-S95</f>
        <v>54876.59553459302</v>
      </c>
    </row>
    <row r="96" spans="1:24" x14ac:dyDescent="0.2">
      <c r="A96" s="14" t="s">
        <v>756</v>
      </c>
      <c r="C96" s="67">
        <f>C91/C97</f>
        <v>0.4412798012820569</v>
      </c>
      <c r="D96" s="67">
        <f t="shared" ref="D96:N96" si="84">D91/D97</f>
        <v>0.51276517472803285</v>
      </c>
      <c r="E96" s="67">
        <f t="shared" si="84"/>
        <v>0.40320956409378844</v>
      </c>
      <c r="F96" s="67">
        <f t="shared" si="84"/>
        <v>0.44120188320387349</v>
      </c>
      <c r="G96" s="67">
        <f t="shared" si="84"/>
        <v>0.4142257886404741</v>
      </c>
      <c r="H96" s="67">
        <f t="shared" si="84"/>
        <v>0.47821008212967231</v>
      </c>
      <c r="I96" s="67">
        <f t="shared" si="84"/>
        <v>0.46637780646608601</v>
      </c>
      <c r="J96" s="67">
        <f t="shared" si="84"/>
        <v>0.51652960980588225</v>
      </c>
      <c r="K96" s="67">
        <f t="shared" si="84"/>
        <v>0.49383497220123485</v>
      </c>
      <c r="L96" s="67">
        <f t="shared" si="84"/>
        <v>0.43397733906611191</v>
      </c>
      <c r="M96" s="67">
        <f t="shared" si="84"/>
        <v>0.48363741502905017</v>
      </c>
      <c r="N96" s="67">
        <f t="shared" si="84"/>
        <v>0.42715347159567035</v>
      </c>
      <c r="O96" s="67"/>
      <c r="P96" s="112"/>
      <c r="Q96" s="112"/>
      <c r="U96" s="100"/>
      <c r="W96" s="100"/>
    </row>
    <row r="97" spans="1:24" x14ac:dyDescent="0.2">
      <c r="A97" s="14" t="s">
        <v>757</v>
      </c>
      <c r="C97" s="49">
        <v>9246.3340000000007</v>
      </c>
      <c r="D97" s="49">
        <v>10047.460999999999</v>
      </c>
      <c r="E97" s="49">
        <v>9739.8990000000013</v>
      </c>
      <c r="F97" s="49">
        <v>9230.0149999999994</v>
      </c>
      <c r="G97" s="49">
        <v>9251.1880000000001</v>
      </c>
      <c r="H97" s="49">
        <v>8897.4609999999993</v>
      </c>
      <c r="I97" s="49">
        <v>8760.8029999999999</v>
      </c>
      <c r="J97" s="49">
        <v>8864.619999999999</v>
      </c>
      <c r="K97" s="49">
        <v>9593.0720000000001</v>
      </c>
      <c r="L97" s="49">
        <v>9586.5840000000007</v>
      </c>
      <c r="M97" s="49">
        <v>8467.8449999999993</v>
      </c>
      <c r="N97" s="49">
        <v>8741.1640000000007</v>
      </c>
      <c r="O97" s="49">
        <f>SUM(C97:N97)</f>
        <v>110426.44600000001</v>
      </c>
      <c r="P97" s="49">
        <f>MAX(C97:N97)</f>
        <v>10047.460999999999</v>
      </c>
      <c r="Q97" s="49"/>
    </row>
    <row r="98" spans="1:24" ht="16.5" customHeight="1" x14ac:dyDescent="0.2"/>
    <row r="99" spans="1:24" ht="14.25" customHeight="1" x14ac:dyDescent="0.2">
      <c r="A99" s="15" t="str">
        <f>A14</f>
        <v>Large Power (over 500 kW)</v>
      </c>
      <c r="B99" s="293" t="str">
        <f>B14</f>
        <v>LP-2</v>
      </c>
      <c r="C99" s="49">
        <v>29</v>
      </c>
      <c r="D99" s="49">
        <v>29</v>
      </c>
      <c r="E99" s="49">
        <v>29</v>
      </c>
      <c r="F99" s="49">
        <v>29</v>
      </c>
      <c r="G99" s="49">
        <v>29</v>
      </c>
      <c r="H99" s="49">
        <v>29</v>
      </c>
      <c r="I99" s="49">
        <v>29</v>
      </c>
      <c r="J99" s="49">
        <v>29</v>
      </c>
      <c r="K99" s="49">
        <v>31</v>
      </c>
      <c r="L99" s="49">
        <v>31</v>
      </c>
      <c r="M99" s="49">
        <v>31</v>
      </c>
      <c r="N99" s="49">
        <v>31</v>
      </c>
      <c r="O99" s="49">
        <f>SUM(C99:N99)</f>
        <v>356</v>
      </c>
      <c r="P99" s="49"/>
      <c r="Q99" s="34"/>
      <c r="V99" s="34">
        <f>AVERAGE(C99:N99)</f>
        <v>29.666666666666668</v>
      </c>
      <c r="W99" s="34">
        <f>N99</f>
        <v>31</v>
      </c>
      <c r="X99" s="34">
        <f>W99-V99</f>
        <v>1.3333333333333321</v>
      </c>
    </row>
    <row r="100" spans="1:24" x14ac:dyDescent="0.2">
      <c r="A100" s="14" t="s">
        <v>935</v>
      </c>
      <c r="C100" s="49">
        <v>8929213</v>
      </c>
      <c r="D100" s="49">
        <v>9935929</v>
      </c>
      <c r="E100" s="49">
        <v>9053191</v>
      </c>
      <c r="F100" s="49">
        <v>9162023</v>
      </c>
      <c r="G100" s="49">
        <v>8985281</v>
      </c>
      <c r="H100" s="49">
        <v>9613570</v>
      </c>
      <c r="I100" s="49">
        <v>9960000</v>
      </c>
      <c r="J100" s="49">
        <v>11050010</v>
      </c>
      <c r="K100" s="49">
        <v>11227787</v>
      </c>
      <c r="L100" s="49">
        <v>10415158</v>
      </c>
      <c r="M100" s="49">
        <v>10562067</v>
      </c>
      <c r="N100" s="49">
        <v>10340360</v>
      </c>
      <c r="O100" s="49">
        <f>SUM(C100:N100)</f>
        <v>119234589</v>
      </c>
      <c r="P100" s="112"/>
      <c r="Q100" s="112"/>
      <c r="U100" s="100"/>
      <c r="W100" s="100"/>
    </row>
    <row r="101" spans="1:24" x14ac:dyDescent="0.2">
      <c r="A101" s="14" t="s">
        <v>679</v>
      </c>
      <c r="C101" s="49">
        <f>C100/C$34</f>
        <v>12001.630376344086</v>
      </c>
      <c r="D101" s="49">
        <f t="shared" ref="D101" si="85">D100/D$34</f>
        <v>14785.608630952382</v>
      </c>
      <c r="E101" s="49">
        <f t="shared" ref="E101" si="86">E100/E$34</f>
        <v>12168.26747311828</v>
      </c>
      <c r="F101" s="49">
        <f t="shared" ref="F101" si="87">F100/F$34</f>
        <v>12725.031944444445</v>
      </c>
      <c r="G101" s="49">
        <f t="shared" ref="G101" si="88">G100/G$34</f>
        <v>12076.990591397849</v>
      </c>
      <c r="H101" s="49">
        <f t="shared" ref="H101" si="89">H100/H$34</f>
        <v>13352.180555555555</v>
      </c>
      <c r="I101" s="49">
        <f t="shared" ref="I101" si="90">I100/I$34</f>
        <v>13387.096774193549</v>
      </c>
      <c r="J101" s="49">
        <f t="shared" ref="J101" si="91">J100/J$34</f>
        <v>14852.163978494624</v>
      </c>
      <c r="K101" s="49">
        <f t="shared" ref="K101" si="92">K100/K$34</f>
        <v>15594.148611111112</v>
      </c>
      <c r="L101" s="49">
        <f t="shared" ref="L101" si="93">L100/L$34</f>
        <v>13998.868279569893</v>
      </c>
      <c r="M101" s="49">
        <f t="shared" ref="M101" si="94">M100/M$34</f>
        <v>14669.5375</v>
      </c>
      <c r="N101" s="49">
        <f t="shared" ref="N101" si="95">N100/N$34</f>
        <v>13898.333333333334</v>
      </c>
      <c r="O101" s="49">
        <f>O100/8760</f>
        <v>13611.254452054794</v>
      </c>
      <c r="P101" s="49"/>
      <c r="Q101" s="49"/>
    </row>
    <row r="102" spans="1:24" x14ac:dyDescent="0.2">
      <c r="A102" s="14" t="s">
        <v>754</v>
      </c>
      <c r="C102" s="67">
        <f>C106+0.1</f>
        <v>0.63120027457305539</v>
      </c>
      <c r="D102" s="67">
        <f t="shared" ref="D102:N102" si="96">D106+0.1</f>
        <v>0.72133352693063735</v>
      </c>
      <c r="E102" s="67">
        <f t="shared" si="96"/>
        <v>0.61889943342434961</v>
      </c>
      <c r="F102" s="67">
        <f t="shared" si="96"/>
        <v>0.6359267974452989</v>
      </c>
      <c r="G102" s="67">
        <f t="shared" si="96"/>
        <v>0.57544620176169348</v>
      </c>
      <c r="H102" s="67">
        <f t="shared" si="96"/>
        <v>0.61523066604183652</v>
      </c>
      <c r="I102" s="67">
        <f t="shared" si="96"/>
        <v>0.63503908227786265</v>
      </c>
      <c r="J102" s="67">
        <f t="shared" si="96"/>
        <v>0.67358085985412475</v>
      </c>
      <c r="K102" s="67">
        <f t="shared" si="96"/>
        <v>0.66513784376168128</v>
      </c>
      <c r="L102" s="67">
        <f t="shared" si="96"/>
        <v>0.5911157444850047</v>
      </c>
      <c r="M102" s="67">
        <f t="shared" si="96"/>
        <v>0.63572106786781035</v>
      </c>
      <c r="N102" s="67">
        <f t="shared" si="96"/>
        <v>0.62515151430421023</v>
      </c>
      <c r="O102" s="67"/>
      <c r="Q102" s="34"/>
    </row>
    <row r="103" spans="1:24" x14ac:dyDescent="0.2">
      <c r="A103" s="14" t="s">
        <v>755</v>
      </c>
      <c r="C103" s="49">
        <f>C101/C102</f>
        <v>19013.981551991565</v>
      </c>
      <c r="D103" s="49">
        <f t="shared" ref="D103:N103" si="97">D101/D102</f>
        <v>20497.603506476346</v>
      </c>
      <c r="E103" s="49">
        <f t="shared" si="97"/>
        <v>19661.138491905975</v>
      </c>
      <c r="F103" s="49">
        <f t="shared" si="97"/>
        <v>20010.215005193306</v>
      </c>
      <c r="G103" s="49">
        <f t="shared" si="97"/>
        <v>20987.175785372947</v>
      </c>
      <c r="H103" s="49">
        <f t="shared" si="97"/>
        <v>21702.722722614722</v>
      </c>
      <c r="I103" s="49">
        <f t="shared" si="97"/>
        <v>21080.744709718507</v>
      </c>
      <c r="J103" s="49">
        <f t="shared" si="97"/>
        <v>22049.563554568802</v>
      </c>
      <c r="K103" s="49">
        <f t="shared" si="97"/>
        <v>23444.98776812719</v>
      </c>
      <c r="L103" s="49">
        <f t="shared" si="97"/>
        <v>23682.110331481814</v>
      </c>
      <c r="M103" s="49">
        <f t="shared" si="97"/>
        <v>23075.430784764136</v>
      </c>
      <c r="N103" s="49">
        <f t="shared" si="97"/>
        <v>22231.943801339254</v>
      </c>
      <c r="O103" s="49">
        <f>SUM(C103:N103)</f>
        <v>257437.6180135546</v>
      </c>
      <c r="P103" s="49"/>
      <c r="Q103" s="49">
        <f>MAX(C103:N103)</f>
        <v>23682.110331481814</v>
      </c>
    </row>
    <row r="104" spans="1:24" x14ac:dyDescent="0.2">
      <c r="A104" s="14" t="s">
        <v>680</v>
      </c>
      <c r="C104" s="67">
        <v>0.8</v>
      </c>
      <c r="D104" s="67">
        <f>C104</f>
        <v>0.8</v>
      </c>
      <c r="E104" s="67">
        <f t="shared" ref="E104" si="98">D104</f>
        <v>0.8</v>
      </c>
      <c r="F104" s="67">
        <f t="shared" ref="F104" si="99">E104</f>
        <v>0.8</v>
      </c>
      <c r="G104" s="67">
        <f t="shared" ref="G104" si="100">F104</f>
        <v>0.8</v>
      </c>
      <c r="H104" s="67">
        <f t="shared" ref="H104" si="101">G104</f>
        <v>0.8</v>
      </c>
      <c r="I104" s="67">
        <f t="shared" ref="I104" si="102">H104</f>
        <v>0.8</v>
      </c>
      <c r="J104" s="67">
        <f t="shared" ref="J104" si="103">I104</f>
        <v>0.8</v>
      </c>
      <c r="K104" s="67">
        <f t="shared" ref="K104" si="104">J104</f>
        <v>0.8</v>
      </c>
      <c r="L104" s="67">
        <f t="shared" ref="L104" si="105">K104</f>
        <v>0.8</v>
      </c>
      <c r="M104" s="67">
        <f t="shared" ref="M104" si="106">L104</f>
        <v>0.8</v>
      </c>
      <c r="N104" s="67">
        <f t="shared" ref="N104" si="107">M104</f>
        <v>0.8</v>
      </c>
      <c r="O104" s="67"/>
      <c r="P104" s="49"/>
      <c r="Q104" s="34"/>
    </row>
    <row r="105" spans="1:24" x14ac:dyDescent="0.2">
      <c r="A105" s="14" t="s">
        <v>681</v>
      </c>
      <c r="C105" s="49">
        <f>C103*C104</f>
        <v>15211.185241593252</v>
      </c>
      <c r="D105" s="49">
        <f t="shared" ref="D105:N105" si="108">D103*D104</f>
        <v>16398.082805181079</v>
      </c>
      <c r="E105" s="49">
        <f t="shared" si="108"/>
        <v>15728.910793524781</v>
      </c>
      <c r="F105" s="49">
        <f t="shared" si="108"/>
        <v>16008.172004154645</v>
      </c>
      <c r="G105" s="49">
        <f t="shared" si="108"/>
        <v>16789.740628298357</v>
      </c>
      <c r="H105" s="49">
        <f t="shared" si="108"/>
        <v>17362.178178091777</v>
      </c>
      <c r="I105" s="49">
        <f t="shared" si="108"/>
        <v>16864.595767774805</v>
      </c>
      <c r="J105" s="49">
        <f t="shared" si="108"/>
        <v>17639.650843655043</v>
      </c>
      <c r="K105" s="49">
        <f t="shared" si="108"/>
        <v>18755.990214501751</v>
      </c>
      <c r="L105" s="49">
        <f t="shared" si="108"/>
        <v>18945.68826518545</v>
      </c>
      <c r="M105" s="49">
        <f t="shared" si="108"/>
        <v>18460.344627811308</v>
      </c>
      <c r="N105" s="49">
        <f t="shared" si="108"/>
        <v>17785.555041071402</v>
      </c>
      <c r="O105" s="49">
        <f>SUM(C105:N105)</f>
        <v>205950.09441084365</v>
      </c>
      <c r="P105" s="49"/>
      <c r="Q105" s="34"/>
      <c r="R105" s="34">
        <f>O105</f>
        <v>205950.09441084365</v>
      </c>
      <c r="S105" s="34">
        <f>H105+I105+J105</f>
        <v>51866.424789521625</v>
      </c>
      <c r="T105" s="34">
        <f>R105-S105</f>
        <v>154083.66962132201</v>
      </c>
    </row>
    <row r="106" spans="1:24" x14ac:dyDescent="0.2">
      <c r="A106" s="14" t="s">
        <v>756</v>
      </c>
      <c r="C106" s="67">
        <f>C101/C107</f>
        <v>0.53120027457305541</v>
      </c>
      <c r="D106" s="67">
        <f t="shared" ref="D106:N106" si="109">D101/D107</f>
        <v>0.62133352693063737</v>
      </c>
      <c r="E106" s="67">
        <f t="shared" si="109"/>
        <v>0.51889943342434963</v>
      </c>
      <c r="F106" s="67">
        <f t="shared" si="109"/>
        <v>0.53592679744529892</v>
      </c>
      <c r="G106" s="67">
        <f t="shared" si="109"/>
        <v>0.47544620176169344</v>
      </c>
      <c r="H106" s="67">
        <f t="shared" si="109"/>
        <v>0.51523066604183654</v>
      </c>
      <c r="I106" s="67">
        <f t="shared" si="109"/>
        <v>0.53503908227786268</v>
      </c>
      <c r="J106" s="67">
        <f t="shared" si="109"/>
        <v>0.57358085985412477</v>
      </c>
      <c r="K106" s="67">
        <f t="shared" si="109"/>
        <v>0.5651378437616813</v>
      </c>
      <c r="L106" s="67">
        <f t="shared" si="109"/>
        <v>0.49111574448500467</v>
      </c>
      <c r="M106" s="67">
        <f t="shared" si="109"/>
        <v>0.53572106786781037</v>
      </c>
      <c r="N106" s="67">
        <f t="shared" si="109"/>
        <v>0.52515151430421025</v>
      </c>
      <c r="O106" s="67"/>
      <c r="P106" s="112"/>
      <c r="Q106" s="112"/>
      <c r="U106" s="100"/>
      <c r="W106" s="100"/>
    </row>
    <row r="107" spans="1:24" x14ac:dyDescent="0.2">
      <c r="A107" s="14" t="s">
        <v>757</v>
      </c>
      <c r="C107" s="49">
        <v>22593.418999999998</v>
      </c>
      <c r="D107" s="49">
        <v>23796.573000000004</v>
      </c>
      <c r="E107" s="49">
        <v>23450.146000000001</v>
      </c>
      <c r="F107" s="49">
        <v>23743.974000000002</v>
      </c>
      <c r="G107" s="49">
        <v>25401.382000000001</v>
      </c>
      <c r="H107" s="49">
        <v>25914.957000000002</v>
      </c>
      <c r="I107" s="49">
        <v>25020.783000000003</v>
      </c>
      <c r="J107" s="49">
        <v>25893.758000000002</v>
      </c>
      <c r="K107" s="49">
        <v>27593.531000000003</v>
      </c>
      <c r="L107" s="49">
        <v>28504.214</v>
      </c>
      <c r="M107" s="49">
        <v>27382.79</v>
      </c>
      <c r="N107" s="49">
        <v>26465.378000000004</v>
      </c>
      <c r="O107" s="49">
        <f>SUM(C107:N107)</f>
        <v>305760.90500000003</v>
      </c>
      <c r="P107" s="49">
        <f>MAX(C107:N107)</f>
        <v>28504.214</v>
      </c>
      <c r="Q107" s="49"/>
    </row>
    <row r="109" spans="1:24" x14ac:dyDescent="0.2">
      <c r="A109" s="292" t="str">
        <f>A15</f>
        <v>Large Industrial (1,000 - 3,999 kW)</v>
      </c>
      <c r="B109" s="293" t="str">
        <f>B15</f>
        <v>B-1</v>
      </c>
      <c r="C109" s="49">
        <v>3</v>
      </c>
      <c r="D109" s="49">
        <v>3</v>
      </c>
      <c r="E109" s="49">
        <v>3</v>
      </c>
      <c r="F109" s="49">
        <v>3</v>
      </c>
      <c r="G109" s="49">
        <v>3</v>
      </c>
      <c r="H109" s="49">
        <v>3</v>
      </c>
      <c r="I109" s="49">
        <v>3</v>
      </c>
      <c r="J109" s="49">
        <v>3</v>
      </c>
      <c r="K109" s="49">
        <v>3</v>
      </c>
      <c r="L109" s="49">
        <v>3</v>
      </c>
      <c r="M109" s="49">
        <v>3</v>
      </c>
      <c r="N109" s="49">
        <v>3</v>
      </c>
      <c r="O109" s="49">
        <f>SUM(C109:N109)</f>
        <v>36</v>
      </c>
      <c r="P109" s="49"/>
      <c r="Q109" s="34"/>
      <c r="V109" s="34">
        <f>AVERAGE(C109:N109)</f>
        <v>3</v>
      </c>
      <c r="W109" s="34">
        <f>N109</f>
        <v>3</v>
      </c>
      <c r="X109" s="34">
        <f>W109-V109</f>
        <v>0</v>
      </c>
    </row>
    <row r="110" spans="1:24" x14ac:dyDescent="0.2">
      <c r="A110" s="14" t="s">
        <v>935</v>
      </c>
      <c r="C110" s="49">
        <v>10982624</v>
      </c>
      <c r="D110" s="49">
        <v>10527729</v>
      </c>
      <c r="E110" s="49">
        <v>7587418</v>
      </c>
      <c r="F110" s="49">
        <v>5501522</v>
      </c>
      <c r="G110" s="49">
        <v>2981488</v>
      </c>
      <c r="H110" s="49">
        <v>3116133</v>
      </c>
      <c r="I110" s="49">
        <v>3016010</v>
      </c>
      <c r="J110" s="49">
        <v>3117954</v>
      </c>
      <c r="K110" s="49">
        <v>2968985</v>
      </c>
      <c r="L110" s="49">
        <v>2540769</v>
      </c>
      <c r="M110" s="49">
        <v>5143869</v>
      </c>
      <c r="N110" s="49">
        <v>12018340</v>
      </c>
      <c r="O110" s="49">
        <f>SUM(C110:N110)</f>
        <v>69502841</v>
      </c>
      <c r="P110" s="112"/>
      <c r="Q110" s="112"/>
      <c r="U110" s="100"/>
      <c r="W110" s="100"/>
    </row>
    <row r="111" spans="1:24" x14ac:dyDescent="0.2">
      <c r="A111" s="14" t="s">
        <v>679</v>
      </c>
      <c r="C111" s="49">
        <f>C110/C$34</f>
        <v>14761.591397849463</v>
      </c>
      <c r="D111" s="49">
        <f t="shared" ref="D111:N111" si="110">D110/D$34</f>
        <v>15666.263392857143</v>
      </c>
      <c r="E111" s="49">
        <f t="shared" si="110"/>
        <v>10198.14247311828</v>
      </c>
      <c r="F111" s="49">
        <f t="shared" si="110"/>
        <v>7641.0027777777777</v>
      </c>
      <c r="G111" s="49">
        <f t="shared" si="110"/>
        <v>4007.3763440860216</v>
      </c>
      <c r="H111" s="49">
        <f t="shared" si="110"/>
        <v>4327.9624999999996</v>
      </c>
      <c r="I111" s="49">
        <f t="shared" si="110"/>
        <v>4053.7768817204301</v>
      </c>
      <c r="J111" s="49">
        <f t="shared" si="110"/>
        <v>4190.7983870967746</v>
      </c>
      <c r="K111" s="49">
        <f t="shared" si="110"/>
        <v>4123.5902777777774</v>
      </c>
      <c r="L111" s="49">
        <f t="shared" si="110"/>
        <v>3415.0120967741937</v>
      </c>
      <c r="M111" s="49">
        <f t="shared" si="110"/>
        <v>7144.2624999999998</v>
      </c>
      <c r="N111" s="49">
        <f t="shared" si="110"/>
        <v>16153.682795698925</v>
      </c>
      <c r="O111" s="49">
        <f>O110/8760</f>
        <v>7934.1142694063929</v>
      </c>
      <c r="P111" s="49"/>
      <c r="Q111" s="49"/>
    </row>
    <row r="112" spans="1:24" x14ac:dyDescent="0.2">
      <c r="A112" s="14" t="s">
        <v>754</v>
      </c>
      <c r="C112" s="67">
        <f>C116+0.05</f>
        <v>0.98225765163654599</v>
      </c>
      <c r="D112" s="67">
        <f>D116</f>
        <v>1.0922607655776415</v>
      </c>
      <c r="E112" s="67">
        <f t="shared" ref="E112:N112" si="111">E116+0.05</f>
        <v>0.74946587240778606</v>
      </c>
      <c r="F112" s="67">
        <f t="shared" si="111"/>
        <v>0.37520191698300648</v>
      </c>
      <c r="G112" s="67">
        <f t="shared" si="111"/>
        <v>0.7697310904843534</v>
      </c>
      <c r="H112" s="67">
        <f t="shared" si="111"/>
        <v>0.84532549271833513</v>
      </c>
      <c r="I112" s="67">
        <f t="shared" si="111"/>
        <v>0.81624859306452613</v>
      </c>
      <c r="J112" s="67">
        <f t="shared" si="111"/>
        <v>0.83936284506323589</v>
      </c>
      <c r="K112" s="67">
        <f t="shared" si="111"/>
        <v>0.8307700698631012</v>
      </c>
      <c r="L112" s="67">
        <f t="shared" si="111"/>
        <v>0.98052100729542069</v>
      </c>
      <c r="M112" s="67">
        <f t="shared" si="111"/>
        <v>0.55459532856819982</v>
      </c>
      <c r="N112" s="67">
        <f t="shared" si="111"/>
        <v>0.59188586948656785</v>
      </c>
      <c r="O112" s="67"/>
      <c r="Q112" s="34"/>
    </row>
    <row r="113" spans="1:24" x14ac:dyDescent="0.2">
      <c r="A113" s="14" t="s">
        <v>755</v>
      </c>
      <c r="C113" s="49">
        <f>C111/C112</f>
        <v>15028.227444454189</v>
      </c>
      <c r="D113" s="49">
        <f t="shared" ref="D113:N113" si="112">D111/D112</f>
        <v>14342.969999999998</v>
      </c>
      <c r="E113" s="49">
        <f t="shared" si="112"/>
        <v>13607.213948721934</v>
      </c>
      <c r="F113" s="49">
        <f t="shared" si="112"/>
        <v>20365.041946531022</v>
      </c>
      <c r="G113" s="49">
        <f t="shared" si="112"/>
        <v>5206.2030410703292</v>
      </c>
      <c r="H113" s="49">
        <f t="shared" si="112"/>
        <v>5119.8769435930035</v>
      </c>
      <c r="I113" s="49">
        <f t="shared" si="112"/>
        <v>4966.3508349838839</v>
      </c>
      <c r="J113" s="49">
        <f t="shared" si="112"/>
        <v>4992.8328514244022</v>
      </c>
      <c r="K113" s="49">
        <f t="shared" si="112"/>
        <v>4963.5758766048048</v>
      </c>
      <c r="L113" s="49">
        <f t="shared" si="112"/>
        <v>3482.8545960415986</v>
      </c>
      <c r="M113" s="49">
        <f t="shared" si="112"/>
        <v>12881.937751701516</v>
      </c>
      <c r="N113" s="49">
        <f t="shared" si="112"/>
        <v>27291.887893372852</v>
      </c>
      <c r="O113" s="49">
        <f>SUM(C113:N113)</f>
        <v>132248.97312849952</v>
      </c>
      <c r="Q113" s="34">
        <f>MAX(C113:N113)</f>
        <v>27291.887893372852</v>
      </c>
    </row>
    <row r="114" spans="1:24" x14ac:dyDescent="0.2">
      <c r="A114" s="14" t="s">
        <v>680</v>
      </c>
      <c r="C114" s="67">
        <v>0.8</v>
      </c>
      <c r="D114" s="67">
        <f>C114</f>
        <v>0.8</v>
      </c>
      <c r="E114" s="67">
        <f t="shared" ref="E114" si="113">D114</f>
        <v>0.8</v>
      </c>
      <c r="F114" s="67">
        <f t="shared" ref="F114" si="114">E114</f>
        <v>0.8</v>
      </c>
      <c r="G114" s="67">
        <f t="shared" ref="G114" si="115">F114</f>
        <v>0.8</v>
      </c>
      <c r="H114" s="67">
        <f t="shared" ref="H114" si="116">G114</f>
        <v>0.8</v>
      </c>
      <c r="I114" s="67">
        <f t="shared" ref="I114" si="117">H114</f>
        <v>0.8</v>
      </c>
      <c r="J114" s="67">
        <f t="shared" ref="J114" si="118">I114</f>
        <v>0.8</v>
      </c>
      <c r="K114" s="67">
        <f t="shared" ref="K114" si="119">J114</f>
        <v>0.8</v>
      </c>
      <c r="L114" s="67">
        <f t="shared" ref="L114" si="120">K114</f>
        <v>0.8</v>
      </c>
      <c r="M114" s="67">
        <f t="shared" ref="M114" si="121">L114</f>
        <v>0.8</v>
      </c>
      <c r="N114" s="67">
        <f t="shared" ref="N114" si="122">M114</f>
        <v>0.8</v>
      </c>
      <c r="O114" s="67"/>
      <c r="P114" s="49"/>
      <c r="Q114" s="34"/>
    </row>
    <row r="115" spans="1:24" x14ac:dyDescent="0.2">
      <c r="A115" s="14" t="s">
        <v>681</v>
      </c>
      <c r="C115" s="49">
        <f>C113*C114</f>
        <v>12022.581955563352</v>
      </c>
      <c r="D115" s="49">
        <f t="shared" ref="D115:N115" si="123">D113*D114</f>
        <v>11474.375999999998</v>
      </c>
      <c r="E115" s="49">
        <f t="shared" si="123"/>
        <v>10885.771158977548</v>
      </c>
      <c r="F115" s="49">
        <f t="shared" si="123"/>
        <v>16292.033557224819</v>
      </c>
      <c r="G115" s="49">
        <f t="shared" si="123"/>
        <v>4164.9624328562631</v>
      </c>
      <c r="H115" s="49">
        <f t="shared" si="123"/>
        <v>4095.9015548744028</v>
      </c>
      <c r="I115" s="49">
        <f t="shared" si="123"/>
        <v>3973.0806679871075</v>
      </c>
      <c r="J115" s="49">
        <f t="shared" si="123"/>
        <v>3994.2662811395221</v>
      </c>
      <c r="K115" s="49">
        <f t="shared" si="123"/>
        <v>3970.8607012838438</v>
      </c>
      <c r="L115" s="49">
        <f t="shared" si="123"/>
        <v>2786.2836768332791</v>
      </c>
      <c r="M115" s="49">
        <f t="shared" si="123"/>
        <v>10305.550201361213</v>
      </c>
      <c r="N115" s="49">
        <f t="shared" si="123"/>
        <v>21833.510314698284</v>
      </c>
      <c r="O115" s="49">
        <f>SUM(C115:N115)</f>
        <v>105799.17850279964</v>
      </c>
      <c r="P115" s="49"/>
      <c r="Q115" s="34"/>
      <c r="R115" s="34">
        <f>O115</f>
        <v>105799.17850279964</v>
      </c>
      <c r="S115" s="34">
        <f>H115+I115+J115</f>
        <v>12063.248504001032</v>
      </c>
      <c r="T115" s="34">
        <f>R115-S115</f>
        <v>93735.929998798601</v>
      </c>
    </row>
    <row r="116" spans="1:24" x14ac:dyDescent="0.2">
      <c r="A116" s="14" t="s">
        <v>756</v>
      </c>
      <c r="C116" s="67">
        <f>C111/C117</f>
        <v>0.93225765163654595</v>
      </c>
      <c r="D116" s="67">
        <f t="shared" ref="D116:N116" si="124">D111/D117</f>
        <v>1.0922607655776415</v>
      </c>
      <c r="E116" s="67">
        <f t="shared" si="124"/>
        <v>0.69946587240778602</v>
      </c>
      <c r="F116" s="67">
        <f t="shared" si="124"/>
        <v>0.32520191698300649</v>
      </c>
      <c r="G116" s="67">
        <f t="shared" si="124"/>
        <v>0.71973109048435335</v>
      </c>
      <c r="H116" s="67">
        <f t="shared" si="124"/>
        <v>0.79532549271833508</v>
      </c>
      <c r="I116" s="67">
        <f t="shared" si="124"/>
        <v>0.76624859306452608</v>
      </c>
      <c r="J116" s="67">
        <f t="shared" si="124"/>
        <v>0.78936284506323584</v>
      </c>
      <c r="K116" s="67">
        <f t="shared" si="124"/>
        <v>0.78077006986310116</v>
      </c>
      <c r="L116" s="67">
        <f t="shared" si="124"/>
        <v>0.93052100729542064</v>
      </c>
      <c r="M116" s="67">
        <f t="shared" si="124"/>
        <v>0.50459532856819977</v>
      </c>
      <c r="N116" s="67">
        <f t="shared" si="124"/>
        <v>0.54188586948656781</v>
      </c>
      <c r="O116" s="67"/>
      <c r="P116" s="112"/>
      <c r="Q116" s="112"/>
      <c r="U116" s="100"/>
      <c r="W116" s="100"/>
    </row>
    <row r="117" spans="1:24" x14ac:dyDescent="0.2">
      <c r="A117" s="14" t="s">
        <v>757</v>
      </c>
      <c r="C117" s="49">
        <v>15834.240000000002</v>
      </c>
      <c r="D117" s="49">
        <v>14342.97</v>
      </c>
      <c r="E117" s="49">
        <v>14579.900000000001</v>
      </c>
      <c r="F117" s="49">
        <v>23496.18</v>
      </c>
      <c r="G117" s="49">
        <v>5567.88</v>
      </c>
      <c r="H117" s="49">
        <v>5441.75</v>
      </c>
      <c r="I117" s="49">
        <v>5290.42</v>
      </c>
      <c r="J117" s="49">
        <v>5309.09</v>
      </c>
      <c r="K117" s="49">
        <v>5281.4400000000005</v>
      </c>
      <c r="L117" s="49">
        <v>3670</v>
      </c>
      <c r="M117" s="49">
        <v>14158.400000000001</v>
      </c>
      <c r="N117" s="49">
        <v>29810.12</v>
      </c>
      <c r="O117" s="49">
        <f>SUM(C117:N117)</f>
        <v>142782.39000000001</v>
      </c>
      <c r="P117" s="49">
        <f>MAX(C117:N117)</f>
        <v>29810.12</v>
      </c>
      <c r="Q117" s="49"/>
    </row>
    <row r="118" spans="1:24" ht="14.25" customHeight="1" x14ac:dyDescent="0.2"/>
    <row r="119" spans="1:24" x14ac:dyDescent="0.2">
      <c r="A119" s="15" t="str">
        <f>A16</f>
        <v>Large Industrial (over 4,000 kW)</v>
      </c>
      <c r="B119" s="57" t="str">
        <f>B16</f>
        <v>B-2</v>
      </c>
      <c r="C119" s="49">
        <v>3</v>
      </c>
      <c r="D119" s="49">
        <v>3</v>
      </c>
      <c r="E119" s="49">
        <v>3</v>
      </c>
      <c r="F119" s="49">
        <v>3</v>
      </c>
      <c r="G119" s="49">
        <v>3</v>
      </c>
      <c r="H119" s="49">
        <v>3</v>
      </c>
      <c r="I119" s="49">
        <v>3</v>
      </c>
      <c r="J119" s="49">
        <v>3</v>
      </c>
      <c r="K119" s="49">
        <v>3</v>
      </c>
      <c r="L119" s="49">
        <v>3</v>
      </c>
      <c r="M119" s="49">
        <v>3</v>
      </c>
      <c r="N119" s="49">
        <v>3</v>
      </c>
      <c r="O119" s="49">
        <f>SUM(C119:N119)</f>
        <v>36</v>
      </c>
      <c r="P119" s="49"/>
      <c r="Q119" s="34"/>
      <c r="V119" s="34">
        <f>AVERAGE(C119:N119)</f>
        <v>3</v>
      </c>
      <c r="W119" s="34">
        <f>N119</f>
        <v>3</v>
      </c>
      <c r="X119" s="34">
        <f>W119-V119</f>
        <v>0</v>
      </c>
    </row>
    <row r="120" spans="1:24" x14ac:dyDescent="0.2">
      <c r="A120" s="14" t="s">
        <v>678</v>
      </c>
      <c r="C120" s="49">
        <v>10863787</v>
      </c>
      <c r="D120" s="49">
        <v>11262071</v>
      </c>
      <c r="E120" s="49">
        <v>10924034</v>
      </c>
      <c r="F120" s="49">
        <v>11039098</v>
      </c>
      <c r="G120" s="49">
        <v>10695747</v>
      </c>
      <c r="H120" s="49">
        <v>12011066</v>
      </c>
      <c r="I120" s="49">
        <v>12660340</v>
      </c>
      <c r="J120" s="49">
        <v>12888240</v>
      </c>
      <c r="K120" s="49">
        <v>13279310</v>
      </c>
      <c r="L120" s="49">
        <v>12088727</v>
      </c>
      <c r="M120" s="49">
        <v>10626495</v>
      </c>
      <c r="N120" s="49">
        <v>11235283</v>
      </c>
      <c r="O120" s="49">
        <f>SUM(C120:N120)</f>
        <v>139574198</v>
      </c>
      <c r="P120" s="112"/>
      <c r="Q120" s="112"/>
      <c r="U120" s="100"/>
      <c r="W120" s="100"/>
    </row>
    <row r="121" spans="1:24" x14ac:dyDescent="0.2">
      <c r="A121" s="14" t="s">
        <v>679</v>
      </c>
      <c r="C121" s="49">
        <f>C120/C$34</f>
        <v>14601.864247311827</v>
      </c>
      <c r="D121" s="49">
        <f t="shared" ref="D121:N121" si="125">D120/D$34</f>
        <v>16759.034226190477</v>
      </c>
      <c r="E121" s="49">
        <f t="shared" si="125"/>
        <v>14682.841397849463</v>
      </c>
      <c r="F121" s="49">
        <f t="shared" si="125"/>
        <v>15332.080555555556</v>
      </c>
      <c r="G121" s="49">
        <f t="shared" si="125"/>
        <v>14376.004032258064</v>
      </c>
      <c r="H121" s="49">
        <f t="shared" si="125"/>
        <v>16682.036111111112</v>
      </c>
      <c r="I121" s="49">
        <f t="shared" si="125"/>
        <v>17016.586021505376</v>
      </c>
      <c r="J121" s="49">
        <f t="shared" si="125"/>
        <v>17322.903225806451</v>
      </c>
      <c r="K121" s="49">
        <f t="shared" si="125"/>
        <v>18443.486111111109</v>
      </c>
      <c r="L121" s="49">
        <f t="shared" si="125"/>
        <v>16248.288978494624</v>
      </c>
      <c r="M121" s="49">
        <f t="shared" si="125"/>
        <v>14759.020833333334</v>
      </c>
      <c r="N121" s="49">
        <f t="shared" si="125"/>
        <v>15101.18682795699</v>
      </c>
      <c r="O121" s="49">
        <f>O120/8760</f>
        <v>15933.127625570776</v>
      </c>
      <c r="P121" s="49"/>
      <c r="Q121" s="49"/>
    </row>
    <row r="122" spans="1:24" x14ac:dyDescent="0.2">
      <c r="A122" s="14" t="s">
        <v>754</v>
      </c>
      <c r="C122" s="67">
        <f>C126+0.05</f>
        <v>0.70053997936856793</v>
      </c>
      <c r="D122" s="67">
        <f t="shared" ref="D122:N122" si="126">D126+0.05</f>
        <v>0.79818185912434814</v>
      </c>
      <c r="E122" s="67">
        <f t="shared" si="126"/>
        <v>0.7143838576485293</v>
      </c>
      <c r="F122" s="67">
        <f t="shared" si="126"/>
        <v>0.74693302694058172</v>
      </c>
      <c r="G122" s="67">
        <f t="shared" si="126"/>
        <v>0.71285595448178596</v>
      </c>
      <c r="H122" s="67">
        <f t="shared" si="126"/>
        <v>0.77431288490918571</v>
      </c>
      <c r="I122" s="67">
        <f t="shared" si="126"/>
        <v>0.78274123634480552</v>
      </c>
      <c r="J122" s="67">
        <f t="shared" si="126"/>
        <v>0.77604595443519409</v>
      </c>
      <c r="K122" s="67">
        <f t="shared" si="126"/>
        <v>0.85394411356550559</v>
      </c>
      <c r="L122" s="67">
        <f t="shared" si="126"/>
        <v>0.7567527870085865</v>
      </c>
      <c r="M122" s="67">
        <f t="shared" si="126"/>
        <v>0.71872466440723026</v>
      </c>
      <c r="N122" s="67">
        <f t="shared" si="126"/>
        <v>0.73093052114402635</v>
      </c>
      <c r="O122" s="67"/>
      <c r="Q122" s="34"/>
    </row>
    <row r="123" spans="1:24" x14ac:dyDescent="0.2">
      <c r="A123" s="14" t="s">
        <v>755</v>
      </c>
      <c r="C123" s="49">
        <f>C121/C122</f>
        <v>20843.727235201088</v>
      </c>
      <c r="D123" s="49">
        <f t="shared" ref="D123:N123" si="127">D121/D122</f>
        <v>20996.511051474048</v>
      </c>
      <c r="E123" s="49">
        <f t="shared" si="127"/>
        <v>20553.153939087595</v>
      </c>
      <c r="F123" s="49">
        <f t="shared" si="127"/>
        <v>20526.713912163395</v>
      </c>
      <c r="G123" s="49">
        <f t="shared" si="127"/>
        <v>20166.772742620589</v>
      </c>
      <c r="H123" s="49">
        <f t="shared" si="127"/>
        <v>21544.309072252676</v>
      </c>
      <c r="I123" s="49">
        <f t="shared" si="127"/>
        <v>21739.733683852319</v>
      </c>
      <c r="J123" s="49">
        <f t="shared" si="127"/>
        <v>22322.006998173263</v>
      </c>
      <c r="K123" s="49">
        <f t="shared" si="127"/>
        <v>21598.001342386815</v>
      </c>
      <c r="L123" s="49">
        <f t="shared" si="127"/>
        <v>21471.065924611208</v>
      </c>
      <c r="M123" s="49">
        <f t="shared" si="127"/>
        <v>20535.013704456447</v>
      </c>
      <c r="N123" s="49">
        <f t="shared" si="127"/>
        <v>20660.221992537885</v>
      </c>
      <c r="O123" s="49">
        <f>SUM(C123:N123)</f>
        <v>252957.23159881734</v>
      </c>
      <c r="Q123" s="34">
        <f>MAX(C123:N123)</f>
        <v>22322.006998173263</v>
      </c>
    </row>
    <row r="124" spans="1:24" x14ac:dyDescent="0.2">
      <c r="A124" s="14" t="s">
        <v>680</v>
      </c>
      <c r="C124" s="67">
        <v>0.8</v>
      </c>
      <c r="D124" s="67">
        <f>C124</f>
        <v>0.8</v>
      </c>
      <c r="E124" s="67">
        <f t="shared" ref="E124" si="128">D124</f>
        <v>0.8</v>
      </c>
      <c r="F124" s="67">
        <f t="shared" ref="F124" si="129">E124</f>
        <v>0.8</v>
      </c>
      <c r="G124" s="67">
        <f t="shared" ref="G124" si="130">F124</f>
        <v>0.8</v>
      </c>
      <c r="H124" s="67">
        <f t="shared" ref="H124" si="131">G124</f>
        <v>0.8</v>
      </c>
      <c r="I124" s="67">
        <f t="shared" ref="I124" si="132">H124</f>
        <v>0.8</v>
      </c>
      <c r="J124" s="67">
        <f t="shared" ref="J124" si="133">I124</f>
        <v>0.8</v>
      </c>
      <c r="K124" s="67">
        <f t="shared" ref="K124" si="134">J124</f>
        <v>0.8</v>
      </c>
      <c r="L124" s="67">
        <f t="shared" ref="L124" si="135">K124</f>
        <v>0.8</v>
      </c>
      <c r="M124" s="67">
        <f t="shared" ref="M124" si="136">L124</f>
        <v>0.8</v>
      </c>
      <c r="N124" s="67">
        <f t="shared" ref="N124" si="137">M124</f>
        <v>0.8</v>
      </c>
      <c r="O124" s="67"/>
      <c r="P124" s="49"/>
      <c r="Q124" s="34"/>
    </row>
    <row r="125" spans="1:24" x14ac:dyDescent="0.2">
      <c r="A125" s="14" t="s">
        <v>681</v>
      </c>
      <c r="C125" s="49">
        <f>C123*C124</f>
        <v>16674.981788160872</v>
      </c>
      <c r="D125" s="49">
        <f t="shared" ref="D125:N125" si="138">D123*D124</f>
        <v>16797.208841179239</v>
      </c>
      <c r="E125" s="49">
        <f t="shared" si="138"/>
        <v>16442.523151270078</v>
      </c>
      <c r="F125" s="49">
        <f t="shared" si="138"/>
        <v>16421.371129730716</v>
      </c>
      <c r="G125" s="49">
        <f t="shared" si="138"/>
        <v>16133.418194096472</v>
      </c>
      <c r="H125" s="49">
        <f t="shared" si="138"/>
        <v>17235.447257802141</v>
      </c>
      <c r="I125" s="49">
        <f t="shared" si="138"/>
        <v>17391.786947081855</v>
      </c>
      <c r="J125" s="49">
        <f t="shared" si="138"/>
        <v>17857.605598538612</v>
      </c>
      <c r="K125" s="49">
        <f t="shared" si="138"/>
        <v>17278.401073909452</v>
      </c>
      <c r="L125" s="49">
        <f t="shared" si="138"/>
        <v>17176.852739688966</v>
      </c>
      <c r="M125" s="49">
        <f t="shared" si="138"/>
        <v>16428.010963565157</v>
      </c>
      <c r="N125" s="49">
        <f t="shared" si="138"/>
        <v>16528.177594030309</v>
      </c>
      <c r="O125" s="49">
        <f>SUM(C125:N125)</f>
        <v>202365.78527905385</v>
      </c>
      <c r="P125" s="49"/>
      <c r="Q125" s="34"/>
      <c r="R125" s="34">
        <f>O125</f>
        <v>202365.78527905385</v>
      </c>
      <c r="S125" s="34">
        <f>H125+I125+J125</f>
        <v>52484.839803422605</v>
      </c>
      <c r="T125" s="34">
        <f>R125-S125</f>
        <v>149880.94547563125</v>
      </c>
    </row>
    <row r="126" spans="1:24" x14ac:dyDescent="0.2">
      <c r="A126" s="14" t="s">
        <v>756</v>
      </c>
      <c r="C126" s="67">
        <f>C121/C127</f>
        <v>0.65053997936856789</v>
      </c>
      <c r="D126" s="67">
        <f t="shared" ref="D126:N126" si="139">D121/D127</f>
        <v>0.74818185912434809</v>
      </c>
      <c r="E126" s="67">
        <f t="shared" si="139"/>
        <v>0.66438385764852925</v>
      </c>
      <c r="F126" s="67">
        <f t="shared" si="139"/>
        <v>0.69693302694058168</v>
      </c>
      <c r="G126" s="67">
        <f t="shared" si="139"/>
        <v>0.66285595448178591</v>
      </c>
      <c r="H126" s="67">
        <f t="shared" si="139"/>
        <v>0.72431288490918566</v>
      </c>
      <c r="I126" s="67">
        <f t="shared" si="139"/>
        <v>0.73274123634480548</v>
      </c>
      <c r="J126" s="67">
        <f t="shared" si="139"/>
        <v>0.72604595443519404</v>
      </c>
      <c r="K126" s="67">
        <f t="shared" si="139"/>
        <v>0.80394411356550555</v>
      </c>
      <c r="L126" s="67">
        <f t="shared" si="139"/>
        <v>0.70675278700858646</v>
      </c>
      <c r="M126" s="67">
        <f t="shared" si="139"/>
        <v>0.66872466440723022</v>
      </c>
      <c r="N126" s="67">
        <f t="shared" si="139"/>
        <v>0.6809305211440263</v>
      </c>
      <c r="O126" s="67"/>
      <c r="P126" s="112"/>
      <c r="Q126" s="112"/>
      <c r="U126" s="100"/>
      <c r="W126" s="100"/>
    </row>
    <row r="127" spans="1:24" x14ac:dyDescent="0.2">
      <c r="A127" s="14" t="s">
        <v>757</v>
      </c>
      <c r="C127" s="49">
        <v>22445.760000000002</v>
      </c>
      <c r="D127" s="49">
        <v>22399.68</v>
      </c>
      <c r="E127" s="49">
        <v>22099.936999999998</v>
      </c>
      <c r="F127" s="49">
        <v>21999.360000000001</v>
      </c>
      <c r="G127" s="49">
        <v>21687.975999999999</v>
      </c>
      <c r="H127" s="49">
        <v>23031.532999999999</v>
      </c>
      <c r="I127" s="49">
        <v>23223.185999999998</v>
      </c>
      <c r="J127" s="49">
        <v>23859.238000000001</v>
      </c>
      <c r="K127" s="49">
        <v>22941.254000000001</v>
      </c>
      <c r="L127" s="49">
        <v>22990.06</v>
      </c>
      <c r="M127" s="49">
        <v>22070.400000000001</v>
      </c>
      <c r="N127" s="49">
        <v>22177.279999999999</v>
      </c>
      <c r="O127" s="49">
        <f>SUM(C127:N127)</f>
        <v>270925.66399999999</v>
      </c>
      <c r="P127" s="49">
        <f>MAX(C127:N127)</f>
        <v>23859.238000000001</v>
      </c>
      <c r="Q127" s="49"/>
    </row>
    <row r="129" spans="1:24" x14ac:dyDescent="0.2">
      <c r="A129" s="15" t="str">
        <f>A17</f>
        <v>Large Industrial Rate (15,000+ kW)</v>
      </c>
      <c r="B129" s="57" t="str">
        <f>B17</f>
        <v>G1</v>
      </c>
      <c r="C129" s="49">
        <v>1</v>
      </c>
      <c r="D129" s="49">
        <v>1</v>
      </c>
      <c r="E129" s="49">
        <v>1</v>
      </c>
      <c r="F129" s="49">
        <v>1</v>
      </c>
      <c r="G129" s="49">
        <v>1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f>SUM(C129:N129)</f>
        <v>12</v>
      </c>
      <c r="P129" s="49"/>
      <c r="Q129" s="34"/>
    </row>
    <row r="130" spans="1:24" x14ac:dyDescent="0.2">
      <c r="A130" s="14" t="s">
        <v>678</v>
      </c>
      <c r="C130" s="49">
        <v>6105303</v>
      </c>
      <c r="D130" s="49">
        <v>6667995</v>
      </c>
      <c r="E130" s="49">
        <v>7690298</v>
      </c>
      <c r="F130" s="49">
        <v>8242065</v>
      </c>
      <c r="G130" s="49">
        <v>7600160</v>
      </c>
      <c r="H130" s="49">
        <v>8683096</v>
      </c>
      <c r="I130" s="49">
        <v>8340797</v>
      </c>
      <c r="J130" s="49">
        <v>8609250</v>
      </c>
      <c r="K130" s="49">
        <v>9765162</v>
      </c>
      <c r="L130" s="49">
        <v>7905375</v>
      </c>
      <c r="M130" s="49">
        <v>7384748</v>
      </c>
      <c r="N130" s="49">
        <v>7778571</v>
      </c>
      <c r="O130" s="49">
        <f>SUM(C130:N130)</f>
        <v>94772820</v>
      </c>
      <c r="P130" s="112"/>
      <c r="Q130" s="112"/>
      <c r="U130" s="100"/>
      <c r="V130" s="34">
        <f>AVERAGE(C130:N130)</f>
        <v>7897735</v>
      </c>
      <c r="W130" s="34">
        <f>N130</f>
        <v>7778571</v>
      </c>
      <c r="X130" s="34">
        <f>W130-V130</f>
        <v>-119164</v>
      </c>
    </row>
    <row r="131" spans="1:24" x14ac:dyDescent="0.2">
      <c r="A131" s="14" t="s">
        <v>679</v>
      </c>
      <c r="C131" s="49">
        <f>C130/C$34</f>
        <v>8206.052419354839</v>
      </c>
      <c r="D131" s="49">
        <f t="shared" ref="D131:N131" si="140">D130/D$34</f>
        <v>9922.6116071428569</v>
      </c>
      <c r="E131" s="49">
        <f t="shared" si="140"/>
        <v>10336.422043010753</v>
      </c>
      <c r="F131" s="49">
        <f t="shared" si="140"/>
        <v>11447.3125</v>
      </c>
      <c r="G131" s="49">
        <f t="shared" si="140"/>
        <v>10215.268817204302</v>
      </c>
      <c r="H131" s="49">
        <f t="shared" si="140"/>
        <v>12059.855555555556</v>
      </c>
      <c r="I131" s="49">
        <f t="shared" si="140"/>
        <v>11210.748655913978</v>
      </c>
      <c r="J131" s="49">
        <f t="shared" si="140"/>
        <v>11571.572580645161</v>
      </c>
      <c r="K131" s="49">
        <f t="shared" si="140"/>
        <v>13562.725</v>
      </c>
      <c r="L131" s="49">
        <f t="shared" si="140"/>
        <v>10625.504032258064</v>
      </c>
      <c r="M131" s="49">
        <f t="shared" si="140"/>
        <v>10256.594444444445</v>
      </c>
      <c r="N131" s="49">
        <f t="shared" si="140"/>
        <v>10455.068548387097</v>
      </c>
      <c r="O131" s="49">
        <f>O130/8760</f>
        <v>10818.815068493152</v>
      </c>
      <c r="P131" s="49"/>
      <c r="Q131" s="49"/>
    </row>
    <row r="132" spans="1:24" x14ac:dyDescent="0.2">
      <c r="A132" s="14" t="s">
        <v>754</v>
      </c>
      <c r="C132" s="67">
        <f>C136</f>
        <v>0.51895524209460531</v>
      </c>
      <c r="D132" s="67">
        <f t="shared" ref="D132:N132" si="141">D136</f>
        <v>0.6275113837501427</v>
      </c>
      <c r="E132" s="67">
        <f t="shared" si="141"/>
        <v>0.65368098198724267</v>
      </c>
      <c r="F132" s="67">
        <f t="shared" si="141"/>
        <v>0.7239343019255482</v>
      </c>
      <c r="G132" s="67">
        <f t="shared" si="141"/>
        <v>0.6460191857402876</v>
      </c>
      <c r="H132" s="67">
        <f t="shared" si="141"/>
        <v>0.76267185969930107</v>
      </c>
      <c r="I132" s="67">
        <f t="shared" si="141"/>
        <v>0.70067879778260145</v>
      </c>
      <c r="J132" s="67">
        <f t="shared" si="141"/>
        <v>0.72323051859550846</v>
      </c>
      <c r="K132" s="67">
        <f t="shared" si="141"/>
        <v>0.84767878928789286</v>
      </c>
      <c r="L132" s="67">
        <f t="shared" si="141"/>
        <v>0.66410064302255922</v>
      </c>
      <c r="M132" s="67">
        <f t="shared" si="141"/>
        <v>0.64104356321340994</v>
      </c>
      <c r="N132" s="67">
        <f t="shared" si="141"/>
        <v>0.65344831875738107</v>
      </c>
      <c r="O132" s="67"/>
      <c r="Q132" s="34"/>
    </row>
    <row r="133" spans="1:24" x14ac:dyDescent="0.2">
      <c r="A133" s="14" t="s">
        <v>755</v>
      </c>
      <c r="C133" s="49">
        <f>C131/C132</f>
        <v>15812.64</v>
      </c>
      <c r="D133" s="49">
        <f t="shared" ref="D133:N133" si="142">D131/D132</f>
        <v>15812.640000000001</v>
      </c>
      <c r="E133" s="49">
        <f t="shared" si="142"/>
        <v>15812.64</v>
      </c>
      <c r="F133" s="49">
        <f t="shared" si="142"/>
        <v>15812.64</v>
      </c>
      <c r="G133" s="49">
        <f t="shared" si="142"/>
        <v>15812.640000000001</v>
      </c>
      <c r="H133" s="49">
        <f t="shared" si="142"/>
        <v>15812.64</v>
      </c>
      <c r="I133" s="49">
        <f t="shared" si="142"/>
        <v>15999.84</v>
      </c>
      <c r="J133" s="49">
        <f t="shared" si="142"/>
        <v>15999.840000000002</v>
      </c>
      <c r="K133" s="49">
        <f t="shared" si="142"/>
        <v>15999.84</v>
      </c>
      <c r="L133" s="49">
        <f t="shared" si="142"/>
        <v>15999.84</v>
      </c>
      <c r="M133" s="49">
        <f t="shared" si="142"/>
        <v>15999.84</v>
      </c>
      <c r="N133" s="49">
        <f t="shared" si="142"/>
        <v>15999.84</v>
      </c>
      <c r="O133" s="49">
        <f>SUM(C133:N133)</f>
        <v>190874.87999999998</v>
      </c>
      <c r="Q133" s="34">
        <f>MAX(C133:N133)</f>
        <v>15999.840000000002</v>
      </c>
    </row>
    <row r="134" spans="1:24" x14ac:dyDescent="0.2">
      <c r="A134" s="14" t="s">
        <v>680</v>
      </c>
      <c r="C134" s="67">
        <v>0.8</v>
      </c>
      <c r="D134" s="67">
        <f>C134</f>
        <v>0.8</v>
      </c>
      <c r="E134" s="67">
        <f t="shared" ref="E134" si="143">D134</f>
        <v>0.8</v>
      </c>
      <c r="F134" s="67">
        <f t="shared" ref="F134" si="144">E134</f>
        <v>0.8</v>
      </c>
      <c r="G134" s="67">
        <f t="shared" ref="G134" si="145">F134</f>
        <v>0.8</v>
      </c>
      <c r="H134" s="67">
        <f t="shared" ref="H134" si="146">G134</f>
        <v>0.8</v>
      </c>
      <c r="I134" s="67">
        <f t="shared" ref="I134" si="147">H134</f>
        <v>0.8</v>
      </c>
      <c r="J134" s="67">
        <f t="shared" ref="J134" si="148">I134</f>
        <v>0.8</v>
      </c>
      <c r="K134" s="67">
        <f t="shared" ref="K134" si="149">J134</f>
        <v>0.8</v>
      </c>
      <c r="L134" s="67">
        <f t="shared" ref="L134" si="150">K134</f>
        <v>0.8</v>
      </c>
      <c r="M134" s="67">
        <f t="shared" ref="M134" si="151">L134</f>
        <v>0.8</v>
      </c>
      <c r="N134" s="67">
        <f t="shared" ref="N134" si="152">M134</f>
        <v>0.8</v>
      </c>
      <c r="O134" s="67"/>
      <c r="P134" s="49"/>
      <c r="Q134" s="34"/>
    </row>
    <row r="135" spans="1:24" x14ac:dyDescent="0.2">
      <c r="A135" s="14" t="s">
        <v>681</v>
      </c>
      <c r="C135" s="49">
        <f>C133*C134</f>
        <v>12650.112000000001</v>
      </c>
      <c r="D135" s="49">
        <f t="shared" ref="D135:N135" si="153">D133*D134</f>
        <v>12650.112000000001</v>
      </c>
      <c r="E135" s="49">
        <f t="shared" si="153"/>
        <v>12650.112000000001</v>
      </c>
      <c r="F135" s="49">
        <f t="shared" si="153"/>
        <v>12650.112000000001</v>
      </c>
      <c r="G135" s="49">
        <f t="shared" si="153"/>
        <v>12650.112000000001</v>
      </c>
      <c r="H135" s="49">
        <f t="shared" si="153"/>
        <v>12650.112000000001</v>
      </c>
      <c r="I135" s="49">
        <f t="shared" si="153"/>
        <v>12799.872000000001</v>
      </c>
      <c r="J135" s="49">
        <f t="shared" si="153"/>
        <v>12799.872000000003</v>
      </c>
      <c r="K135" s="49">
        <f t="shared" si="153"/>
        <v>12799.872000000001</v>
      </c>
      <c r="L135" s="49">
        <f t="shared" si="153"/>
        <v>12799.872000000001</v>
      </c>
      <c r="M135" s="49">
        <f t="shared" si="153"/>
        <v>12799.872000000001</v>
      </c>
      <c r="N135" s="49">
        <f t="shared" si="153"/>
        <v>12799.872000000001</v>
      </c>
      <c r="O135" s="49">
        <f>SUM(C135:N135)</f>
        <v>152699.90400000001</v>
      </c>
      <c r="P135" s="49"/>
      <c r="Q135" s="34"/>
      <c r="R135" s="34">
        <f>O135</f>
        <v>152699.90400000001</v>
      </c>
      <c r="S135" s="34">
        <f>H135+I135+J135</f>
        <v>38249.856000000007</v>
      </c>
      <c r="T135" s="34">
        <f>R135-S135</f>
        <v>114450.04800000001</v>
      </c>
    </row>
    <row r="136" spans="1:24" x14ac:dyDescent="0.2">
      <c r="A136" s="14" t="s">
        <v>756</v>
      </c>
      <c r="C136" s="67">
        <f>C131/C137</f>
        <v>0.51895524209460531</v>
      </c>
      <c r="D136" s="67">
        <f t="shared" ref="D136:N136" si="154">D131/D137</f>
        <v>0.6275113837501427</v>
      </c>
      <c r="E136" s="67">
        <f t="shared" si="154"/>
        <v>0.65368098198724267</v>
      </c>
      <c r="F136" s="67">
        <f t="shared" si="154"/>
        <v>0.7239343019255482</v>
      </c>
      <c r="G136" s="67">
        <f t="shared" si="154"/>
        <v>0.6460191857402876</v>
      </c>
      <c r="H136" s="67">
        <f t="shared" si="154"/>
        <v>0.76267185969930107</v>
      </c>
      <c r="I136" s="67">
        <f t="shared" si="154"/>
        <v>0.70067879778260145</v>
      </c>
      <c r="J136" s="67">
        <f t="shared" si="154"/>
        <v>0.72323051859550846</v>
      </c>
      <c r="K136" s="67">
        <f t="shared" si="154"/>
        <v>0.84767878928789286</v>
      </c>
      <c r="L136" s="67">
        <f t="shared" si="154"/>
        <v>0.66410064302255922</v>
      </c>
      <c r="M136" s="67">
        <f t="shared" si="154"/>
        <v>0.64104356321340994</v>
      </c>
      <c r="N136" s="67">
        <f t="shared" si="154"/>
        <v>0.65344831875738107</v>
      </c>
      <c r="O136" s="67"/>
      <c r="P136" s="112"/>
      <c r="Q136" s="112"/>
      <c r="U136" s="100"/>
      <c r="W136" s="100"/>
    </row>
    <row r="137" spans="1:24" x14ac:dyDescent="0.2">
      <c r="A137" s="14" t="s">
        <v>757</v>
      </c>
      <c r="C137" s="49">
        <v>15812.64</v>
      </c>
      <c r="D137" s="49">
        <v>15812.64</v>
      </c>
      <c r="E137" s="49">
        <v>15812.64</v>
      </c>
      <c r="F137" s="49">
        <v>15812.64</v>
      </c>
      <c r="G137" s="49">
        <v>15812.64</v>
      </c>
      <c r="H137" s="49">
        <v>15812.64</v>
      </c>
      <c r="I137" s="49">
        <v>15999.84</v>
      </c>
      <c r="J137" s="49">
        <v>15999.84</v>
      </c>
      <c r="K137" s="49">
        <v>15999.84</v>
      </c>
      <c r="L137" s="49">
        <v>15999.84</v>
      </c>
      <c r="M137" s="49">
        <v>15999.84</v>
      </c>
      <c r="N137" s="49">
        <v>15999.84</v>
      </c>
      <c r="O137" s="49">
        <f>SUM(C137:N137)</f>
        <v>190874.87999999998</v>
      </c>
      <c r="P137" s="49">
        <f>MAX(C137:N137)</f>
        <v>15999.84</v>
      </c>
      <c r="Q137" s="49"/>
    </row>
    <row r="138" spans="1:24" x14ac:dyDescent="0.2">
      <c r="L138" s="49"/>
    </row>
    <row r="139" spans="1:24" x14ac:dyDescent="0.2">
      <c r="A139" s="15" t="str">
        <f>A18</f>
        <v>Lighting</v>
      </c>
      <c r="B139" s="57" t="str">
        <f>B18</f>
        <v>L</v>
      </c>
      <c r="C139" s="49">
        <v>15756</v>
      </c>
      <c r="D139" s="49">
        <v>15780</v>
      </c>
      <c r="E139" s="49">
        <v>15771</v>
      </c>
      <c r="F139" s="49">
        <v>15765</v>
      </c>
      <c r="G139" s="49">
        <v>15772</v>
      </c>
      <c r="H139" s="49">
        <v>10533</v>
      </c>
      <c r="I139" s="49">
        <v>15788</v>
      </c>
      <c r="J139" s="49">
        <v>15770</v>
      </c>
      <c r="K139" s="49">
        <v>15779</v>
      </c>
      <c r="L139" s="49">
        <v>15780</v>
      </c>
      <c r="M139" s="49">
        <v>15777</v>
      </c>
      <c r="N139" s="49">
        <v>15827</v>
      </c>
      <c r="O139" s="49">
        <f>SUM(C139:N139)</f>
        <v>184098</v>
      </c>
      <c r="P139" s="49"/>
      <c r="Q139" s="34"/>
    </row>
    <row r="140" spans="1:24" x14ac:dyDescent="0.2">
      <c r="A140" s="14" t="s">
        <v>678</v>
      </c>
      <c r="C140" s="49">
        <v>449950</v>
      </c>
      <c r="D140" s="49">
        <v>450497</v>
      </c>
      <c r="E140" s="49">
        <v>449153</v>
      </c>
      <c r="F140" s="49">
        <v>451536</v>
      </c>
      <c r="G140" s="49">
        <v>450344</v>
      </c>
      <c r="H140" s="49">
        <v>450423</v>
      </c>
      <c r="I140" s="49">
        <v>450969</v>
      </c>
      <c r="J140" s="49">
        <v>450901</v>
      </c>
      <c r="K140" s="49">
        <v>449991</v>
      </c>
      <c r="L140" s="49">
        <v>449582</v>
      </c>
      <c r="M140" s="49">
        <v>451068</v>
      </c>
      <c r="N140" s="49">
        <v>451711</v>
      </c>
      <c r="O140" s="49">
        <f>SUM(C140:N140)</f>
        <v>5406125</v>
      </c>
      <c r="P140" s="112"/>
      <c r="Q140" s="112"/>
      <c r="U140" s="100"/>
      <c r="W140" s="100"/>
    </row>
    <row r="141" spans="1:24" x14ac:dyDescent="0.2">
      <c r="A141" s="14" t="s">
        <v>679</v>
      </c>
      <c r="C141" s="49">
        <f>C140/744</f>
        <v>604.77150537634407</v>
      </c>
      <c r="D141" s="47">
        <f>D140/720</f>
        <v>625.69027777777774</v>
      </c>
      <c r="E141" s="49">
        <f t="shared" ref="E141:N141" si="155">E140/744</f>
        <v>603.70026881720435</v>
      </c>
      <c r="F141" s="49">
        <f>F140/720</f>
        <v>627.13333333333333</v>
      </c>
      <c r="G141" s="49">
        <f t="shared" si="155"/>
        <v>605.30107526881716</v>
      </c>
      <c r="H141" s="47">
        <f>H140/744</f>
        <v>605.4072580645161</v>
      </c>
      <c r="I141" s="47">
        <f>I140/672</f>
        <v>671.08482142857144</v>
      </c>
      <c r="J141" s="49">
        <f t="shared" si="155"/>
        <v>606.04973118279565</v>
      </c>
      <c r="K141" s="49">
        <f>K140/720</f>
        <v>624.98749999999995</v>
      </c>
      <c r="L141" s="49">
        <f t="shared" si="155"/>
        <v>604.27688172043008</v>
      </c>
      <c r="M141" s="49">
        <f>M140/720</f>
        <v>626.48333333333335</v>
      </c>
      <c r="N141" s="49">
        <f t="shared" si="155"/>
        <v>607.13844086021504</v>
      </c>
      <c r="O141" s="49">
        <f>O140/8760</f>
        <v>617.13755707762562</v>
      </c>
      <c r="P141" s="49"/>
      <c r="Q141" s="49"/>
    </row>
    <row r="142" spans="1:24" x14ac:dyDescent="0.2">
      <c r="A142" s="14" t="s">
        <v>754</v>
      </c>
      <c r="C142" s="67">
        <v>0.5</v>
      </c>
      <c r="D142" s="67">
        <v>0.5</v>
      </c>
      <c r="E142" s="67">
        <v>0.5</v>
      </c>
      <c r="F142" s="67">
        <v>0.5</v>
      </c>
      <c r="G142" s="67">
        <v>0.5</v>
      </c>
      <c r="H142" s="67">
        <v>0.5</v>
      </c>
      <c r="I142" s="67">
        <v>0.5</v>
      </c>
      <c r="J142" s="67">
        <v>0.5</v>
      </c>
      <c r="K142" s="67">
        <v>0.5</v>
      </c>
      <c r="L142" s="67">
        <v>0.5</v>
      </c>
      <c r="M142" s="67">
        <v>0.5</v>
      </c>
      <c r="N142" s="67">
        <v>0.5</v>
      </c>
      <c r="O142" s="67"/>
      <c r="Q142" s="34"/>
    </row>
    <row r="143" spans="1:24" x14ac:dyDescent="0.2">
      <c r="A143" s="14" t="s">
        <v>755</v>
      </c>
      <c r="C143" s="49">
        <f>C141/C142</f>
        <v>1209.5430107526881</v>
      </c>
      <c r="D143" s="49">
        <f t="shared" ref="D143:N143" si="156">D141/D142</f>
        <v>1251.3805555555555</v>
      </c>
      <c r="E143" s="49">
        <f t="shared" si="156"/>
        <v>1207.4005376344087</v>
      </c>
      <c r="F143" s="49">
        <f t="shared" si="156"/>
        <v>1254.2666666666667</v>
      </c>
      <c r="G143" s="49">
        <f t="shared" si="156"/>
        <v>1210.6021505376343</v>
      </c>
      <c r="H143" s="49">
        <f t="shared" si="156"/>
        <v>1210.8145161290322</v>
      </c>
      <c r="I143" s="49">
        <f t="shared" si="156"/>
        <v>1342.1696428571429</v>
      </c>
      <c r="J143" s="49">
        <f t="shared" si="156"/>
        <v>1212.0994623655913</v>
      </c>
      <c r="K143" s="49">
        <f t="shared" si="156"/>
        <v>1249.9749999999999</v>
      </c>
      <c r="L143" s="49">
        <f t="shared" si="156"/>
        <v>1208.5537634408602</v>
      </c>
      <c r="M143" s="49">
        <f t="shared" si="156"/>
        <v>1252.9666666666667</v>
      </c>
      <c r="N143" s="49">
        <f t="shared" si="156"/>
        <v>1214.2768817204301</v>
      </c>
      <c r="O143" s="49">
        <f>SUM(C143:N143)</f>
        <v>14824.048854326677</v>
      </c>
      <c r="Q143" s="34">
        <f>MAX(C143:N143)</f>
        <v>1342.1696428571429</v>
      </c>
    </row>
    <row r="144" spans="1:24" x14ac:dyDescent="0.2">
      <c r="A144" s="14" t="s">
        <v>680</v>
      </c>
      <c r="C144" s="67">
        <v>1</v>
      </c>
      <c r="D144" s="67">
        <v>1</v>
      </c>
      <c r="E144" s="67">
        <v>1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1</v>
      </c>
      <c r="M144" s="67">
        <v>1</v>
      </c>
      <c r="N144" s="67">
        <v>1</v>
      </c>
      <c r="O144" s="67"/>
      <c r="P144" s="49"/>
      <c r="Q144" s="34"/>
    </row>
    <row r="145" spans="1:23" x14ac:dyDescent="0.2">
      <c r="A145" s="14" t="s">
        <v>681</v>
      </c>
      <c r="C145" s="49">
        <f t="shared" ref="C145:N145" si="157">C143*C144</f>
        <v>1209.5430107526881</v>
      </c>
      <c r="D145" s="49">
        <f t="shared" si="157"/>
        <v>1251.3805555555555</v>
      </c>
      <c r="E145" s="49">
        <f t="shared" si="157"/>
        <v>1207.4005376344087</v>
      </c>
      <c r="F145" s="49">
        <f t="shared" si="157"/>
        <v>0</v>
      </c>
      <c r="G145" s="49">
        <f t="shared" si="157"/>
        <v>0</v>
      </c>
      <c r="H145" s="49">
        <f t="shared" si="157"/>
        <v>0</v>
      </c>
      <c r="I145" s="49">
        <f t="shared" si="157"/>
        <v>0</v>
      </c>
      <c r="J145" s="49">
        <f t="shared" si="157"/>
        <v>0</v>
      </c>
      <c r="K145" s="49">
        <f t="shared" si="157"/>
        <v>0</v>
      </c>
      <c r="L145" s="49">
        <f t="shared" si="157"/>
        <v>1208.5537634408602</v>
      </c>
      <c r="M145" s="49">
        <f t="shared" si="157"/>
        <v>1252.9666666666667</v>
      </c>
      <c r="N145" s="49">
        <f t="shared" si="157"/>
        <v>1214.2768817204301</v>
      </c>
      <c r="O145" s="49">
        <f>SUM(C145:N145)</f>
        <v>7344.121415770609</v>
      </c>
      <c r="P145" s="49"/>
      <c r="Q145" s="34"/>
      <c r="R145" s="34">
        <f>O145</f>
        <v>7344.121415770609</v>
      </c>
      <c r="S145" s="34">
        <f>H145+I145+J145</f>
        <v>0</v>
      </c>
      <c r="T145" s="34">
        <f>R145-S145</f>
        <v>7344.121415770609</v>
      </c>
    </row>
    <row r="146" spans="1:23" x14ac:dyDescent="0.2">
      <c r="A146" s="14" t="s">
        <v>756</v>
      </c>
      <c r="C146" s="67">
        <v>0.5</v>
      </c>
      <c r="D146" s="67">
        <v>0.5</v>
      </c>
      <c r="E146" s="67">
        <v>0.5</v>
      </c>
      <c r="F146" s="67">
        <v>0.5</v>
      </c>
      <c r="G146" s="67">
        <v>0.5</v>
      </c>
      <c r="H146" s="67">
        <v>0.5</v>
      </c>
      <c r="I146" s="67">
        <v>0.5</v>
      </c>
      <c r="J146" s="67">
        <v>0.5</v>
      </c>
      <c r="K146" s="67">
        <v>0.5</v>
      </c>
      <c r="L146" s="67">
        <v>0.5</v>
      </c>
      <c r="M146" s="67">
        <v>0.5</v>
      </c>
      <c r="N146" s="67">
        <v>0.5</v>
      </c>
      <c r="O146" s="67"/>
      <c r="P146" s="112"/>
      <c r="Q146" s="112"/>
      <c r="U146" s="100"/>
      <c r="W146" s="100"/>
    </row>
    <row r="147" spans="1:23" x14ac:dyDescent="0.2">
      <c r="A147" s="14" t="s">
        <v>757</v>
      </c>
      <c r="C147" s="49">
        <f>C141/C146</f>
        <v>1209.5430107526881</v>
      </c>
      <c r="D147" s="49">
        <f t="shared" ref="D147:N147" si="158">D141/D146</f>
        <v>1251.3805555555555</v>
      </c>
      <c r="E147" s="49">
        <f t="shared" si="158"/>
        <v>1207.4005376344087</v>
      </c>
      <c r="F147" s="49">
        <f t="shared" si="158"/>
        <v>1254.2666666666667</v>
      </c>
      <c r="G147" s="49">
        <f t="shared" si="158"/>
        <v>1210.6021505376343</v>
      </c>
      <c r="H147" s="49">
        <f t="shared" si="158"/>
        <v>1210.8145161290322</v>
      </c>
      <c r="I147" s="49">
        <f t="shared" si="158"/>
        <v>1342.1696428571429</v>
      </c>
      <c r="J147" s="49">
        <f t="shared" si="158"/>
        <v>1212.0994623655913</v>
      </c>
      <c r="K147" s="49">
        <f t="shared" si="158"/>
        <v>1249.9749999999999</v>
      </c>
      <c r="L147" s="49">
        <f t="shared" si="158"/>
        <v>1208.5537634408602</v>
      </c>
      <c r="M147" s="49">
        <f t="shared" si="158"/>
        <v>1252.9666666666667</v>
      </c>
      <c r="N147" s="49">
        <f t="shared" si="158"/>
        <v>1214.2768817204301</v>
      </c>
      <c r="O147" s="49">
        <f>SUM(C147:N147)</f>
        <v>14824.048854326677</v>
      </c>
      <c r="P147" s="49">
        <f>MAX(C147:N147)</f>
        <v>1342.1696428571429</v>
      </c>
      <c r="Q147" s="49"/>
    </row>
    <row r="149" spans="1:23" hidden="1" x14ac:dyDescent="0.2">
      <c r="A149" s="15">
        <f>A19</f>
        <v>0</v>
      </c>
      <c r="B149" s="57">
        <f>B19</f>
        <v>0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34"/>
    </row>
    <row r="150" spans="1:23" hidden="1" x14ac:dyDescent="0.2">
      <c r="A150" s="14" t="s">
        <v>678</v>
      </c>
      <c r="C150" s="49">
        <v>0</v>
      </c>
      <c r="D150" s="49">
        <v>0</v>
      </c>
      <c r="E150" s="49">
        <v>0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f>SUM(C150:N150)</f>
        <v>0</v>
      </c>
      <c r="P150" s="112"/>
      <c r="Q150" s="112"/>
      <c r="U150" s="100"/>
      <c r="W150" s="100"/>
    </row>
    <row r="151" spans="1:23" hidden="1" x14ac:dyDescent="0.2">
      <c r="A151" s="14" t="s">
        <v>679</v>
      </c>
      <c r="C151" s="49">
        <f>C150/744</f>
        <v>0</v>
      </c>
      <c r="D151" s="47">
        <f>D150/720</f>
        <v>0</v>
      </c>
      <c r="E151" s="49">
        <f t="shared" ref="E151:N151" si="159">E150/744</f>
        <v>0</v>
      </c>
      <c r="F151" s="49">
        <f>F150/720</f>
        <v>0</v>
      </c>
      <c r="G151" s="49">
        <f t="shared" si="159"/>
        <v>0</v>
      </c>
      <c r="H151" s="47">
        <f>H150/744</f>
        <v>0</v>
      </c>
      <c r="I151" s="47">
        <f>I150/672</f>
        <v>0</v>
      </c>
      <c r="J151" s="49">
        <f t="shared" si="159"/>
        <v>0</v>
      </c>
      <c r="K151" s="49">
        <f>K150/720</f>
        <v>0</v>
      </c>
      <c r="L151" s="49">
        <f t="shared" si="159"/>
        <v>0</v>
      </c>
      <c r="M151" s="49">
        <f>M150/720</f>
        <v>0</v>
      </c>
      <c r="N151" s="49">
        <f t="shared" si="159"/>
        <v>0</v>
      </c>
      <c r="O151" s="49">
        <f>O150/8760</f>
        <v>0</v>
      </c>
      <c r="P151" s="49"/>
      <c r="Q151" s="49"/>
    </row>
    <row r="152" spans="1:23" hidden="1" x14ac:dyDescent="0.2">
      <c r="A152" s="14" t="s">
        <v>754</v>
      </c>
      <c r="C152" s="67">
        <v>0</v>
      </c>
      <c r="D152" s="67">
        <v>0</v>
      </c>
      <c r="E152" s="67">
        <v>0</v>
      </c>
      <c r="F152" s="67">
        <v>0.25</v>
      </c>
      <c r="G152" s="67">
        <v>0.25</v>
      </c>
      <c r="H152" s="67">
        <v>0.25</v>
      </c>
      <c r="I152" s="67">
        <v>0.25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/>
      <c r="Q152" s="34"/>
    </row>
    <row r="153" spans="1:23" hidden="1" x14ac:dyDescent="0.2">
      <c r="A153" s="14" t="s">
        <v>755</v>
      </c>
      <c r="C153" s="49"/>
      <c r="D153" s="49"/>
      <c r="E153" s="49"/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/>
      <c r="L153" s="49"/>
      <c r="M153" s="49"/>
      <c r="N153" s="49"/>
      <c r="O153" s="49">
        <f>SUM(C153:N153)</f>
        <v>0</v>
      </c>
      <c r="Q153" s="34">
        <f>MAX(C153:N153)</f>
        <v>0</v>
      </c>
    </row>
    <row r="154" spans="1:23" hidden="1" x14ac:dyDescent="0.2">
      <c r="A154" s="14" t="s">
        <v>680</v>
      </c>
      <c r="C154" s="67">
        <v>1</v>
      </c>
      <c r="D154" s="67">
        <v>1</v>
      </c>
      <c r="E154" s="67">
        <v>1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1</v>
      </c>
      <c r="M154" s="67">
        <v>1</v>
      </c>
      <c r="N154" s="67">
        <v>1</v>
      </c>
      <c r="O154" s="67"/>
      <c r="P154" s="49"/>
      <c r="Q154" s="34"/>
    </row>
    <row r="155" spans="1:23" hidden="1" x14ac:dyDescent="0.2">
      <c r="A155" s="14" t="s">
        <v>681</v>
      </c>
      <c r="C155" s="49">
        <f t="shared" ref="C155:N155" si="160">C153*C154</f>
        <v>0</v>
      </c>
      <c r="D155" s="49">
        <f t="shared" si="160"/>
        <v>0</v>
      </c>
      <c r="E155" s="49">
        <f t="shared" si="160"/>
        <v>0</v>
      </c>
      <c r="F155" s="49">
        <f t="shared" si="160"/>
        <v>0</v>
      </c>
      <c r="G155" s="49">
        <f t="shared" si="160"/>
        <v>0</v>
      </c>
      <c r="H155" s="49">
        <f t="shared" si="160"/>
        <v>0</v>
      </c>
      <c r="I155" s="49">
        <f t="shared" si="160"/>
        <v>0</v>
      </c>
      <c r="J155" s="49">
        <f t="shared" si="160"/>
        <v>0</v>
      </c>
      <c r="K155" s="49">
        <f t="shared" si="160"/>
        <v>0</v>
      </c>
      <c r="L155" s="49">
        <f t="shared" si="160"/>
        <v>0</v>
      </c>
      <c r="M155" s="49">
        <f t="shared" si="160"/>
        <v>0</v>
      </c>
      <c r="N155" s="49">
        <f t="shared" si="160"/>
        <v>0</v>
      </c>
      <c r="O155" s="49">
        <f>SUM(C155:N155)</f>
        <v>0</v>
      </c>
      <c r="P155" s="49"/>
      <c r="Q155" s="34"/>
      <c r="R155" s="34">
        <f>O155</f>
        <v>0</v>
      </c>
      <c r="S155" s="34">
        <f>H155+I155+J155</f>
        <v>0</v>
      </c>
      <c r="T155" s="34">
        <f>R155-S155</f>
        <v>0</v>
      </c>
    </row>
    <row r="156" spans="1:23" hidden="1" x14ac:dyDescent="0.2">
      <c r="A156" s="14" t="s">
        <v>756</v>
      </c>
      <c r="C156" s="67">
        <v>0.65</v>
      </c>
      <c r="D156" s="67">
        <v>0.65</v>
      </c>
      <c r="E156" s="67">
        <v>0.65</v>
      </c>
      <c r="F156" s="67">
        <v>0.65</v>
      </c>
      <c r="G156" s="67">
        <v>0.65</v>
      </c>
      <c r="H156" s="67">
        <v>0.65</v>
      </c>
      <c r="I156" s="67">
        <v>0.65</v>
      </c>
      <c r="J156" s="67">
        <v>0.65</v>
      </c>
      <c r="K156" s="67">
        <v>0.65</v>
      </c>
      <c r="L156" s="67">
        <v>0.65</v>
      </c>
      <c r="M156" s="67">
        <v>0.65</v>
      </c>
      <c r="N156" s="67">
        <v>0.65</v>
      </c>
      <c r="O156" s="67"/>
      <c r="P156" s="112"/>
      <c r="Q156" s="112"/>
      <c r="U156" s="100"/>
      <c r="W156" s="100"/>
    </row>
    <row r="157" spans="1:23" hidden="1" x14ac:dyDescent="0.2">
      <c r="A157" s="14" t="s">
        <v>757</v>
      </c>
      <c r="C157" s="49">
        <f>C151/C156</f>
        <v>0</v>
      </c>
      <c r="D157" s="49">
        <f t="shared" ref="D157:N157" si="161">D151/D156</f>
        <v>0</v>
      </c>
      <c r="E157" s="49">
        <f t="shared" si="161"/>
        <v>0</v>
      </c>
      <c r="F157" s="49">
        <f t="shared" si="161"/>
        <v>0</v>
      </c>
      <c r="G157" s="49">
        <f t="shared" si="161"/>
        <v>0</v>
      </c>
      <c r="H157" s="49">
        <f t="shared" si="161"/>
        <v>0</v>
      </c>
      <c r="I157" s="49">
        <f t="shared" si="161"/>
        <v>0</v>
      </c>
      <c r="J157" s="49">
        <f t="shared" si="161"/>
        <v>0</v>
      </c>
      <c r="K157" s="49">
        <f t="shared" si="161"/>
        <v>0</v>
      </c>
      <c r="L157" s="49">
        <f t="shared" si="161"/>
        <v>0</v>
      </c>
      <c r="M157" s="49">
        <f t="shared" si="161"/>
        <v>0</v>
      </c>
      <c r="N157" s="49">
        <f t="shared" si="161"/>
        <v>0</v>
      </c>
      <c r="O157" s="49">
        <f>SUM(C157:N157)</f>
        <v>0</v>
      </c>
      <c r="P157" s="49">
        <f>MAX(C157:N157)</f>
        <v>0</v>
      </c>
      <c r="Q157" s="49"/>
    </row>
    <row r="158" spans="1:23" hidden="1" x14ac:dyDescent="0.2"/>
    <row r="159" spans="1:23" hidden="1" x14ac:dyDescent="0.2">
      <c r="A159" s="15">
        <f>A20</f>
        <v>0</v>
      </c>
      <c r="B159" s="57">
        <f>B20</f>
        <v>0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34"/>
    </row>
    <row r="160" spans="1:23" hidden="1" x14ac:dyDescent="0.2">
      <c r="A160" s="14" t="s">
        <v>678</v>
      </c>
      <c r="C160" s="49">
        <v>0</v>
      </c>
      <c r="D160" s="49">
        <v>0</v>
      </c>
      <c r="E160" s="49">
        <v>0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f>SUM(C160:N160)</f>
        <v>0</v>
      </c>
      <c r="P160" s="112"/>
      <c r="Q160" s="112"/>
      <c r="U160" s="100"/>
      <c r="W160" s="100"/>
    </row>
    <row r="161" spans="1:23" hidden="1" x14ac:dyDescent="0.2">
      <c r="A161" s="14" t="s">
        <v>679</v>
      </c>
      <c r="C161" s="49">
        <f>C160/744</f>
        <v>0</v>
      </c>
      <c r="D161" s="47">
        <f>D160/720</f>
        <v>0</v>
      </c>
      <c r="E161" s="49">
        <f t="shared" ref="E161:N161" si="162">E160/744</f>
        <v>0</v>
      </c>
      <c r="F161" s="49">
        <f>F160/720</f>
        <v>0</v>
      </c>
      <c r="G161" s="49">
        <f t="shared" si="162"/>
        <v>0</v>
      </c>
      <c r="H161" s="47">
        <f>H160/744</f>
        <v>0</v>
      </c>
      <c r="I161" s="47">
        <f>I160/672</f>
        <v>0</v>
      </c>
      <c r="J161" s="49">
        <f t="shared" si="162"/>
        <v>0</v>
      </c>
      <c r="K161" s="49">
        <f>K160/720</f>
        <v>0</v>
      </c>
      <c r="L161" s="49">
        <f t="shared" si="162"/>
        <v>0</v>
      </c>
      <c r="M161" s="49">
        <f>M160/720</f>
        <v>0</v>
      </c>
      <c r="N161" s="49">
        <f t="shared" si="162"/>
        <v>0</v>
      </c>
      <c r="O161" s="49">
        <f>O160/8760</f>
        <v>0</v>
      </c>
      <c r="P161" s="49"/>
      <c r="Q161" s="49"/>
    </row>
    <row r="162" spans="1:23" hidden="1" x14ac:dyDescent="0.2">
      <c r="A162" s="14" t="s">
        <v>754</v>
      </c>
      <c r="C162" s="67">
        <v>0</v>
      </c>
      <c r="D162" s="67">
        <v>0</v>
      </c>
      <c r="E162" s="67">
        <v>0</v>
      </c>
      <c r="F162" s="67">
        <v>0.25</v>
      </c>
      <c r="G162" s="67">
        <v>0.25</v>
      </c>
      <c r="H162" s="67">
        <v>0.25</v>
      </c>
      <c r="I162" s="67">
        <v>0.25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/>
      <c r="Q162" s="34"/>
    </row>
    <row r="163" spans="1:23" hidden="1" x14ac:dyDescent="0.2">
      <c r="A163" s="14" t="s">
        <v>755</v>
      </c>
      <c r="C163" s="49"/>
      <c r="D163" s="49"/>
      <c r="E163" s="49"/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/>
      <c r="L163" s="49"/>
      <c r="M163" s="49"/>
      <c r="N163" s="49"/>
      <c r="O163" s="49">
        <f>SUM(C163:N163)</f>
        <v>0</v>
      </c>
      <c r="Q163" s="34">
        <f>MAX(C163:N163)</f>
        <v>0</v>
      </c>
    </row>
    <row r="164" spans="1:23" hidden="1" x14ac:dyDescent="0.2">
      <c r="A164" s="14" t="s">
        <v>680</v>
      </c>
      <c r="C164" s="67">
        <v>1</v>
      </c>
      <c r="D164" s="67">
        <v>1</v>
      </c>
      <c r="E164" s="67">
        <v>1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1</v>
      </c>
      <c r="M164" s="67">
        <v>1</v>
      </c>
      <c r="N164" s="67">
        <v>1</v>
      </c>
      <c r="O164" s="67"/>
      <c r="P164" s="49"/>
      <c r="Q164" s="34"/>
    </row>
    <row r="165" spans="1:23" hidden="1" x14ac:dyDescent="0.2">
      <c r="A165" s="14" t="s">
        <v>681</v>
      </c>
      <c r="C165" s="49">
        <f t="shared" ref="C165:N165" si="163">C163*C164</f>
        <v>0</v>
      </c>
      <c r="D165" s="49">
        <f t="shared" si="163"/>
        <v>0</v>
      </c>
      <c r="E165" s="49">
        <f t="shared" si="163"/>
        <v>0</v>
      </c>
      <c r="F165" s="49">
        <f t="shared" si="163"/>
        <v>0</v>
      </c>
      <c r="G165" s="49">
        <f t="shared" si="163"/>
        <v>0</v>
      </c>
      <c r="H165" s="49">
        <f t="shared" si="163"/>
        <v>0</v>
      </c>
      <c r="I165" s="49">
        <f t="shared" si="163"/>
        <v>0</v>
      </c>
      <c r="J165" s="49">
        <f t="shared" si="163"/>
        <v>0</v>
      </c>
      <c r="K165" s="49">
        <f t="shared" si="163"/>
        <v>0</v>
      </c>
      <c r="L165" s="49">
        <f t="shared" si="163"/>
        <v>0</v>
      </c>
      <c r="M165" s="49">
        <f t="shared" si="163"/>
        <v>0</v>
      </c>
      <c r="N165" s="49">
        <f t="shared" si="163"/>
        <v>0</v>
      </c>
      <c r="O165" s="49">
        <f>SUM(C165:N165)</f>
        <v>0</v>
      </c>
      <c r="P165" s="49"/>
      <c r="Q165" s="34"/>
      <c r="R165" s="34">
        <f>O165</f>
        <v>0</v>
      </c>
      <c r="S165" s="34">
        <f>H165+I165+J165</f>
        <v>0</v>
      </c>
      <c r="T165" s="34">
        <f>R165-S165</f>
        <v>0</v>
      </c>
    </row>
    <row r="166" spans="1:23" hidden="1" x14ac:dyDescent="0.2">
      <c r="A166" s="14" t="s">
        <v>756</v>
      </c>
      <c r="C166" s="67">
        <v>0.65</v>
      </c>
      <c r="D166" s="67">
        <v>0.65</v>
      </c>
      <c r="E166" s="67">
        <v>0.65</v>
      </c>
      <c r="F166" s="67">
        <v>0.65</v>
      </c>
      <c r="G166" s="67">
        <v>0.65</v>
      </c>
      <c r="H166" s="67">
        <v>0.65</v>
      </c>
      <c r="I166" s="67">
        <v>0.65</v>
      </c>
      <c r="J166" s="67">
        <v>0.65</v>
      </c>
      <c r="K166" s="67">
        <v>0.65</v>
      </c>
      <c r="L166" s="67">
        <v>0.65</v>
      </c>
      <c r="M166" s="67">
        <v>0.65</v>
      </c>
      <c r="N166" s="67">
        <v>0.65</v>
      </c>
      <c r="O166" s="67"/>
      <c r="P166" s="112"/>
      <c r="Q166" s="112"/>
      <c r="U166" s="100"/>
      <c r="W166" s="100"/>
    </row>
    <row r="167" spans="1:23" hidden="1" x14ac:dyDescent="0.2">
      <c r="A167" s="14" t="s">
        <v>757</v>
      </c>
      <c r="C167" s="49">
        <f>C161/C166</f>
        <v>0</v>
      </c>
      <c r="D167" s="49">
        <f t="shared" ref="D167:N167" si="164">D161/D166</f>
        <v>0</v>
      </c>
      <c r="E167" s="49">
        <f t="shared" si="164"/>
        <v>0</v>
      </c>
      <c r="F167" s="49">
        <f t="shared" si="164"/>
        <v>0</v>
      </c>
      <c r="G167" s="49">
        <f t="shared" si="164"/>
        <v>0</v>
      </c>
      <c r="H167" s="49">
        <f t="shared" si="164"/>
        <v>0</v>
      </c>
      <c r="I167" s="49">
        <f t="shared" si="164"/>
        <v>0</v>
      </c>
      <c r="J167" s="49">
        <f t="shared" si="164"/>
        <v>0</v>
      </c>
      <c r="K167" s="49">
        <f t="shared" si="164"/>
        <v>0</v>
      </c>
      <c r="L167" s="49">
        <f t="shared" si="164"/>
        <v>0</v>
      </c>
      <c r="M167" s="49">
        <f t="shared" si="164"/>
        <v>0</v>
      </c>
      <c r="N167" s="49">
        <f t="shared" si="164"/>
        <v>0</v>
      </c>
      <c r="O167" s="49">
        <f>SUM(C167:N167)</f>
        <v>0</v>
      </c>
      <c r="P167" s="49">
        <f>MAX(C167:N167)</f>
        <v>0</v>
      </c>
      <c r="Q167" s="49"/>
    </row>
    <row r="168" spans="1:23" ht="15.75" hidden="1" customHeight="1" x14ac:dyDescent="0.2"/>
    <row r="169" spans="1:23" hidden="1" x14ac:dyDescent="0.2">
      <c r="A169" s="15">
        <f>A21</f>
        <v>0</v>
      </c>
      <c r="B169" s="57">
        <f>B21</f>
        <v>0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34"/>
    </row>
    <row r="170" spans="1:23" hidden="1" x14ac:dyDescent="0.2">
      <c r="A170" s="14" t="s">
        <v>678</v>
      </c>
      <c r="C170" s="49">
        <v>0</v>
      </c>
      <c r="D170" s="49">
        <v>0</v>
      </c>
      <c r="E170" s="49">
        <v>0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f>SUM(C170:N170)</f>
        <v>0</v>
      </c>
      <c r="P170" s="112"/>
      <c r="Q170" s="112"/>
      <c r="U170" s="100"/>
      <c r="W170" s="100"/>
    </row>
    <row r="171" spans="1:23" hidden="1" x14ac:dyDescent="0.2">
      <c r="A171" s="14" t="s">
        <v>679</v>
      </c>
      <c r="C171" s="49">
        <f>C170/744</f>
        <v>0</v>
      </c>
      <c r="D171" s="47">
        <f>D170/720</f>
        <v>0</v>
      </c>
      <c r="E171" s="49">
        <f t="shared" ref="E171:N171" si="165">E170/744</f>
        <v>0</v>
      </c>
      <c r="F171" s="49">
        <f>F170/720</f>
        <v>0</v>
      </c>
      <c r="G171" s="49">
        <f t="shared" si="165"/>
        <v>0</v>
      </c>
      <c r="H171" s="47">
        <f>H170/744</f>
        <v>0</v>
      </c>
      <c r="I171" s="47">
        <f>I170/672</f>
        <v>0</v>
      </c>
      <c r="J171" s="49">
        <f t="shared" si="165"/>
        <v>0</v>
      </c>
      <c r="K171" s="49">
        <f>K170/720</f>
        <v>0</v>
      </c>
      <c r="L171" s="49">
        <f t="shared" si="165"/>
        <v>0</v>
      </c>
      <c r="M171" s="49">
        <f>M170/720</f>
        <v>0</v>
      </c>
      <c r="N171" s="49">
        <f t="shared" si="165"/>
        <v>0</v>
      </c>
      <c r="O171" s="49">
        <f>O170/8760</f>
        <v>0</v>
      </c>
      <c r="P171" s="49"/>
      <c r="Q171" s="49"/>
    </row>
    <row r="172" spans="1:23" hidden="1" x14ac:dyDescent="0.2">
      <c r="A172" s="14" t="s">
        <v>754</v>
      </c>
      <c r="C172" s="67">
        <v>0</v>
      </c>
      <c r="D172" s="67">
        <v>0</v>
      </c>
      <c r="E172" s="67">
        <v>0</v>
      </c>
      <c r="F172" s="67">
        <v>0.25</v>
      </c>
      <c r="G172" s="67">
        <v>0.25</v>
      </c>
      <c r="H172" s="67">
        <v>0.25</v>
      </c>
      <c r="I172" s="67">
        <v>0.25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/>
      <c r="Q172" s="34"/>
    </row>
    <row r="173" spans="1:23" hidden="1" x14ac:dyDescent="0.2">
      <c r="A173" s="14" t="s">
        <v>755</v>
      </c>
      <c r="C173" s="49"/>
      <c r="D173" s="49"/>
      <c r="E173" s="49"/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49"/>
      <c r="L173" s="49"/>
      <c r="M173" s="49"/>
      <c r="N173" s="49"/>
      <c r="O173" s="49">
        <f>SUM(C173:N173)</f>
        <v>0</v>
      </c>
      <c r="Q173" s="34">
        <f>MAX(C173:N173)</f>
        <v>0</v>
      </c>
    </row>
    <row r="174" spans="1:23" hidden="1" x14ac:dyDescent="0.2">
      <c r="A174" s="14" t="s">
        <v>680</v>
      </c>
      <c r="C174" s="67">
        <v>1</v>
      </c>
      <c r="D174" s="67">
        <v>1</v>
      </c>
      <c r="E174" s="67">
        <v>1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1</v>
      </c>
      <c r="M174" s="67">
        <v>1</v>
      </c>
      <c r="N174" s="67">
        <v>1</v>
      </c>
      <c r="O174" s="67"/>
      <c r="P174" s="49"/>
      <c r="Q174" s="34"/>
    </row>
    <row r="175" spans="1:23" hidden="1" x14ac:dyDescent="0.2">
      <c r="A175" s="14" t="s">
        <v>681</v>
      </c>
      <c r="C175" s="49">
        <f t="shared" ref="C175:N175" si="166">C173*C174</f>
        <v>0</v>
      </c>
      <c r="D175" s="49">
        <f t="shared" si="166"/>
        <v>0</v>
      </c>
      <c r="E175" s="49">
        <f t="shared" si="166"/>
        <v>0</v>
      </c>
      <c r="F175" s="49">
        <f t="shared" si="166"/>
        <v>0</v>
      </c>
      <c r="G175" s="49">
        <f t="shared" si="166"/>
        <v>0</v>
      </c>
      <c r="H175" s="49">
        <f t="shared" si="166"/>
        <v>0</v>
      </c>
      <c r="I175" s="49">
        <f t="shared" si="166"/>
        <v>0</v>
      </c>
      <c r="J175" s="49">
        <f t="shared" si="166"/>
        <v>0</v>
      </c>
      <c r="K175" s="49">
        <f t="shared" si="166"/>
        <v>0</v>
      </c>
      <c r="L175" s="49">
        <f t="shared" si="166"/>
        <v>0</v>
      </c>
      <c r="M175" s="49">
        <f t="shared" si="166"/>
        <v>0</v>
      </c>
      <c r="N175" s="49">
        <f t="shared" si="166"/>
        <v>0</v>
      </c>
      <c r="O175" s="49">
        <f>SUM(C175:N175)</f>
        <v>0</v>
      </c>
      <c r="P175" s="49"/>
      <c r="Q175" s="34"/>
      <c r="R175" s="34">
        <f>O175</f>
        <v>0</v>
      </c>
      <c r="S175" s="34">
        <f>H175+I175+J175</f>
        <v>0</v>
      </c>
      <c r="T175" s="34">
        <f>R175-S175</f>
        <v>0</v>
      </c>
    </row>
    <row r="176" spans="1:23" hidden="1" x14ac:dyDescent="0.2">
      <c r="A176" s="14" t="s">
        <v>756</v>
      </c>
      <c r="C176" s="67">
        <v>0.65</v>
      </c>
      <c r="D176" s="67">
        <v>0.65</v>
      </c>
      <c r="E176" s="67">
        <v>0.65</v>
      </c>
      <c r="F176" s="67">
        <v>0.65</v>
      </c>
      <c r="G176" s="67">
        <v>0.65</v>
      </c>
      <c r="H176" s="67">
        <v>0.65</v>
      </c>
      <c r="I176" s="67">
        <v>0.65</v>
      </c>
      <c r="J176" s="67">
        <v>0.65</v>
      </c>
      <c r="K176" s="67">
        <v>0.65</v>
      </c>
      <c r="L176" s="67">
        <v>0.65</v>
      </c>
      <c r="M176" s="67">
        <v>0.65</v>
      </c>
      <c r="N176" s="67">
        <v>0.65</v>
      </c>
      <c r="O176" s="67"/>
      <c r="P176" s="112"/>
      <c r="Q176" s="112"/>
      <c r="U176" s="100"/>
      <c r="W176" s="100"/>
    </row>
    <row r="177" spans="1:23" hidden="1" x14ac:dyDescent="0.2">
      <c r="A177" s="14" t="s">
        <v>757</v>
      </c>
      <c r="C177" s="49">
        <f>C171/C176</f>
        <v>0</v>
      </c>
      <c r="D177" s="49">
        <f t="shared" ref="D177:N177" si="167">D171/D176</f>
        <v>0</v>
      </c>
      <c r="E177" s="49">
        <f t="shared" si="167"/>
        <v>0</v>
      </c>
      <c r="F177" s="49">
        <f t="shared" si="167"/>
        <v>0</v>
      </c>
      <c r="G177" s="49">
        <f t="shared" si="167"/>
        <v>0</v>
      </c>
      <c r="H177" s="49">
        <f t="shared" si="167"/>
        <v>0</v>
      </c>
      <c r="I177" s="49">
        <f t="shared" si="167"/>
        <v>0</v>
      </c>
      <c r="J177" s="49">
        <f t="shared" si="167"/>
        <v>0</v>
      </c>
      <c r="K177" s="49">
        <f t="shared" si="167"/>
        <v>0</v>
      </c>
      <c r="L177" s="49">
        <f t="shared" si="167"/>
        <v>0</v>
      </c>
      <c r="M177" s="49">
        <f t="shared" si="167"/>
        <v>0</v>
      </c>
      <c r="N177" s="49">
        <f t="shared" si="167"/>
        <v>0</v>
      </c>
      <c r="O177" s="49">
        <f>SUM(C177:N177)</f>
        <v>0</v>
      </c>
      <c r="P177" s="49">
        <f>MAX(C177:N177)</f>
        <v>0</v>
      </c>
      <c r="Q177" s="49"/>
    </row>
    <row r="178" spans="1:23" hidden="1" x14ac:dyDescent="0.2"/>
    <row r="179" spans="1:23" hidden="1" x14ac:dyDescent="0.2">
      <c r="A179" s="15">
        <f>A22</f>
        <v>0</v>
      </c>
      <c r="B179" s="57">
        <f>B22</f>
        <v>0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34"/>
    </row>
    <row r="180" spans="1:23" hidden="1" x14ac:dyDescent="0.2">
      <c r="A180" s="14" t="s">
        <v>678</v>
      </c>
      <c r="C180" s="49">
        <v>0</v>
      </c>
      <c r="D180" s="49">
        <v>0</v>
      </c>
      <c r="E180" s="49">
        <v>0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f>SUM(C180:N180)</f>
        <v>0</v>
      </c>
      <c r="P180" s="112"/>
      <c r="Q180" s="112"/>
      <c r="U180" s="100"/>
      <c r="W180" s="100"/>
    </row>
    <row r="181" spans="1:23" hidden="1" x14ac:dyDescent="0.2">
      <c r="A181" s="14" t="s">
        <v>679</v>
      </c>
      <c r="C181" s="49">
        <f>C180/744</f>
        <v>0</v>
      </c>
      <c r="D181" s="47">
        <f>D180/720</f>
        <v>0</v>
      </c>
      <c r="E181" s="49">
        <f t="shared" ref="E181:N181" si="168">E180/744</f>
        <v>0</v>
      </c>
      <c r="F181" s="49">
        <f>F180/720</f>
        <v>0</v>
      </c>
      <c r="G181" s="49">
        <f t="shared" si="168"/>
        <v>0</v>
      </c>
      <c r="H181" s="47">
        <f>H180/744</f>
        <v>0</v>
      </c>
      <c r="I181" s="47">
        <f>I180/672</f>
        <v>0</v>
      </c>
      <c r="J181" s="49">
        <f t="shared" si="168"/>
        <v>0</v>
      </c>
      <c r="K181" s="49">
        <f>K180/720</f>
        <v>0</v>
      </c>
      <c r="L181" s="49">
        <f t="shared" si="168"/>
        <v>0</v>
      </c>
      <c r="M181" s="49">
        <f>M180/720</f>
        <v>0</v>
      </c>
      <c r="N181" s="49">
        <f t="shared" si="168"/>
        <v>0</v>
      </c>
      <c r="O181" s="49">
        <f>O180/8760</f>
        <v>0</v>
      </c>
      <c r="P181" s="49"/>
      <c r="Q181" s="49"/>
    </row>
    <row r="182" spans="1:23" hidden="1" x14ac:dyDescent="0.2">
      <c r="A182" s="14" t="s">
        <v>754</v>
      </c>
      <c r="C182" s="67">
        <v>0</v>
      </c>
      <c r="D182" s="67">
        <v>0</v>
      </c>
      <c r="E182" s="67">
        <v>0</v>
      </c>
      <c r="F182" s="67">
        <v>0.25</v>
      </c>
      <c r="G182" s="67">
        <v>0.25</v>
      </c>
      <c r="H182" s="67">
        <v>0.25</v>
      </c>
      <c r="I182" s="67">
        <v>0.25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/>
      <c r="Q182" s="34"/>
    </row>
    <row r="183" spans="1:23" hidden="1" x14ac:dyDescent="0.2">
      <c r="A183" s="14" t="s">
        <v>755</v>
      </c>
      <c r="C183" s="49"/>
      <c r="D183" s="49"/>
      <c r="E183" s="49"/>
      <c r="F183" s="49">
        <v>0</v>
      </c>
      <c r="G183" s="49">
        <v>0</v>
      </c>
      <c r="H183" s="49">
        <v>0</v>
      </c>
      <c r="I183" s="49">
        <v>0</v>
      </c>
      <c r="J183" s="49">
        <v>0</v>
      </c>
      <c r="K183" s="49"/>
      <c r="L183" s="49"/>
      <c r="M183" s="49"/>
      <c r="N183" s="49"/>
      <c r="O183" s="49">
        <f>SUM(C183:N183)</f>
        <v>0</v>
      </c>
      <c r="Q183" s="34">
        <f>MAX(C183:N183)</f>
        <v>0</v>
      </c>
    </row>
    <row r="184" spans="1:23" hidden="1" x14ac:dyDescent="0.2">
      <c r="A184" s="14" t="s">
        <v>680</v>
      </c>
      <c r="C184" s="67">
        <v>1</v>
      </c>
      <c r="D184" s="67">
        <v>1</v>
      </c>
      <c r="E184" s="67">
        <v>1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1</v>
      </c>
      <c r="M184" s="67">
        <v>1</v>
      </c>
      <c r="N184" s="67">
        <v>1</v>
      </c>
      <c r="O184" s="67"/>
      <c r="P184" s="49"/>
      <c r="Q184" s="34"/>
    </row>
    <row r="185" spans="1:23" hidden="1" x14ac:dyDescent="0.2">
      <c r="A185" s="14" t="s">
        <v>681</v>
      </c>
      <c r="C185" s="49">
        <f t="shared" ref="C185:N185" si="169">C183*C184</f>
        <v>0</v>
      </c>
      <c r="D185" s="49">
        <f t="shared" si="169"/>
        <v>0</v>
      </c>
      <c r="E185" s="49">
        <f t="shared" si="169"/>
        <v>0</v>
      </c>
      <c r="F185" s="49">
        <f t="shared" si="169"/>
        <v>0</v>
      </c>
      <c r="G185" s="49">
        <f t="shared" si="169"/>
        <v>0</v>
      </c>
      <c r="H185" s="49">
        <f t="shared" si="169"/>
        <v>0</v>
      </c>
      <c r="I185" s="49">
        <f t="shared" si="169"/>
        <v>0</v>
      </c>
      <c r="J185" s="49">
        <f t="shared" si="169"/>
        <v>0</v>
      </c>
      <c r="K185" s="49">
        <f t="shared" si="169"/>
        <v>0</v>
      </c>
      <c r="L185" s="49">
        <f t="shared" si="169"/>
        <v>0</v>
      </c>
      <c r="M185" s="49">
        <f t="shared" si="169"/>
        <v>0</v>
      </c>
      <c r="N185" s="49">
        <f t="shared" si="169"/>
        <v>0</v>
      </c>
      <c r="O185" s="49">
        <f>SUM(C185:N185)</f>
        <v>0</v>
      </c>
      <c r="P185" s="49"/>
      <c r="Q185" s="34"/>
      <c r="R185" s="34">
        <f>O185</f>
        <v>0</v>
      </c>
      <c r="S185" s="34">
        <f>H185+I185+J185</f>
        <v>0</v>
      </c>
      <c r="T185" s="34">
        <f>R185-S185</f>
        <v>0</v>
      </c>
    </row>
    <row r="186" spans="1:23" hidden="1" x14ac:dyDescent="0.2">
      <c r="A186" s="14" t="s">
        <v>756</v>
      </c>
      <c r="C186" s="67">
        <v>0.65</v>
      </c>
      <c r="D186" s="67">
        <v>0.65</v>
      </c>
      <c r="E186" s="67">
        <v>0.65</v>
      </c>
      <c r="F186" s="67">
        <v>0.65</v>
      </c>
      <c r="G186" s="67">
        <v>0.65</v>
      </c>
      <c r="H186" s="67">
        <v>0.65</v>
      </c>
      <c r="I186" s="67">
        <v>0.65</v>
      </c>
      <c r="J186" s="67">
        <v>0.65</v>
      </c>
      <c r="K186" s="67">
        <v>0.65</v>
      </c>
      <c r="L186" s="67">
        <v>0.65</v>
      </c>
      <c r="M186" s="67">
        <v>0.65</v>
      </c>
      <c r="N186" s="67">
        <v>0.65</v>
      </c>
      <c r="O186" s="67"/>
      <c r="P186" s="112"/>
      <c r="Q186" s="112"/>
      <c r="U186" s="100"/>
      <c r="W186" s="100"/>
    </row>
    <row r="187" spans="1:23" hidden="1" x14ac:dyDescent="0.2">
      <c r="A187" s="14" t="s">
        <v>757</v>
      </c>
      <c r="C187" s="49">
        <f>C181/C186</f>
        <v>0</v>
      </c>
      <c r="D187" s="49">
        <f t="shared" ref="D187:N187" si="170">D181/D186</f>
        <v>0</v>
      </c>
      <c r="E187" s="49">
        <f t="shared" si="170"/>
        <v>0</v>
      </c>
      <c r="F187" s="49">
        <f t="shared" si="170"/>
        <v>0</v>
      </c>
      <c r="G187" s="49">
        <f t="shared" si="170"/>
        <v>0</v>
      </c>
      <c r="H187" s="49">
        <f t="shared" si="170"/>
        <v>0</v>
      </c>
      <c r="I187" s="49">
        <f t="shared" si="170"/>
        <v>0</v>
      </c>
      <c r="J187" s="49">
        <f t="shared" si="170"/>
        <v>0</v>
      </c>
      <c r="K187" s="49">
        <f t="shared" si="170"/>
        <v>0</v>
      </c>
      <c r="L187" s="49">
        <f t="shared" si="170"/>
        <v>0</v>
      </c>
      <c r="M187" s="49">
        <f t="shared" si="170"/>
        <v>0</v>
      </c>
      <c r="N187" s="49">
        <f t="shared" si="170"/>
        <v>0</v>
      </c>
      <c r="O187" s="49">
        <f>SUM(C187:N187)</f>
        <v>0</v>
      </c>
      <c r="P187" s="49">
        <f>MAX(C187:N187)</f>
        <v>0</v>
      </c>
      <c r="Q187" s="49"/>
    </row>
    <row r="188" spans="1:23" hidden="1" x14ac:dyDescent="0.2"/>
    <row r="189" spans="1:23" hidden="1" x14ac:dyDescent="0.2">
      <c r="A189" s="15">
        <f>A23</f>
        <v>0</v>
      </c>
      <c r="B189" s="57">
        <f>B23</f>
        <v>0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34"/>
    </row>
    <row r="190" spans="1:23" hidden="1" x14ac:dyDescent="0.2">
      <c r="A190" s="14" t="s">
        <v>678</v>
      </c>
      <c r="C190" s="49">
        <v>0</v>
      </c>
      <c r="D190" s="49">
        <v>0</v>
      </c>
      <c r="E190" s="49">
        <v>0</v>
      </c>
      <c r="F190" s="49">
        <v>0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49">
        <f>SUM(C190:N190)</f>
        <v>0</v>
      </c>
      <c r="P190" s="112"/>
      <c r="Q190" s="112"/>
      <c r="U190" s="100"/>
      <c r="W190" s="100"/>
    </row>
    <row r="191" spans="1:23" hidden="1" x14ac:dyDescent="0.2">
      <c r="A191" s="14" t="s">
        <v>679</v>
      </c>
      <c r="C191" s="49">
        <f>C190/744</f>
        <v>0</v>
      </c>
      <c r="D191" s="47">
        <f>D190/720</f>
        <v>0</v>
      </c>
      <c r="E191" s="49">
        <f t="shared" ref="E191:N191" si="171">E190/744</f>
        <v>0</v>
      </c>
      <c r="F191" s="49">
        <f>F190/720</f>
        <v>0</v>
      </c>
      <c r="G191" s="49">
        <f t="shared" si="171"/>
        <v>0</v>
      </c>
      <c r="H191" s="47">
        <f>H190/744</f>
        <v>0</v>
      </c>
      <c r="I191" s="47">
        <f>I190/672</f>
        <v>0</v>
      </c>
      <c r="J191" s="49">
        <f t="shared" si="171"/>
        <v>0</v>
      </c>
      <c r="K191" s="49">
        <f>K190/720</f>
        <v>0</v>
      </c>
      <c r="L191" s="49">
        <f t="shared" si="171"/>
        <v>0</v>
      </c>
      <c r="M191" s="49">
        <f>M190/720</f>
        <v>0</v>
      </c>
      <c r="N191" s="49">
        <f t="shared" si="171"/>
        <v>0</v>
      </c>
      <c r="O191" s="49">
        <f>O190/8760</f>
        <v>0</v>
      </c>
      <c r="P191" s="49"/>
      <c r="Q191" s="49"/>
    </row>
    <row r="192" spans="1:23" hidden="1" x14ac:dyDescent="0.2">
      <c r="A192" s="14" t="s">
        <v>754</v>
      </c>
      <c r="C192" s="67">
        <v>0</v>
      </c>
      <c r="D192" s="67">
        <v>0</v>
      </c>
      <c r="E192" s="67">
        <v>0</v>
      </c>
      <c r="F192" s="67">
        <v>0.25</v>
      </c>
      <c r="G192" s="67">
        <v>0.25</v>
      </c>
      <c r="H192" s="67">
        <v>0.25</v>
      </c>
      <c r="I192" s="67">
        <v>0.25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/>
      <c r="Q192" s="34"/>
    </row>
    <row r="193" spans="1:23" hidden="1" x14ac:dyDescent="0.2">
      <c r="A193" s="14" t="s">
        <v>755</v>
      </c>
      <c r="C193" s="49"/>
      <c r="D193" s="49"/>
      <c r="E193" s="49"/>
      <c r="F193" s="49">
        <v>0</v>
      </c>
      <c r="G193" s="49">
        <v>0</v>
      </c>
      <c r="H193" s="49">
        <v>0</v>
      </c>
      <c r="I193" s="49">
        <v>0</v>
      </c>
      <c r="J193" s="49">
        <v>0</v>
      </c>
      <c r="K193" s="49"/>
      <c r="L193" s="49"/>
      <c r="M193" s="49"/>
      <c r="N193" s="49"/>
      <c r="O193" s="49">
        <f>SUM(C193:N193)</f>
        <v>0</v>
      </c>
      <c r="Q193" s="34">
        <f>MAX(C193:N193)</f>
        <v>0</v>
      </c>
    </row>
    <row r="194" spans="1:23" hidden="1" x14ac:dyDescent="0.2">
      <c r="A194" s="14" t="s">
        <v>680</v>
      </c>
      <c r="C194" s="67">
        <v>1</v>
      </c>
      <c r="D194" s="67">
        <v>1</v>
      </c>
      <c r="E194" s="67">
        <v>1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1</v>
      </c>
      <c r="M194" s="67">
        <v>1</v>
      </c>
      <c r="N194" s="67">
        <v>1</v>
      </c>
      <c r="O194" s="67"/>
      <c r="P194" s="49"/>
      <c r="Q194" s="34"/>
    </row>
    <row r="195" spans="1:23" hidden="1" x14ac:dyDescent="0.2">
      <c r="A195" s="14" t="s">
        <v>681</v>
      </c>
      <c r="C195" s="49">
        <f t="shared" ref="C195:N195" si="172">C193*C194</f>
        <v>0</v>
      </c>
      <c r="D195" s="49">
        <f t="shared" si="172"/>
        <v>0</v>
      </c>
      <c r="E195" s="49">
        <f t="shared" si="172"/>
        <v>0</v>
      </c>
      <c r="F195" s="49">
        <f t="shared" si="172"/>
        <v>0</v>
      </c>
      <c r="G195" s="49">
        <f t="shared" si="172"/>
        <v>0</v>
      </c>
      <c r="H195" s="49">
        <f t="shared" si="172"/>
        <v>0</v>
      </c>
      <c r="I195" s="49">
        <f t="shared" si="172"/>
        <v>0</v>
      </c>
      <c r="J195" s="49">
        <f t="shared" si="172"/>
        <v>0</v>
      </c>
      <c r="K195" s="49">
        <f t="shared" si="172"/>
        <v>0</v>
      </c>
      <c r="L195" s="49">
        <f t="shared" si="172"/>
        <v>0</v>
      </c>
      <c r="M195" s="49">
        <f t="shared" si="172"/>
        <v>0</v>
      </c>
      <c r="N195" s="49">
        <f t="shared" si="172"/>
        <v>0</v>
      </c>
      <c r="O195" s="49">
        <f>SUM(C195:N195)</f>
        <v>0</v>
      </c>
      <c r="P195" s="49"/>
      <c r="Q195" s="34"/>
      <c r="R195" s="34">
        <f>O195</f>
        <v>0</v>
      </c>
      <c r="S195" s="34">
        <f>H195+I195+J195</f>
        <v>0</v>
      </c>
      <c r="T195" s="34">
        <f>R195-S195</f>
        <v>0</v>
      </c>
    </row>
    <row r="196" spans="1:23" hidden="1" x14ac:dyDescent="0.2">
      <c r="A196" s="14" t="s">
        <v>756</v>
      </c>
      <c r="C196" s="67">
        <v>0.65</v>
      </c>
      <c r="D196" s="67">
        <v>0.65</v>
      </c>
      <c r="E196" s="67">
        <v>0.65</v>
      </c>
      <c r="F196" s="67">
        <v>0.65</v>
      </c>
      <c r="G196" s="67">
        <v>0.65</v>
      </c>
      <c r="H196" s="67">
        <v>0.65</v>
      </c>
      <c r="I196" s="67">
        <v>0.65</v>
      </c>
      <c r="J196" s="67">
        <v>0.65</v>
      </c>
      <c r="K196" s="67">
        <v>0.65</v>
      </c>
      <c r="L196" s="67">
        <v>0.65</v>
      </c>
      <c r="M196" s="67">
        <v>0.65</v>
      </c>
      <c r="N196" s="67">
        <v>0.65</v>
      </c>
      <c r="O196" s="67"/>
      <c r="P196" s="112"/>
      <c r="Q196" s="112"/>
      <c r="U196" s="100"/>
      <c r="W196" s="100"/>
    </row>
    <row r="197" spans="1:23" ht="1.5" customHeight="1" x14ac:dyDescent="0.2">
      <c r="A197" s="14" t="s">
        <v>757</v>
      </c>
      <c r="C197" s="49">
        <f>C191/C196</f>
        <v>0</v>
      </c>
      <c r="D197" s="49">
        <f t="shared" ref="D197:N197" si="173">D191/D196</f>
        <v>0</v>
      </c>
      <c r="E197" s="49">
        <f t="shared" si="173"/>
        <v>0</v>
      </c>
      <c r="F197" s="49">
        <f t="shared" si="173"/>
        <v>0</v>
      </c>
      <c r="G197" s="49">
        <f t="shared" si="173"/>
        <v>0</v>
      </c>
      <c r="H197" s="49">
        <f t="shared" si="173"/>
        <v>0</v>
      </c>
      <c r="I197" s="49">
        <f t="shared" si="173"/>
        <v>0</v>
      </c>
      <c r="J197" s="49">
        <f t="shared" si="173"/>
        <v>0</v>
      </c>
      <c r="K197" s="49">
        <f t="shared" si="173"/>
        <v>0</v>
      </c>
      <c r="L197" s="49">
        <f t="shared" si="173"/>
        <v>0</v>
      </c>
      <c r="M197" s="49">
        <f t="shared" si="173"/>
        <v>0</v>
      </c>
      <c r="N197" s="49">
        <f t="shared" si="173"/>
        <v>0</v>
      </c>
      <c r="O197" s="49">
        <f>SUM(C197:N197)</f>
        <v>0</v>
      </c>
      <c r="P197" s="49">
        <f>MAX(C197:N197)</f>
        <v>0</v>
      </c>
      <c r="Q197" s="49"/>
    </row>
    <row r="198" spans="1:23" x14ac:dyDescent="0.2"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</row>
    <row r="199" spans="1:23" x14ac:dyDescent="0.2">
      <c r="A199" s="14" t="s">
        <v>1044</v>
      </c>
      <c r="C199" s="49">
        <f>'Purchased Power'!D27</f>
        <v>413646</v>
      </c>
      <c r="D199" s="49">
        <f>'Purchased Power'!E27</f>
        <v>293842</v>
      </c>
      <c r="E199" s="49">
        <f>'Purchased Power'!F27</f>
        <v>253973</v>
      </c>
      <c r="F199" s="49">
        <f>'Purchased Power'!G27</f>
        <v>204716</v>
      </c>
      <c r="G199" s="49">
        <f>'Purchased Power'!H27</f>
        <v>226822</v>
      </c>
      <c r="H199" s="49">
        <f>'Purchased Power'!I27</f>
        <v>257920</v>
      </c>
      <c r="I199" s="49">
        <f>'Purchased Power'!J27</f>
        <v>272684</v>
      </c>
      <c r="J199" s="49">
        <f>'Purchased Power'!K27</f>
        <v>259993</v>
      </c>
      <c r="K199" s="49">
        <f>'Purchased Power'!L27</f>
        <v>227910</v>
      </c>
      <c r="L199" s="49">
        <f>'Purchased Power'!M27</f>
        <v>195797</v>
      </c>
      <c r="M199" s="49">
        <f>'Purchased Power'!N27</f>
        <v>283467</v>
      </c>
      <c r="N199" s="49">
        <f>'Purchased Power'!O27</f>
        <v>345755</v>
      </c>
      <c r="O199" s="49">
        <f>SUM(C199:N199)</f>
        <v>3236525</v>
      </c>
      <c r="P199" s="49"/>
      <c r="Q199" s="49"/>
      <c r="R199" s="49"/>
      <c r="S199" s="49"/>
    </row>
    <row r="200" spans="1:23" x14ac:dyDescent="0.2">
      <c r="A200" s="14" t="s">
        <v>1045</v>
      </c>
      <c r="C200" s="34">
        <f t="shared" ref="C200:N200" si="174">(C45+C55+C65+C75+C85+C95+C105+C115+C125+C135+C145+C155+C165+C175+C185+C195)</f>
        <v>413645.99979051499</v>
      </c>
      <c r="D200" s="34">
        <f t="shared" si="174"/>
        <v>293842.0000000631</v>
      </c>
      <c r="E200" s="34">
        <f t="shared" si="174"/>
        <v>253973.00000081013</v>
      </c>
      <c r="F200" s="34">
        <f t="shared" si="174"/>
        <v>204716.00001680822</v>
      </c>
      <c r="G200" s="34">
        <f t="shared" si="174"/>
        <v>226822.00000446118</v>
      </c>
      <c r="H200" s="34">
        <f t="shared" si="174"/>
        <v>257920.00000011307</v>
      </c>
      <c r="I200" s="34">
        <f t="shared" si="174"/>
        <v>272684.00000011706</v>
      </c>
      <c r="J200" s="34">
        <f t="shared" si="174"/>
        <v>259993.00000013885</v>
      </c>
      <c r="K200" s="34">
        <f t="shared" si="174"/>
        <v>227910.44600504125</v>
      </c>
      <c r="L200" s="34">
        <f t="shared" si="174"/>
        <v>195797.00001253909</v>
      </c>
      <c r="M200" s="34">
        <f t="shared" si="174"/>
        <v>283467.00000022718</v>
      </c>
      <c r="N200" s="34">
        <f t="shared" si="174"/>
        <v>345755.00000005757</v>
      </c>
      <c r="O200" s="34">
        <f>SUM(C200:N200)</f>
        <v>3236525.4458308918</v>
      </c>
      <c r="P200" s="108">
        <f>O200/O199</f>
        <v>1.0000001377498682</v>
      </c>
    </row>
    <row r="201" spans="1:23" x14ac:dyDescent="0.2">
      <c r="A201" s="14" t="s">
        <v>715</v>
      </c>
      <c r="C201" s="34">
        <f t="shared" ref="C201:O201" si="175">C199-C200</f>
        <v>2.0948500605300069E-4</v>
      </c>
      <c r="D201" s="34">
        <f t="shared" si="175"/>
        <v>-6.3097104430198669E-8</v>
      </c>
      <c r="E201" s="34">
        <f t="shared" si="175"/>
        <v>-8.1013422459363937E-7</v>
      </c>
      <c r="F201" s="34">
        <f t="shared" si="175"/>
        <v>-1.6808218788355589E-5</v>
      </c>
      <c r="G201" s="34">
        <f t="shared" si="175"/>
        <v>-4.4611806515604258E-6</v>
      </c>
      <c r="H201" s="34">
        <f t="shared" si="175"/>
        <v>-1.1306838132441044E-7</v>
      </c>
      <c r="I201" s="34">
        <f t="shared" si="175"/>
        <v>-1.1705560609698296E-7</v>
      </c>
      <c r="J201" s="34">
        <f t="shared" si="175"/>
        <v>-1.388543751090765E-7</v>
      </c>
      <c r="K201" s="34">
        <f t="shared" si="175"/>
        <v>-0.4460050412453711</v>
      </c>
      <c r="L201" s="34">
        <f t="shared" si="175"/>
        <v>-1.2539094313979149E-5</v>
      </c>
      <c r="M201" s="34">
        <f t="shared" si="175"/>
        <v>-2.2718450054526329E-7</v>
      </c>
      <c r="N201" s="34">
        <f t="shared" si="175"/>
        <v>-5.7567376643419266E-8</v>
      </c>
      <c r="O201" s="34">
        <f t="shared" si="175"/>
        <v>-0.44583089184015989</v>
      </c>
    </row>
    <row r="203" spans="1:23" x14ac:dyDescent="0.2"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</row>
    <row r="204" spans="1:23" x14ac:dyDescent="0.2"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1:23" x14ac:dyDescent="0.2"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</row>
    <row r="206" spans="1:23" x14ac:dyDescent="0.2"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</row>
    <row r="207" spans="1:23" x14ac:dyDescent="0.2"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</row>
  </sheetData>
  <phoneticPr fontId="17" type="noConversion"/>
  <printOptions horizontalCentered="1"/>
  <pageMargins left="0.25" right="0.25" top="1" bottom="0.32" header="0.5" footer="0.25"/>
  <pageSetup scale="63" fitToWidth="2" fitToHeight="5" pageOrder="overThenDown" orientation="landscape" r:id="rId1"/>
  <headerFooter alignWithMargins="0">
    <oddFooter>&amp;RExhibit JW-6
Page &amp;P of &amp;N</oddFooter>
  </headerFooter>
  <rowBreaks count="3" manualBreakCount="3">
    <brk id="31" max="19" man="1"/>
    <brk id="87" max="19" man="1"/>
    <brk id="137" max="19" man="1"/>
  </rowBreaks>
  <colBreaks count="1" manualBreakCount="1">
    <brk id="11" max="218" man="1"/>
  </colBreaks>
  <ignoredErrors>
    <ignoredError sqref="C63:N63 D108:M108 D51:M51 C65 D34:M34 D55:N55 C53:O54 C55 O55 D65:N65 D141:M14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1"/>
  <sheetViews>
    <sheetView tabSelected="1" view="pageBreakPreview" zoomScaleNormal="100" zoomScaleSheetLayoutView="100" workbookViewId="0">
      <pane xSplit="3" ySplit="4" topLeftCell="D203" activePane="bottomRight" state="frozen"/>
      <selection activeCell="I144" sqref="I144"/>
      <selection pane="topRight" activeCell="I144" sqref="I144"/>
      <selection pane="bottomLeft" activeCell="I144" sqref="I144"/>
      <selection pane="bottomRight" activeCell="C224" sqref="C224"/>
    </sheetView>
  </sheetViews>
  <sheetFormatPr defaultColWidth="9.140625" defaultRowHeight="12.75" x14ac:dyDescent="0.2"/>
  <cols>
    <col min="1" max="1" width="5.7109375" style="30" customWidth="1"/>
    <col min="2" max="2" width="5.140625" style="30" customWidth="1"/>
    <col min="3" max="3" width="33.7109375" style="14" customWidth="1"/>
    <col min="4" max="15" width="13" style="14" customWidth="1"/>
    <col min="16" max="16" width="14.42578125" style="14" customWidth="1"/>
    <col min="17" max="17" width="14.42578125" style="14" bestFit="1" customWidth="1"/>
    <col min="18" max="18" width="11.42578125" style="14" bestFit="1" customWidth="1"/>
    <col min="19" max="19" width="9.140625" style="14"/>
    <col min="20" max="21" width="15.5703125" style="14" bestFit="1" customWidth="1"/>
    <col min="22" max="22" width="15.5703125" style="14" customWidth="1"/>
    <col min="23" max="23" width="15.5703125" style="14" bestFit="1" customWidth="1"/>
    <col min="24" max="24" width="9.140625" style="14"/>
    <col min="25" max="25" width="13.28515625" style="14" bestFit="1" customWidth="1"/>
    <col min="26" max="26" width="10.7109375" style="14" bestFit="1" customWidth="1"/>
    <col min="27" max="16384" width="9.140625" style="14"/>
  </cols>
  <sheetData>
    <row r="1" spans="1:19" x14ac:dyDescent="0.2">
      <c r="A1" s="13" t="str">
        <f>'Summary of Returns'!A1</f>
        <v>BLUE GRASS ENERGY</v>
      </c>
      <c r="B1" s="13"/>
    </row>
    <row r="2" spans="1:19" x14ac:dyDescent="0.2">
      <c r="A2" s="13" t="s">
        <v>95</v>
      </c>
      <c r="B2" s="13"/>
    </row>
    <row r="3" spans="1:19" x14ac:dyDescent="0.2">
      <c r="A3" s="14"/>
      <c r="B3" s="14"/>
    </row>
    <row r="4" spans="1:19" s="219" customFormat="1" x14ac:dyDescent="0.2">
      <c r="A4" s="220" t="s">
        <v>944</v>
      </c>
      <c r="B4" s="220"/>
      <c r="C4" s="220" t="s">
        <v>945</v>
      </c>
      <c r="D4" s="284" t="s">
        <v>1018</v>
      </c>
      <c r="E4" s="284" t="s">
        <v>1019</v>
      </c>
      <c r="F4" s="284" t="s">
        <v>1020</v>
      </c>
      <c r="G4" s="284" t="s">
        <v>1021</v>
      </c>
      <c r="H4" s="284" t="s">
        <v>1022</v>
      </c>
      <c r="I4" s="284" t="s">
        <v>1023</v>
      </c>
      <c r="J4" s="284" t="s">
        <v>1024</v>
      </c>
      <c r="K4" s="284" t="s">
        <v>1025</v>
      </c>
      <c r="L4" s="284" t="s">
        <v>1026</v>
      </c>
      <c r="M4" s="284" t="s">
        <v>1027</v>
      </c>
      <c r="N4" s="284" t="s">
        <v>1028</v>
      </c>
      <c r="O4" s="284" t="s">
        <v>1029</v>
      </c>
      <c r="P4" s="222" t="s">
        <v>857</v>
      </c>
      <c r="Q4" s="223"/>
      <c r="S4" s="224"/>
    </row>
    <row r="5" spans="1:19" s="219" customFormat="1" x14ac:dyDescent="0.2">
      <c r="A5" s="224">
        <v>1</v>
      </c>
      <c r="B5" s="224"/>
      <c r="C5" s="224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23"/>
      <c r="Q5" s="223"/>
      <c r="S5" s="224"/>
    </row>
    <row r="6" spans="1:19" s="219" customFormat="1" x14ac:dyDescent="0.2">
      <c r="A6" s="224">
        <f>A5+1</f>
        <v>2</v>
      </c>
      <c r="B6" s="224"/>
      <c r="C6" s="225" t="s">
        <v>1073</v>
      </c>
      <c r="D6" s="129">
        <v>432365</v>
      </c>
      <c r="E6" s="129">
        <v>308929</v>
      </c>
      <c r="F6" s="129">
        <v>257104</v>
      </c>
      <c r="G6" s="129">
        <v>212761</v>
      </c>
      <c r="H6" s="129">
        <v>231020</v>
      </c>
      <c r="I6" s="129">
        <v>269716</v>
      </c>
      <c r="J6" s="129">
        <v>284242</v>
      </c>
      <c r="K6" s="129">
        <v>271388</v>
      </c>
      <c r="L6" s="129">
        <v>240227</v>
      </c>
      <c r="M6" s="129">
        <v>212033</v>
      </c>
      <c r="N6" s="129">
        <v>304961</v>
      </c>
      <c r="O6" s="129">
        <v>350224</v>
      </c>
      <c r="P6" s="227">
        <f>SUM(D6:O6)</f>
        <v>3374970</v>
      </c>
      <c r="Q6" s="223"/>
      <c r="S6" s="228"/>
    </row>
    <row r="7" spans="1:19" s="219" customFormat="1" x14ac:dyDescent="0.2">
      <c r="A7" s="224">
        <f t="shared" ref="A7:A70" si="0">A6+1</f>
        <v>3</v>
      </c>
      <c r="B7" s="224"/>
      <c r="C7" s="225" t="s">
        <v>1074</v>
      </c>
      <c r="D7" s="129">
        <v>172579322</v>
      </c>
      <c r="E7" s="129">
        <v>122993672</v>
      </c>
      <c r="F7" s="129">
        <v>111451193</v>
      </c>
      <c r="G7" s="129">
        <v>95222493</v>
      </c>
      <c r="H7" s="129">
        <v>102165589</v>
      </c>
      <c r="I7" s="129">
        <v>120306019</v>
      </c>
      <c r="J7" s="129">
        <v>130517644</v>
      </c>
      <c r="K7" s="129">
        <v>128010136</v>
      </c>
      <c r="L7" s="129">
        <v>104158136</v>
      </c>
      <c r="M7" s="129">
        <v>96581683</v>
      </c>
      <c r="N7" s="129">
        <v>115417066</v>
      </c>
      <c r="O7" s="129">
        <v>152905923</v>
      </c>
      <c r="P7" s="227">
        <f t="shared" ref="P7:P23" si="1">SUM(D7:O7)</f>
        <v>1452308876</v>
      </c>
      <c r="Q7" s="223"/>
      <c r="S7" s="224"/>
    </row>
    <row r="8" spans="1:19" s="219" customFormat="1" x14ac:dyDescent="0.2">
      <c r="A8" s="224">
        <f t="shared" si="0"/>
        <v>4</v>
      </c>
      <c r="B8" s="224"/>
      <c r="C8" s="225" t="s">
        <v>1075</v>
      </c>
      <c r="D8" s="132">
        <v>2827197</v>
      </c>
      <c r="E8" s="132">
        <v>2019724</v>
      </c>
      <c r="F8" s="132">
        <v>1678955</v>
      </c>
      <c r="G8" s="132">
        <v>1371901</v>
      </c>
      <c r="H8" s="132">
        <v>1496514</v>
      </c>
      <c r="I8" s="132">
        <v>1750643</v>
      </c>
      <c r="J8" s="132">
        <v>1843752</v>
      </c>
      <c r="K8" s="132">
        <v>1766431</v>
      </c>
      <c r="L8" s="132">
        <v>1561327</v>
      </c>
      <c r="M8" s="132">
        <v>1372578</v>
      </c>
      <c r="N8" s="132">
        <v>1909149</v>
      </c>
      <c r="O8" s="132">
        <v>2211930</v>
      </c>
      <c r="P8" s="229">
        <f t="shared" si="1"/>
        <v>21810101</v>
      </c>
      <c r="Q8" s="223"/>
      <c r="S8" s="224"/>
    </row>
    <row r="9" spans="1:19" s="219" customFormat="1" x14ac:dyDescent="0.2">
      <c r="A9" s="224">
        <f t="shared" si="0"/>
        <v>5</v>
      </c>
      <c r="B9" s="224"/>
      <c r="C9" s="225" t="s">
        <v>1076</v>
      </c>
      <c r="D9" s="132">
        <v>7838339</v>
      </c>
      <c r="E9" s="132">
        <v>5537444</v>
      </c>
      <c r="F9" s="132">
        <v>5012701</v>
      </c>
      <c r="G9" s="132">
        <v>4285462</v>
      </c>
      <c r="H9" s="132">
        <v>4682355</v>
      </c>
      <c r="I9" s="132">
        <v>5571608</v>
      </c>
      <c r="J9" s="132">
        <v>6056476</v>
      </c>
      <c r="K9" s="132">
        <v>5934350</v>
      </c>
      <c r="L9" s="132">
        <v>5968117</v>
      </c>
      <c r="M9" s="132">
        <v>5426553</v>
      </c>
      <c r="N9" s="132">
        <v>6457699</v>
      </c>
      <c r="O9" s="132">
        <v>8621334</v>
      </c>
      <c r="P9" s="229">
        <f t="shared" si="1"/>
        <v>71392438</v>
      </c>
      <c r="Q9" s="223"/>
      <c r="S9" s="224"/>
    </row>
    <row r="10" spans="1:19" s="219" customFormat="1" x14ac:dyDescent="0.2">
      <c r="A10" s="224">
        <f t="shared" si="0"/>
        <v>6</v>
      </c>
      <c r="B10" s="224"/>
      <c r="C10" s="225" t="s">
        <v>1077</v>
      </c>
      <c r="D10" s="132">
        <v>5134</v>
      </c>
      <c r="E10" s="132">
        <v>5134</v>
      </c>
      <c r="F10" s="132">
        <v>5134</v>
      </c>
      <c r="G10" s="132">
        <v>5134</v>
      </c>
      <c r="H10" s="132">
        <v>5134</v>
      </c>
      <c r="I10" s="132">
        <v>5134</v>
      </c>
      <c r="J10" s="132">
        <v>5134</v>
      </c>
      <c r="K10" s="132">
        <v>5134</v>
      </c>
      <c r="L10" s="132">
        <v>5134</v>
      </c>
      <c r="M10" s="132">
        <v>5134</v>
      </c>
      <c r="N10" s="132">
        <v>5134</v>
      </c>
      <c r="O10" s="132">
        <v>5134</v>
      </c>
      <c r="P10" s="229">
        <f t="shared" si="1"/>
        <v>61608</v>
      </c>
      <c r="Q10" s="223"/>
      <c r="S10" s="224"/>
    </row>
    <row r="11" spans="1:19" s="219" customFormat="1" x14ac:dyDescent="0.2">
      <c r="A11" s="224">
        <f t="shared" si="0"/>
        <v>7</v>
      </c>
      <c r="B11" s="224"/>
      <c r="C11" s="225" t="s">
        <v>1078</v>
      </c>
      <c r="D11" s="132">
        <v>137949</v>
      </c>
      <c r="E11" s="132">
        <v>137949</v>
      </c>
      <c r="F11" s="132">
        <v>137949</v>
      </c>
      <c r="G11" s="132">
        <v>137949</v>
      </c>
      <c r="H11" s="132">
        <v>137949</v>
      </c>
      <c r="I11" s="132">
        <v>137949</v>
      </c>
      <c r="J11" s="132">
        <v>137949</v>
      </c>
      <c r="K11" s="132">
        <v>137949</v>
      </c>
      <c r="L11" s="132">
        <v>137949</v>
      </c>
      <c r="M11" s="132">
        <v>137949</v>
      </c>
      <c r="N11" s="132">
        <v>137949</v>
      </c>
      <c r="O11" s="132">
        <v>137949</v>
      </c>
      <c r="P11" s="229">
        <f t="shared" si="1"/>
        <v>1655388</v>
      </c>
      <c r="Q11" s="223"/>
      <c r="S11" s="224"/>
    </row>
    <row r="12" spans="1:19" s="219" customFormat="1" x14ac:dyDescent="0.2">
      <c r="A12" s="224">
        <f t="shared" si="0"/>
        <v>8</v>
      </c>
      <c r="B12" s="224"/>
      <c r="C12" s="225" t="s">
        <v>1079</v>
      </c>
      <c r="D12" s="132">
        <v>1494536</v>
      </c>
      <c r="E12" s="132">
        <v>1809235</v>
      </c>
      <c r="F12" s="132">
        <v>1199213</v>
      </c>
      <c r="G12" s="132">
        <v>238057</v>
      </c>
      <c r="H12" s="132">
        <v>899054</v>
      </c>
      <c r="I12" s="132">
        <v>950416</v>
      </c>
      <c r="J12" s="132">
        <v>781803</v>
      </c>
      <c r="K12" s="132">
        <v>975439</v>
      </c>
      <c r="L12" s="132">
        <v>693658</v>
      </c>
      <c r="M12" s="132">
        <v>-441377</v>
      </c>
      <c r="N12" s="132">
        <v>-683269</v>
      </c>
      <c r="O12" s="132">
        <v>-995419</v>
      </c>
      <c r="P12" s="229">
        <f t="shared" si="1"/>
        <v>6921346</v>
      </c>
      <c r="Q12" s="223"/>
      <c r="S12" s="224"/>
    </row>
    <row r="13" spans="1:19" s="219" customFormat="1" x14ac:dyDescent="0.2">
      <c r="A13" s="224">
        <f t="shared" si="0"/>
        <v>9</v>
      </c>
      <c r="B13" s="224"/>
      <c r="C13" s="225" t="s">
        <v>1080</v>
      </c>
      <c r="D13" s="132">
        <v>2036693</v>
      </c>
      <c r="E13" s="132">
        <v>1456807</v>
      </c>
      <c r="F13" s="132">
        <v>869239</v>
      </c>
      <c r="G13" s="132">
        <v>891286</v>
      </c>
      <c r="H13" s="132">
        <v>1285341</v>
      </c>
      <c r="I13" s="132">
        <v>1810757</v>
      </c>
      <c r="J13" s="132">
        <v>1737724</v>
      </c>
      <c r="K13" s="132">
        <v>1539351</v>
      </c>
      <c r="L13" s="132">
        <v>1503400</v>
      </c>
      <c r="M13" s="132">
        <v>1168850</v>
      </c>
      <c r="N13" s="132">
        <v>1495676</v>
      </c>
      <c r="O13" s="132">
        <v>2250499</v>
      </c>
      <c r="P13" s="229">
        <f t="shared" si="1"/>
        <v>18045623</v>
      </c>
      <c r="Q13" s="223"/>
      <c r="S13" s="224"/>
    </row>
    <row r="14" spans="1:19" s="219" customFormat="1" x14ac:dyDescent="0.2">
      <c r="A14" s="224">
        <f t="shared" si="0"/>
        <v>10</v>
      </c>
      <c r="B14" s="224"/>
      <c r="C14" s="230" t="s">
        <v>1081</v>
      </c>
      <c r="D14" s="286">
        <f>SUM(D8:D13)</f>
        <v>14339848</v>
      </c>
      <c r="E14" s="286">
        <f t="shared" ref="E14:P14" si="2">SUM(E8:E13)</f>
        <v>10966293</v>
      </c>
      <c r="F14" s="286">
        <f t="shared" si="2"/>
        <v>8903191</v>
      </c>
      <c r="G14" s="286">
        <f t="shared" si="2"/>
        <v>6929789</v>
      </c>
      <c r="H14" s="286">
        <f t="shared" si="2"/>
        <v>8506347</v>
      </c>
      <c r="I14" s="286">
        <f t="shared" si="2"/>
        <v>10226507</v>
      </c>
      <c r="J14" s="286">
        <f t="shared" si="2"/>
        <v>10562838</v>
      </c>
      <c r="K14" s="286">
        <f t="shared" si="2"/>
        <v>10358654</v>
      </c>
      <c r="L14" s="286">
        <f t="shared" si="2"/>
        <v>9869585</v>
      </c>
      <c r="M14" s="286">
        <f t="shared" si="2"/>
        <v>7669687</v>
      </c>
      <c r="N14" s="286">
        <f t="shared" si="2"/>
        <v>9322338</v>
      </c>
      <c r="O14" s="286">
        <f t="shared" si="2"/>
        <v>12231427</v>
      </c>
      <c r="P14" s="232">
        <f t="shared" si="2"/>
        <v>119886504</v>
      </c>
      <c r="Q14" s="223"/>
      <c r="R14" s="233"/>
      <c r="S14" s="228"/>
    </row>
    <row r="15" spans="1:19" s="219" customFormat="1" x14ac:dyDescent="0.2">
      <c r="A15" s="224">
        <f t="shared" si="0"/>
        <v>11</v>
      </c>
      <c r="B15" s="224"/>
      <c r="C15" s="225" t="s">
        <v>1082</v>
      </c>
      <c r="D15" s="132">
        <v>-7422</v>
      </c>
      <c r="E15" s="132">
        <v>-7484</v>
      </c>
      <c r="F15" s="132">
        <v>-7553</v>
      </c>
      <c r="G15" s="132">
        <v>-7575</v>
      </c>
      <c r="H15" s="132">
        <v>-7650</v>
      </c>
      <c r="I15" s="132">
        <v>-7680</v>
      </c>
      <c r="J15" s="132">
        <v>0</v>
      </c>
      <c r="K15" s="132">
        <v>0</v>
      </c>
      <c r="L15" s="132">
        <v>0</v>
      </c>
      <c r="M15" s="132">
        <v>-7705</v>
      </c>
      <c r="N15" s="132">
        <v>-7781</v>
      </c>
      <c r="O15" s="132">
        <v>-7781</v>
      </c>
      <c r="P15" s="229">
        <f t="shared" si="1"/>
        <v>-68631</v>
      </c>
      <c r="Q15" s="223"/>
      <c r="R15" s="233"/>
      <c r="S15" s="224"/>
    </row>
    <row r="16" spans="1:19" s="219" customFormat="1" x14ac:dyDescent="0.2">
      <c r="A16" s="224">
        <f t="shared" si="0"/>
        <v>12</v>
      </c>
      <c r="B16" s="224"/>
      <c r="C16" s="225" t="s">
        <v>1083</v>
      </c>
      <c r="D16" s="132">
        <v>-1231</v>
      </c>
      <c r="E16" s="132">
        <v>-1147</v>
      </c>
      <c r="F16" s="132">
        <v>-817</v>
      </c>
      <c r="G16" s="132">
        <v>-1118</v>
      </c>
      <c r="H16" s="132">
        <v>-1362</v>
      </c>
      <c r="I16" s="132">
        <v>-1656</v>
      </c>
      <c r="J16" s="132">
        <v>0</v>
      </c>
      <c r="K16" s="132">
        <v>0</v>
      </c>
      <c r="L16" s="132">
        <v>0</v>
      </c>
      <c r="M16" s="132">
        <v>-1385</v>
      </c>
      <c r="N16" s="132">
        <v>-1487</v>
      </c>
      <c r="O16" s="132">
        <v>-1762</v>
      </c>
      <c r="P16" s="229">
        <f t="shared" si="1"/>
        <v>-11965</v>
      </c>
      <c r="Q16" s="223"/>
      <c r="R16" s="233"/>
      <c r="S16" s="224"/>
    </row>
    <row r="17" spans="1:19" s="219" customFormat="1" x14ac:dyDescent="0.2">
      <c r="A17" s="224">
        <f t="shared" si="0"/>
        <v>13</v>
      </c>
      <c r="B17" s="224"/>
      <c r="C17" s="225" t="s">
        <v>1084</v>
      </c>
      <c r="D17" s="132">
        <f>D16+D15</f>
        <v>-8653</v>
      </c>
      <c r="E17" s="132">
        <f t="shared" ref="E17:O17" si="3">E16+E15</f>
        <v>-8631</v>
      </c>
      <c r="F17" s="132">
        <f t="shared" si="3"/>
        <v>-8370</v>
      </c>
      <c r="G17" s="132">
        <f t="shared" si="3"/>
        <v>-8693</v>
      </c>
      <c r="H17" s="132">
        <f t="shared" si="3"/>
        <v>-9012</v>
      </c>
      <c r="I17" s="132">
        <f t="shared" si="3"/>
        <v>-9336</v>
      </c>
      <c r="J17" s="132">
        <f t="shared" si="3"/>
        <v>0</v>
      </c>
      <c r="K17" s="132">
        <f t="shared" si="3"/>
        <v>0</v>
      </c>
      <c r="L17" s="132">
        <f t="shared" si="3"/>
        <v>0</v>
      </c>
      <c r="M17" s="132">
        <f t="shared" si="3"/>
        <v>-9090</v>
      </c>
      <c r="N17" s="132">
        <f t="shared" si="3"/>
        <v>-9268</v>
      </c>
      <c r="O17" s="132">
        <f t="shared" si="3"/>
        <v>-9543</v>
      </c>
      <c r="P17" s="229">
        <f t="shared" si="1"/>
        <v>-80596</v>
      </c>
      <c r="Q17" s="223"/>
      <c r="S17" s="224"/>
    </row>
    <row r="18" spans="1:19" s="219" customFormat="1" x14ac:dyDescent="0.2">
      <c r="A18" s="224">
        <f t="shared" si="0"/>
        <v>14</v>
      </c>
      <c r="B18" s="224"/>
      <c r="C18" s="225" t="s">
        <v>1043</v>
      </c>
      <c r="D18" s="129">
        <v>15300</v>
      </c>
      <c r="E18" s="129">
        <v>15300</v>
      </c>
      <c r="F18" s="129">
        <v>15200</v>
      </c>
      <c r="G18" s="129">
        <v>15200</v>
      </c>
      <c r="H18" s="129">
        <v>15200</v>
      </c>
      <c r="I18" s="129">
        <v>15200</v>
      </c>
      <c r="J18" s="129">
        <v>15200</v>
      </c>
      <c r="K18" s="129">
        <v>15100</v>
      </c>
      <c r="L18" s="129">
        <v>15100</v>
      </c>
      <c r="M18" s="129">
        <v>15100</v>
      </c>
      <c r="N18" s="129">
        <v>15100</v>
      </c>
      <c r="O18" s="129">
        <v>14900</v>
      </c>
      <c r="P18" s="229">
        <f t="shared" si="1"/>
        <v>181900</v>
      </c>
      <c r="Q18" s="223"/>
      <c r="S18" s="224"/>
    </row>
    <row r="19" spans="1:19" s="219" customFormat="1" x14ac:dyDescent="0.2">
      <c r="A19" s="224">
        <f t="shared" si="0"/>
        <v>15</v>
      </c>
      <c r="B19" s="224"/>
      <c r="C19" s="225" t="s">
        <v>1085</v>
      </c>
      <c r="D19" s="132">
        <v>383</v>
      </c>
      <c r="E19" s="132">
        <v>383</v>
      </c>
      <c r="F19" s="132">
        <v>380</v>
      </c>
      <c r="G19" s="132">
        <v>380</v>
      </c>
      <c r="H19" s="132">
        <v>380</v>
      </c>
      <c r="I19" s="132">
        <v>380</v>
      </c>
      <c r="J19" s="132">
        <v>380</v>
      </c>
      <c r="K19" s="132">
        <v>378</v>
      </c>
      <c r="L19" s="132">
        <v>378</v>
      </c>
      <c r="M19" s="132">
        <v>378</v>
      </c>
      <c r="N19" s="132">
        <v>378</v>
      </c>
      <c r="O19" s="132">
        <v>373</v>
      </c>
      <c r="P19" s="229">
        <f t="shared" si="1"/>
        <v>4551</v>
      </c>
      <c r="Q19" s="255">
        <f>P19+P17</f>
        <v>-76045</v>
      </c>
      <c r="S19" s="224"/>
    </row>
    <row r="20" spans="1:19" s="219" customFormat="1" x14ac:dyDescent="0.2">
      <c r="A20" s="224">
        <f t="shared" si="0"/>
        <v>16</v>
      </c>
      <c r="B20" s="224"/>
      <c r="C20" s="225" t="s">
        <v>1086</v>
      </c>
      <c r="D20" s="132">
        <v>0</v>
      </c>
      <c r="E20" s="132">
        <v>0</v>
      </c>
      <c r="F20" s="132">
        <v>0</v>
      </c>
      <c r="G20" s="132">
        <v>-9</v>
      </c>
      <c r="H20" s="132">
        <v>-11</v>
      </c>
      <c r="I20" s="132">
        <v>-19</v>
      </c>
      <c r="J20" s="132">
        <v>-16</v>
      </c>
      <c r="K20" s="132">
        <v>-24</v>
      </c>
      <c r="L20" s="132">
        <v>-36</v>
      </c>
      <c r="M20" s="132">
        <v>-31</v>
      </c>
      <c r="N20" s="132">
        <v>-36</v>
      </c>
      <c r="O20" s="132">
        <v>-36</v>
      </c>
      <c r="P20" s="229">
        <f t="shared" si="1"/>
        <v>-218</v>
      </c>
      <c r="Q20" s="223"/>
      <c r="S20" s="224"/>
    </row>
    <row r="21" spans="1:19" s="219" customFormat="1" x14ac:dyDescent="0.2">
      <c r="A21" s="224">
        <f t="shared" si="0"/>
        <v>17</v>
      </c>
      <c r="B21" s="224"/>
      <c r="C21" s="225" t="s">
        <v>1177</v>
      </c>
      <c r="D21" s="132"/>
      <c r="E21" s="132"/>
      <c r="F21" s="132"/>
      <c r="G21" s="132"/>
      <c r="H21" s="132"/>
      <c r="I21" s="132"/>
      <c r="J21" s="132">
        <v>0</v>
      </c>
      <c r="K21" s="132">
        <v>-156025</v>
      </c>
      <c r="L21" s="132"/>
      <c r="M21" s="132"/>
      <c r="N21" s="132"/>
      <c r="O21" s="132"/>
      <c r="P21" s="229"/>
      <c r="Q21" s="223"/>
      <c r="S21" s="224"/>
    </row>
    <row r="22" spans="1:19" s="219" customFormat="1" x14ac:dyDescent="0.2">
      <c r="A22" s="224">
        <f t="shared" si="0"/>
        <v>18</v>
      </c>
      <c r="B22" s="224"/>
      <c r="C22" s="225" t="s">
        <v>1087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229">
        <f t="shared" si="1"/>
        <v>0</v>
      </c>
      <c r="Q22" s="223"/>
      <c r="S22" s="224"/>
    </row>
    <row r="23" spans="1:19" s="219" customFormat="1" x14ac:dyDescent="0.2">
      <c r="A23" s="224">
        <f t="shared" si="0"/>
        <v>19</v>
      </c>
      <c r="B23" s="224"/>
      <c r="C23" s="225" t="s">
        <v>1088</v>
      </c>
      <c r="D23" s="132">
        <v>-257</v>
      </c>
      <c r="E23" s="132">
        <v>-172</v>
      </c>
      <c r="F23" s="132">
        <v>-355</v>
      </c>
      <c r="G23" s="132">
        <v>-411</v>
      </c>
      <c r="H23" s="132">
        <v>-438</v>
      </c>
      <c r="I23" s="132">
        <v>-533</v>
      </c>
      <c r="J23" s="132">
        <v>-593</v>
      </c>
      <c r="K23" s="132">
        <v>-682</v>
      </c>
      <c r="L23" s="132">
        <v>-662</v>
      </c>
      <c r="M23" s="132">
        <v>-505</v>
      </c>
      <c r="N23" s="132">
        <v>-499</v>
      </c>
      <c r="O23" s="132">
        <v>-320</v>
      </c>
      <c r="P23" s="229">
        <f t="shared" si="1"/>
        <v>-5427</v>
      </c>
      <c r="Q23" s="223"/>
      <c r="S23" s="224"/>
    </row>
    <row r="24" spans="1:19" s="219" customFormat="1" x14ac:dyDescent="0.2">
      <c r="A24" s="224">
        <f t="shared" si="0"/>
        <v>20</v>
      </c>
      <c r="B24" s="224"/>
      <c r="C24" s="230" t="s">
        <v>857</v>
      </c>
      <c r="D24" s="286">
        <f>D14+D17+D19+D23+D22+D21+D20</f>
        <v>14331321</v>
      </c>
      <c r="E24" s="286">
        <f t="shared" ref="E24:O24" si="4">E14+E17+E19+E23+E22+E21+E20</f>
        <v>10957873</v>
      </c>
      <c r="F24" s="286">
        <f t="shared" si="4"/>
        <v>8894846</v>
      </c>
      <c r="G24" s="286">
        <f t="shared" si="4"/>
        <v>6921056</v>
      </c>
      <c r="H24" s="286">
        <f t="shared" si="4"/>
        <v>8497266</v>
      </c>
      <c r="I24" s="286">
        <f t="shared" si="4"/>
        <v>10216999</v>
      </c>
      <c r="J24" s="286">
        <f t="shared" si="4"/>
        <v>10562609</v>
      </c>
      <c r="K24" s="286">
        <f t="shared" si="4"/>
        <v>10202301</v>
      </c>
      <c r="L24" s="286">
        <f t="shared" si="4"/>
        <v>9869265</v>
      </c>
      <c r="M24" s="286">
        <f t="shared" si="4"/>
        <v>7660439</v>
      </c>
      <c r="N24" s="286">
        <f t="shared" si="4"/>
        <v>9312913</v>
      </c>
      <c r="O24" s="286">
        <f t="shared" si="4"/>
        <v>12221901</v>
      </c>
      <c r="P24" s="231">
        <f t="shared" ref="P24" si="5">P14+P17+P19+P23+P22+P21</f>
        <v>119805032</v>
      </c>
      <c r="Q24" s="223"/>
      <c r="R24" s="233"/>
      <c r="S24" s="228"/>
    </row>
    <row r="25" spans="1:19" s="219" customFormat="1" x14ac:dyDescent="0.2">
      <c r="A25" s="224">
        <f t="shared" si="0"/>
        <v>21</v>
      </c>
      <c r="B25" s="224"/>
      <c r="C25" s="224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234"/>
      <c r="Q25" s="223"/>
      <c r="S25" s="224"/>
    </row>
    <row r="26" spans="1:19" s="219" customFormat="1" x14ac:dyDescent="0.2">
      <c r="A26" s="224">
        <f t="shared" si="0"/>
        <v>22</v>
      </c>
      <c r="B26" s="224"/>
      <c r="C26" s="225" t="s">
        <v>1073</v>
      </c>
      <c r="D26" s="129">
        <v>432365</v>
      </c>
      <c r="E26" s="129">
        <v>308929</v>
      </c>
      <c r="F26" s="129">
        <v>257104</v>
      </c>
      <c r="G26" s="129">
        <v>212761</v>
      </c>
      <c r="H26" s="129">
        <v>231020</v>
      </c>
      <c r="I26" s="129">
        <v>269716</v>
      </c>
      <c r="J26" s="129">
        <v>284242</v>
      </c>
      <c r="K26" s="129">
        <v>271388</v>
      </c>
      <c r="L26" s="129">
        <v>240227</v>
      </c>
      <c r="M26" s="129">
        <v>212033</v>
      </c>
      <c r="N26" s="129">
        <v>304961</v>
      </c>
      <c r="O26" s="129">
        <v>350224</v>
      </c>
      <c r="P26" s="227">
        <f t="shared" ref="P26:P29" si="6">SUM(D26:O26)</f>
        <v>3374970</v>
      </c>
      <c r="Q26" s="223"/>
      <c r="S26" s="224"/>
    </row>
    <row r="27" spans="1:19" s="219" customFormat="1" x14ac:dyDescent="0.2">
      <c r="A27" s="224">
        <f t="shared" si="0"/>
        <v>23</v>
      </c>
      <c r="B27" s="224"/>
      <c r="C27" s="225" t="s">
        <v>1089</v>
      </c>
      <c r="D27" s="129">
        <v>413646</v>
      </c>
      <c r="E27" s="129">
        <v>293842</v>
      </c>
      <c r="F27" s="129">
        <v>253973</v>
      </c>
      <c r="G27" s="129">
        <v>204716</v>
      </c>
      <c r="H27" s="129">
        <v>226822</v>
      </c>
      <c r="I27" s="129">
        <v>257920</v>
      </c>
      <c r="J27" s="129">
        <v>272684</v>
      </c>
      <c r="K27" s="129">
        <v>259993</v>
      </c>
      <c r="L27" s="129">
        <v>227910</v>
      </c>
      <c r="M27" s="129">
        <v>195797</v>
      </c>
      <c r="N27" s="129">
        <v>283467</v>
      </c>
      <c r="O27" s="129">
        <v>345755</v>
      </c>
      <c r="P27" s="227">
        <f t="shared" si="6"/>
        <v>3236525</v>
      </c>
      <c r="Q27" s="223"/>
      <c r="S27" s="224"/>
    </row>
    <row r="28" spans="1:19" s="219" customFormat="1" x14ac:dyDescent="0.2">
      <c r="A28" s="224">
        <f t="shared" si="0"/>
        <v>24</v>
      </c>
      <c r="B28" s="224"/>
      <c r="C28" s="225" t="s">
        <v>1090</v>
      </c>
      <c r="D28" s="129">
        <v>457854</v>
      </c>
      <c r="E28" s="129">
        <v>330939</v>
      </c>
      <c r="F28" s="129">
        <v>278323</v>
      </c>
      <c r="G28" s="129">
        <v>229120</v>
      </c>
      <c r="H28" s="129">
        <v>241422</v>
      </c>
      <c r="I28" s="129">
        <v>286739</v>
      </c>
      <c r="J28" s="129">
        <v>295108</v>
      </c>
      <c r="K28" s="129">
        <v>290191</v>
      </c>
      <c r="L28" s="129">
        <v>255263</v>
      </c>
      <c r="M28" s="129">
        <v>244256</v>
      </c>
      <c r="N28" s="129">
        <v>313936</v>
      </c>
      <c r="O28" s="129">
        <v>366511</v>
      </c>
      <c r="P28" s="227">
        <f t="shared" si="6"/>
        <v>3589662</v>
      </c>
      <c r="Q28" s="223"/>
      <c r="S28" s="224"/>
    </row>
    <row r="29" spans="1:19" s="219" customFormat="1" x14ac:dyDescent="0.2">
      <c r="A29" s="224">
        <f t="shared" si="0"/>
        <v>25</v>
      </c>
      <c r="B29" s="224"/>
      <c r="C29" s="225" t="s">
        <v>1091</v>
      </c>
      <c r="D29" s="129">
        <v>38700</v>
      </c>
      <c r="E29" s="129">
        <v>38700</v>
      </c>
      <c r="F29" s="129">
        <v>38700</v>
      </c>
      <c r="G29" s="129">
        <v>38400</v>
      </c>
      <c r="H29" s="129">
        <v>38400</v>
      </c>
      <c r="I29" s="129">
        <v>38400</v>
      </c>
      <c r="J29" s="129">
        <v>38400</v>
      </c>
      <c r="K29" s="129">
        <v>38400</v>
      </c>
      <c r="L29" s="129">
        <v>38400</v>
      </c>
      <c r="M29" s="129">
        <v>38400</v>
      </c>
      <c r="N29" s="129">
        <v>53400</v>
      </c>
      <c r="O29" s="129">
        <v>53400</v>
      </c>
      <c r="P29" s="227">
        <f t="shared" si="6"/>
        <v>491700</v>
      </c>
      <c r="Q29" s="223"/>
      <c r="S29" s="224"/>
    </row>
    <row r="30" spans="1:19" s="219" customFormat="1" x14ac:dyDescent="0.2">
      <c r="A30" s="224">
        <f t="shared" si="0"/>
        <v>26</v>
      </c>
      <c r="B30" s="22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9" s="219" customFormat="1" x14ac:dyDescent="0.2">
      <c r="A31" s="224">
        <f t="shared" si="0"/>
        <v>27</v>
      </c>
      <c r="B31" s="224"/>
      <c r="C31" s="219" t="s">
        <v>1037</v>
      </c>
      <c r="D31" s="89">
        <f t="shared" ref="D31:O31" si="7">D8+D10+D11+(D13*D38)</f>
        <v>4192295.8</v>
      </c>
      <c r="E31" s="89">
        <f t="shared" si="7"/>
        <v>3036891.2</v>
      </c>
      <c r="F31" s="89">
        <f t="shared" si="7"/>
        <v>2343581.4</v>
      </c>
      <c r="G31" s="89">
        <f t="shared" si="7"/>
        <v>2049755.6</v>
      </c>
      <c r="H31" s="89">
        <f t="shared" si="7"/>
        <v>2410801.6</v>
      </c>
      <c r="I31" s="89">
        <f t="shared" si="7"/>
        <v>2980180.2</v>
      </c>
      <c r="J31" s="89">
        <f t="shared" si="7"/>
        <v>3029469.4</v>
      </c>
      <c r="K31" s="89">
        <f t="shared" si="7"/>
        <v>2833124.6</v>
      </c>
      <c r="L31" s="89">
        <f t="shared" si="7"/>
        <v>2606450</v>
      </c>
      <c r="M31" s="89">
        <f t="shared" si="7"/>
        <v>2216971</v>
      </c>
      <c r="N31" s="89">
        <f t="shared" si="7"/>
        <v>2949637.6</v>
      </c>
      <c r="O31" s="89">
        <f t="shared" si="7"/>
        <v>3705312.4</v>
      </c>
      <c r="P31" s="227">
        <f>SUM(D31:O31)</f>
        <v>34354470.800000004</v>
      </c>
    </row>
    <row r="32" spans="1:19" s="219" customFormat="1" x14ac:dyDescent="0.2">
      <c r="A32" s="224">
        <f t="shared" si="0"/>
        <v>28</v>
      </c>
      <c r="B32" s="224"/>
      <c r="C32" s="219" t="s">
        <v>1038</v>
      </c>
      <c r="D32" s="89">
        <f t="shared" ref="D32:O32" si="8">D14-D31</f>
        <v>10147552.199999999</v>
      </c>
      <c r="E32" s="89">
        <f t="shared" si="8"/>
        <v>7929401.7999999998</v>
      </c>
      <c r="F32" s="89">
        <f t="shared" si="8"/>
        <v>6559609.5999999996</v>
      </c>
      <c r="G32" s="89">
        <f t="shared" si="8"/>
        <v>4880033.4000000004</v>
      </c>
      <c r="H32" s="89">
        <f t="shared" si="8"/>
        <v>6095545.4000000004</v>
      </c>
      <c r="I32" s="89">
        <f t="shared" si="8"/>
        <v>7246326.7999999998</v>
      </c>
      <c r="J32" s="89">
        <f t="shared" si="8"/>
        <v>7533368.5999999996</v>
      </c>
      <c r="K32" s="89">
        <f t="shared" si="8"/>
        <v>7525529.4000000004</v>
      </c>
      <c r="L32" s="89">
        <f t="shared" si="8"/>
        <v>7263135</v>
      </c>
      <c r="M32" s="89">
        <f t="shared" si="8"/>
        <v>5452716</v>
      </c>
      <c r="N32" s="89">
        <f t="shared" si="8"/>
        <v>6372700.4000000004</v>
      </c>
      <c r="O32" s="89">
        <f t="shared" si="8"/>
        <v>8526114.5999999996</v>
      </c>
      <c r="P32" s="227">
        <f t="shared" ref="P32:P34" si="9">SUM(D32:O32)</f>
        <v>85532033.199999988</v>
      </c>
    </row>
    <row r="33" spans="1:16" s="219" customFormat="1" x14ac:dyDescent="0.2">
      <c r="A33" s="224">
        <f t="shared" si="0"/>
        <v>29</v>
      </c>
      <c r="B33" s="224"/>
      <c r="C33" s="219" t="s">
        <v>1039</v>
      </c>
      <c r="D33" s="287">
        <f>D31+D32</f>
        <v>14339848</v>
      </c>
      <c r="E33" s="287">
        <f t="shared" ref="E33:O33" si="10">E31+E32</f>
        <v>10966293</v>
      </c>
      <c r="F33" s="287">
        <f t="shared" si="10"/>
        <v>8903191</v>
      </c>
      <c r="G33" s="287">
        <f t="shared" si="10"/>
        <v>6929789</v>
      </c>
      <c r="H33" s="287">
        <f t="shared" si="10"/>
        <v>8506347</v>
      </c>
      <c r="I33" s="287">
        <f t="shared" si="10"/>
        <v>10226507</v>
      </c>
      <c r="J33" s="287">
        <f t="shared" si="10"/>
        <v>10562838</v>
      </c>
      <c r="K33" s="287">
        <f t="shared" si="10"/>
        <v>10358654</v>
      </c>
      <c r="L33" s="287">
        <f t="shared" si="10"/>
        <v>9869585</v>
      </c>
      <c r="M33" s="287">
        <f t="shared" si="10"/>
        <v>7669687</v>
      </c>
      <c r="N33" s="287">
        <f t="shared" si="10"/>
        <v>9322338</v>
      </c>
      <c r="O33" s="287">
        <f t="shared" si="10"/>
        <v>12231427</v>
      </c>
      <c r="P33" s="227">
        <f t="shared" si="9"/>
        <v>119886504</v>
      </c>
    </row>
    <row r="34" spans="1:16" s="219" customFormat="1" x14ac:dyDescent="0.2">
      <c r="A34" s="224">
        <f t="shared" si="0"/>
        <v>30</v>
      </c>
      <c r="B34" s="224"/>
      <c r="C34" s="219" t="s">
        <v>1092</v>
      </c>
      <c r="D34" s="89">
        <f t="shared" ref="D34:O34" si="11">D33-D14</f>
        <v>0</v>
      </c>
      <c r="E34" s="89">
        <f t="shared" si="11"/>
        <v>0</v>
      </c>
      <c r="F34" s="89">
        <f t="shared" si="11"/>
        <v>0</v>
      </c>
      <c r="G34" s="89">
        <f t="shared" si="11"/>
        <v>0</v>
      </c>
      <c r="H34" s="89">
        <f t="shared" si="11"/>
        <v>0</v>
      </c>
      <c r="I34" s="89">
        <f t="shared" si="11"/>
        <v>0</v>
      </c>
      <c r="J34" s="89">
        <f t="shared" si="11"/>
        <v>0</v>
      </c>
      <c r="K34" s="89">
        <f t="shared" si="11"/>
        <v>0</v>
      </c>
      <c r="L34" s="89">
        <f t="shared" si="11"/>
        <v>0</v>
      </c>
      <c r="M34" s="89">
        <f t="shared" si="11"/>
        <v>0</v>
      </c>
      <c r="N34" s="89">
        <f t="shared" si="11"/>
        <v>0</v>
      </c>
      <c r="O34" s="89">
        <f t="shared" si="11"/>
        <v>0</v>
      </c>
      <c r="P34" s="227">
        <f t="shared" si="9"/>
        <v>0</v>
      </c>
    </row>
    <row r="35" spans="1:16" s="219" customFormat="1" x14ac:dyDescent="0.2">
      <c r="A35" s="224">
        <f t="shared" si="0"/>
        <v>31</v>
      </c>
      <c r="B35" s="224"/>
      <c r="C35" s="219" t="s">
        <v>1040</v>
      </c>
      <c r="D35" s="23">
        <f>D31/D33</f>
        <v>0.29235287570691126</v>
      </c>
      <c r="E35" s="23">
        <f t="shared" ref="E35:P35" si="12">E31/E33</f>
        <v>0.27692960602092248</v>
      </c>
      <c r="F35" s="23">
        <f t="shared" si="12"/>
        <v>0.26322937472643232</v>
      </c>
      <c r="G35" s="23">
        <f t="shared" si="12"/>
        <v>0.29578903484651553</v>
      </c>
      <c r="H35" s="23">
        <f t="shared" si="12"/>
        <v>0.28341209217070501</v>
      </c>
      <c r="I35" s="23">
        <f t="shared" si="12"/>
        <v>0.29141721606409698</v>
      </c>
      <c r="J35" s="23">
        <f t="shared" si="12"/>
        <v>0.28680449326213275</v>
      </c>
      <c r="K35" s="23">
        <f t="shared" si="12"/>
        <v>0.2735031597734609</v>
      </c>
      <c r="L35" s="23">
        <f t="shared" si="12"/>
        <v>0.26408911823546788</v>
      </c>
      <c r="M35" s="23">
        <f t="shared" si="12"/>
        <v>0.28905625483803965</v>
      </c>
      <c r="N35" s="23">
        <f t="shared" si="12"/>
        <v>0.31640534810044435</v>
      </c>
      <c r="O35" s="23">
        <f t="shared" si="12"/>
        <v>0.30293377869973798</v>
      </c>
      <c r="P35" s="236">
        <f t="shared" si="12"/>
        <v>0.28655828349119267</v>
      </c>
    </row>
    <row r="36" spans="1:16" s="219" customFormat="1" x14ac:dyDescent="0.2">
      <c r="A36" s="224">
        <f t="shared" si="0"/>
        <v>32</v>
      </c>
      <c r="B36" s="224"/>
      <c r="C36" s="219" t="s">
        <v>1041</v>
      </c>
      <c r="D36" s="23">
        <f>D32/D33</f>
        <v>0.70764712429308874</v>
      </c>
      <c r="E36" s="23">
        <f t="shared" ref="E36:P36" si="13">E32/E33</f>
        <v>0.72307039397907746</v>
      </c>
      <c r="F36" s="23">
        <f t="shared" si="13"/>
        <v>0.73677062527356763</v>
      </c>
      <c r="G36" s="23">
        <f t="shared" si="13"/>
        <v>0.70421096515348447</v>
      </c>
      <c r="H36" s="23">
        <f t="shared" si="13"/>
        <v>0.71658790782929505</v>
      </c>
      <c r="I36" s="23">
        <f t="shared" si="13"/>
        <v>0.70858278393590302</v>
      </c>
      <c r="J36" s="23">
        <f t="shared" si="13"/>
        <v>0.71319550673786725</v>
      </c>
      <c r="K36" s="23">
        <f t="shared" si="13"/>
        <v>0.72649684022653915</v>
      </c>
      <c r="L36" s="23">
        <f t="shared" si="13"/>
        <v>0.73591088176453212</v>
      </c>
      <c r="M36" s="23">
        <f t="shared" si="13"/>
        <v>0.71094374516196035</v>
      </c>
      <c r="N36" s="23">
        <f t="shared" si="13"/>
        <v>0.68359465189955571</v>
      </c>
      <c r="O36" s="23">
        <f t="shared" si="13"/>
        <v>0.69706622130026197</v>
      </c>
      <c r="P36" s="236">
        <f t="shared" si="13"/>
        <v>0.71344171650880728</v>
      </c>
    </row>
    <row r="37" spans="1:16" s="219" customFormat="1" x14ac:dyDescent="0.2">
      <c r="A37" s="224">
        <f>A36+1</f>
        <v>33</v>
      </c>
      <c r="B37" s="22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6" s="219" customFormat="1" x14ac:dyDescent="0.2">
      <c r="A38" s="224">
        <f t="shared" si="0"/>
        <v>34</v>
      </c>
      <c r="B38" s="224"/>
      <c r="C38" s="237" t="s">
        <v>1093</v>
      </c>
      <c r="D38" s="215">
        <v>0.6</v>
      </c>
      <c r="E38" s="215">
        <v>0.6</v>
      </c>
      <c r="F38" s="215">
        <v>0.6</v>
      </c>
      <c r="G38" s="215">
        <v>0.6</v>
      </c>
      <c r="H38" s="215">
        <v>0.6</v>
      </c>
      <c r="I38" s="215">
        <v>0.6</v>
      </c>
      <c r="J38" s="215">
        <v>0.6</v>
      </c>
      <c r="K38" s="215">
        <v>0.6</v>
      </c>
      <c r="L38" s="215">
        <v>0.6</v>
      </c>
      <c r="M38" s="215">
        <v>0.6</v>
      </c>
      <c r="N38" s="215">
        <v>0.6</v>
      </c>
      <c r="O38" s="215">
        <v>0.6</v>
      </c>
      <c r="P38" s="237">
        <v>0.6</v>
      </c>
    </row>
    <row r="39" spans="1:16" s="219" customFormat="1" x14ac:dyDescent="0.2">
      <c r="A39" s="224">
        <f t="shared" si="0"/>
        <v>35</v>
      </c>
      <c r="B39" s="224"/>
      <c r="C39" s="219" t="s">
        <v>1094</v>
      </c>
      <c r="D39" s="288">
        <v>0.4</v>
      </c>
      <c r="E39" s="288">
        <v>0.4</v>
      </c>
      <c r="F39" s="288">
        <v>0.4</v>
      </c>
      <c r="G39" s="288">
        <v>0.4</v>
      </c>
      <c r="H39" s="288">
        <v>0.4</v>
      </c>
      <c r="I39" s="288">
        <v>0.4</v>
      </c>
      <c r="J39" s="288">
        <v>0.4</v>
      </c>
      <c r="K39" s="288">
        <v>0.4</v>
      </c>
      <c r="L39" s="288">
        <v>0.4</v>
      </c>
      <c r="M39" s="288">
        <v>0.4</v>
      </c>
      <c r="N39" s="288">
        <v>0.4</v>
      </c>
      <c r="O39" s="288">
        <v>0.4</v>
      </c>
      <c r="P39" s="238">
        <v>0.4</v>
      </c>
    </row>
    <row r="40" spans="1:16" s="219" customFormat="1" x14ac:dyDescent="0.2">
      <c r="A40" s="224">
        <f t="shared" si="0"/>
        <v>36</v>
      </c>
      <c r="B40" s="22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6" s="219" customFormat="1" x14ac:dyDescent="0.2">
      <c r="A41" s="224">
        <f t="shared" si="0"/>
        <v>37</v>
      </c>
      <c r="B41" s="224"/>
      <c r="C41" s="219" t="s">
        <v>1042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6" t="s">
        <v>1095</v>
      </c>
      <c r="P41" s="239">
        <f>P24-P23</f>
        <v>119810459</v>
      </c>
    </row>
    <row r="42" spans="1:16" s="219" customFormat="1" x14ac:dyDescent="0.2">
      <c r="A42" s="224">
        <f t="shared" si="0"/>
        <v>38</v>
      </c>
      <c r="B42" s="22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6" t="s">
        <v>934</v>
      </c>
      <c r="P42" s="239">
        <v>119810459</v>
      </c>
    </row>
    <row r="43" spans="1:16" s="219" customFormat="1" x14ac:dyDescent="0.2">
      <c r="A43" s="224">
        <f t="shared" si="0"/>
        <v>39</v>
      </c>
      <c r="B43" s="22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6" t="s">
        <v>954</v>
      </c>
      <c r="P43" s="240">
        <f>P41-P42</f>
        <v>0</v>
      </c>
    </row>
    <row r="44" spans="1:16" s="219" customFormat="1" x14ac:dyDescent="0.2">
      <c r="A44" s="224">
        <f t="shared" si="0"/>
        <v>40</v>
      </c>
      <c r="B44" s="224"/>
      <c r="D44" s="14"/>
      <c r="E44" s="215"/>
      <c r="F44" s="215"/>
      <c r="G44" s="215"/>
      <c r="H44" s="215"/>
      <c r="I44" s="215"/>
      <c r="J44" s="215"/>
      <c r="K44" s="215"/>
      <c r="L44" s="215"/>
      <c r="M44" s="215"/>
      <c r="N44" s="14"/>
      <c r="O44" s="26"/>
      <c r="P44" s="241"/>
    </row>
    <row r="45" spans="1:16" s="219" customFormat="1" x14ac:dyDescent="0.2">
      <c r="A45" s="224">
        <f t="shared" si="0"/>
        <v>41</v>
      </c>
      <c r="B45" s="224"/>
      <c r="C45" s="242" t="s">
        <v>1096</v>
      </c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43"/>
    </row>
    <row r="46" spans="1:16" s="219" customFormat="1" x14ac:dyDescent="0.2">
      <c r="A46" s="224">
        <f t="shared" si="0"/>
        <v>42</v>
      </c>
      <c r="B46" s="22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21"/>
    </row>
    <row r="47" spans="1:16" s="219" customFormat="1" x14ac:dyDescent="0.2">
      <c r="A47" s="224">
        <f t="shared" si="0"/>
        <v>43</v>
      </c>
      <c r="B47" s="224" t="s">
        <v>1166</v>
      </c>
      <c r="C47" s="244" t="s">
        <v>1168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6" s="219" customFormat="1" x14ac:dyDescent="0.2">
      <c r="A48" s="224">
        <f t="shared" si="0"/>
        <v>44</v>
      </c>
      <c r="B48" s="224" t="s">
        <v>1178</v>
      </c>
      <c r="C48" s="245" t="s">
        <v>1033</v>
      </c>
      <c r="D48" s="129">
        <v>5500</v>
      </c>
      <c r="E48" s="129">
        <v>5500</v>
      </c>
      <c r="F48" s="129">
        <v>5500</v>
      </c>
      <c r="G48" s="129">
        <v>5500</v>
      </c>
      <c r="H48" s="129">
        <v>6209</v>
      </c>
      <c r="I48" s="129">
        <v>6504</v>
      </c>
      <c r="J48" s="129">
        <v>6114</v>
      </c>
      <c r="K48" s="129">
        <v>6604</v>
      </c>
      <c r="L48" s="129">
        <v>6506</v>
      </c>
      <c r="M48" s="129">
        <v>5500</v>
      </c>
      <c r="N48" s="129">
        <v>5500</v>
      </c>
      <c r="O48" s="129">
        <v>5500</v>
      </c>
      <c r="P48" s="226">
        <f t="shared" ref="P48:P59" si="14">SUM(D48:O48)</f>
        <v>70437</v>
      </c>
    </row>
    <row r="49" spans="1:16" s="219" customFormat="1" x14ac:dyDescent="0.2">
      <c r="A49" s="224">
        <f t="shared" si="0"/>
        <v>45</v>
      </c>
      <c r="B49" s="224"/>
      <c r="C49" s="245" t="s">
        <v>1098</v>
      </c>
      <c r="D49" s="129">
        <v>4749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226">
        <f t="shared" si="14"/>
        <v>4749</v>
      </c>
    </row>
    <row r="50" spans="1:16" s="219" customFormat="1" x14ac:dyDescent="0.2">
      <c r="A50" s="224">
        <f t="shared" si="0"/>
        <v>46</v>
      </c>
      <c r="B50" s="224"/>
      <c r="C50" s="245" t="s">
        <v>1099</v>
      </c>
      <c r="D50" s="129">
        <v>5108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226">
        <f t="shared" si="14"/>
        <v>5108</v>
      </c>
    </row>
    <row r="51" spans="1:16" s="219" customFormat="1" x14ac:dyDescent="0.2">
      <c r="A51" s="224">
        <f t="shared" si="0"/>
        <v>47</v>
      </c>
      <c r="B51" s="224"/>
      <c r="C51" s="245" t="s">
        <v>1053</v>
      </c>
      <c r="D51" s="129">
        <v>5500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226">
        <f t="shared" si="14"/>
        <v>5500</v>
      </c>
    </row>
    <row r="52" spans="1:16" s="219" customFormat="1" x14ac:dyDescent="0.2">
      <c r="A52" s="224">
        <f t="shared" si="0"/>
        <v>48</v>
      </c>
      <c r="B52" s="224"/>
      <c r="C52" s="245" t="s">
        <v>1100</v>
      </c>
      <c r="D52" s="129">
        <v>3499733</v>
      </c>
      <c r="E52" s="129">
        <v>3568333</v>
      </c>
      <c r="F52" s="129">
        <v>3121367</v>
      </c>
      <c r="G52" s="129">
        <v>3187983</v>
      </c>
      <c r="H52" s="129">
        <v>3785166</v>
      </c>
      <c r="I52" s="129">
        <v>3904376</v>
      </c>
      <c r="J52" s="129">
        <v>3899490</v>
      </c>
      <c r="K52" s="129">
        <v>3965768</v>
      </c>
      <c r="L52" s="129">
        <v>3636306</v>
      </c>
      <c r="M52" s="129">
        <v>3730750</v>
      </c>
      <c r="N52" s="129">
        <v>3411870</v>
      </c>
      <c r="O52" s="129">
        <v>3271388</v>
      </c>
      <c r="P52" s="226">
        <f t="shared" si="14"/>
        <v>42982530</v>
      </c>
    </row>
    <row r="53" spans="1:16" s="219" customFormat="1" x14ac:dyDescent="0.2">
      <c r="A53" s="224">
        <f t="shared" si="0"/>
        <v>49</v>
      </c>
      <c r="B53" s="224"/>
      <c r="C53" s="245" t="s">
        <v>1101</v>
      </c>
      <c r="D53" s="129">
        <v>3499733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226">
        <f t="shared" si="14"/>
        <v>3499733</v>
      </c>
    </row>
    <row r="54" spans="1:16" s="219" customFormat="1" x14ac:dyDescent="0.2">
      <c r="A54" s="224">
        <f t="shared" si="0"/>
        <v>50</v>
      </c>
      <c r="B54" s="224"/>
      <c r="C54" s="245" t="s">
        <v>1102</v>
      </c>
      <c r="D54" s="129">
        <v>2200000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226">
        <f t="shared" si="14"/>
        <v>2200000</v>
      </c>
    </row>
    <row r="55" spans="1:16" s="219" customFormat="1" x14ac:dyDescent="0.2">
      <c r="A55" s="224">
        <f t="shared" si="0"/>
        <v>51</v>
      </c>
      <c r="B55" s="224"/>
      <c r="C55" s="245" t="s">
        <v>1034</v>
      </c>
      <c r="D55" s="66">
        <v>41195</v>
      </c>
      <c r="E55" s="66">
        <v>41195</v>
      </c>
      <c r="F55" s="66">
        <v>41195</v>
      </c>
      <c r="G55" s="66">
        <v>41195</v>
      </c>
      <c r="H55" s="66">
        <v>48271</v>
      </c>
      <c r="I55" s="66">
        <v>51215</v>
      </c>
      <c r="J55" s="66">
        <v>47323</v>
      </c>
      <c r="K55" s="66">
        <v>52213</v>
      </c>
      <c r="L55" s="66">
        <v>51235</v>
      </c>
      <c r="M55" s="66">
        <v>41195</v>
      </c>
      <c r="N55" s="66">
        <v>41195</v>
      </c>
      <c r="O55" s="66">
        <v>41195</v>
      </c>
      <c r="P55" s="246">
        <f t="shared" si="14"/>
        <v>538622</v>
      </c>
    </row>
    <row r="56" spans="1:16" s="219" customFormat="1" x14ac:dyDescent="0.2">
      <c r="A56" s="224">
        <f t="shared" si="0"/>
        <v>52</v>
      </c>
      <c r="B56" s="224"/>
      <c r="C56" s="245" t="s">
        <v>1035</v>
      </c>
      <c r="D56" s="66">
        <v>139583</v>
      </c>
      <c r="E56" s="66">
        <v>142319</v>
      </c>
      <c r="F56" s="66">
        <v>124493</v>
      </c>
      <c r="G56" s="66">
        <v>127150</v>
      </c>
      <c r="H56" s="66">
        <v>150968</v>
      </c>
      <c r="I56" s="66">
        <v>155722</v>
      </c>
      <c r="J56" s="66">
        <v>155527</v>
      </c>
      <c r="K56" s="66">
        <v>158171</v>
      </c>
      <c r="L56" s="66">
        <v>185939</v>
      </c>
      <c r="M56" s="66">
        <v>190768</v>
      </c>
      <c r="N56" s="66">
        <v>174463</v>
      </c>
      <c r="O56" s="66">
        <v>167279</v>
      </c>
      <c r="P56" s="246">
        <f t="shared" si="14"/>
        <v>1872382</v>
      </c>
    </row>
    <row r="57" spans="1:16" s="219" customFormat="1" x14ac:dyDescent="0.2">
      <c r="A57" s="224">
        <f t="shared" si="0"/>
        <v>53</v>
      </c>
      <c r="B57" s="224"/>
      <c r="C57" s="245" t="s">
        <v>1006</v>
      </c>
      <c r="D57" s="66">
        <v>30308</v>
      </c>
      <c r="E57" s="66">
        <v>52490</v>
      </c>
      <c r="F57" s="66">
        <v>33586</v>
      </c>
      <c r="G57" s="66">
        <v>7970</v>
      </c>
      <c r="H57" s="66">
        <v>33309</v>
      </c>
      <c r="I57" s="66">
        <v>30845</v>
      </c>
      <c r="J57" s="66">
        <v>23358</v>
      </c>
      <c r="K57" s="66">
        <v>30219</v>
      </c>
      <c r="L57" s="66">
        <v>24218</v>
      </c>
      <c r="M57" s="66">
        <v>-17050</v>
      </c>
      <c r="N57" s="66">
        <v>-20198</v>
      </c>
      <c r="O57" s="66">
        <v>-21297</v>
      </c>
      <c r="P57" s="246">
        <f t="shared" si="14"/>
        <v>207758</v>
      </c>
    </row>
    <row r="58" spans="1:16" s="219" customFormat="1" x14ac:dyDescent="0.2">
      <c r="A58" s="224">
        <f t="shared" si="0"/>
        <v>54</v>
      </c>
      <c r="B58" s="224"/>
      <c r="C58" s="245" t="s">
        <v>1007</v>
      </c>
      <c r="D58" s="66">
        <v>34998</v>
      </c>
      <c r="E58" s="66">
        <v>36156</v>
      </c>
      <c r="F58" s="66">
        <v>21561</v>
      </c>
      <c r="G58" s="66">
        <v>26024</v>
      </c>
      <c r="H58" s="66">
        <v>41394</v>
      </c>
      <c r="I58" s="66">
        <v>51266</v>
      </c>
      <c r="J58" s="66">
        <v>44608</v>
      </c>
      <c r="K58" s="66">
        <v>42106</v>
      </c>
      <c r="L58" s="66">
        <v>46972</v>
      </c>
      <c r="M58" s="66">
        <v>38641</v>
      </c>
      <c r="N58" s="66">
        <v>37352</v>
      </c>
      <c r="O58" s="66">
        <v>42377</v>
      </c>
      <c r="P58" s="246">
        <f t="shared" si="14"/>
        <v>463455</v>
      </c>
    </row>
    <row r="59" spans="1:16" s="219" customFormat="1" x14ac:dyDescent="0.2">
      <c r="A59" s="224">
        <f t="shared" si="0"/>
        <v>55</v>
      </c>
      <c r="B59" s="224"/>
      <c r="C59" s="245" t="s">
        <v>1036</v>
      </c>
      <c r="D59" s="98">
        <f t="shared" ref="D59:O59" si="15">SUM(D55:D58)</f>
        <v>246084</v>
      </c>
      <c r="E59" s="98">
        <f t="shared" si="15"/>
        <v>272160</v>
      </c>
      <c r="F59" s="98">
        <f t="shared" si="15"/>
        <v>220835</v>
      </c>
      <c r="G59" s="98">
        <f t="shared" si="15"/>
        <v>202339</v>
      </c>
      <c r="H59" s="98">
        <f t="shared" si="15"/>
        <v>273942</v>
      </c>
      <c r="I59" s="98">
        <f t="shared" si="15"/>
        <v>289048</v>
      </c>
      <c r="J59" s="98">
        <f t="shared" si="15"/>
        <v>270816</v>
      </c>
      <c r="K59" s="98">
        <f t="shared" si="15"/>
        <v>282709</v>
      </c>
      <c r="L59" s="98">
        <f t="shared" si="15"/>
        <v>308364</v>
      </c>
      <c r="M59" s="98">
        <f t="shared" si="15"/>
        <v>253554</v>
      </c>
      <c r="N59" s="98">
        <f t="shared" si="15"/>
        <v>232812</v>
      </c>
      <c r="O59" s="98">
        <f t="shared" si="15"/>
        <v>229554</v>
      </c>
      <c r="P59" s="247">
        <f t="shared" si="14"/>
        <v>3082217</v>
      </c>
    </row>
    <row r="60" spans="1:16" s="219" customFormat="1" x14ac:dyDescent="0.2">
      <c r="A60" s="224">
        <f t="shared" si="0"/>
        <v>56</v>
      </c>
      <c r="B60" s="224" t="s">
        <v>1166</v>
      </c>
      <c r="C60" s="244" t="s">
        <v>1169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6" s="219" customFormat="1" x14ac:dyDescent="0.2">
      <c r="A61" s="224">
        <f t="shared" si="0"/>
        <v>57</v>
      </c>
      <c r="B61" s="224" t="s">
        <v>1178</v>
      </c>
      <c r="C61" s="245" t="s">
        <v>1033</v>
      </c>
      <c r="D61" s="129">
        <v>7300</v>
      </c>
      <c r="E61" s="129">
        <v>7300</v>
      </c>
      <c r="F61" s="129">
        <v>7300</v>
      </c>
      <c r="G61" s="129">
        <v>7000</v>
      </c>
      <c r="H61" s="129">
        <v>7000</v>
      </c>
      <c r="I61" s="129">
        <v>7359</v>
      </c>
      <c r="J61" s="129">
        <v>7044</v>
      </c>
      <c r="K61" s="129">
        <v>7619</v>
      </c>
      <c r="L61" s="129">
        <v>7164</v>
      </c>
      <c r="M61" s="129">
        <v>7000</v>
      </c>
      <c r="N61" s="129">
        <v>7000</v>
      </c>
      <c r="O61" s="129">
        <v>7644</v>
      </c>
      <c r="P61" s="226">
        <f t="shared" ref="P61:P72" si="16">SUM(D61:O61)</f>
        <v>86730</v>
      </c>
    </row>
    <row r="62" spans="1:16" s="219" customFormat="1" x14ac:dyDescent="0.2">
      <c r="A62" s="224">
        <f t="shared" si="0"/>
        <v>58</v>
      </c>
      <c r="B62" s="224"/>
      <c r="C62" s="245" t="s">
        <v>1098</v>
      </c>
      <c r="D62" s="129">
        <v>3686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226">
        <f t="shared" si="16"/>
        <v>3686</v>
      </c>
    </row>
    <row r="63" spans="1:16" s="219" customFormat="1" x14ac:dyDescent="0.2">
      <c r="A63" s="224">
        <f t="shared" si="0"/>
        <v>59</v>
      </c>
      <c r="B63" s="224"/>
      <c r="C63" s="245" t="s">
        <v>1099</v>
      </c>
      <c r="D63" s="129">
        <v>7248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226">
        <f t="shared" si="16"/>
        <v>7248</v>
      </c>
    </row>
    <row r="64" spans="1:16" s="219" customFormat="1" x14ac:dyDescent="0.2">
      <c r="A64" s="224">
        <f t="shared" si="0"/>
        <v>60</v>
      </c>
      <c r="B64" s="224"/>
      <c r="C64" s="245" t="s">
        <v>1053</v>
      </c>
      <c r="D64" s="129">
        <v>7300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226">
        <f t="shared" si="16"/>
        <v>7300</v>
      </c>
    </row>
    <row r="65" spans="1:16" s="219" customFormat="1" x14ac:dyDescent="0.2">
      <c r="A65" s="224">
        <f t="shared" si="0"/>
        <v>61</v>
      </c>
      <c r="B65" s="224"/>
      <c r="C65" s="245" t="s">
        <v>1100</v>
      </c>
      <c r="D65" s="129">
        <v>3778249</v>
      </c>
      <c r="E65" s="129">
        <v>3539922</v>
      </c>
      <c r="F65" s="129">
        <v>3802175</v>
      </c>
      <c r="G65" s="129">
        <v>3923689</v>
      </c>
      <c r="H65" s="129">
        <v>4167633</v>
      </c>
      <c r="I65" s="129">
        <v>4794093</v>
      </c>
      <c r="J65" s="129">
        <v>5000496</v>
      </c>
      <c r="K65" s="129">
        <v>5318208</v>
      </c>
      <c r="L65" s="129">
        <v>4530812</v>
      </c>
      <c r="M65" s="129">
        <v>4390290</v>
      </c>
      <c r="N65" s="129">
        <v>4190684</v>
      </c>
      <c r="O65" s="129">
        <v>3646489</v>
      </c>
      <c r="P65" s="226">
        <f t="shared" si="16"/>
        <v>51082740</v>
      </c>
    </row>
    <row r="66" spans="1:16" s="219" customFormat="1" x14ac:dyDescent="0.2">
      <c r="A66" s="224">
        <f t="shared" si="0"/>
        <v>62</v>
      </c>
      <c r="B66" s="224"/>
      <c r="C66" s="245" t="s">
        <v>1101</v>
      </c>
      <c r="D66" s="129">
        <f>D65</f>
        <v>3778249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226">
        <f t="shared" si="16"/>
        <v>3778249</v>
      </c>
    </row>
    <row r="67" spans="1:16" s="219" customFormat="1" x14ac:dyDescent="0.2">
      <c r="A67" s="224">
        <f t="shared" si="0"/>
        <v>63</v>
      </c>
      <c r="B67" s="224"/>
      <c r="C67" s="245" t="s">
        <v>1102</v>
      </c>
      <c r="D67" s="129">
        <v>2920000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226">
        <f t="shared" si="16"/>
        <v>2920000</v>
      </c>
    </row>
    <row r="68" spans="1:16" s="219" customFormat="1" x14ac:dyDescent="0.2">
      <c r="A68" s="224">
        <f t="shared" si="0"/>
        <v>64</v>
      </c>
      <c r="B68" s="224"/>
      <c r="C68" s="245" t="s">
        <v>1034</v>
      </c>
      <c r="D68" s="66">
        <v>54677</v>
      </c>
      <c r="E68" s="66">
        <v>54677</v>
      </c>
      <c r="F68" s="66">
        <v>54677</v>
      </c>
      <c r="G68" s="66">
        <v>52430</v>
      </c>
      <c r="H68" s="66">
        <v>52430</v>
      </c>
      <c r="I68" s="66">
        <v>56013</v>
      </c>
      <c r="J68" s="66">
        <v>52869</v>
      </c>
      <c r="K68" s="66">
        <v>58608</v>
      </c>
      <c r="L68" s="66">
        <v>54067</v>
      </c>
      <c r="M68" s="66">
        <v>52430</v>
      </c>
      <c r="N68" s="66">
        <v>52430</v>
      </c>
      <c r="O68" s="66">
        <v>58857</v>
      </c>
      <c r="P68" s="246">
        <f t="shared" si="16"/>
        <v>654165</v>
      </c>
    </row>
    <row r="69" spans="1:16" s="219" customFormat="1" x14ac:dyDescent="0.2">
      <c r="A69" s="224">
        <f t="shared" si="0"/>
        <v>65</v>
      </c>
      <c r="B69" s="224"/>
      <c r="C69" s="245" t="s">
        <v>1035</v>
      </c>
      <c r="D69" s="66">
        <v>150692</v>
      </c>
      <c r="E69" s="66">
        <v>141186</v>
      </c>
      <c r="F69" s="66">
        <v>151646</v>
      </c>
      <c r="G69" s="66">
        <v>156492</v>
      </c>
      <c r="H69" s="66">
        <v>166222</v>
      </c>
      <c r="I69" s="66">
        <v>191208</v>
      </c>
      <c r="J69" s="66">
        <v>199440</v>
      </c>
      <c r="K69" s="66">
        <v>212111</v>
      </c>
      <c r="L69" s="66">
        <v>231679</v>
      </c>
      <c r="M69" s="66">
        <v>224493</v>
      </c>
      <c r="N69" s="66">
        <v>214286</v>
      </c>
      <c r="O69" s="66">
        <v>186460</v>
      </c>
      <c r="P69" s="246">
        <f t="shared" si="16"/>
        <v>2225915</v>
      </c>
    </row>
    <row r="70" spans="1:16" s="219" customFormat="1" x14ac:dyDescent="0.2">
      <c r="A70" s="224">
        <f t="shared" si="0"/>
        <v>66</v>
      </c>
      <c r="B70" s="224"/>
      <c r="C70" s="245" t="s">
        <v>1006</v>
      </c>
      <c r="D70" s="66">
        <v>32720</v>
      </c>
      <c r="E70" s="66">
        <v>52072</v>
      </c>
      <c r="F70" s="66">
        <v>40911</v>
      </c>
      <c r="G70" s="66">
        <v>9809</v>
      </c>
      <c r="H70" s="66">
        <v>36675</v>
      </c>
      <c r="I70" s="66">
        <v>37873</v>
      </c>
      <c r="J70" s="66">
        <v>29953</v>
      </c>
      <c r="K70" s="66">
        <v>40525</v>
      </c>
      <c r="L70" s="66">
        <v>30175</v>
      </c>
      <c r="M70" s="66">
        <v>-20064</v>
      </c>
      <c r="N70" s="66">
        <v>-24809</v>
      </c>
      <c r="O70" s="66">
        <v>-23739</v>
      </c>
      <c r="P70" s="246">
        <f t="shared" si="16"/>
        <v>242101</v>
      </c>
    </row>
    <row r="71" spans="1:16" s="219" customFormat="1" x14ac:dyDescent="0.2">
      <c r="A71" s="224">
        <f t="shared" ref="A71:A134" si="17">A70+1</f>
        <v>67</v>
      </c>
      <c r="B71" s="224"/>
      <c r="C71" s="245" t="s">
        <v>1007</v>
      </c>
      <c r="D71" s="66">
        <v>39475</v>
      </c>
      <c r="E71" s="66">
        <v>37984</v>
      </c>
      <c r="F71" s="66">
        <v>26751</v>
      </c>
      <c r="G71" s="66">
        <v>32285</v>
      </c>
      <c r="H71" s="66">
        <v>45448</v>
      </c>
      <c r="I71" s="66">
        <v>61466</v>
      </c>
      <c r="J71" s="66">
        <v>55662</v>
      </c>
      <c r="K71" s="66">
        <v>54468</v>
      </c>
      <c r="L71" s="66">
        <v>56771</v>
      </c>
      <c r="M71" s="66">
        <v>46183</v>
      </c>
      <c r="N71" s="66">
        <v>46228</v>
      </c>
      <c r="O71" s="66">
        <v>50165</v>
      </c>
      <c r="P71" s="246">
        <f t="shared" si="16"/>
        <v>552886</v>
      </c>
    </row>
    <row r="72" spans="1:16" s="219" customFormat="1" x14ac:dyDescent="0.2">
      <c r="A72" s="224">
        <f t="shared" si="17"/>
        <v>68</v>
      </c>
      <c r="B72" s="224"/>
      <c r="C72" s="245" t="s">
        <v>1036</v>
      </c>
      <c r="D72" s="98">
        <f t="shared" ref="D72:O72" si="18">SUM(D68:D71)</f>
        <v>277564</v>
      </c>
      <c r="E72" s="98">
        <f t="shared" si="18"/>
        <v>285919</v>
      </c>
      <c r="F72" s="98">
        <f t="shared" si="18"/>
        <v>273985</v>
      </c>
      <c r="G72" s="98">
        <f t="shared" si="18"/>
        <v>251016</v>
      </c>
      <c r="H72" s="98">
        <f t="shared" si="18"/>
        <v>300775</v>
      </c>
      <c r="I72" s="98">
        <f t="shared" si="18"/>
        <v>346560</v>
      </c>
      <c r="J72" s="98">
        <f t="shared" si="18"/>
        <v>337924</v>
      </c>
      <c r="K72" s="98">
        <f t="shared" si="18"/>
        <v>365712</v>
      </c>
      <c r="L72" s="98">
        <f t="shared" si="18"/>
        <v>372692</v>
      </c>
      <c r="M72" s="98">
        <f t="shared" si="18"/>
        <v>303042</v>
      </c>
      <c r="N72" s="98">
        <f t="shared" si="18"/>
        <v>288135</v>
      </c>
      <c r="O72" s="98">
        <f t="shared" si="18"/>
        <v>271743</v>
      </c>
      <c r="P72" s="247">
        <f t="shared" si="16"/>
        <v>3675067</v>
      </c>
    </row>
    <row r="73" spans="1:16" s="219" customFormat="1" x14ac:dyDescent="0.2">
      <c r="A73" s="224">
        <f t="shared" si="17"/>
        <v>69</v>
      </c>
      <c r="B73" s="224" t="s">
        <v>1166</v>
      </c>
      <c r="C73" s="244" t="s">
        <v>1170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6" s="219" customFormat="1" x14ac:dyDescent="0.2">
      <c r="A74" s="224">
        <f t="shared" si="17"/>
        <v>70</v>
      </c>
      <c r="B74" s="224" t="s">
        <v>1178</v>
      </c>
      <c r="C74" s="245" t="s">
        <v>1033</v>
      </c>
      <c r="D74" s="129">
        <v>6322</v>
      </c>
      <c r="E74" s="129">
        <v>5500</v>
      </c>
      <c r="F74" s="129">
        <v>5500</v>
      </c>
      <c r="G74" s="129">
        <v>5930</v>
      </c>
      <c r="H74" s="129">
        <v>5973</v>
      </c>
      <c r="I74" s="129">
        <v>5642</v>
      </c>
      <c r="J74" s="129">
        <v>5818</v>
      </c>
      <c r="K74" s="129">
        <v>5665</v>
      </c>
      <c r="L74" s="129">
        <v>6011</v>
      </c>
      <c r="M74" s="129">
        <v>5737</v>
      </c>
      <c r="N74" s="129">
        <v>5500</v>
      </c>
      <c r="O74" s="129">
        <v>5500</v>
      </c>
      <c r="P74" s="226">
        <f t="shared" ref="P74:P85" si="19">SUM(D74:O74)</f>
        <v>69098</v>
      </c>
    </row>
    <row r="75" spans="1:16" s="219" customFormat="1" x14ac:dyDescent="0.2">
      <c r="A75" s="224">
        <f t="shared" si="17"/>
        <v>71</v>
      </c>
      <c r="B75" s="224"/>
      <c r="C75" s="245" t="s">
        <v>1098</v>
      </c>
      <c r="D75" s="129">
        <v>6322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226">
        <f t="shared" si="19"/>
        <v>6322</v>
      </c>
    </row>
    <row r="76" spans="1:16" s="219" customFormat="1" x14ac:dyDescent="0.2">
      <c r="A76" s="224">
        <f t="shared" si="17"/>
        <v>72</v>
      </c>
      <c r="B76" s="224"/>
      <c r="C76" s="245" t="s">
        <v>1099</v>
      </c>
      <c r="D76" s="129">
        <v>5944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226">
        <f t="shared" si="19"/>
        <v>5944</v>
      </c>
    </row>
    <row r="77" spans="1:16" s="219" customFormat="1" x14ac:dyDescent="0.2">
      <c r="A77" s="224">
        <f t="shared" si="17"/>
        <v>73</v>
      </c>
      <c r="B77" s="224"/>
      <c r="C77" s="245" t="s">
        <v>1053</v>
      </c>
      <c r="D77" s="129">
        <v>5500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226">
        <f t="shared" si="19"/>
        <v>5500</v>
      </c>
    </row>
    <row r="78" spans="1:16" s="219" customFormat="1" x14ac:dyDescent="0.2">
      <c r="A78" s="224">
        <f t="shared" si="17"/>
        <v>74</v>
      </c>
      <c r="B78" s="224"/>
      <c r="C78" s="245" t="s">
        <v>1100</v>
      </c>
      <c r="D78" s="129">
        <v>3984089</v>
      </c>
      <c r="E78" s="129">
        <v>3815779</v>
      </c>
      <c r="F78" s="129">
        <v>4115556</v>
      </c>
      <c r="G78" s="129">
        <v>3584075</v>
      </c>
      <c r="H78" s="129">
        <v>4058267</v>
      </c>
      <c r="I78" s="129">
        <v>3961831</v>
      </c>
      <c r="J78" s="129">
        <v>3988254</v>
      </c>
      <c r="K78" s="129">
        <v>3995334</v>
      </c>
      <c r="L78" s="129">
        <v>3921609</v>
      </c>
      <c r="M78" s="129">
        <v>2505455</v>
      </c>
      <c r="N78" s="129">
        <v>3632729</v>
      </c>
      <c r="O78" s="129">
        <v>3775400</v>
      </c>
      <c r="P78" s="226">
        <f t="shared" si="19"/>
        <v>45338378</v>
      </c>
    </row>
    <row r="79" spans="1:16" s="219" customFormat="1" x14ac:dyDescent="0.2">
      <c r="A79" s="224">
        <f t="shared" si="17"/>
        <v>75</v>
      </c>
      <c r="B79" s="224"/>
      <c r="C79" s="245" t="s">
        <v>1101</v>
      </c>
      <c r="D79" s="129">
        <f>D78</f>
        <v>3984089</v>
      </c>
      <c r="E79" s="129"/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226">
        <f t="shared" si="19"/>
        <v>3984089</v>
      </c>
    </row>
    <row r="80" spans="1:16" s="219" customFormat="1" x14ac:dyDescent="0.2">
      <c r="A80" s="224">
        <f t="shared" si="17"/>
        <v>76</v>
      </c>
      <c r="B80" s="224"/>
      <c r="C80" s="245" t="s">
        <v>1102</v>
      </c>
      <c r="D80" s="129">
        <v>2200000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226">
        <f t="shared" si="19"/>
        <v>2200000</v>
      </c>
    </row>
    <row r="81" spans="1:16" s="219" customFormat="1" x14ac:dyDescent="0.2">
      <c r="A81" s="224">
        <f t="shared" si="17"/>
        <v>77</v>
      </c>
      <c r="B81" s="224"/>
      <c r="C81" s="245" t="s">
        <v>1034</v>
      </c>
      <c r="D81" s="66">
        <v>49399</v>
      </c>
      <c r="E81" s="66">
        <v>41195</v>
      </c>
      <c r="F81" s="66">
        <v>41195</v>
      </c>
      <c r="G81" s="66">
        <v>45486</v>
      </c>
      <c r="H81" s="66">
        <v>45916</v>
      </c>
      <c r="I81" s="66">
        <v>42612</v>
      </c>
      <c r="J81" s="66">
        <v>44369</v>
      </c>
      <c r="K81" s="66">
        <v>42842</v>
      </c>
      <c r="L81" s="66">
        <v>46295</v>
      </c>
      <c r="M81" s="66">
        <v>43560</v>
      </c>
      <c r="N81" s="66">
        <v>41195</v>
      </c>
      <c r="O81" s="66">
        <v>41195</v>
      </c>
      <c r="P81" s="246">
        <f t="shared" si="19"/>
        <v>525259</v>
      </c>
    </row>
    <row r="82" spans="1:16" s="219" customFormat="1" x14ac:dyDescent="0.2">
      <c r="A82" s="224">
        <f t="shared" si="17"/>
        <v>78</v>
      </c>
      <c r="B82" s="224"/>
      <c r="C82" s="245" t="s">
        <v>1035</v>
      </c>
      <c r="D82" s="66">
        <v>158901</v>
      </c>
      <c r="E82" s="66">
        <v>152189</v>
      </c>
      <c r="F82" s="66">
        <v>164145</v>
      </c>
      <c r="G82" s="66">
        <v>142947</v>
      </c>
      <c r="H82" s="66">
        <v>161860</v>
      </c>
      <c r="I82" s="66">
        <v>158014</v>
      </c>
      <c r="J82" s="66">
        <v>159068</v>
      </c>
      <c r="K82" s="66">
        <v>159350</v>
      </c>
      <c r="L82" s="66">
        <v>200528</v>
      </c>
      <c r="M82" s="66">
        <v>128114</v>
      </c>
      <c r="N82" s="66">
        <v>185756</v>
      </c>
      <c r="O82" s="66">
        <v>193051</v>
      </c>
      <c r="P82" s="246">
        <f t="shared" si="19"/>
        <v>1963923</v>
      </c>
    </row>
    <row r="83" spans="1:16" s="219" customFormat="1" x14ac:dyDescent="0.2">
      <c r="A83" s="224">
        <f t="shared" si="17"/>
        <v>79</v>
      </c>
      <c r="B83" s="224"/>
      <c r="C83" s="245" t="s">
        <v>1006</v>
      </c>
      <c r="D83" s="66">
        <v>34502</v>
      </c>
      <c r="E83" s="66">
        <v>56130</v>
      </c>
      <c r="F83" s="66">
        <v>44283</v>
      </c>
      <c r="G83" s="66">
        <v>8960</v>
      </c>
      <c r="H83" s="66">
        <v>35713</v>
      </c>
      <c r="I83" s="66">
        <v>31298</v>
      </c>
      <c r="J83" s="66">
        <v>23890</v>
      </c>
      <c r="K83" s="66">
        <v>30444</v>
      </c>
      <c r="L83" s="66">
        <v>26118</v>
      </c>
      <c r="M83" s="66">
        <v>-11450</v>
      </c>
      <c r="N83" s="66">
        <v>-21506</v>
      </c>
      <c r="O83" s="66">
        <v>-24578</v>
      </c>
      <c r="P83" s="246">
        <f t="shared" si="19"/>
        <v>233804</v>
      </c>
    </row>
    <row r="84" spans="1:16" s="219" customFormat="1" x14ac:dyDescent="0.2">
      <c r="A84" s="224">
        <f t="shared" si="17"/>
        <v>80</v>
      </c>
      <c r="B84" s="224"/>
      <c r="C84" s="245" t="s">
        <v>1007</v>
      </c>
      <c r="D84" s="66">
        <v>40257</v>
      </c>
      <c r="E84" s="66">
        <v>38226</v>
      </c>
      <c r="F84" s="66">
        <v>27009</v>
      </c>
      <c r="G84" s="66">
        <v>29135</v>
      </c>
      <c r="H84" s="66">
        <v>43341</v>
      </c>
      <c r="I84" s="66">
        <v>50003</v>
      </c>
      <c r="J84" s="66">
        <v>44829</v>
      </c>
      <c r="K84" s="66">
        <v>40711</v>
      </c>
      <c r="L84" s="66">
        <v>49047</v>
      </c>
      <c r="M84" s="66">
        <v>28808</v>
      </c>
      <c r="N84" s="66">
        <v>39261</v>
      </c>
      <c r="O84" s="66">
        <v>47469</v>
      </c>
      <c r="P84" s="246">
        <f t="shared" si="19"/>
        <v>478096</v>
      </c>
    </row>
    <row r="85" spans="1:16" s="219" customFormat="1" x14ac:dyDescent="0.2">
      <c r="A85" s="224">
        <f t="shared" si="17"/>
        <v>81</v>
      </c>
      <c r="B85" s="224"/>
      <c r="C85" s="245" t="s">
        <v>1036</v>
      </c>
      <c r="D85" s="98">
        <f t="shared" ref="D85:O85" si="20">SUM(D81:D84)</f>
        <v>283059</v>
      </c>
      <c r="E85" s="98">
        <f t="shared" si="20"/>
        <v>287740</v>
      </c>
      <c r="F85" s="98">
        <f t="shared" si="20"/>
        <v>276632</v>
      </c>
      <c r="G85" s="98">
        <f t="shared" si="20"/>
        <v>226528</v>
      </c>
      <c r="H85" s="98">
        <f t="shared" si="20"/>
        <v>286830</v>
      </c>
      <c r="I85" s="98">
        <f t="shared" si="20"/>
        <v>281927</v>
      </c>
      <c r="J85" s="98">
        <f t="shared" si="20"/>
        <v>272156</v>
      </c>
      <c r="K85" s="98">
        <f t="shared" si="20"/>
        <v>273347</v>
      </c>
      <c r="L85" s="98">
        <f t="shared" si="20"/>
        <v>321988</v>
      </c>
      <c r="M85" s="98">
        <f t="shared" si="20"/>
        <v>189032</v>
      </c>
      <c r="N85" s="98">
        <f t="shared" si="20"/>
        <v>244706</v>
      </c>
      <c r="O85" s="98">
        <f t="shared" si="20"/>
        <v>257137</v>
      </c>
      <c r="P85" s="247">
        <f t="shared" si="19"/>
        <v>3201082</v>
      </c>
    </row>
    <row r="86" spans="1:16" s="219" customFormat="1" x14ac:dyDescent="0.2">
      <c r="A86" s="224">
        <f t="shared" si="17"/>
        <v>82</v>
      </c>
      <c r="B86" s="224" t="s">
        <v>1165</v>
      </c>
      <c r="C86" s="244" t="s">
        <v>1173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 s="219" customFormat="1" x14ac:dyDescent="0.2">
      <c r="A87" s="224">
        <f t="shared" si="17"/>
        <v>83</v>
      </c>
      <c r="B87" s="224" t="s">
        <v>1097</v>
      </c>
      <c r="C87" s="245" t="s">
        <v>1033</v>
      </c>
      <c r="D87" s="129">
        <v>2466</v>
      </c>
      <c r="E87" s="129">
        <v>3985</v>
      </c>
      <c r="F87" s="129">
        <v>4520</v>
      </c>
      <c r="G87" s="129">
        <v>4580</v>
      </c>
      <c r="H87" s="129">
        <v>1748</v>
      </c>
      <c r="I87" s="129">
        <v>1447</v>
      </c>
      <c r="J87" s="129">
        <v>1833</v>
      </c>
      <c r="K87" s="129">
        <v>1567</v>
      </c>
      <c r="L87" s="129">
        <v>2460</v>
      </c>
      <c r="M87" s="129">
        <v>3683</v>
      </c>
      <c r="N87" s="129">
        <v>4863</v>
      </c>
      <c r="O87" s="129">
        <v>2737</v>
      </c>
      <c r="P87" s="226">
        <f t="shared" ref="P87:P91" si="21">SUM(D87:O87)</f>
        <v>35889</v>
      </c>
    </row>
    <row r="88" spans="1:16" s="219" customFormat="1" x14ac:dyDescent="0.2">
      <c r="A88" s="224">
        <f t="shared" si="17"/>
        <v>84</v>
      </c>
      <c r="B88" s="224"/>
      <c r="C88" s="245" t="s">
        <v>1098</v>
      </c>
      <c r="D88" s="129">
        <v>2466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226">
        <f t="shared" si="21"/>
        <v>2466</v>
      </c>
    </row>
    <row r="89" spans="1:16" s="219" customFormat="1" x14ac:dyDescent="0.2">
      <c r="A89" s="224">
        <f t="shared" si="17"/>
        <v>85</v>
      </c>
      <c r="B89" s="224"/>
      <c r="C89" s="245" t="s">
        <v>1099</v>
      </c>
      <c r="D89" s="129">
        <v>4345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226">
        <f t="shared" si="21"/>
        <v>4345</v>
      </c>
    </row>
    <row r="90" spans="1:16" s="219" customFormat="1" x14ac:dyDescent="0.2">
      <c r="A90" s="224">
        <f t="shared" si="17"/>
        <v>86</v>
      </c>
      <c r="B90" s="224"/>
      <c r="C90" s="245" t="s">
        <v>1053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226">
        <f t="shared" si="21"/>
        <v>0</v>
      </c>
    </row>
    <row r="91" spans="1:16" s="219" customFormat="1" x14ac:dyDescent="0.2">
      <c r="A91" s="224">
        <f t="shared" si="17"/>
        <v>87</v>
      </c>
      <c r="B91" s="224"/>
      <c r="C91" s="245" t="s">
        <v>1161</v>
      </c>
      <c r="D91" s="129">
        <v>992082</v>
      </c>
      <c r="E91" s="129">
        <v>925897</v>
      </c>
      <c r="F91" s="129">
        <v>853808</v>
      </c>
      <c r="G91" s="129">
        <v>663708</v>
      </c>
      <c r="H91" s="129">
        <v>461550</v>
      </c>
      <c r="I91" s="129">
        <v>421850</v>
      </c>
      <c r="J91" s="129">
        <v>612803</v>
      </c>
      <c r="K91" s="129">
        <v>676855</v>
      </c>
      <c r="L91" s="129">
        <v>847691</v>
      </c>
      <c r="M91" s="129">
        <v>1195837</v>
      </c>
      <c r="N91" s="129">
        <v>1293981</v>
      </c>
      <c r="O91" s="129">
        <v>1287772</v>
      </c>
      <c r="P91" s="226">
        <f t="shared" si="21"/>
        <v>10233834</v>
      </c>
    </row>
    <row r="92" spans="1:16" s="219" customFormat="1" x14ac:dyDescent="0.2">
      <c r="A92" s="224">
        <f t="shared" si="17"/>
        <v>88</v>
      </c>
      <c r="B92" s="224"/>
      <c r="C92" s="245" t="s">
        <v>1162</v>
      </c>
      <c r="D92" s="129">
        <v>832102</v>
      </c>
      <c r="E92" s="129">
        <v>640057</v>
      </c>
      <c r="F92" s="129">
        <v>553913</v>
      </c>
      <c r="G92" s="129">
        <v>475420</v>
      </c>
      <c r="H92" s="129">
        <v>512813</v>
      </c>
      <c r="I92" s="129">
        <v>386605</v>
      </c>
      <c r="J92" s="129">
        <v>514096</v>
      </c>
      <c r="K92" s="129">
        <v>634265</v>
      </c>
      <c r="L92" s="129">
        <v>827186</v>
      </c>
      <c r="M92" s="129">
        <v>895584</v>
      </c>
      <c r="N92" s="129">
        <v>1265149</v>
      </c>
      <c r="O92" s="129">
        <v>1275773</v>
      </c>
      <c r="P92" s="226">
        <f t="shared" ref="P92:P104" si="22">SUM(D92:O92)</f>
        <v>8812963</v>
      </c>
    </row>
    <row r="93" spans="1:16" s="219" customFormat="1" x14ac:dyDescent="0.2">
      <c r="A93" s="224">
        <f t="shared" si="17"/>
        <v>89</v>
      </c>
      <c r="B93" s="224"/>
      <c r="C93" s="245" t="s">
        <v>1101</v>
      </c>
      <c r="D93" s="129">
        <v>1824184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226">
        <f t="shared" si="22"/>
        <v>1824184</v>
      </c>
    </row>
    <row r="94" spans="1:16" s="219" customFormat="1" x14ac:dyDescent="0.2">
      <c r="A94" s="224">
        <f t="shared" si="17"/>
        <v>90</v>
      </c>
      <c r="B94" s="224"/>
      <c r="C94" s="245" t="s">
        <v>1102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226">
        <f t="shared" si="22"/>
        <v>0</v>
      </c>
    </row>
    <row r="95" spans="1:16" s="219" customFormat="1" x14ac:dyDescent="0.2">
      <c r="A95" s="224">
        <f t="shared" si="17"/>
        <v>91</v>
      </c>
      <c r="B95" s="224"/>
      <c r="C95" s="245" t="s">
        <v>1054</v>
      </c>
      <c r="D95" s="66">
        <v>16078</v>
      </c>
      <c r="E95" s="66">
        <v>25982</v>
      </c>
      <c r="F95" s="66">
        <v>29470</v>
      </c>
      <c r="G95" s="66">
        <v>29862</v>
      </c>
      <c r="H95" s="66">
        <v>11397</v>
      </c>
      <c r="I95" s="66">
        <v>9434</v>
      </c>
      <c r="J95" s="66">
        <v>11951</v>
      </c>
      <c r="K95" s="66">
        <v>10217</v>
      </c>
      <c r="L95" s="66">
        <v>16039</v>
      </c>
      <c r="M95" s="66">
        <v>24013</v>
      </c>
      <c r="N95" s="66">
        <v>31707</v>
      </c>
      <c r="O95" s="66">
        <v>17845</v>
      </c>
      <c r="P95" s="246">
        <f t="shared" si="22"/>
        <v>233995</v>
      </c>
    </row>
    <row r="96" spans="1:16" s="219" customFormat="1" x14ac:dyDescent="0.2">
      <c r="A96" s="224">
        <f t="shared" si="17"/>
        <v>92</v>
      </c>
      <c r="B96" s="224"/>
      <c r="C96" s="245" t="s">
        <v>1105</v>
      </c>
      <c r="D96" s="66">
        <v>-44061</v>
      </c>
      <c r="E96" s="66">
        <v>0</v>
      </c>
      <c r="F96" s="66">
        <v>-2912</v>
      </c>
      <c r="G96" s="66">
        <v>-3248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-4833</v>
      </c>
      <c r="O96" s="66">
        <v>0</v>
      </c>
      <c r="P96" s="246">
        <f t="shared" si="22"/>
        <v>-55054</v>
      </c>
    </row>
    <row r="97" spans="1:16" s="219" customFormat="1" x14ac:dyDescent="0.2">
      <c r="A97" s="224">
        <f t="shared" si="17"/>
        <v>93</v>
      </c>
      <c r="B97" s="224"/>
      <c r="C97" s="245" t="s">
        <v>1163</v>
      </c>
      <c r="D97" s="66">
        <v>50992</v>
      </c>
      <c r="E97" s="66">
        <v>47590</v>
      </c>
      <c r="F97" s="66">
        <v>43885</v>
      </c>
      <c r="G97" s="66">
        <v>34114</v>
      </c>
      <c r="H97" s="66">
        <v>23723</v>
      </c>
      <c r="I97" s="66">
        <v>21683</v>
      </c>
      <c r="J97" s="66">
        <v>31497</v>
      </c>
      <c r="K97" s="66">
        <v>34790</v>
      </c>
      <c r="L97" s="66">
        <v>53107</v>
      </c>
      <c r="M97" s="66">
        <v>74918</v>
      </c>
      <c r="N97" s="66">
        <v>81067</v>
      </c>
      <c r="O97" s="66">
        <v>80678</v>
      </c>
      <c r="P97" s="246">
        <f t="shared" si="22"/>
        <v>578044</v>
      </c>
    </row>
    <row r="98" spans="1:16" s="219" customFormat="1" x14ac:dyDescent="0.2">
      <c r="A98" s="224">
        <f t="shared" si="17"/>
        <v>94</v>
      </c>
      <c r="B98" s="224"/>
      <c r="C98" s="245" t="s">
        <v>1164</v>
      </c>
      <c r="D98" s="66">
        <v>35509</v>
      </c>
      <c r="E98" s="66">
        <v>27314</v>
      </c>
      <c r="F98" s="66">
        <v>23638</v>
      </c>
      <c r="G98" s="66">
        <v>20288</v>
      </c>
      <c r="H98" s="66">
        <v>21884</v>
      </c>
      <c r="I98" s="66">
        <v>16498</v>
      </c>
      <c r="J98" s="66">
        <v>21939</v>
      </c>
      <c r="K98" s="66">
        <v>27067</v>
      </c>
      <c r="L98" s="66">
        <v>44605</v>
      </c>
      <c r="M98" s="66">
        <v>48293</v>
      </c>
      <c r="N98" s="66">
        <v>68222</v>
      </c>
      <c r="O98" s="66">
        <v>68795</v>
      </c>
      <c r="P98" s="246">
        <f t="shared" si="22"/>
        <v>424052</v>
      </c>
    </row>
    <row r="99" spans="1:16" s="219" customFormat="1" x14ac:dyDescent="0.2">
      <c r="A99" s="224">
        <f t="shared" si="17"/>
        <v>95</v>
      </c>
      <c r="B99" s="224"/>
      <c r="C99" s="245" t="s">
        <v>1006</v>
      </c>
      <c r="D99" s="66">
        <v>15797</v>
      </c>
      <c r="E99" s="66">
        <v>23035</v>
      </c>
      <c r="F99" s="66">
        <v>15147</v>
      </c>
      <c r="G99" s="66">
        <v>2848</v>
      </c>
      <c r="H99" s="66">
        <v>8574</v>
      </c>
      <c r="I99" s="66">
        <v>6387</v>
      </c>
      <c r="J99" s="66">
        <v>6750</v>
      </c>
      <c r="K99" s="66">
        <v>9991</v>
      </c>
      <c r="L99" s="66">
        <v>11155</v>
      </c>
      <c r="M99" s="66">
        <v>-9558</v>
      </c>
      <c r="N99" s="66">
        <v>-15150</v>
      </c>
      <c r="O99" s="66">
        <v>-16689</v>
      </c>
      <c r="P99" s="246">
        <f t="shared" si="22"/>
        <v>58287</v>
      </c>
    </row>
    <row r="100" spans="1:16" s="219" customFormat="1" x14ac:dyDescent="0.2">
      <c r="A100" s="224">
        <f t="shared" si="17"/>
        <v>96</v>
      </c>
      <c r="B100" s="224"/>
      <c r="C100" s="245" t="s">
        <v>1007</v>
      </c>
      <c r="D100" s="66">
        <v>19627</v>
      </c>
      <c r="E100" s="66">
        <v>18985</v>
      </c>
      <c r="F100" s="66">
        <v>11818</v>
      </c>
      <c r="G100" s="66">
        <v>12378</v>
      </c>
      <c r="H100" s="66">
        <v>11673</v>
      </c>
      <c r="I100" s="66">
        <v>11643</v>
      </c>
      <c r="J100" s="66">
        <v>14225</v>
      </c>
      <c r="K100" s="66">
        <v>14361</v>
      </c>
      <c r="L100" s="66">
        <v>22446</v>
      </c>
      <c r="M100" s="66">
        <v>24752</v>
      </c>
      <c r="N100" s="66">
        <v>30770</v>
      </c>
      <c r="O100" s="66">
        <v>33922</v>
      </c>
      <c r="P100" s="246">
        <f t="shared" si="22"/>
        <v>226600</v>
      </c>
    </row>
    <row r="101" spans="1:16" s="219" customFormat="1" x14ac:dyDescent="0.2">
      <c r="A101" s="224">
        <f t="shared" si="17"/>
        <v>97</v>
      </c>
      <c r="B101" s="224"/>
      <c r="C101" s="245" t="s">
        <v>1036</v>
      </c>
      <c r="D101" s="98">
        <f t="shared" ref="D101:O101" si="23">SUM(D95:D100)</f>
        <v>93942</v>
      </c>
      <c r="E101" s="98">
        <f t="shared" si="23"/>
        <v>142906</v>
      </c>
      <c r="F101" s="98">
        <f t="shared" si="23"/>
        <v>121046</v>
      </c>
      <c r="G101" s="98">
        <f t="shared" si="23"/>
        <v>96242</v>
      </c>
      <c r="H101" s="98">
        <f t="shared" si="23"/>
        <v>77251</v>
      </c>
      <c r="I101" s="98">
        <f t="shared" si="23"/>
        <v>65645</v>
      </c>
      <c r="J101" s="98">
        <f t="shared" si="23"/>
        <v>86362</v>
      </c>
      <c r="K101" s="98">
        <f t="shared" si="23"/>
        <v>96426</v>
      </c>
      <c r="L101" s="98">
        <f t="shared" si="23"/>
        <v>147352</v>
      </c>
      <c r="M101" s="98">
        <f t="shared" si="23"/>
        <v>162418</v>
      </c>
      <c r="N101" s="98">
        <f t="shared" si="23"/>
        <v>191783</v>
      </c>
      <c r="O101" s="98">
        <f t="shared" si="23"/>
        <v>184551</v>
      </c>
      <c r="P101" s="247">
        <f t="shared" si="22"/>
        <v>1465924</v>
      </c>
    </row>
    <row r="102" spans="1:16" s="219" customFormat="1" x14ac:dyDescent="0.2">
      <c r="A102" s="224">
        <f t="shared" si="17"/>
        <v>98</v>
      </c>
      <c r="B102" s="224"/>
      <c r="C102" s="245" t="s">
        <v>1106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1081</v>
      </c>
      <c r="P102" s="246">
        <f t="shared" si="22"/>
        <v>1081</v>
      </c>
    </row>
    <row r="103" spans="1:16" s="219" customFormat="1" x14ac:dyDescent="0.2">
      <c r="A103" s="224">
        <f t="shared" si="17"/>
        <v>99</v>
      </c>
      <c r="B103" s="224"/>
      <c r="C103" s="245" t="s">
        <v>1107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-797</v>
      </c>
      <c r="P103" s="246">
        <f t="shared" si="22"/>
        <v>-797</v>
      </c>
    </row>
    <row r="104" spans="1:16" s="219" customFormat="1" x14ac:dyDescent="0.2">
      <c r="A104" s="224">
        <f t="shared" si="17"/>
        <v>100</v>
      </c>
      <c r="B104" s="224"/>
      <c r="C104" s="245" t="s">
        <v>1036</v>
      </c>
      <c r="D104" s="177">
        <f>SUM(D101:D103)</f>
        <v>93942</v>
      </c>
      <c r="E104" s="177">
        <f t="shared" ref="E104:O104" si="24">SUM(E101:E103)</f>
        <v>142906</v>
      </c>
      <c r="F104" s="177">
        <f t="shared" si="24"/>
        <v>121046</v>
      </c>
      <c r="G104" s="177">
        <f t="shared" si="24"/>
        <v>96242</v>
      </c>
      <c r="H104" s="177">
        <f t="shared" si="24"/>
        <v>77251</v>
      </c>
      <c r="I104" s="177">
        <f t="shared" si="24"/>
        <v>65645</v>
      </c>
      <c r="J104" s="177">
        <f t="shared" si="24"/>
        <v>86362</v>
      </c>
      <c r="K104" s="177">
        <f t="shared" si="24"/>
        <v>96426</v>
      </c>
      <c r="L104" s="177">
        <f t="shared" si="24"/>
        <v>147352</v>
      </c>
      <c r="M104" s="177">
        <f t="shared" si="24"/>
        <v>162418</v>
      </c>
      <c r="N104" s="177">
        <f t="shared" si="24"/>
        <v>191783</v>
      </c>
      <c r="O104" s="177">
        <f t="shared" si="24"/>
        <v>184835</v>
      </c>
      <c r="P104" s="248">
        <f t="shared" si="22"/>
        <v>1466208</v>
      </c>
    </row>
    <row r="105" spans="1:16" s="219" customFormat="1" x14ac:dyDescent="0.2">
      <c r="A105" s="224">
        <f t="shared" si="17"/>
        <v>101</v>
      </c>
      <c r="B105" s="224" t="s">
        <v>1166</v>
      </c>
      <c r="C105" s="244" t="s">
        <v>1171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6" s="219" customFormat="1" x14ac:dyDescent="0.2">
      <c r="A106" s="224">
        <f t="shared" si="17"/>
        <v>102</v>
      </c>
      <c r="B106" s="224" t="s">
        <v>1179</v>
      </c>
      <c r="C106" s="245" t="s">
        <v>1033</v>
      </c>
      <c r="D106" s="129">
        <v>1700</v>
      </c>
      <c r="E106" s="129">
        <v>1700</v>
      </c>
      <c r="F106" s="129">
        <v>1700</v>
      </c>
      <c r="G106" s="129">
        <v>1700</v>
      </c>
      <c r="H106" s="129">
        <v>1700</v>
      </c>
      <c r="I106" s="129">
        <v>1700</v>
      </c>
      <c r="J106" s="129">
        <v>1700</v>
      </c>
      <c r="K106" s="129">
        <v>1700</v>
      </c>
      <c r="L106" s="129">
        <v>1700</v>
      </c>
      <c r="M106" s="129">
        <v>1700</v>
      </c>
      <c r="N106" s="129">
        <v>1700</v>
      </c>
      <c r="O106" s="129">
        <v>1700</v>
      </c>
      <c r="P106" s="226">
        <f t="shared" ref="P106:P117" si="25">SUM(D106:O106)</f>
        <v>20400</v>
      </c>
    </row>
    <row r="107" spans="1:16" s="219" customFormat="1" x14ac:dyDescent="0.2">
      <c r="A107" s="224">
        <f t="shared" si="17"/>
        <v>103</v>
      </c>
      <c r="B107" s="224"/>
      <c r="C107" s="245" t="s">
        <v>1098</v>
      </c>
      <c r="D107" s="129">
        <v>219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226">
        <f t="shared" si="25"/>
        <v>219</v>
      </c>
    </row>
    <row r="108" spans="1:16" s="219" customFormat="1" x14ac:dyDescent="0.2">
      <c r="A108" s="224">
        <f t="shared" si="17"/>
        <v>104</v>
      </c>
      <c r="B108" s="224"/>
      <c r="C108" s="245" t="s">
        <v>1099</v>
      </c>
      <c r="D108" s="129">
        <v>219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226">
        <f t="shared" si="25"/>
        <v>219</v>
      </c>
    </row>
    <row r="109" spans="1:16" s="219" customFormat="1" x14ac:dyDescent="0.2">
      <c r="A109" s="224">
        <f t="shared" si="17"/>
        <v>105</v>
      </c>
      <c r="B109" s="224"/>
      <c r="C109" s="245" t="s">
        <v>1053</v>
      </c>
      <c r="D109" s="129">
        <v>1700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226">
        <f t="shared" si="25"/>
        <v>1700</v>
      </c>
    </row>
    <row r="110" spans="1:16" s="219" customFormat="1" x14ac:dyDescent="0.2">
      <c r="A110" s="224">
        <f t="shared" si="17"/>
        <v>106</v>
      </c>
      <c r="B110" s="224"/>
      <c r="C110" s="245" t="s">
        <v>1100</v>
      </c>
      <c r="D110" s="129">
        <v>831420</v>
      </c>
      <c r="E110" s="129">
        <v>849090</v>
      </c>
      <c r="F110" s="129">
        <v>1037394</v>
      </c>
      <c r="G110" s="129">
        <v>914076</v>
      </c>
      <c r="H110" s="129">
        <v>1012823</v>
      </c>
      <c r="I110" s="129">
        <v>961689</v>
      </c>
      <c r="J110" s="129">
        <v>1058139</v>
      </c>
      <c r="K110" s="129">
        <v>888980</v>
      </c>
      <c r="L110" s="129">
        <v>797718</v>
      </c>
      <c r="M110" s="129">
        <v>969409</v>
      </c>
      <c r="N110" s="129">
        <v>996026</v>
      </c>
      <c r="O110" s="129">
        <v>1006430</v>
      </c>
      <c r="P110" s="226">
        <f t="shared" si="25"/>
        <v>11323194</v>
      </c>
    </row>
    <row r="111" spans="1:16" s="219" customFormat="1" x14ac:dyDescent="0.2">
      <c r="A111" s="224">
        <f t="shared" si="17"/>
        <v>107</v>
      </c>
      <c r="B111" s="224"/>
      <c r="C111" s="245" t="s">
        <v>1101</v>
      </c>
      <c r="D111" s="129">
        <v>831420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226">
        <f t="shared" si="25"/>
        <v>831420</v>
      </c>
    </row>
    <row r="112" spans="1:16" s="219" customFormat="1" x14ac:dyDescent="0.2">
      <c r="A112" s="224">
        <f t="shared" si="17"/>
        <v>108</v>
      </c>
      <c r="B112" s="224"/>
      <c r="C112" s="245" t="s">
        <v>1102</v>
      </c>
      <c r="D112" s="129">
        <v>680000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226">
        <f t="shared" si="25"/>
        <v>680000</v>
      </c>
    </row>
    <row r="113" spans="1:16" s="219" customFormat="1" x14ac:dyDescent="0.2">
      <c r="A113" s="224">
        <f t="shared" si="17"/>
        <v>109</v>
      </c>
      <c r="B113" s="224"/>
      <c r="C113" s="245" t="s">
        <v>1034</v>
      </c>
      <c r="D113" s="66">
        <v>12733</v>
      </c>
      <c r="E113" s="66">
        <v>12733</v>
      </c>
      <c r="F113" s="66">
        <v>12733</v>
      </c>
      <c r="G113" s="66">
        <v>12733</v>
      </c>
      <c r="H113" s="66">
        <v>12733</v>
      </c>
      <c r="I113" s="66">
        <v>12733</v>
      </c>
      <c r="J113" s="66">
        <v>12733</v>
      </c>
      <c r="K113" s="66">
        <v>12733</v>
      </c>
      <c r="L113" s="66">
        <v>12733</v>
      </c>
      <c r="M113" s="66">
        <v>12733</v>
      </c>
      <c r="N113" s="66">
        <v>12733</v>
      </c>
      <c r="O113" s="66">
        <v>12733</v>
      </c>
      <c r="P113" s="246">
        <f t="shared" si="25"/>
        <v>152796</v>
      </c>
    </row>
    <row r="114" spans="1:16" s="219" customFormat="1" x14ac:dyDescent="0.2">
      <c r="A114" s="224">
        <f t="shared" si="17"/>
        <v>110</v>
      </c>
      <c r="B114" s="224"/>
      <c r="C114" s="245" t="s">
        <v>1035</v>
      </c>
      <c r="D114" s="66">
        <v>33160</v>
      </c>
      <c r="E114" s="66">
        <v>33865</v>
      </c>
      <c r="F114" s="66">
        <v>41375</v>
      </c>
      <c r="G114" s="66">
        <v>36482</v>
      </c>
      <c r="H114" s="66">
        <v>40395</v>
      </c>
      <c r="I114" s="66">
        <v>38356</v>
      </c>
      <c r="J114" s="66">
        <v>42203</v>
      </c>
      <c r="K114" s="66">
        <v>35456</v>
      </c>
      <c r="L114" s="66">
        <v>40791</v>
      </c>
      <c r="M114" s="66">
        <v>49570</v>
      </c>
      <c r="N114" s="66">
        <v>50931</v>
      </c>
      <c r="O114" s="66">
        <v>51463</v>
      </c>
      <c r="P114" s="246">
        <f t="shared" si="25"/>
        <v>494047</v>
      </c>
    </row>
    <row r="115" spans="1:16" s="219" customFormat="1" x14ac:dyDescent="0.2">
      <c r="A115" s="224">
        <f t="shared" si="17"/>
        <v>111</v>
      </c>
      <c r="B115" s="224"/>
      <c r="C115" s="245" t="s">
        <v>1006</v>
      </c>
      <c r="D115" s="66">
        <v>7200</v>
      </c>
      <c r="E115" s="66">
        <v>12490</v>
      </c>
      <c r="F115" s="66">
        <v>11162</v>
      </c>
      <c r="G115" s="66">
        <v>2287</v>
      </c>
      <c r="H115" s="66">
        <v>8913</v>
      </c>
      <c r="I115" s="66">
        <v>7597</v>
      </c>
      <c r="J115" s="66">
        <v>6338</v>
      </c>
      <c r="K115" s="66">
        <v>6774</v>
      </c>
      <c r="L115" s="66">
        <v>5313</v>
      </c>
      <c r="M115" s="66">
        <v>-4430</v>
      </c>
      <c r="N115" s="66">
        <v>-5896</v>
      </c>
      <c r="O115" s="66">
        <v>-6552</v>
      </c>
      <c r="P115" s="246">
        <f t="shared" si="25"/>
        <v>51196</v>
      </c>
    </row>
    <row r="116" spans="1:16" s="219" customFormat="1" x14ac:dyDescent="0.2">
      <c r="A116" s="224">
        <f t="shared" si="17"/>
        <v>112</v>
      </c>
      <c r="B116" s="224"/>
      <c r="C116" s="245" t="s">
        <v>1007</v>
      </c>
      <c r="D116" s="66">
        <v>8803</v>
      </c>
      <c r="E116" s="66">
        <v>9052</v>
      </c>
      <c r="F116" s="66">
        <v>7062</v>
      </c>
      <c r="G116" s="66">
        <v>7602</v>
      </c>
      <c r="H116" s="66">
        <v>11043</v>
      </c>
      <c r="I116" s="66">
        <v>12653</v>
      </c>
      <c r="J116" s="66">
        <v>12083</v>
      </c>
      <c r="K116" s="66">
        <v>9619</v>
      </c>
      <c r="L116" s="66">
        <v>10573</v>
      </c>
      <c r="M116" s="66">
        <v>10406</v>
      </c>
      <c r="N116" s="66">
        <v>11039</v>
      </c>
      <c r="O116" s="66">
        <v>13051</v>
      </c>
      <c r="P116" s="246">
        <f t="shared" si="25"/>
        <v>122986</v>
      </c>
    </row>
    <row r="117" spans="1:16" s="219" customFormat="1" x14ac:dyDescent="0.2">
      <c r="A117" s="224">
        <f t="shared" si="17"/>
        <v>113</v>
      </c>
      <c r="B117" s="224"/>
      <c r="C117" s="245" t="s">
        <v>1036</v>
      </c>
      <c r="D117" s="98">
        <f t="shared" ref="D117:O117" si="26">SUM(D113:D116)</f>
        <v>61896</v>
      </c>
      <c r="E117" s="98">
        <f t="shared" si="26"/>
        <v>68140</v>
      </c>
      <c r="F117" s="98">
        <f t="shared" si="26"/>
        <v>72332</v>
      </c>
      <c r="G117" s="98">
        <f t="shared" si="26"/>
        <v>59104</v>
      </c>
      <c r="H117" s="98">
        <f t="shared" si="26"/>
        <v>73084</v>
      </c>
      <c r="I117" s="98">
        <f t="shared" si="26"/>
        <v>71339</v>
      </c>
      <c r="J117" s="98">
        <f t="shared" si="26"/>
        <v>73357</v>
      </c>
      <c r="K117" s="98">
        <f t="shared" si="26"/>
        <v>64582</v>
      </c>
      <c r="L117" s="98">
        <f t="shared" si="26"/>
        <v>69410</v>
      </c>
      <c r="M117" s="98">
        <f t="shared" si="26"/>
        <v>68279</v>
      </c>
      <c r="N117" s="98">
        <f t="shared" si="26"/>
        <v>68807</v>
      </c>
      <c r="O117" s="98">
        <f t="shared" si="26"/>
        <v>70695</v>
      </c>
      <c r="P117" s="247">
        <f t="shared" si="25"/>
        <v>821025</v>
      </c>
    </row>
    <row r="118" spans="1:16" s="219" customFormat="1" x14ac:dyDescent="0.2">
      <c r="A118" s="224">
        <f t="shared" si="17"/>
        <v>114</v>
      </c>
      <c r="B118" s="224" t="s">
        <v>1167</v>
      </c>
      <c r="C118" s="244" t="s">
        <v>1174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6" s="219" customFormat="1" x14ac:dyDescent="0.2">
      <c r="A119" s="224">
        <f t="shared" si="17"/>
        <v>115</v>
      </c>
      <c r="B119" s="224" t="s">
        <v>1056</v>
      </c>
      <c r="C119" s="245" t="s">
        <v>1033</v>
      </c>
      <c r="D119" s="129">
        <v>15368</v>
      </c>
      <c r="E119" s="129">
        <v>15368</v>
      </c>
      <c r="F119" s="129">
        <v>15368</v>
      </c>
      <c r="G119" s="129">
        <v>15368</v>
      </c>
      <c r="H119" s="129">
        <v>15368</v>
      </c>
      <c r="I119" s="129">
        <v>15368</v>
      </c>
      <c r="J119" s="129">
        <v>15368</v>
      </c>
      <c r="K119" s="129">
        <v>15000</v>
      </c>
      <c r="L119" s="129">
        <v>15000</v>
      </c>
      <c r="M119" s="129">
        <v>15000</v>
      </c>
      <c r="N119" s="129">
        <v>15000</v>
      </c>
      <c r="O119" s="129">
        <v>15000</v>
      </c>
      <c r="P119" s="226">
        <f t="shared" ref="P119:P137" si="27">SUM(D119:O119)</f>
        <v>182576</v>
      </c>
    </row>
    <row r="120" spans="1:16" s="219" customFormat="1" x14ac:dyDescent="0.2">
      <c r="A120" s="224">
        <f t="shared" si="17"/>
        <v>116</v>
      </c>
      <c r="B120" s="224"/>
      <c r="C120" s="245" t="s">
        <v>1098</v>
      </c>
      <c r="D120" s="129">
        <v>3351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226">
        <f t="shared" si="27"/>
        <v>3351</v>
      </c>
    </row>
    <row r="121" spans="1:16" s="219" customFormat="1" x14ac:dyDescent="0.2">
      <c r="A121" s="224">
        <f t="shared" si="17"/>
        <v>117</v>
      </c>
      <c r="B121" s="224"/>
      <c r="C121" s="245" t="s">
        <v>1099</v>
      </c>
      <c r="D121" s="129">
        <v>14122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226">
        <f t="shared" si="27"/>
        <v>14122</v>
      </c>
    </row>
    <row r="122" spans="1:16" s="219" customFormat="1" x14ac:dyDescent="0.2">
      <c r="A122" s="224">
        <f t="shared" si="17"/>
        <v>118</v>
      </c>
      <c r="B122" s="224"/>
      <c r="C122" s="245" t="s">
        <v>1053</v>
      </c>
      <c r="D122" s="129">
        <v>15000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226">
        <f t="shared" si="27"/>
        <v>15000</v>
      </c>
    </row>
    <row r="123" spans="1:16" s="219" customFormat="1" x14ac:dyDescent="0.2">
      <c r="A123" s="224">
        <f t="shared" si="17"/>
        <v>119</v>
      </c>
      <c r="B123" s="224"/>
      <c r="C123" s="245" t="s">
        <v>1100</v>
      </c>
      <c r="D123" s="129">
        <v>6667995</v>
      </c>
      <c r="E123" s="129">
        <v>7690298</v>
      </c>
      <c r="F123" s="129">
        <v>8242065</v>
      </c>
      <c r="G123" s="129">
        <v>7600160</v>
      </c>
      <c r="H123" s="129">
        <v>8683096</v>
      </c>
      <c r="I123" s="129">
        <v>8340797</v>
      </c>
      <c r="J123" s="129">
        <v>8609250</v>
      </c>
      <c r="K123" s="129">
        <v>9765162</v>
      </c>
      <c r="L123" s="129">
        <v>7905375</v>
      </c>
      <c r="M123" s="129">
        <v>7384748</v>
      </c>
      <c r="N123" s="129">
        <v>7778571</v>
      </c>
      <c r="O123" s="129">
        <v>7268137</v>
      </c>
      <c r="P123" s="226">
        <f t="shared" si="27"/>
        <v>95935654</v>
      </c>
    </row>
    <row r="124" spans="1:16" s="219" customFormat="1" x14ac:dyDescent="0.2">
      <c r="A124" s="224">
        <f t="shared" si="17"/>
        <v>120</v>
      </c>
      <c r="B124" s="224"/>
      <c r="C124" s="245" t="s">
        <v>1101</v>
      </c>
      <c r="D124" s="129">
        <f>D123</f>
        <v>6667995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226">
        <f t="shared" si="27"/>
        <v>6667995</v>
      </c>
    </row>
    <row r="125" spans="1:16" s="219" customFormat="1" x14ac:dyDescent="0.2">
      <c r="A125" s="224">
        <f t="shared" si="17"/>
        <v>121</v>
      </c>
      <c r="B125" s="224"/>
      <c r="C125" s="245" t="s">
        <v>1102</v>
      </c>
      <c r="D125" s="129">
        <v>6000000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226">
        <f t="shared" si="27"/>
        <v>6000000</v>
      </c>
    </row>
    <row r="126" spans="1:16" s="219" customFormat="1" x14ac:dyDescent="0.2">
      <c r="A126" s="224">
        <f t="shared" si="17"/>
        <v>122</v>
      </c>
      <c r="B126" s="224"/>
      <c r="C126" s="245" t="s">
        <v>1103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246">
        <f t="shared" si="27"/>
        <v>0</v>
      </c>
    </row>
    <row r="127" spans="1:16" s="219" customFormat="1" x14ac:dyDescent="0.2">
      <c r="A127" s="224">
        <f t="shared" si="17"/>
        <v>123</v>
      </c>
      <c r="B127" s="224"/>
      <c r="C127" s="245" t="s">
        <v>1054</v>
      </c>
      <c r="D127" s="66">
        <v>112186</v>
      </c>
      <c r="E127" s="66">
        <v>112186</v>
      </c>
      <c r="F127" s="66">
        <v>112186</v>
      </c>
      <c r="G127" s="66">
        <v>112186</v>
      </c>
      <c r="H127" s="66">
        <v>112186</v>
      </c>
      <c r="I127" s="66">
        <v>112186</v>
      </c>
      <c r="J127" s="66">
        <v>112186</v>
      </c>
      <c r="K127" s="66">
        <v>109500</v>
      </c>
      <c r="L127" s="66">
        <v>109500</v>
      </c>
      <c r="M127" s="66">
        <v>109500</v>
      </c>
      <c r="N127" s="66">
        <v>109500</v>
      </c>
      <c r="O127" s="66">
        <v>109500</v>
      </c>
      <c r="P127" s="246">
        <f t="shared" si="27"/>
        <v>1332802</v>
      </c>
    </row>
    <row r="128" spans="1:16" s="219" customFormat="1" x14ac:dyDescent="0.2">
      <c r="A128" s="224">
        <f t="shared" si="17"/>
        <v>124</v>
      </c>
      <c r="B128" s="224"/>
      <c r="C128" s="245" t="s">
        <v>1104</v>
      </c>
      <c r="D128" s="66"/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246">
        <f t="shared" si="27"/>
        <v>0</v>
      </c>
    </row>
    <row r="129" spans="1:16" s="219" customFormat="1" x14ac:dyDescent="0.2">
      <c r="A129" s="224">
        <f t="shared" si="17"/>
        <v>125</v>
      </c>
      <c r="B129" s="224"/>
      <c r="C129" s="245" t="s">
        <v>1105</v>
      </c>
      <c r="D129" s="66">
        <v>-44061</v>
      </c>
      <c r="E129" s="66">
        <v>-44061</v>
      </c>
      <c r="F129" s="66">
        <v>-44061</v>
      </c>
      <c r="G129" s="66">
        <v>-44061</v>
      </c>
      <c r="H129" s="66">
        <v>-44061</v>
      </c>
      <c r="I129" s="66">
        <v>-44061</v>
      </c>
      <c r="J129" s="66">
        <v>-44061</v>
      </c>
      <c r="K129" s="66">
        <v>-42000</v>
      </c>
      <c r="L129" s="66">
        <v>-42000</v>
      </c>
      <c r="M129" s="66">
        <v>-42000</v>
      </c>
      <c r="N129" s="66">
        <v>-42000</v>
      </c>
      <c r="O129" s="66">
        <v>-42000</v>
      </c>
      <c r="P129" s="246">
        <f t="shared" si="27"/>
        <v>-518427</v>
      </c>
    </row>
    <row r="130" spans="1:16" s="219" customFormat="1" x14ac:dyDescent="0.2">
      <c r="A130" s="224">
        <f t="shared" si="17"/>
        <v>126</v>
      </c>
      <c r="B130" s="224"/>
      <c r="C130" s="245" t="s">
        <v>1034</v>
      </c>
      <c r="D130" s="66">
        <v>0</v>
      </c>
      <c r="E130" s="66">
        <v>0</v>
      </c>
      <c r="F130" s="66">
        <v>0</v>
      </c>
      <c r="G130" s="66"/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246">
        <f t="shared" si="27"/>
        <v>0</v>
      </c>
    </row>
    <row r="131" spans="1:16" s="219" customFormat="1" x14ac:dyDescent="0.2">
      <c r="A131" s="224">
        <f t="shared" si="17"/>
        <v>127</v>
      </c>
      <c r="B131" s="224"/>
      <c r="C131" s="245" t="s">
        <v>1035</v>
      </c>
      <c r="D131" s="66">
        <v>251917</v>
      </c>
      <c r="E131" s="66">
        <v>290539</v>
      </c>
      <c r="F131" s="66">
        <v>311385</v>
      </c>
      <c r="G131" s="66">
        <v>287134</v>
      </c>
      <c r="H131" s="66">
        <v>328047</v>
      </c>
      <c r="I131" s="66">
        <v>315115</v>
      </c>
      <c r="J131" s="66">
        <v>325257</v>
      </c>
      <c r="K131" s="66">
        <v>368928</v>
      </c>
      <c r="L131" s="66">
        <v>387601</v>
      </c>
      <c r="M131" s="66">
        <v>362074</v>
      </c>
      <c r="N131" s="66">
        <v>381383</v>
      </c>
      <c r="O131" s="66">
        <v>356357</v>
      </c>
      <c r="P131" s="246">
        <f t="shared" si="27"/>
        <v>3965737</v>
      </c>
    </row>
    <row r="132" spans="1:16" s="219" customFormat="1" x14ac:dyDescent="0.2">
      <c r="A132" s="224">
        <f t="shared" si="17"/>
        <v>128</v>
      </c>
      <c r="B132" s="224"/>
      <c r="C132" s="245" t="s">
        <v>1006</v>
      </c>
      <c r="D132" s="66">
        <v>57745</v>
      </c>
      <c r="E132" s="66">
        <v>113124</v>
      </c>
      <c r="F132" s="66">
        <v>88685</v>
      </c>
      <c r="G132" s="66">
        <v>19000</v>
      </c>
      <c r="H132" s="66">
        <v>76411</v>
      </c>
      <c r="I132" s="66">
        <v>65892</v>
      </c>
      <c r="J132" s="66">
        <v>51569</v>
      </c>
      <c r="K132" s="66">
        <v>74411</v>
      </c>
      <c r="L132" s="66">
        <v>52650</v>
      </c>
      <c r="M132" s="66">
        <v>-33748</v>
      </c>
      <c r="N132" s="66">
        <v>-46049</v>
      </c>
      <c r="O132" s="66">
        <v>-47316</v>
      </c>
      <c r="P132" s="246">
        <f t="shared" si="27"/>
        <v>472374</v>
      </c>
    </row>
    <row r="133" spans="1:16" s="219" customFormat="1" x14ac:dyDescent="0.2">
      <c r="A133" s="224">
        <f t="shared" si="17"/>
        <v>129</v>
      </c>
      <c r="B133" s="224"/>
      <c r="C133" s="245" t="s">
        <v>1007</v>
      </c>
      <c r="D133" s="66">
        <v>61465</v>
      </c>
      <c r="E133" s="66">
        <v>72278</v>
      </c>
      <c r="F133" s="66">
        <v>50659</v>
      </c>
      <c r="G133" s="66">
        <v>55241</v>
      </c>
      <c r="H133" s="66">
        <v>84120</v>
      </c>
      <c r="I133" s="66">
        <v>94566</v>
      </c>
      <c r="J133" s="66">
        <v>86496</v>
      </c>
      <c r="K133" s="66">
        <v>87376</v>
      </c>
      <c r="L133" s="66">
        <v>91243</v>
      </c>
      <c r="M133" s="66">
        <v>71170</v>
      </c>
      <c r="N133" s="66">
        <v>76982</v>
      </c>
      <c r="O133" s="66">
        <v>83500</v>
      </c>
      <c r="P133" s="246">
        <f t="shared" si="27"/>
        <v>915096</v>
      </c>
    </row>
    <row r="134" spans="1:16" s="219" customFormat="1" x14ac:dyDescent="0.2">
      <c r="A134" s="224">
        <f t="shared" si="17"/>
        <v>130</v>
      </c>
      <c r="B134" s="224"/>
      <c r="C134" s="245" t="s">
        <v>1036</v>
      </c>
      <c r="D134" s="98">
        <f t="shared" ref="D134:O134" si="28">SUM(D126:D133)</f>
        <v>439252</v>
      </c>
      <c r="E134" s="98">
        <f t="shared" si="28"/>
        <v>544066</v>
      </c>
      <c r="F134" s="98">
        <f t="shared" si="28"/>
        <v>518854</v>
      </c>
      <c r="G134" s="98">
        <f t="shared" si="28"/>
        <v>429500</v>
      </c>
      <c r="H134" s="98">
        <f t="shared" si="28"/>
        <v>556703</v>
      </c>
      <c r="I134" s="98">
        <f t="shared" si="28"/>
        <v>543698</v>
      </c>
      <c r="J134" s="98">
        <f t="shared" si="28"/>
        <v>531447</v>
      </c>
      <c r="K134" s="98">
        <f t="shared" si="28"/>
        <v>598215</v>
      </c>
      <c r="L134" s="98">
        <f t="shared" si="28"/>
        <v>598994</v>
      </c>
      <c r="M134" s="98">
        <f t="shared" si="28"/>
        <v>466996</v>
      </c>
      <c r="N134" s="98">
        <f t="shared" si="28"/>
        <v>479816</v>
      </c>
      <c r="O134" s="98">
        <f t="shared" si="28"/>
        <v>460041</v>
      </c>
      <c r="P134" s="247">
        <f t="shared" si="27"/>
        <v>6167582</v>
      </c>
    </row>
    <row r="135" spans="1:16" s="219" customFormat="1" x14ac:dyDescent="0.2">
      <c r="A135" s="224">
        <f t="shared" ref="A135:A198" si="29">A134+1</f>
        <v>131</v>
      </c>
      <c r="B135" s="224"/>
      <c r="C135" s="245" t="s">
        <v>1106</v>
      </c>
      <c r="D135" s="66">
        <v>19059</v>
      </c>
      <c r="E135" s="66">
        <v>0</v>
      </c>
      <c r="F135" s="66">
        <v>0</v>
      </c>
      <c r="G135" s="66">
        <v>0</v>
      </c>
      <c r="H135" s="66">
        <v>0</v>
      </c>
      <c r="I135" s="66">
        <v>15175</v>
      </c>
      <c r="J135" s="66">
        <v>11223</v>
      </c>
      <c r="K135" s="66">
        <v>21068</v>
      </c>
      <c r="L135" s="66">
        <v>0</v>
      </c>
      <c r="M135" s="66">
        <v>0</v>
      </c>
      <c r="N135" s="66">
        <v>0</v>
      </c>
      <c r="O135" s="66">
        <v>11598</v>
      </c>
      <c r="P135" s="246">
        <f t="shared" si="27"/>
        <v>78123</v>
      </c>
    </row>
    <row r="136" spans="1:16" s="219" customFormat="1" x14ac:dyDescent="0.2">
      <c r="A136" s="224">
        <f t="shared" si="29"/>
        <v>132</v>
      </c>
      <c r="B136" s="224"/>
      <c r="C136" s="245" t="s">
        <v>1107</v>
      </c>
      <c r="D136" s="66">
        <v>-7072</v>
      </c>
      <c r="E136" s="66">
        <v>0</v>
      </c>
      <c r="F136" s="66">
        <v>0</v>
      </c>
      <c r="G136" s="66">
        <v>0</v>
      </c>
      <c r="H136" s="66">
        <v>0</v>
      </c>
      <c r="I136" s="66">
        <v>-10512</v>
      </c>
      <c r="J136" s="66">
        <v>-6329</v>
      </c>
      <c r="K136" s="66">
        <v>-11546</v>
      </c>
      <c r="L136" s="66">
        <v>0</v>
      </c>
      <c r="M136" s="66">
        <v>0</v>
      </c>
      <c r="N136" s="66">
        <v>0</v>
      </c>
      <c r="O136" s="66">
        <v>-7723</v>
      </c>
      <c r="P136" s="246">
        <f t="shared" si="27"/>
        <v>-43182</v>
      </c>
    </row>
    <row r="137" spans="1:16" s="219" customFormat="1" x14ac:dyDescent="0.2">
      <c r="A137" s="224">
        <f t="shared" si="29"/>
        <v>133</v>
      </c>
      <c r="B137" s="224"/>
      <c r="C137" s="245" t="s">
        <v>1036</v>
      </c>
      <c r="D137" s="177">
        <f>SUM(D134:D136)</f>
        <v>451239</v>
      </c>
      <c r="E137" s="177">
        <f t="shared" ref="E137:O137" si="30">SUM(E134:E136)</f>
        <v>544066</v>
      </c>
      <c r="F137" s="177">
        <f t="shared" si="30"/>
        <v>518854</v>
      </c>
      <c r="G137" s="177">
        <f t="shared" si="30"/>
        <v>429500</v>
      </c>
      <c r="H137" s="177">
        <f t="shared" si="30"/>
        <v>556703</v>
      </c>
      <c r="I137" s="177">
        <f t="shared" si="30"/>
        <v>548361</v>
      </c>
      <c r="J137" s="177">
        <f t="shared" si="30"/>
        <v>536341</v>
      </c>
      <c r="K137" s="177">
        <f t="shared" si="30"/>
        <v>607737</v>
      </c>
      <c r="L137" s="177">
        <f t="shared" si="30"/>
        <v>598994</v>
      </c>
      <c r="M137" s="177">
        <f t="shared" si="30"/>
        <v>466996</v>
      </c>
      <c r="N137" s="177">
        <f t="shared" si="30"/>
        <v>479816</v>
      </c>
      <c r="O137" s="177">
        <f t="shared" si="30"/>
        <v>463916</v>
      </c>
      <c r="P137" s="248">
        <f t="shared" si="27"/>
        <v>6202523</v>
      </c>
    </row>
    <row r="138" spans="1:16" s="219" customFormat="1" x14ac:dyDescent="0.2">
      <c r="A138" s="224">
        <f t="shared" si="29"/>
        <v>134</v>
      </c>
      <c r="B138" s="224" t="s">
        <v>1165</v>
      </c>
      <c r="C138" s="244" t="s">
        <v>1175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6" s="219" customFormat="1" x14ac:dyDescent="0.2">
      <c r="A139" s="224">
        <f t="shared" si="29"/>
        <v>135</v>
      </c>
      <c r="B139" s="224" t="s">
        <v>1097</v>
      </c>
      <c r="C139" s="245" t="s">
        <v>1033</v>
      </c>
      <c r="D139" s="129">
        <v>500</v>
      </c>
      <c r="E139" s="129">
        <v>566</v>
      </c>
      <c r="F139" s="129">
        <v>613</v>
      </c>
      <c r="G139" s="129">
        <v>592</v>
      </c>
      <c r="H139" s="129">
        <v>708</v>
      </c>
      <c r="I139" s="129">
        <v>881</v>
      </c>
      <c r="J139" s="129">
        <v>841</v>
      </c>
      <c r="K139" s="129">
        <v>870</v>
      </c>
      <c r="L139" s="129">
        <v>850</v>
      </c>
      <c r="M139" s="129">
        <v>766</v>
      </c>
      <c r="N139" s="129">
        <v>628</v>
      </c>
      <c r="O139" s="129">
        <v>732</v>
      </c>
      <c r="P139" s="226">
        <f t="shared" ref="P139:P156" si="31">SUM(D139:O139)</f>
        <v>8547</v>
      </c>
    </row>
    <row r="140" spans="1:16" s="219" customFormat="1" x14ac:dyDescent="0.2">
      <c r="A140" s="224">
        <f t="shared" si="29"/>
        <v>136</v>
      </c>
      <c r="B140" s="224"/>
      <c r="C140" s="245" t="s">
        <v>1098</v>
      </c>
      <c r="D140" s="129">
        <v>147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226">
        <f t="shared" si="31"/>
        <v>147</v>
      </c>
    </row>
    <row r="141" spans="1:16" s="219" customFormat="1" x14ac:dyDescent="0.2">
      <c r="A141" s="224">
        <f t="shared" si="29"/>
        <v>137</v>
      </c>
      <c r="B141" s="224"/>
      <c r="C141" s="245" t="s">
        <v>1099</v>
      </c>
      <c r="D141" s="129">
        <v>1107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226">
        <f t="shared" si="31"/>
        <v>1107</v>
      </c>
    </row>
    <row r="142" spans="1:16" s="219" customFormat="1" x14ac:dyDescent="0.2">
      <c r="A142" s="224">
        <f t="shared" si="29"/>
        <v>138</v>
      </c>
      <c r="B142" s="224"/>
      <c r="C142" s="245" t="s">
        <v>1053</v>
      </c>
      <c r="D142" s="129">
        <v>500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226">
        <f t="shared" si="31"/>
        <v>500</v>
      </c>
    </row>
    <row r="143" spans="1:16" s="219" customFormat="1" x14ac:dyDescent="0.2">
      <c r="A143" s="224">
        <f t="shared" si="29"/>
        <v>139</v>
      </c>
      <c r="B143" s="224"/>
      <c r="C143" s="245" t="s">
        <v>1161</v>
      </c>
      <c r="D143" s="129">
        <v>182983</v>
      </c>
      <c r="E143" s="129">
        <v>182406</v>
      </c>
      <c r="F143" s="129">
        <v>194248</v>
      </c>
      <c r="G143" s="129">
        <v>216418</v>
      </c>
      <c r="H143" s="129">
        <v>255065</v>
      </c>
      <c r="I143" s="129">
        <v>289103</v>
      </c>
      <c r="J143" s="129">
        <v>297505</v>
      </c>
      <c r="K143" s="129">
        <v>302000</v>
      </c>
      <c r="L143" s="129">
        <v>283113</v>
      </c>
      <c r="M143" s="129">
        <v>226738</v>
      </c>
      <c r="N143" s="129">
        <v>213648</v>
      </c>
      <c r="O143" s="129">
        <v>198502</v>
      </c>
      <c r="P143" s="226">
        <f t="shared" si="31"/>
        <v>2841729</v>
      </c>
    </row>
    <row r="144" spans="1:16" s="219" customFormat="1" x14ac:dyDescent="0.2">
      <c r="A144" s="224">
        <f t="shared" si="29"/>
        <v>140</v>
      </c>
      <c r="B144" s="224"/>
      <c r="C144" s="245" t="s">
        <v>1162</v>
      </c>
      <c r="D144" s="129">
        <v>254082</v>
      </c>
      <c r="E144" s="129">
        <v>248545</v>
      </c>
      <c r="F144" s="129">
        <v>267007</v>
      </c>
      <c r="G144" s="129">
        <v>28231</v>
      </c>
      <c r="H144" s="129">
        <v>251045</v>
      </c>
      <c r="I144" s="129">
        <v>284509</v>
      </c>
      <c r="J144" s="129">
        <v>292141</v>
      </c>
      <c r="K144" s="129">
        <v>289299</v>
      </c>
      <c r="L144" s="129">
        <v>271877</v>
      </c>
      <c r="M144" s="129">
        <v>315649</v>
      </c>
      <c r="N144" s="129">
        <v>294552</v>
      </c>
      <c r="O144" s="129">
        <v>276847</v>
      </c>
      <c r="P144" s="226">
        <f t="shared" si="31"/>
        <v>3073784</v>
      </c>
    </row>
    <row r="145" spans="1:16" s="219" customFormat="1" x14ac:dyDescent="0.2">
      <c r="A145" s="224">
        <f t="shared" si="29"/>
        <v>141</v>
      </c>
      <c r="B145" s="224"/>
      <c r="C145" s="245" t="s">
        <v>1101</v>
      </c>
      <c r="D145" s="129">
        <f>437065</f>
        <v>437065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226">
        <f t="shared" si="31"/>
        <v>437065</v>
      </c>
    </row>
    <row r="146" spans="1:16" s="219" customFormat="1" x14ac:dyDescent="0.2">
      <c r="A146" s="224">
        <f t="shared" si="29"/>
        <v>142</v>
      </c>
      <c r="B146" s="224"/>
      <c r="C146" s="245" t="s">
        <v>1102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226">
        <f t="shared" si="31"/>
        <v>0</v>
      </c>
    </row>
    <row r="147" spans="1:16" s="219" customFormat="1" x14ac:dyDescent="0.2">
      <c r="A147" s="224">
        <f t="shared" si="29"/>
        <v>143</v>
      </c>
      <c r="B147" s="224"/>
      <c r="C147" s="245" t="s">
        <v>1054</v>
      </c>
      <c r="D147" s="66">
        <v>3260</v>
      </c>
      <c r="E147" s="66">
        <v>3690</v>
      </c>
      <c r="F147" s="66">
        <v>3997</v>
      </c>
      <c r="G147" s="66">
        <v>3860</v>
      </c>
      <c r="H147" s="66">
        <v>4616</v>
      </c>
      <c r="I147" s="66">
        <v>5744</v>
      </c>
      <c r="J147" s="66">
        <v>5483</v>
      </c>
      <c r="K147" s="66">
        <v>5672</v>
      </c>
      <c r="L147" s="66">
        <v>5542</v>
      </c>
      <c r="M147" s="66">
        <v>4994</v>
      </c>
      <c r="N147" s="66">
        <v>4095</v>
      </c>
      <c r="O147" s="66">
        <v>4773</v>
      </c>
      <c r="P147" s="246">
        <f t="shared" si="31"/>
        <v>55726</v>
      </c>
    </row>
    <row r="148" spans="1:16" s="219" customFormat="1" x14ac:dyDescent="0.2">
      <c r="A148" s="224">
        <f t="shared" si="29"/>
        <v>144</v>
      </c>
      <c r="B148" s="224"/>
      <c r="C148" s="245" t="s">
        <v>1105</v>
      </c>
      <c r="D148" s="66">
        <v>0</v>
      </c>
      <c r="E148" s="66">
        <v>-370</v>
      </c>
      <c r="F148" s="66">
        <v>-633</v>
      </c>
      <c r="G148" s="66">
        <v>-515</v>
      </c>
      <c r="H148" s="66">
        <v>-1165</v>
      </c>
      <c r="I148" s="66">
        <v>-2134</v>
      </c>
      <c r="J148" s="66">
        <v>-1910</v>
      </c>
      <c r="K148" s="66">
        <v>-2072</v>
      </c>
      <c r="L148" s="66">
        <v>-1960</v>
      </c>
      <c r="M148" s="66">
        <v>-1490</v>
      </c>
      <c r="N148" s="66">
        <v>-717</v>
      </c>
      <c r="O148" s="66">
        <v>-1299</v>
      </c>
      <c r="P148" s="246">
        <f>SUM(D148:O148)</f>
        <v>-14265</v>
      </c>
    </row>
    <row r="149" spans="1:16" s="219" customFormat="1" x14ac:dyDescent="0.2">
      <c r="A149" s="224">
        <f t="shared" si="29"/>
        <v>145</v>
      </c>
      <c r="B149" s="224"/>
      <c r="C149" s="245" t="s">
        <v>1163</v>
      </c>
      <c r="D149" s="66">
        <v>9405</v>
      </c>
      <c r="E149" s="66">
        <v>9375</v>
      </c>
      <c r="F149" s="66">
        <v>9984</v>
      </c>
      <c r="G149" s="66">
        <v>11124</v>
      </c>
      <c r="H149" s="66">
        <v>13110</v>
      </c>
      <c r="I149" s="66">
        <v>14860</v>
      </c>
      <c r="J149" s="66">
        <v>15291</v>
      </c>
      <c r="K149" s="66">
        <v>15522</v>
      </c>
      <c r="L149" s="66">
        <v>17737</v>
      </c>
      <c r="M149" s="66">
        <v>14205</v>
      </c>
      <c r="N149" s="66">
        <v>13385</v>
      </c>
      <c r="O149" s="66">
        <v>12436</v>
      </c>
      <c r="P149" s="246">
        <f t="shared" ref="P149" si="32">SUM(D149:O149)</f>
        <v>156434</v>
      </c>
    </row>
    <row r="150" spans="1:16" s="219" customFormat="1" x14ac:dyDescent="0.2">
      <c r="A150" s="224">
        <f t="shared" si="29"/>
        <v>146</v>
      </c>
      <c r="B150" s="224"/>
      <c r="C150" s="245" t="s">
        <v>1164</v>
      </c>
      <c r="D150" s="66">
        <v>10843</v>
      </c>
      <c r="E150" s="66">
        <v>10606</v>
      </c>
      <c r="F150" s="66">
        <v>11394</v>
      </c>
      <c r="G150" s="66">
        <v>12727</v>
      </c>
      <c r="H150" s="66">
        <v>10713</v>
      </c>
      <c r="I150" s="66">
        <v>12141</v>
      </c>
      <c r="J150" s="66">
        <v>12467</v>
      </c>
      <c r="K150" s="66">
        <v>12346</v>
      </c>
      <c r="L150" s="66">
        <v>14661</v>
      </c>
      <c r="M150" s="66">
        <v>17021</v>
      </c>
      <c r="N150" s="66">
        <v>15883</v>
      </c>
      <c r="O150" s="66">
        <v>14929</v>
      </c>
      <c r="P150" s="246">
        <f t="shared" si="31"/>
        <v>155731</v>
      </c>
    </row>
    <row r="151" spans="1:16" s="219" customFormat="1" x14ac:dyDescent="0.2">
      <c r="A151" s="224">
        <f t="shared" si="29"/>
        <v>147</v>
      </c>
      <c r="B151" s="224"/>
      <c r="C151" s="245" t="s">
        <v>1006</v>
      </c>
      <c r="D151" s="66">
        <v>3785</v>
      </c>
      <c r="E151" s="66">
        <v>6339</v>
      </c>
      <c r="F151" s="66">
        <v>4963</v>
      </c>
      <c r="G151" s="66">
        <v>1287</v>
      </c>
      <c r="H151" s="66">
        <v>4454</v>
      </c>
      <c r="I151" s="66">
        <v>4532</v>
      </c>
      <c r="J151" s="66">
        <v>3532</v>
      </c>
      <c r="K151" s="66">
        <v>4506</v>
      </c>
      <c r="L151" s="66">
        <v>3696</v>
      </c>
      <c r="M151" s="66">
        <v>-2479</v>
      </c>
      <c r="N151" s="66">
        <v>-3009</v>
      </c>
      <c r="O151" s="66">
        <v>-3095</v>
      </c>
      <c r="P151" s="246">
        <f t="shared" si="31"/>
        <v>28511</v>
      </c>
    </row>
    <row r="152" spans="1:16" s="219" customFormat="1" x14ac:dyDescent="0.2">
      <c r="A152" s="224">
        <f t="shared" si="29"/>
        <v>148</v>
      </c>
      <c r="B152" s="224"/>
      <c r="C152" s="245" t="s">
        <v>1007</v>
      </c>
      <c r="D152" s="66">
        <v>4516</v>
      </c>
      <c r="E152" s="66">
        <v>4541</v>
      </c>
      <c r="F152" s="66">
        <v>3214</v>
      </c>
      <c r="G152" s="66">
        <v>4204</v>
      </c>
      <c r="H152" s="66">
        <v>5648</v>
      </c>
      <c r="I152" s="66">
        <v>7377</v>
      </c>
      <c r="J152" s="66">
        <v>6702</v>
      </c>
      <c r="K152" s="66">
        <v>6157</v>
      </c>
      <c r="L152" s="66">
        <v>7130</v>
      </c>
      <c r="M152" s="66">
        <v>5799</v>
      </c>
      <c r="N152" s="66">
        <v>5664</v>
      </c>
      <c r="O152" s="66">
        <v>6204</v>
      </c>
      <c r="P152" s="246">
        <f t="shared" si="31"/>
        <v>67156</v>
      </c>
    </row>
    <row r="153" spans="1:16" s="219" customFormat="1" x14ac:dyDescent="0.2">
      <c r="A153" s="224">
        <f t="shared" si="29"/>
        <v>149</v>
      </c>
      <c r="B153" s="224"/>
      <c r="C153" s="245" t="s">
        <v>1036</v>
      </c>
      <c r="D153" s="98">
        <f t="shared" ref="D153:O153" si="33">SUM(D147:D152)</f>
        <v>31809</v>
      </c>
      <c r="E153" s="98">
        <f t="shared" si="33"/>
        <v>34181</v>
      </c>
      <c r="F153" s="98">
        <f t="shared" si="33"/>
        <v>32919</v>
      </c>
      <c r="G153" s="98">
        <f t="shared" si="33"/>
        <v>32687</v>
      </c>
      <c r="H153" s="98">
        <f t="shared" si="33"/>
        <v>37376</v>
      </c>
      <c r="I153" s="98">
        <f t="shared" si="33"/>
        <v>42520</v>
      </c>
      <c r="J153" s="98">
        <f t="shared" si="33"/>
        <v>41565</v>
      </c>
      <c r="K153" s="98">
        <f t="shared" si="33"/>
        <v>42131</v>
      </c>
      <c r="L153" s="98">
        <f t="shared" si="33"/>
        <v>46806</v>
      </c>
      <c r="M153" s="98">
        <f t="shared" si="33"/>
        <v>38050</v>
      </c>
      <c r="N153" s="98">
        <f t="shared" si="33"/>
        <v>35301</v>
      </c>
      <c r="O153" s="98">
        <f t="shared" si="33"/>
        <v>33948</v>
      </c>
      <c r="P153" s="247">
        <f t="shared" si="31"/>
        <v>449293</v>
      </c>
    </row>
    <row r="154" spans="1:16" s="219" customFormat="1" x14ac:dyDescent="0.2">
      <c r="A154" s="224">
        <f t="shared" si="29"/>
        <v>150</v>
      </c>
      <c r="B154" s="224"/>
      <c r="C154" s="245" t="s">
        <v>1106</v>
      </c>
      <c r="D154" s="66">
        <v>68</v>
      </c>
      <c r="E154" s="66">
        <v>0</v>
      </c>
      <c r="F154" s="66">
        <v>0</v>
      </c>
      <c r="G154" s="66">
        <v>0</v>
      </c>
      <c r="H154" s="66">
        <v>0</v>
      </c>
      <c r="I154" s="66">
        <v>1022</v>
      </c>
      <c r="J154" s="66">
        <v>1132</v>
      </c>
      <c r="K154" s="66">
        <v>1316</v>
      </c>
      <c r="L154" s="66">
        <v>0</v>
      </c>
      <c r="M154" s="66">
        <v>0</v>
      </c>
      <c r="N154" s="66">
        <v>0</v>
      </c>
      <c r="O154" s="66">
        <v>412</v>
      </c>
      <c r="P154" s="246">
        <f t="shared" si="31"/>
        <v>3950</v>
      </c>
    </row>
    <row r="155" spans="1:16" s="219" customFormat="1" x14ac:dyDescent="0.2">
      <c r="A155" s="224">
        <f t="shared" si="29"/>
        <v>151</v>
      </c>
      <c r="B155" s="224"/>
      <c r="C155" s="245" t="s">
        <v>1107</v>
      </c>
      <c r="D155" s="66">
        <v>-53</v>
      </c>
      <c r="E155" s="66">
        <v>0</v>
      </c>
      <c r="F155" s="66">
        <v>0</v>
      </c>
      <c r="G155" s="66">
        <v>0</v>
      </c>
      <c r="H155" s="66">
        <v>0</v>
      </c>
      <c r="I155" s="66">
        <v>-926</v>
      </c>
      <c r="J155" s="66">
        <v>-877</v>
      </c>
      <c r="K155" s="66">
        <v>-791</v>
      </c>
      <c r="L155" s="66">
        <v>0</v>
      </c>
      <c r="M155" s="66">
        <v>0</v>
      </c>
      <c r="N155" s="66">
        <v>0</v>
      </c>
      <c r="O155" s="66">
        <v>-343</v>
      </c>
      <c r="P155" s="246">
        <f t="shared" si="31"/>
        <v>-2990</v>
      </c>
    </row>
    <row r="156" spans="1:16" s="219" customFormat="1" x14ac:dyDescent="0.2">
      <c r="A156" s="224">
        <f t="shared" si="29"/>
        <v>152</v>
      </c>
      <c r="B156" s="224"/>
      <c r="C156" s="245" t="s">
        <v>1036</v>
      </c>
      <c r="D156" s="177">
        <f>SUM(D153:D155)</f>
        <v>31824</v>
      </c>
      <c r="E156" s="177">
        <f t="shared" ref="E156:O156" si="34">SUM(E153:E155)</f>
        <v>34181</v>
      </c>
      <c r="F156" s="177">
        <f t="shared" si="34"/>
        <v>32919</v>
      </c>
      <c r="G156" s="177">
        <f t="shared" si="34"/>
        <v>32687</v>
      </c>
      <c r="H156" s="177">
        <f t="shared" si="34"/>
        <v>37376</v>
      </c>
      <c r="I156" s="177">
        <f t="shared" si="34"/>
        <v>42616</v>
      </c>
      <c r="J156" s="177">
        <f t="shared" si="34"/>
        <v>41820</v>
      </c>
      <c r="K156" s="177">
        <f t="shared" si="34"/>
        <v>42656</v>
      </c>
      <c r="L156" s="177">
        <f t="shared" si="34"/>
        <v>46806</v>
      </c>
      <c r="M156" s="177">
        <f t="shared" si="34"/>
        <v>38050</v>
      </c>
      <c r="N156" s="177">
        <f t="shared" si="34"/>
        <v>35301</v>
      </c>
      <c r="O156" s="177">
        <f t="shared" si="34"/>
        <v>34017</v>
      </c>
      <c r="P156" s="248">
        <f t="shared" si="31"/>
        <v>450253</v>
      </c>
    </row>
    <row r="157" spans="1:16" s="219" customFormat="1" x14ac:dyDescent="0.2">
      <c r="A157" s="224">
        <f t="shared" si="29"/>
        <v>153</v>
      </c>
      <c r="B157" s="224" t="s">
        <v>1166</v>
      </c>
      <c r="C157" s="244" t="s">
        <v>1172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6" s="219" customFormat="1" x14ac:dyDescent="0.2">
      <c r="A158" s="224">
        <f t="shared" si="29"/>
        <v>154</v>
      </c>
      <c r="B158" s="224" t="s">
        <v>1179</v>
      </c>
      <c r="C158" s="245" t="s">
        <v>1033</v>
      </c>
      <c r="D158" s="129">
        <v>2200</v>
      </c>
      <c r="E158" s="129">
        <v>2200</v>
      </c>
      <c r="F158" s="129">
        <v>2359</v>
      </c>
      <c r="G158" s="129">
        <v>2200</v>
      </c>
      <c r="H158" s="129">
        <v>2200</v>
      </c>
      <c r="I158" s="129">
        <v>2200</v>
      </c>
      <c r="J158" s="129">
        <v>2202</v>
      </c>
      <c r="K158" s="129">
        <v>2410</v>
      </c>
      <c r="L158" s="129">
        <v>2200</v>
      </c>
      <c r="M158" s="129">
        <v>2200</v>
      </c>
      <c r="N158" s="129">
        <v>2200</v>
      </c>
      <c r="O158" s="129">
        <v>2262</v>
      </c>
      <c r="P158" s="226">
        <f t="shared" ref="P158:P169" si="35">SUM(D158:O158)</f>
        <v>26833</v>
      </c>
    </row>
    <row r="159" spans="1:16" s="219" customFormat="1" x14ac:dyDescent="0.2">
      <c r="A159" s="224">
        <f t="shared" si="29"/>
        <v>155</v>
      </c>
      <c r="B159" s="224"/>
      <c r="C159" s="245" t="s">
        <v>1098</v>
      </c>
      <c r="D159" s="129">
        <v>1697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226">
        <f t="shared" si="35"/>
        <v>1697</v>
      </c>
    </row>
    <row r="160" spans="1:16" s="219" customFormat="1" x14ac:dyDescent="0.2">
      <c r="A160" s="224">
        <f t="shared" si="29"/>
        <v>156</v>
      </c>
      <c r="B160" s="224"/>
      <c r="C160" s="245" t="s">
        <v>1099</v>
      </c>
      <c r="D160" s="129">
        <v>2556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226">
        <f t="shared" si="35"/>
        <v>2556</v>
      </c>
    </row>
    <row r="161" spans="1:16" s="219" customFormat="1" x14ac:dyDescent="0.2">
      <c r="A161" s="224">
        <f t="shared" si="29"/>
        <v>157</v>
      </c>
      <c r="B161" s="224"/>
      <c r="C161" s="245" t="s">
        <v>1053</v>
      </c>
      <c r="D161" s="129">
        <v>2200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226">
        <f t="shared" si="35"/>
        <v>2200</v>
      </c>
    </row>
    <row r="162" spans="1:16" s="219" customFormat="1" x14ac:dyDescent="0.2">
      <c r="A162" s="224">
        <f t="shared" si="29"/>
        <v>158</v>
      </c>
      <c r="B162" s="224"/>
      <c r="C162" s="245" t="s">
        <v>1100</v>
      </c>
      <c r="D162" s="129">
        <v>1593783</v>
      </c>
      <c r="E162" s="129">
        <v>1473239</v>
      </c>
      <c r="F162" s="129">
        <v>1567426</v>
      </c>
      <c r="G162" s="129">
        <v>1511205</v>
      </c>
      <c r="H162" s="129">
        <v>1493547</v>
      </c>
      <c r="I162" s="129">
        <v>1468947</v>
      </c>
      <c r="J162" s="129">
        <v>1483993</v>
      </c>
      <c r="K162" s="129">
        <v>1565190</v>
      </c>
      <c r="L162" s="129">
        <v>1348913</v>
      </c>
      <c r="M162" s="129">
        <v>1455609</v>
      </c>
      <c r="N162" s="129">
        <v>1261074</v>
      </c>
      <c r="O162" s="129">
        <v>1216302</v>
      </c>
      <c r="P162" s="226">
        <f t="shared" si="35"/>
        <v>17439228</v>
      </c>
    </row>
    <row r="163" spans="1:16" s="219" customFormat="1" x14ac:dyDescent="0.2">
      <c r="A163" s="224">
        <f t="shared" si="29"/>
        <v>159</v>
      </c>
      <c r="B163" s="224"/>
      <c r="C163" s="245" t="s">
        <v>1101</v>
      </c>
      <c r="D163" s="129">
        <f>D162</f>
        <v>1593783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226">
        <f t="shared" si="35"/>
        <v>1593783</v>
      </c>
    </row>
    <row r="164" spans="1:16" s="219" customFormat="1" x14ac:dyDescent="0.2">
      <c r="A164" s="224">
        <f t="shared" si="29"/>
        <v>160</v>
      </c>
      <c r="B164" s="224"/>
      <c r="C164" s="245" t="s">
        <v>1102</v>
      </c>
      <c r="D164" s="129">
        <v>880000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226">
        <f t="shared" si="35"/>
        <v>880000</v>
      </c>
    </row>
    <row r="165" spans="1:16" s="219" customFormat="1" x14ac:dyDescent="0.2">
      <c r="A165" s="224">
        <f t="shared" si="29"/>
        <v>161</v>
      </c>
      <c r="B165" s="224"/>
      <c r="C165" s="245" t="s">
        <v>1034</v>
      </c>
      <c r="D165" s="66">
        <v>16478</v>
      </c>
      <c r="E165" s="66">
        <v>16478</v>
      </c>
      <c r="F165" s="66">
        <v>18065</v>
      </c>
      <c r="G165" s="66">
        <v>16478</v>
      </c>
      <c r="H165" s="66">
        <v>16478</v>
      </c>
      <c r="I165" s="66">
        <v>16478</v>
      </c>
      <c r="J165" s="66">
        <v>16498</v>
      </c>
      <c r="K165" s="66">
        <v>18574</v>
      </c>
      <c r="L165" s="66">
        <v>16478</v>
      </c>
      <c r="M165" s="66">
        <v>16478</v>
      </c>
      <c r="N165" s="66">
        <v>16478</v>
      </c>
      <c r="O165" s="66">
        <v>17097</v>
      </c>
      <c r="P165" s="246">
        <f t="shared" si="35"/>
        <v>202058</v>
      </c>
    </row>
    <row r="166" spans="1:16" s="219" customFormat="1" x14ac:dyDescent="0.2">
      <c r="A166" s="224">
        <f t="shared" si="29"/>
        <v>162</v>
      </c>
      <c r="B166" s="224"/>
      <c r="C166" s="245" t="s">
        <v>1035</v>
      </c>
      <c r="D166" s="66">
        <v>63566</v>
      </c>
      <c r="E166" s="66">
        <v>58759</v>
      </c>
      <c r="F166" s="66">
        <v>62515</v>
      </c>
      <c r="G166" s="66">
        <v>60273</v>
      </c>
      <c r="H166" s="66">
        <v>59569</v>
      </c>
      <c r="I166" s="66">
        <v>58587</v>
      </c>
      <c r="J166" s="66">
        <v>59188</v>
      </c>
      <c r="K166" s="66">
        <v>62426</v>
      </c>
      <c r="L166" s="66">
        <v>68975</v>
      </c>
      <c r="M166" s="66">
        <v>74431</v>
      </c>
      <c r="N166" s="66">
        <v>64484</v>
      </c>
      <c r="O166" s="66">
        <v>62194</v>
      </c>
      <c r="P166" s="246">
        <f t="shared" si="35"/>
        <v>754967</v>
      </c>
    </row>
    <row r="167" spans="1:16" s="219" customFormat="1" x14ac:dyDescent="0.2">
      <c r="A167" s="224">
        <f t="shared" si="29"/>
        <v>163</v>
      </c>
      <c r="B167" s="224"/>
      <c r="C167" s="245" t="s">
        <v>1006</v>
      </c>
      <c r="D167" s="66">
        <v>13802</v>
      </c>
      <c r="E167" s="66">
        <v>21671</v>
      </c>
      <c r="F167" s="66">
        <v>16865</v>
      </c>
      <c r="G167" s="66">
        <v>3778</v>
      </c>
      <c r="H167" s="66">
        <v>13143</v>
      </c>
      <c r="I167" s="66">
        <v>11605</v>
      </c>
      <c r="J167" s="66">
        <v>8889</v>
      </c>
      <c r="K167" s="66">
        <v>11927</v>
      </c>
      <c r="L167" s="66">
        <v>8984</v>
      </c>
      <c r="M167" s="66">
        <v>-6652</v>
      </c>
      <c r="N167" s="66">
        <v>-7466</v>
      </c>
      <c r="O167" s="66">
        <v>-7918</v>
      </c>
      <c r="P167" s="246">
        <f t="shared" si="35"/>
        <v>88628</v>
      </c>
    </row>
    <row r="168" spans="1:16" s="219" customFormat="1" x14ac:dyDescent="0.2">
      <c r="A168" s="224">
        <f t="shared" si="29"/>
        <v>164</v>
      </c>
      <c r="B168" s="224"/>
      <c r="C168" s="245" t="s">
        <v>1007</v>
      </c>
      <c r="D168" s="66">
        <v>15560</v>
      </c>
      <c r="E168" s="66">
        <v>14846</v>
      </c>
      <c r="F168" s="66">
        <v>10544</v>
      </c>
      <c r="G168" s="66">
        <v>11886</v>
      </c>
      <c r="H168" s="66">
        <v>15876</v>
      </c>
      <c r="I168" s="66">
        <v>18686</v>
      </c>
      <c r="J168" s="66">
        <v>16678</v>
      </c>
      <c r="K168" s="66">
        <v>16262</v>
      </c>
      <c r="L168" s="66">
        <v>16970</v>
      </c>
      <c r="M168" s="66">
        <v>15149</v>
      </c>
      <c r="N168" s="66">
        <v>14045</v>
      </c>
      <c r="O168" s="66">
        <v>16159</v>
      </c>
      <c r="P168" s="246">
        <f t="shared" si="35"/>
        <v>182661</v>
      </c>
    </row>
    <row r="169" spans="1:16" s="219" customFormat="1" x14ac:dyDescent="0.2">
      <c r="A169" s="224">
        <f t="shared" si="29"/>
        <v>165</v>
      </c>
      <c r="B169" s="224"/>
      <c r="C169" s="245" t="s">
        <v>1036</v>
      </c>
      <c r="D169" s="98">
        <f t="shared" ref="D169:O169" si="36">SUM(D165:D168)</f>
        <v>109406</v>
      </c>
      <c r="E169" s="98">
        <f t="shared" si="36"/>
        <v>111754</v>
      </c>
      <c r="F169" s="98">
        <f t="shared" si="36"/>
        <v>107989</v>
      </c>
      <c r="G169" s="98">
        <f t="shared" si="36"/>
        <v>92415</v>
      </c>
      <c r="H169" s="98">
        <f t="shared" si="36"/>
        <v>105066</v>
      </c>
      <c r="I169" s="98">
        <f t="shared" si="36"/>
        <v>105356</v>
      </c>
      <c r="J169" s="98">
        <f t="shared" si="36"/>
        <v>101253</v>
      </c>
      <c r="K169" s="98">
        <f t="shared" si="36"/>
        <v>109189</v>
      </c>
      <c r="L169" s="98">
        <f t="shared" si="36"/>
        <v>111407</v>
      </c>
      <c r="M169" s="98">
        <f t="shared" si="36"/>
        <v>99406</v>
      </c>
      <c r="N169" s="98">
        <f t="shared" si="36"/>
        <v>87541</v>
      </c>
      <c r="O169" s="98">
        <f t="shared" si="36"/>
        <v>87532</v>
      </c>
      <c r="P169" s="247">
        <f t="shared" si="35"/>
        <v>1228314</v>
      </c>
    </row>
    <row r="170" spans="1:16" s="219" customFormat="1" x14ac:dyDescent="0.2">
      <c r="A170" s="224">
        <f t="shared" si="29"/>
        <v>166</v>
      </c>
      <c r="B170" s="224" t="s">
        <v>1111</v>
      </c>
      <c r="C170" s="244" t="s">
        <v>1176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6" s="219" customFormat="1" x14ac:dyDescent="0.2">
      <c r="A171" s="224">
        <f t="shared" si="29"/>
        <v>167</v>
      </c>
      <c r="B171" s="224" t="s">
        <v>1179</v>
      </c>
      <c r="C171" s="245" t="s">
        <v>1033</v>
      </c>
      <c r="D171" s="129">
        <v>5308</v>
      </c>
      <c r="E171" s="129">
        <v>9968</v>
      </c>
      <c r="F171" s="129">
        <v>10095</v>
      </c>
      <c r="G171" s="129">
        <v>1171</v>
      </c>
      <c r="H171" s="129">
        <v>1000</v>
      </c>
      <c r="I171" s="129">
        <v>1000</v>
      </c>
      <c r="J171" s="129">
        <v>1000</v>
      </c>
      <c r="K171" s="129">
        <v>1000</v>
      </c>
      <c r="L171" s="129">
        <v>1000</v>
      </c>
      <c r="M171" s="129">
        <v>1000</v>
      </c>
      <c r="N171" s="129">
        <v>25217</v>
      </c>
      <c r="O171" s="129">
        <v>25433</v>
      </c>
      <c r="P171" s="226">
        <f t="shared" ref="P171:P189" si="37">SUM(D171:O171)</f>
        <v>83192</v>
      </c>
    </row>
    <row r="172" spans="1:16" s="219" customFormat="1" x14ac:dyDescent="0.2">
      <c r="A172" s="224">
        <f t="shared" si="29"/>
        <v>168</v>
      </c>
      <c r="B172" s="224"/>
      <c r="C172" s="245" t="s">
        <v>1098</v>
      </c>
      <c r="D172" s="129">
        <v>5308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226">
        <f t="shared" si="37"/>
        <v>5308</v>
      </c>
    </row>
    <row r="173" spans="1:16" s="219" customFormat="1" x14ac:dyDescent="0.2">
      <c r="A173" s="224">
        <f t="shared" si="29"/>
        <v>169</v>
      </c>
      <c r="B173" s="224"/>
      <c r="C173" s="245" t="s">
        <v>1099</v>
      </c>
      <c r="D173" s="129">
        <v>24182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226">
        <f t="shared" si="37"/>
        <v>24182</v>
      </c>
    </row>
    <row r="174" spans="1:16" s="219" customFormat="1" x14ac:dyDescent="0.2">
      <c r="A174" s="224">
        <f t="shared" si="29"/>
        <v>170</v>
      </c>
      <c r="B174" s="224"/>
      <c r="C174" s="245" t="s">
        <v>1053</v>
      </c>
      <c r="D174" s="129">
        <v>1000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226">
        <f t="shared" si="37"/>
        <v>1000</v>
      </c>
    </row>
    <row r="175" spans="1:16" s="219" customFormat="1" x14ac:dyDescent="0.2">
      <c r="A175" s="224">
        <f t="shared" si="29"/>
        <v>171</v>
      </c>
      <c r="B175" s="224"/>
      <c r="C175" s="245" t="s">
        <v>1100</v>
      </c>
      <c r="D175" s="129">
        <v>8102526</v>
      </c>
      <c r="E175" s="129">
        <v>5265089</v>
      </c>
      <c r="F175" s="129">
        <v>2896702</v>
      </c>
      <c r="G175" s="129">
        <v>555577</v>
      </c>
      <c r="H175" s="129">
        <v>609763</v>
      </c>
      <c r="I175" s="129">
        <v>585373</v>
      </c>
      <c r="J175" s="129">
        <v>5785822</v>
      </c>
      <c r="K175" s="129">
        <v>514815</v>
      </c>
      <c r="L175" s="129">
        <v>400000</v>
      </c>
      <c r="M175" s="129">
        <v>2718851</v>
      </c>
      <c r="N175" s="129">
        <v>9761240</v>
      </c>
      <c r="O175" s="129">
        <v>12610148</v>
      </c>
      <c r="P175" s="226">
        <f t="shared" si="37"/>
        <v>49805906</v>
      </c>
    </row>
    <row r="176" spans="1:16" s="219" customFormat="1" x14ac:dyDescent="0.2">
      <c r="A176" s="224">
        <f t="shared" si="29"/>
        <v>172</v>
      </c>
      <c r="B176" s="224"/>
      <c r="C176" s="245" t="s">
        <v>1101</v>
      </c>
      <c r="D176" s="129">
        <f>D175</f>
        <v>8102526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226">
        <f t="shared" si="37"/>
        <v>8102526</v>
      </c>
    </row>
    <row r="177" spans="1:16" s="219" customFormat="1" x14ac:dyDescent="0.2">
      <c r="A177" s="224">
        <f t="shared" si="29"/>
        <v>173</v>
      </c>
      <c r="B177" s="224"/>
      <c r="C177" s="245" t="s">
        <v>1102</v>
      </c>
      <c r="D177" s="129">
        <v>400000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226">
        <f t="shared" si="37"/>
        <v>400000</v>
      </c>
    </row>
    <row r="178" spans="1:16" s="219" customFormat="1" x14ac:dyDescent="0.2">
      <c r="A178" s="224">
        <f t="shared" si="29"/>
        <v>174</v>
      </c>
      <c r="B178" s="224"/>
      <c r="C178" s="245" t="s">
        <v>1103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246">
        <f t="shared" si="37"/>
        <v>0</v>
      </c>
    </row>
    <row r="179" spans="1:16" s="219" customFormat="1" x14ac:dyDescent="0.2">
      <c r="A179" s="224">
        <f t="shared" si="29"/>
        <v>175</v>
      </c>
      <c r="B179" s="224"/>
      <c r="C179" s="245" t="s">
        <v>1054</v>
      </c>
      <c r="D179" s="66">
        <v>7490</v>
      </c>
      <c r="E179" s="66">
        <v>7490</v>
      </c>
      <c r="F179" s="66">
        <v>7490</v>
      </c>
      <c r="G179" s="66">
        <v>7490</v>
      </c>
      <c r="H179" s="66">
        <v>7490</v>
      </c>
      <c r="I179" s="66">
        <v>7490</v>
      </c>
      <c r="J179" s="66">
        <v>7490</v>
      </c>
      <c r="K179" s="66">
        <v>7490</v>
      </c>
      <c r="L179" s="66">
        <v>7490</v>
      </c>
      <c r="M179" s="66">
        <v>7490</v>
      </c>
      <c r="N179" s="66">
        <v>119840</v>
      </c>
      <c r="O179" s="66">
        <v>119840</v>
      </c>
      <c r="P179" s="246">
        <f t="shared" si="37"/>
        <v>314580</v>
      </c>
    </row>
    <row r="180" spans="1:16" s="219" customFormat="1" x14ac:dyDescent="0.2">
      <c r="A180" s="224">
        <f t="shared" si="29"/>
        <v>176</v>
      </c>
      <c r="B180" s="224"/>
      <c r="C180" s="245" t="s">
        <v>1104</v>
      </c>
      <c r="D180" s="66">
        <v>42994</v>
      </c>
      <c r="E180" s="66">
        <v>89501</v>
      </c>
      <c r="F180" s="66">
        <v>90768</v>
      </c>
      <c r="G180" s="66">
        <v>1707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91986</v>
      </c>
      <c r="O180" s="66">
        <v>94141</v>
      </c>
      <c r="P180" s="246">
        <f t="shared" si="37"/>
        <v>411097</v>
      </c>
    </row>
    <row r="181" spans="1:16" s="219" customFormat="1" x14ac:dyDescent="0.2">
      <c r="A181" s="224">
        <f t="shared" si="29"/>
        <v>177</v>
      </c>
      <c r="B181" s="224"/>
      <c r="C181" s="245" t="s">
        <v>1105</v>
      </c>
      <c r="D181" s="66">
        <v>0</v>
      </c>
      <c r="E181" s="66">
        <v>-15893</v>
      </c>
      <c r="F181" s="66">
        <v>-16604</v>
      </c>
      <c r="G181" s="66">
        <v>-3758</v>
      </c>
      <c r="H181" s="66">
        <v>-2800</v>
      </c>
      <c r="I181" s="66">
        <v>-1120</v>
      </c>
      <c r="J181" s="66">
        <v>-1120</v>
      </c>
      <c r="K181" s="66">
        <v>-1120</v>
      </c>
      <c r="L181" s="66">
        <v>-1120</v>
      </c>
      <c r="M181" s="66">
        <v>-1120</v>
      </c>
      <c r="N181" s="66">
        <v>-112000</v>
      </c>
      <c r="O181" s="66">
        <v>-112000</v>
      </c>
      <c r="P181" s="246">
        <f t="shared" si="37"/>
        <v>-268655</v>
      </c>
    </row>
    <row r="182" spans="1:16" s="219" customFormat="1" x14ac:dyDescent="0.2">
      <c r="A182" s="224">
        <f t="shared" si="29"/>
        <v>178</v>
      </c>
      <c r="B182" s="224"/>
      <c r="C182" s="245" t="s">
        <v>1034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246">
        <f t="shared" si="37"/>
        <v>0</v>
      </c>
    </row>
    <row r="183" spans="1:16" s="219" customFormat="1" x14ac:dyDescent="0.2">
      <c r="A183" s="224">
        <f t="shared" si="29"/>
        <v>179</v>
      </c>
      <c r="B183" s="224"/>
      <c r="C183" s="245" t="s">
        <v>1035</v>
      </c>
      <c r="D183" s="66">
        <v>323161</v>
      </c>
      <c r="E183" s="66">
        <v>209993</v>
      </c>
      <c r="F183" s="66">
        <v>115532</v>
      </c>
      <c r="G183" s="66">
        <v>22159</v>
      </c>
      <c r="H183" s="66">
        <v>24320</v>
      </c>
      <c r="I183" s="66">
        <v>23347</v>
      </c>
      <c r="J183" s="66">
        <v>22966</v>
      </c>
      <c r="K183" s="66">
        <v>20533</v>
      </c>
      <c r="L183" s="66">
        <v>20234</v>
      </c>
      <c r="M183" s="66">
        <v>139026</v>
      </c>
      <c r="N183" s="66">
        <v>499131</v>
      </c>
      <c r="O183" s="66">
        <v>644807</v>
      </c>
      <c r="P183" s="246">
        <f t="shared" si="37"/>
        <v>2065209</v>
      </c>
    </row>
    <row r="184" spans="1:16" s="219" customFormat="1" x14ac:dyDescent="0.2">
      <c r="A184" s="224">
        <f t="shared" si="29"/>
        <v>180</v>
      </c>
      <c r="B184" s="224"/>
      <c r="C184" s="245" t="s">
        <v>1006</v>
      </c>
      <c r="D184" s="66">
        <v>70168</v>
      </c>
      <c r="E184" s="66">
        <v>77449</v>
      </c>
      <c r="F184" s="66">
        <v>31169</v>
      </c>
      <c r="G184" s="66">
        <v>1389</v>
      </c>
      <c r="H184" s="66">
        <v>5366</v>
      </c>
      <c r="I184" s="66">
        <v>4624</v>
      </c>
      <c r="J184" s="66">
        <v>3449</v>
      </c>
      <c r="K184" s="66">
        <v>3923</v>
      </c>
      <c r="L184" s="66">
        <v>2625</v>
      </c>
      <c r="M184" s="66">
        <v>-12425</v>
      </c>
      <c r="N184" s="66">
        <v>-57787</v>
      </c>
      <c r="O184" s="66">
        <v>-82092</v>
      </c>
      <c r="P184" s="246">
        <f t="shared" si="37"/>
        <v>47858</v>
      </c>
    </row>
    <row r="185" spans="1:16" s="219" customFormat="1" x14ac:dyDescent="0.2">
      <c r="A185" s="224">
        <f t="shared" si="29"/>
        <v>181</v>
      </c>
      <c r="B185" s="224"/>
      <c r="C185" s="245" t="s">
        <v>1007</v>
      </c>
      <c r="D185" s="66">
        <v>73584</v>
      </c>
      <c r="E185" s="66">
        <v>56460</v>
      </c>
      <c r="F185" s="66">
        <v>24708</v>
      </c>
      <c r="G185" s="66">
        <v>4278</v>
      </c>
      <c r="H185" s="66">
        <v>6119</v>
      </c>
      <c r="I185" s="66">
        <v>7255</v>
      </c>
      <c r="J185" s="66">
        <v>6358</v>
      </c>
      <c r="K185" s="66">
        <v>5352</v>
      </c>
      <c r="L185" s="66">
        <v>5252</v>
      </c>
      <c r="M185" s="66">
        <v>23908</v>
      </c>
      <c r="N185" s="66">
        <v>103418</v>
      </c>
      <c r="O185" s="66">
        <v>146803</v>
      </c>
      <c r="P185" s="246">
        <f t="shared" si="37"/>
        <v>463495</v>
      </c>
    </row>
    <row r="186" spans="1:16" s="219" customFormat="1" x14ac:dyDescent="0.2">
      <c r="A186" s="224">
        <f t="shared" si="29"/>
        <v>182</v>
      </c>
      <c r="B186" s="224"/>
      <c r="C186" s="245" t="s">
        <v>1036</v>
      </c>
      <c r="D186" s="98">
        <f t="shared" ref="D186" si="38">SUM(D178:D185)</f>
        <v>517397</v>
      </c>
      <c r="E186" s="98">
        <f t="shared" ref="E186:O186" si="39">SUM(E178:E185)</f>
        <v>425000</v>
      </c>
      <c r="F186" s="98">
        <f t="shared" si="39"/>
        <v>253063</v>
      </c>
      <c r="G186" s="98">
        <f t="shared" si="39"/>
        <v>33265</v>
      </c>
      <c r="H186" s="98">
        <f t="shared" si="39"/>
        <v>40495</v>
      </c>
      <c r="I186" s="98">
        <f t="shared" si="39"/>
        <v>41596</v>
      </c>
      <c r="J186" s="98">
        <f t="shared" si="39"/>
        <v>39143</v>
      </c>
      <c r="K186" s="98">
        <f t="shared" si="39"/>
        <v>36178</v>
      </c>
      <c r="L186" s="98">
        <f t="shared" si="39"/>
        <v>34481</v>
      </c>
      <c r="M186" s="98">
        <f t="shared" si="39"/>
        <v>156879</v>
      </c>
      <c r="N186" s="98">
        <f t="shared" si="39"/>
        <v>644588</v>
      </c>
      <c r="O186" s="98">
        <f t="shared" si="39"/>
        <v>811499</v>
      </c>
      <c r="P186" s="247">
        <f t="shared" si="37"/>
        <v>3033584</v>
      </c>
    </row>
    <row r="187" spans="1:16" s="219" customFormat="1" x14ac:dyDescent="0.2">
      <c r="A187" s="224">
        <f t="shared" si="29"/>
        <v>183</v>
      </c>
      <c r="B187" s="224"/>
      <c r="C187" s="245" t="s">
        <v>1106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857</v>
      </c>
      <c r="J187" s="66">
        <v>753</v>
      </c>
      <c r="K187" s="66">
        <v>632</v>
      </c>
      <c r="L187" s="66">
        <v>0</v>
      </c>
      <c r="M187" s="66">
        <v>0</v>
      </c>
      <c r="N187" s="66">
        <v>0</v>
      </c>
      <c r="O187" s="66">
        <v>27477</v>
      </c>
      <c r="P187" s="246">
        <f t="shared" si="37"/>
        <v>29719</v>
      </c>
    </row>
    <row r="188" spans="1:16" s="219" customFormat="1" x14ac:dyDescent="0.2">
      <c r="A188" s="224">
        <f t="shared" si="29"/>
        <v>184</v>
      </c>
      <c r="B188" s="224"/>
      <c r="C188" s="245" t="s">
        <v>1107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-689</v>
      </c>
      <c r="J188" s="66">
        <v>-546</v>
      </c>
      <c r="K188" s="66">
        <v>-244</v>
      </c>
      <c r="L188" s="66">
        <v>0</v>
      </c>
      <c r="M188" s="66">
        <v>0</v>
      </c>
      <c r="N188" s="66">
        <v>0</v>
      </c>
      <c r="O188" s="66">
        <v>-16271</v>
      </c>
      <c r="P188" s="246">
        <f t="shared" si="37"/>
        <v>-17750</v>
      </c>
    </row>
    <row r="189" spans="1:16" s="219" customFormat="1" x14ac:dyDescent="0.2">
      <c r="A189" s="224">
        <f t="shared" si="29"/>
        <v>185</v>
      </c>
      <c r="B189" s="224"/>
      <c r="C189" s="245" t="s">
        <v>1036</v>
      </c>
      <c r="D189" s="177">
        <f>SUM(D186:D188)</f>
        <v>517397</v>
      </c>
      <c r="E189" s="177">
        <f t="shared" ref="E189:O189" si="40">SUM(E186:E188)</f>
        <v>425000</v>
      </c>
      <c r="F189" s="177">
        <f t="shared" si="40"/>
        <v>253063</v>
      </c>
      <c r="G189" s="177">
        <f t="shared" si="40"/>
        <v>33265</v>
      </c>
      <c r="H189" s="177">
        <f t="shared" si="40"/>
        <v>40495</v>
      </c>
      <c r="I189" s="177">
        <f t="shared" si="40"/>
        <v>41764</v>
      </c>
      <c r="J189" s="177">
        <f t="shared" si="40"/>
        <v>39350</v>
      </c>
      <c r="K189" s="177">
        <f t="shared" si="40"/>
        <v>36566</v>
      </c>
      <c r="L189" s="177">
        <f t="shared" si="40"/>
        <v>34481</v>
      </c>
      <c r="M189" s="177">
        <f t="shared" si="40"/>
        <v>156879</v>
      </c>
      <c r="N189" s="177">
        <f t="shared" si="40"/>
        <v>644588</v>
      </c>
      <c r="O189" s="177">
        <f t="shared" si="40"/>
        <v>822705</v>
      </c>
      <c r="P189" s="248">
        <f t="shared" si="37"/>
        <v>3045553</v>
      </c>
    </row>
    <row r="190" spans="1:16" s="219" customFormat="1" x14ac:dyDescent="0.2">
      <c r="A190" s="224">
        <f t="shared" si="29"/>
        <v>186</v>
      </c>
      <c r="B190" s="22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6" s="219" customFormat="1" x14ac:dyDescent="0.2">
      <c r="A191" s="224">
        <f t="shared" si="29"/>
        <v>187</v>
      </c>
      <c r="B191" s="224"/>
      <c r="C191" s="242" t="s">
        <v>1110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6" s="219" customFormat="1" x14ac:dyDescent="0.2">
      <c r="A192" s="224">
        <f t="shared" si="29"/>
        <v>188</v>
      </c>
      <c r="B192" s="22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6" s="219" customFormat="1" x14ac:dyDescent="0.2">
      <c r="A193" s="224">
        <f t="shared" si="29"/>
        <v>189</v>
      </c>
      <c r="B193" s="224" t="s">
        <v>1179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6" s="219" customFormat="1" x14ac:dyDescent="0.2">
      <c r="A194" s="224">
        <f t="shared" si="29"/>
        <v>190</v>
      </c>
      <c r="B194" s="224"/>
      <c r="C194" s="219" t="s">
        <v>1108</v>
      </c>
      <c r="D194" s="89">
        <f>D113+(D116*D38)+D165+(D168*D38)+D179+D180+D181+(D185*D38)</f>
        <v>138463.20000000001</v>
      </c>
      <c r="E194" s="89">
        <f t="shared" ref="E194:O194" si="41">E113+(E116*E38)+E165+(E168*E38)+E179+E180+E181+(E185*E38)</f>
        <v>158523.79999999999</v>
      </c>
      <c r="F194" s="89">
        <f t="shared" si="41"/>
        <v>137840.4</v>
      </c>
      <c r="G194" s="89">
        <f t="shared" si="41"/>
        <v>48909.599999999999</v>
      </c>
      <c r="H194" s="89">
        <f t="shared" si="41"/>
        <v>53723.8</v>
      </c>
      <c r="I194" s="89">
        <f t="shared" si="41"/>
        <v>58737.4</v>
      </c>
      <c r="J194" s="89">
        <f t="shared" si="41"/>
        <v>56672.400000000009</v>
      </c>
      <c r="K194" s="89">
        <f t="shared" si="41"/>
        <v>56416.799999999996</v>
      </c>
      <c r="L194" s="89">
        <f t="shared" si="41"/>
        <v>55258</v>
      </c>
      <c r="M194" s="89">
        <f t="shared" si="41"/>
        <v>65258.8</v>
      </c>
      <c r="N194" s="89">
        <f t="shared" si="41"/>
        <v>206138.19999999998</v>
      </c>
      <c r="O194" s="89">
        <f t="shared" si="41"/>
        <v>237418.8</v>
      </c>
      <c r="P194" s="235">
        <f>SUM(D194:O194)</f>
        <v>1273361.2000000002</v>
      </c>
    </row>
    <row r="195" spans="1:16" s="219" customFormat="1" x14ac:dyDescent="0.2">
      <c r="A195" s="224">
        <f t="shared" si="29"/>
        <v>191</v>
      </c>
      <c r="B195" s="224"/>
      <c r="C195" s="219" t="s">
        <v>1109</v>
      </c>
      <c r="D195" s="89">
        <f>D114+D115+(D116*D39)+D166+D167+(D168*D39)+D183+D184+(D185*D39)+D187+D188</f>
        <v>550235.80000000005</v>
      </c>
      <c r="E195" s="89">
        <f t="shared" ref="E195:O195" si="42">E114+E115+(E116*E39)+E166+E167+(E168*E39)+E183+E184+(E185*E39)+E187+E188</f>
        <v>446370.2</v>
      </c>
      <c r="F195" s="89">
        <f t="shared" si="42"/>
        <v>295543.60000000003</v>
      </c>
      <c r="G195" s="89">
        <f t="shared" si="42"/>
        <v>135874.40000000002</v>
      </c>
      <c r="H195" s="89">
        <f t="shared" si="42"/>
        <v>164921.20000000001</v>
      </c>
      <c r="I195" s="89">
        <f t="shared" si="42"/>
        <v>159721.59999999998</v>
      </c>
      <c r="J195" s="89">
        <f t="shared" si="42"/>
        <v>157287.6</v>
      </c>
      <c r="K195" s="89">
        <f t="shared" si="42"/>
        <v>153920.20000000001</v>
      </c>
      <c r="L195" s="89">
        <f t="shared" si="42"/>
        <v>160040</v>
      </c>
      <c r="M195" s="89">
        <f t="shared" si="42"/>
        <v>259305.2</v>
      </c>
      <c r="N195" s="89">
        <f t="shared" si="42"/>
        <v>594797.79999999993</v>
      </c>
      <c r="O195" s="89">
        <f t="shared" si="42"/>
        <v>743513.2</v>
      </c>
      <c r="P195" s="235">
        <f>SUM(D195:O195)</f>
        <v>3821530.8</v>
      </c>
    </row>
    <row r="196" spans="1:16" s="219" customFormat="1" x14ac:dyDescent="0.2">
      <c r="A196" s="224">
        <f t="shared" si="29"/>
        <v>192</v>
      </c>
      <c r="B196" s="224"/>
      <c r="C196" s="219" t="s">
        <v>0</v>
      </c>
      <c r="D196" s="177">
        <f>SUM(D194:D195)</f>
        <v>688699</v>
      </c>
      <c r="E196" s="177">
        <f t="shared" ref="E196:P196" si="43">SUM(E194:E195)</f>
        <v>604894</v>
      </c>
      <c r="F196" s="177">
        <f t="shared" si="43"/>
        <v>433384</v>
      </c>
      <c r="G196" s="177">
        <f t="shared" si="43"/>
        <v>184784.00000000003</v>
      </c>
      <c r="H196" s="177">
        <f t="shared" si="43"/>
        <v>218645</v>
      </c>
      <c r="I196" s="177">
        <f t="shared" si="43"/>
        <v>218458.99999999997</v>
      </c>
      <c r="J196" s="177">
        <f t="shared" si="43"/>
        <v>213960</v>
      </c>
      <c r="K196" s="177">
        <f t="shared" si="43"/>
        <v>210337</v>
      </c>
      <c r="L196" s="177">
        <f t="shared" si="43"/>
        <v>215298</v>
      </c>
      <c r="M196" s="177">
        <f t="shared" si="43"/>
        <v>324564</v>
      </c>
      <c r="N196" s="177">
        <f t="shared" si="43"/>
        <v>800935.99999999988</v>
      </c>
      <c r="O196" s="177">
        <f t="shared" si="43"/>
        <v>980932</v>
      </c>
      <c r="P196" s="248">
        <f t="shared" si="43"/>
        <v>5094892</v>
      </c>
    </row>
    <row r="197" spans="1:16" s="219" customFormat="1" x14ac:dyDescent="0.2">
      <c r="A197" s="224">
        <f t="shared" si="29"/>
        <v>193</v>
      </c>
      <c r="B197" s="22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6" s="219" customFormat="1" x14ac:dyDescent="0.2">
      <c r="A198" s="224">
        <f t="shared" si="29"/>
        <v>194</v>
      </c>
      <c r="B198" s="224" t="s">
        <v>1178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6" s="219" customFormat="1" x14ac:dyDescent="0.2">
      <c r="A199" s="224">
        <f t="shared" ref="A199:A244" si="44">A198+1</f>
        <v>195</v>
      </c>
      <c r="B199" s="224"/>
      <c r="C199" s="219" t="s">
        <v>1108</v>
      </c>
      <c r="D199" s="89">
        <f t="shared" ref="D199:O199" si="45">D55+(D58*D38)+D68+(D71*D38)+D81+(D84*D38)</f>
        <v>214109</v>
      </c>
      <c r="E199" s="89">
        <f t="shared" si="45"/>
        <v>204486.6</v>
      </c>
      <c r="F199" s="89">
        <f t="shared" si="45"/>
        <v>182259.6</v>
      </c>
      <c r="G199" s="89">
        <f t="shared" si="45"/>
        <v>191577.4</v>
      </c>
      <c r="H199" s="89">
        <f t="shared" si="45"/>
        <v>224726.8</v>
      </c>
      <c r="I199" s="89">
        <f t="shared" si="45"/>
        <v>247481</v>
      </c>
      <c r="J199" s="89">
        <f t="shared" si="45"/>
        <v>231620.4</v>
      </c>
      <c r="K199" s="89">
        <f t="shared" si="45"/>
        <v>236034</v>
      </c>
      <c r="L199" s="89">
        <f t="shared" si="45"/>
        <v>243271.00000000003</v>
      </c>
      <c r="M199" s="89">
        <f t="shared" si="45"/>
        <v>205364.19999999998</v>
      </c>
      <c r="N199" s="89">
        <f t="shared" si="45"/>
        <v>208524.6</v>
      </c>
      <c r="O199" s="89">
        <f t="shared" si="45"/>
        <v>225253.6</v>
      </c>
      <c r="P199" s="235">
        <f>SUM(D199:O199)</f>
        <v>2614708.2000000002</v>
      </c>
    </row>
    <row r="200" spans="1:16" s="219" customFormat="1" x14ac:dyDescent="0.2">
      <c r="A200" s="224">
        <f t="shared" si="44"/>
        <v>196</v>
      </c>
      <c r="B200" s="224"/>
      <c r="C200" s="219" t="s">
        <v>1109</v>
      </c>
      <c r="D200" s="89">
        <f t="shared" ref="D200:O200" si="46">D56+D57+(D58*D39)+D69+D70+(D71*D39)+D82+D83+(D84*D39)</f>
        <v>592598</v>
      </c>
      <c r="E200" s="89">
        <f t="shared" si="46"/>
        <v>641332.4</v>
      </c>
      <c r="F200" s="89">
        <f t="shared" si="46"/>
        <v>589192.4</v>
      </c>
      <c r="G200" s="89">
        <f t="shared" si="46"/>
        <v>488305.6</v>
      </c>
      <c r="H200" s="89">
        <f t="shared" si="46"/>
        <v>636820.20000000007</v>
      </c>
      <c r="I200" s="89">
        <f t="shared" si="46"/>
        <v>670054</v>
      </c>
      <c r="J200" s="89">
        <f t="shared" si="46"/>
        <v>649275.6</v>
      </c>
      <c r="K200" s="89">
        <f t="shared" si="46"/>
        <v>685734.00000000012</v>
      </c>
      <c r="L200" s="89">
        <f t="shared" si="46"/>
        <v>759773</v>
      </c>
      <c r="M200" s="89">
        <f t="shared" si="46"/>
        <v>540263.80000000005</v>
      </c>
      <c r="N200" s="89">
        <f t="shared" si="46"/>
        <v>557128.4</v>
      </c>
      <c r="O200" s="89">
        <f t="shared" si="46"/>
        <v>533180.4</v>
      </c>
      <c r="P200" s="235">
        <f>SUM(D200:O200)</f>
        <v>7343657.8000000007</v>
      </c>
    </row>
    <row r="201" spans="1:16" s="219" customFormat="1" x14ac:dyDescent="0.2">
      <c r="A201" s="224">
        <f t="shared" si="44"/>
        <v>197</v>
      </c>
      <c r="B201" s="224"/>
      <c r="C201" s="219" t="s">
        <v>0</v>
      </c>
      <c r="D201" s="177">
        <f>D199+D200</f>
        <v>806707</v>
      </c>
      <c r="E201" s="177">
        <f t="shared" ref="E201:O201" si="47">E199+E200</f>
        <v>845819</v>
      </c>
      <c r="F201" s="177">
        <f t="shared" si="47"/>
        <v>771452</v>
      </c>
      <c r="G201" s="177">
        <f t="shared" si="47"/>
        <v>679883</v>
      </c>
      <c r="H201" s="177">
        <f t="shared" si="47"/>
        <v>861547</v>
      </c>
      <c r="I201" s="177">
        <f t="shared" si="47"/>
        <v>917535</v>
      </c>
      <c r="J201" s="177">
        <f t="shared" si="47"/>
        <v>880896</v>
      </c>
      <c r="K201" s="177">
        <f t="shared" si="47"/>
        <v>921768.00000000012</v>
      </c>
      <c r="L201" s="177">
        <f t="shared" si="47"/>
        <v>1003044</v>
      </c>
      <c r="M201" s="177">
        <f t="shared" si="47"/>
        <v>745628</v>
      </c>
      <c r="N201" s="177">
        <f t="shared" si="47"/>
        <v>765653</v>
      </c>
      <c r="O201" s="177">
        <f t="shared" si="47"/>
        <v>758434</v>
      </c>
      <c r="P201" s="248">
        <f t="shared" ref="P201" si="48">SUM(P199:P200)</f>
        <v>9958366</v>
      </c>
    </row>
    <row r="202" spans="1:16" s="219" customFormat="1" x14ac:dyDescent="0.2">
      <c r="A202" s="224">
        <f t="shared" si="44"/>
        <v>198</v>
      </c>
      <c r="B202" s="22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6" s="219" customFormat="1" x14ac:dyDescent="0.2">
      <c r="A203" s="224">
        <f t="shared" si="44"/>
        <v>199</v>
      </c>
      <c r="B203" s="224" t="s">
        <v>1097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6" s="219" customFormat="1" x14ac:dyDescent="0.2">
      <c r="A204" s="224">
        <f t="shared" si="44"/>
        <v>200</v>
      </c>
      <c r="B204" s="224"/>
      <c r="C204" s="219" t="s">
        <v>1108</v>
      </c>
      <c r="D204" s="89">
        <f t="shared" ref="D204:O204" si="49">D95+D96+(D100*D38)+D147+D148+(D152*D38)</f>
        <v>-10237.200000000001</v>
      </c>
      <c r="E204" s="89">
        <f t="shared" si="49"/>
        <v>43417.599999999999</v>
      </c>
      <c r="F204" s="89">
        <f t="shared" si="49"/>
        <v>38941.200000000004</v>
      </c>
      <c r="G204" s="89">
        <f t="shared" si="49"/>
        <v>39908.200000000004</v>
      </c>
      <c r="H204" s="89">
        <f t="shared" si="49"/>
        <v>25240.6</v>
      </c>
      <c r="I204" s="89">
        <f t="shared" si="49"/>
        <v>24456</v>
      </c>
      <c r="J204" s="89">
        <f t="shared" si="49"/>
        <v>28080.2</v>
      </c>
      <c r="K204" s="89">
        <f t="shared" si="49"/>
        <v>26127.8</v>
      </c>
      <c r="L204" s="89">
        <f t="shared" si="49"/>
        <v>37366.6</v>
      </c>
      <c r="M204" s="89">
        <f t="shared" si="49"/>
        <v>45847.6</v>
      </c>
      <c r="N204" s="89">
        <f t="shared" si="49"/>
        <v>52112.4</v>
      </c>
      <c r="O204" s="89">
        <f t="shared" si="49"/>
        <v>45394.6</v>
      </c>
      <c r="P204" s="235">
        <f>SUM(D204:O204)</f>
        <v>396655.60000000003</v>
      </c>
    </row>
    <row r="205" spans="1:16" s="219" customFormat="1" x14ac:dyDescent="0.2">
      <c r="A205" s="224">
        <f t="shared" si="44"/>
        <v>201</v>
      </c>
      <c r="B205" s="224"/>
      <c r="C205" s="219" t="s">
        <v>1109</v>
      </c>
      <c r="D205" s="89">
        <f t="shared" ref="D205:O205" si="50">D97+D98+D99+(D100*D39)+D149+D150+D151+(D152*D39)+D102+D103+D154+D155</f>
        <v>136003.19999999998</v>
      </c>
      <c r="E205" s="89">
        <f t="shared" si="50"/>
        <v>133669.4</v>
      </c>
      <c r="F205" s="89">
        <f t="shared" si="50"/>
        <v>115023.8</v>
      </c>
      <c r="G205" s="89">
        <f t="shared" si="50"/>
        <v>89020.800000000003</v>
      </c>
      <c r="H205" s="89">
        <f t="shared" si="50"/>
        <v>89386.4</v>
      </c>
      <c r="I205" s="89">
        <f t="shared" si="50"/>
        <v>83805</v>
      </c>
      <c r="J205" s="89">
        <f t="shared" si="50"/>
        <v>100101.8</v>
      </c>
      <c r="K205" s="89">
        <f t="shared" si="50"/>
        <v>112954.2</v>
      </c>
      <c r="L205" s="89">
        <f t="shared" si="50"/>
        <v>156791.4</v>
      </c>
      <c r="M205" s="89">
        <f t="shared" si="50"/>
        <v>154620.4</v>
      </c>
      <c r="N205" s="89">
        <f t="shared" si="50"/>
        <v>174971.6</v>
      </c>
      <c r="O205" s="89">
        <f t="shared" si="50"/>
        <v>173457.4</v>
      </c>
      <c r="P205" s="235">
        <f>SUM(D205:O205)</f>
        <v>1519805.4</v>
      </c>
    </row>
    <row r="206" spans="1:16" s="219" customFormat="1" x14ac:dyDescent="0.2">
      <c r="A206" s="224">
        <f t="shared" si="44"/>
        <v>202</v>
      </c>
      <c r="B206" s="224"/>
      <c r="C206" s="219" t="s">
        <v>0</v>
      </c>
      <c r="D206" s="177">
        <f>D204+D205</f>
        <v>125765.99999999999</v>
      </c>
      <c r="E206" s="177">
        <f t="shared" ref="E206:O206" si="51">E204+E205</f>
        <v>177087</v>
      </c>
      <c r="F206" s="177">
        <f t="shared" si="51"/>
        <v>153965</v>
      </c>
      <c r="G206" s="177">
        <f t="shared" si="51"/>
        <v>128929</v>
      </c>
      <c r="H206" s="177">
        <f t="shared" si="51"/>
        <v>114627</v>
      </c>
      <c r="I206" s="177">
        <f t="shared" si="51"/>
        <v>108261</v>
      </c>
      <c r="J206" s="177">
        <f t="shared" si="51"/>
        <v>128182</v>
      </c>
      <c r="K206" s="177">
        <f t="shared" si="51"/>
        <v>139082</v>
      </c>
      <c r="L206" s="177">
        <f t="shared" si="51"/>
        <v>194158</v>
      </c>
      <c r="M206" s="177">
        <f t="shared" si="51"/>
        <v>200468</v>
      </c>
      <c r="N206" s="177">
        <f t="shared" si="51"/>
        <v>227084</v>
      </c>
      <c r="O206" s="177">
        <f t="shared" si="51"/>
        <v>218852</v>
      </c>
      <c r="P206" s="248">
        <f t="shared" ref="P206" si="52">SUM(P204:P205)</f>
        <v>1916461</v>
      </c>
    </row>
    <row r="207" spans="1:16" s="219" customFormat="1" x14ac:dyDescent="0.2">
      <c r="A207" s="224">
        <f t="shared" si="44"/>
        <v>203</v>
      </c>
      <c r="B207" s="224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235"/>
    </row>
    <row r="208" spans="1:16" s="219" customFormat="1" x14ac:dyDescent="0.2">
      <c r="A208" s="224">
        <f t="shared" si="44"/>
        <v>204</v>
      </c>
      <c r="B208" s="224" t="s">
        <v>1056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6" s="219" customFormat="1" x14ac:dyDescent="0.2">
      <c r="A209" s="224">
        <f t="shared" si="44"/>
        <v>205</v>
      </c>
      <c r="B209" s="224"/>
      <c r="C209" s="219" t="s">
        <v>1108</v>
      </c>
      <c r="D209" s="89">
        <f t="shared" ref="D209:O209" si="53">D127+D128+D129+(D133*D38)</f>
        <v>105004</v>
      </c>
      <c r="E209" s="89">
        <f t="shared" si="53"/>
        <v>111491.79999999999</v>
      </c>
      <c r="F209" s="89">
        <f t="shared" si="53"/>
        <v>98520.4</v>
      </c>
      <c r="G209" s="89">
        <f t="shared" si="53"/>
        <v>101269.6</v>
      </c>
      <c r="H209" s="89">
        <f t="shared" si="53"/>
        <v>118597</v>
      </c>
      <c r="I209" s="89">
        <f t="shared" si="53"/>
        <v>124864.6</v>
      </c>
      <c r="J209" s="89">
        <f t="shared" si="53"/>
        <v>120022.6</v>
      </c>
      <c r="K209" s="89">
        <f t="shared" si="53"/>
        <v>119925.6</v>
      </c>
      <c r="L209" s="89">
        <f t="shared" si="53"/>
        <v>122245.79999999999</v>
      </c>
      <c r="M209" s="89">
        <f t="shared" si="53"/>
        <v>110202</v>
      </c>
      <c r="N209" s="89">
        <f t="shared" si="53"/>
        <v>113689.2</v>
      </c>
      <c r="O209" s="89">
        <f t="shared" si="53"/>
        <v>117600</v>
      </c>
      <c r="P209" s="235">
        <f>SUM(D209:O209)</f>
        <v>1363432.5999999999</v>
      </c>
    </row>
    <row r="210" spans="1:16" s="219" customFormat="1" x14ac:dyDescent="0.2">
      <c r="A210" s="224">
        <f t="shared" si="44"/>
        <v>206</v>
      </c>
      <c r="B210" s="224"/>
      <c r="C210" s="219" t="s">
        <v>1109</v>
      </c>
      <c r="D210" s="89">
        <f t="shared" ref="D210:O210" si="54">D131+D132+(D133*D39)+D135+D136</f>
        <v>346235</v>
      </c>
      <c r="E210" s="89">
        <f t="shared" si="54"/>
        <v>432574.2</v>
      </c>
      <c r="F210" s="89">
        <f t="shared" si="54"/>
        <v>420333.6</v>
      </c>
      <c r="G210" s="89">
        <f t="shared" si="54"/>
        <v>328230.40000000002</v>
      </c>
      <c r="H210" s="89">
        <f t="shared" si="54"/>
        <v>438106</v>
      </c>
      <c r="I210" s="89">
        <f t="shared" si="54"/>
        <v>423496.4</v>
      </c>
      <c r="J210" s="89">
        <f t="shared" si="54"/>
        <v>416318.4</v>
      </c>
      <c r="K210" s="89">
        <f t="shared" si="54"/>
        <v>487811.4</v>
      </c>
      <c r="L210" s="89">
        <f t="shared" si="54"/>
        <v>476748.2</v>
      </c>
      <c r="M210" s="89">
        <f t="shared" si="54"/>
        <v>356794</v>
      </c>
      <c r="N210" s="89">
        <f t="shared" si="54"/>
        <v>366126.8</v>
      </c>
      <c r="O210" s="89">
        <f t="shared" si="54"/>
        <v>346316</v>
      </c>
      <c r="P210" s="235">
        <f>SUM(D210:O210)</f>
        <v>4839090.3999999994</v>
      </c>
    </row>
    <row r="211" spans="1:16" s="219" customFormat="1" x14ac:dyDescent="0.2">
      <c r="A211" s="224">
        <f t="shared" si="44"/>
        <v>207</v>
      </c>
      <c r="B211" s="224"/>
      <c r="C211" s="219" t="s">
        <v>0</v>
      </c>
      <c r="D211" s="177">
        <f>D209+D210</f>
        <v>451239</v>
      </c>
      <c r="E211" s="177">
        <f t="shared" ref="E211:O211" si="55">E209+E210</f>
        <v>544066</v>
      </c>
      <c r="F211" s="177">
        <f t="shared" si="55"/>
        <v>518854</v>
      </c>
      <c r="G211" s="177">
        <f t="shared" si="55"/>
        <v>429500</v>
      </c>
      <c r="H211" s="177">
        <f t="shared" si="55"/>
        <v>556703</v>
      </c>
      <c r="I211" s="177">
        <f t="shared" si="55"/>
        <v>548361</v>
      </c>
      <c r="J211" s="177">
        <f t="shared" si="55"/>
        <v>536341</v>
      </c>
      <c r="K211" s="177">
        <f t="shared" si="55"/>
        <v>607737</v>
      </c>
      <c r="L211" s="177">
        <f t="shared" si="55"/>
        <v>598994</v>
      </c>
      <c r="M211" s="177">
        <f t="shared" si="55"/>
        <v>466996</v>
      </c>
      <c r="N211" s="177">
        <f t="shared" si="55"/>
        <v>479816</v>
      </c>
      <c r="O211" s="177">
        <f t="shared" si="55"/>
        <v>463916</v>
      </c>
      <c r="P211" s="248">
        <f t="shared" ref="P211" si="56">SUM(P209:P210)</f>
        <v>6202522.9999999991</v>
      </c>
    </row>
    <row r="212" spans="1:16" s="219" customFormat="1" x14ac:dyDescent="0.2">
      <c r="A212" s="224">
        <f t="shared" si="44"/>
        <v>208</v>
      </c>
      <c r="B212" s="22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6" s="219" customFormat="1" x14ac:dyDescent="0.2">
      <c r="A213" s="224">
        <f t="shared" si="44"/>
        <v>209</v>
      </c>
      <c r="B213" s="224" t="s">
        <v>1180</v>
      </c>
      <c r="C213" s="219" t="s">
        <v>1108</v>
      </c>
      <c r="D213" s="89">
        <f>D194+D199+D204+D209</f>
        <v>447339</v>
      </c>
      <c r="E213" s="89">
        <f t="shared" ref="E213:O213" si="57">E194+E199+E204+E209</f>
        <v>517919.8</v>
      </c>
      <c r="F213" s="89">
        <f t="shared" si="57"/>
        <v>457561.59999999998</v>
      </c>
      <c r="G213" s="89">
        <f t="shared" si="57"/>
        <v>381664.80000000005</v>
      </c>
      <c r="H213" s="89">
        <f t="shared" si="57"/>
        <v>422288.19999999995</v>
      </c>
      <c r="I213" s="89">
        <f t="shared" si="57"/>
        <v>455539</v>
      </c>
      <c r="J213" s="89">
        <f t="shared" si="57"/>
        <v>436395.6</v>
      </c>
      <c r="K213" s="89">
        <f t="shared" si="57"/>
        <v>438504.19999999995</v>
      </c>
      <c r="L213" s="89">
        <f t="shared" si="57"/>
        <v>458141.39999999997</v>
      </c>
      <c r="M213" s="89">
        <f t="shared" si="57"/>
        <v>426672.6</v>
      </c>
      <c r="N213" s="89">
        <f t="shared" si="57"/>
        <v>580464.4</v>
      </c>
      <c r="O213" s="89">
        <f t="shared" si="57"/>
        <v>625667</v>
      </c>
      <c r="P213" s="235">
        <f>SUM(D213:O213)</f>
        <v>5648157.6000000006</v>
      </c>
    </row>
    <row r="214" spans="1:16" s="219" customFormat="1" x14ac:dyDescent="0.2">
      <c r="A214" s="224">
        <f t="shared" si="44"/>
        <v>210</v>
      </c>
      <c r="B214" s="224"/>
      <c r="C214" s="219" t="s">
        <v>1109</v>
      </c>
      <c r="D214" s="89">
        <f>D195+D200+D205+D210</f>
        <v>1625072</v>
      </c>
      <c r="E214" s="89">
        <f t="shared" ref="E214:O214" si="58">E195+E200+E205+E210</f>
        <v>1653946.2</v>
      </c>
      <c r="F214" s="89">
        <f t="shared" si="58"/>
        <v>1420093.4</v>
      </c>
      <c r="G214" s="89">
        <f t="shared" si="58"/>
        <v>1041431.2000000001</v>
      </c>
      <c r="H214" s="89">
        <f t="shared" si="58"/>
        <v>1329233.8000000003</v>
      </c>
      <c r="I214" s="89">
        <f t="shared" si="58"/>
        <v>1337077</v>
      </c>
      <c r="J214" s="89">
        <f t="shared" si="58"/>
        <v>1322983.3999999999</v>
      </c>
      <c r="K214" s="89">
        <f t="shared" si="58"/>
        <v>1440419.8000000003</v>
      </c>
      <c r="L214" s="89">
        <f t="shared" si="58"/>
        <v>1553352.5999999999</v>
      </c>
      <c r="M214" s="89">
        <f t="shared" si="58"/>
        <v>1310983.3999999999</v>
      </c>
      <c r="N214" s="89">
        <f t="shared" si="58"/>
        <v>1693024.6</v>
      </c>
      <c r="O214" s="89">
        <f t="shared" si="58"/>
        <v>1796467</v>
      </c>
      <c r="P214" s="235">
        <f>SUM(D214:O214)</f>
        <v>17524084.399999999</v>
      </c>
    </row>
    <row r="215" spans="1:16" s="219" customFormat="1" x14ac:dyDescent="0.2">
      <c r="A215" s="224">
        <f t="shared" si="44"/>
        <v>211</v>
      </c>
      <c r="B215" s="224"/>
      <c r="C215" s="219" t="s">
        <v>0</v>
      </c>
      <c r="D215" s="177">
        <f>D213+D214</f>
        <v>2072411</v>
      </c>
      <c r="E215" s="177">
        <f t="shared" ref="E215" si="59">E213+E214</f>
        <v>2171866</v>
      </c>
      <c r="F215" s="177">
        <f t="shared" ref="F215" si="60">F213+F214</f>
        <v>1877655</v>
      </c>
      <c r="G215" s="177">
        <f t="shared" ref="G215" si="61">G213+G214</f>
        <v>1423096</v>
      </c>
      <c r="H215" s="177">
        <f t="shared" ref="H215" si="62">H213+H214</f>
        <v>1751522.0000000002</v>
      </c>
      <c r="I215" s="177">
        <f t="shared" ref="I215" si="63">I213+I214</f>
        <v>1792616</v>
      </c>
      <c r="J215" s="177">
        <f t="shared" ref="J215" si="64">J213+J214</f>
        <v>1759379</v>
      </c>
      <c r="K215" s="177">
        <f t="shared" ref="K215" si="65">K213+K214</f>
        <v>1878924.0000000002</v>
      </c>
      <c r="L215" s="177">
        <f t="shared" ref="L215" si="66">L213+L214</f>
        <v>2011493.9999999998</v>
      </c>
      <c r="M215" s="177">
        <f t="shared" ref="M215" si="67">M213+M214</f>
        <v>1737656</v>
      </c>
      <c r="N215" s="177">
        <f t="shared" ref="N215" si="68">N213+N214</f>
        <v>2273489</v>
      </c>
      <c r="O215" s="177">
        <f t="shared" ref="O215" si="69">O213+O214</f>
        <v>2422134</v>
      </c>
      <c r="P215" s="248">
        <f t="shared" ref="P215" si="70">SUM(P213:P214)</f>
        <v>23172242</v>
      </c>
    </row>
    <row r="216" spans="1:16" s="219" customFormat="1" x14ac:dyDescent="0.2">
      <c r="A216" s="224">
        <f t="shared" si="44"/>
        <v>212</v>
      </c>
      <c r="B216" s="22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6" s="219" customFormat="1" x14ac:dyDescent="0.2">
      <c r="A217" s="224">
        <f t="shared" si="44"/>
        <v>213</v>
      </c>
      <c r="B217" s="224"/>
      <c r="C217" s="219" t="s">
        <v>1076</v>
      </c>
      <c r="D217" s="290">
        <f t="shared" ref="D217:P217" si="71">(D9+D12+(D13*D39))/D7</f>
        <v>5.8799351407812339E-2</v>
      </c>
      <c r="E217" s="290">
        <f t="shared" si="71"/>
        <v>6.446999809876397E-2</v>
      </c>
      <c r="F217" s="290">
        <f t="shared" si="71"/>
        <v>5.8856342614475199E-2</v>
      </c>
      <c r="G217" s="290">
        <f t="shared" si="71"/>
        <v>5.1248746449013893E-2</v>
      </c>
      <c r="H217" s="290">
        <f t="shared" si="71"/>
        <v>5.9663390185123878E-2</v>
      </c>
      <c r="I217" s="290">
        <f t="shared" si="71"/>
        <v>6.0232454371214793E-2</v>
      </c>
      <c r="J217" s="290">
        <f t="shared" si="71"/>
        <v>5.7719158644941516E-2</v>
      </c>
      <c r="K217" s="290">
        <f t="shared" si="71"/>
        <v>5.8788543119741708E-2</v>
      </c>
      <c r="L217" s="290">
        <f t="shared" si="71"/>
        <v>6.9731806644466071E-2</v>
      </c>
      <c r="M217" s="290">
        <f t="shared" si="71"/>
        <v>5.6457040617111633E-2</v>
      </c>
      <c r="N217" s="290">
        <f t="shared" si="71"/>
        <v>5.5214541669253665E-2</v>
      </c>
      <c r="O217" s="290">
        <f t="shared" si="71"/>
        <v>5.5760525378732384E-2</v>
      </c>
      <c r="P217" s="249">
        <f t="shared" si="71"/>
        <v>5.889383079140529E-2</v>
      </c>
    </row>
    <row r="218" spans="1:16" s="219" customFormat="1" x14ac:dyDescent="0.2">
      <c r="A218" s="224">
        <f t="shared" si="44"/>
        <v>214</v>
      </c>
      <c r="B218" s="224"/>
      <c r="C218" s="219" t="s">
        <v>1075</v>
      </c>
      <c r="D218" s="146">
        <f t="shared" ref="D218:P218" si="72">(D8+D10+D11+(D13*D38))/D6</f>
        <v>9.6961960380696866</v>
      </c>
      <c r="E218" s="146">
        <f t="shared" si="72"/>
        <v>9.8303856225864195</v>
      </c>
      <c r="F218" s="146">
        <f t="shared" si="72"/>
        <v>9.1153050905470163</v>
      </c>
      <c r="G218" s="146">
        <f t="shared" si="72"/>
        <v>9.6340757939659998</v>
      </c>
      <c r="H218" s="146">
        <f t="shared" si="72"/>
        <v>10.435467059129079</v>
      </c>
      <c r="I218" s="146">
        <f t="shared" si="72"/>
        <v>11.04932669919471</v>
      </c>
      <c r="J218" s="146">
        <f t="shared" si="72"/>
        <v>10.658063903293671</v>
      </c>
      <c r="K218" s="146">
        <f t="shared" si="72"/>
        <v>10.439387887452652</v>
      </c>
      <c r="L218" s="146">
        <f t="shared" si="72"/>
        <v>10.849946092654031</v>
      </c>
      <c r="M218" s="146">
        <f t="shared" si="72"/>
        <v>10.455782826258178</v>
      </c>
      <c r="N218" s="146">
        <f t="shared" si="72"/>
        <v>9.6721797213414185</v>
      </c>
      <c r="O218" s="146">
        <f t="shared" si="72"/>
        <v>10.579835762255014</v>
      </c>
      <c r="P218" s="250">
        <f t="shared" si="72"/>
        <v>10.179192940974289</v>
      </c>
    </row>
    <row r="219" spans="1:16" s="219" customFormat="1" x14ac:dyDescent="0.2">
      <c r="A219" s="224">
        <f t="shared" si="44"/>
        <v>215</v>
      </c>
      <c r="B219" s="22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6" s="219" customFormat="1" x14ac:dyDescent="0.2">
      <c r="A220" s="224">
        <f t="shared" si="44"/>
        <v>216</v>
      </c>
      <c r="B220" s="224"/>
      <c r="C220" s="242" t="s">
        <v>1196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6" s="219" customFormat="1" x14ac:dyDescent="0.2">
      <c r="A221" s="224">
        <f t="shared" si="44"/>
        <v>217</v>
      </c>
      <c r="B221" s="22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6" s="219" customFormat="1" x14ac:dyDescent="0.2">
      <c r="A222" s="224">
        <f t="shared" si="44"/>
        <v>218</v>
      </c>
      <c r="B222" s="224" t="s">
        <v>1166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6" s="219" customFormat="1" x14ac:dyDescent="0.2">
      <c r="A223" s="224">
        <f t="shared" si="44"/>
        <v>219</v>
      </c>
      <c r="B223" s="224"/>
      <c r="C223" s="219" t="s">
        <v>1108</v>
      </c>
      <c r="D223" s="89">
        <f>D194+D199+D204</f>
        <v>342335</v>
      </c>
      <c r="E223" s="89">
        <f>E194+E199+E204</f>
        <v>406428</v>
      </c>
      <c r="F223" s="89">
        <f>F194+F199+F204</f>
        <v>359041.2</v>
      </c>
      <c r="G223" s="89">
        <f>G194+G199+G204</f>
        <v>280395.2</v>
      </c>
      <c r="H223" s="89">
        <f>H194+H199+H204</f>
        <v>303691.19999999995</v>
      </c>
      <c r="I223" s="89">
        <f>I194+I199+I204</f>
        <v>330674.40000000002</v>
      </c>
      <c r="J223" s="89">
        <f>J194+J199+J204</f>
        <v>316373</v>
      </c>
      <c r="K223" s="89">
        <f>K194+K199+K204</f>
        <v>318578.59999999998</v>
      </c>
      <c r="L223" s="89">
        <f>L194+L199+L204</f>
        <v>335895.6</v>
      </c>
      <c r="M223" s="89">
        <f>M194+M199+M204</f>
        <v>316470.59999999998</v>
      </c>
      <c r="N223" s="89">
        <f>N194+N199+N204</f>
        <v>466775.2</v>
      </c>
      <c r="O223" s="89">
        <f>O194+O199+O204</f>
        <v>508067</v>
      </c>
      <c r="P223" s="235">
        <f>SUM(D223:O223)</f>
        <v>4284725</v>
      </c>
    </row>
    <row r="224" spans="1:16" s="219" customFormat="1" x14ac:dyDescent="0.2">
      <c r="A224" s="224">
        <f t="shared" si="44"/>
        <v>220</v>
      </c>
      <c r="B224" s="224"/>
      <c r="C224" s="219" t="s">
        <v>1109</v>
      </c>
      <c r="D224" s="89">
        <f>D195+D200+D205</f>
        <v>1278837</v>
      </c>
      <c r="E224" s="89">
        <f>E195+E200+E205</f>
        <v>1221372</v>
      </c>
      <c r="F224" s="89">
        <f>F195+F200+F205</f>
        <v>999759.8</v>
      </c>
      <c r="G224" s="89">
        <f>G195+G200+G205</f>
        <v>713200.8</v>
      </c>
      <c r="H224" s="89">
        <f>H195+H200+H205</f>
        <v>891127.80000000016</v>
      </c>
      <c r="I224" s="89">
        <f>I195+I200+I205</f>
        <v>913580.6</v>
      </c>
      <c r="J224" s="89">
        <f>J195+J200+J205</f>
        <v>906665</v>
      </c>
      <c r="K224" s="89">
        <f>K195+K200+K205</f>
        <v>952608.40000000014</v>
      </c>
      <c r="L224" s="89">
        <f>L195+L200+L205</f>
        <v>1076604.3999999999</v>
      </c>
      <c r="M224" s="89">
        <f>M195+M200+M205</f>
        <v>954189.4</v>
      </c>
      <c r="N224" s="89">
        <f>N195+N200+N205</f>
        <v>1326897.8</v>
      </c>
      <c r="O224" s="89">
        <f>O195+O200+O205</f>
        <v>1450151</v>
      </c>
      <c r="P224" s="235">
        <f>SUM(D224:O224)</f>
        <v>12684994</v>
      </c>
    </row>
    <row r="225" spans="1:16" s="219" customFormat="1" x14ac:dyDescent="0.2">
      <c r="A225" s="224">
        <f t="shared" si="44"/>
        <v>221</v>
      </c>
      <c r="B225" s="224"/>
      <c r="C225" s="219" t="s">
        <v>0</v>
      </c>
      <c r="D225" s="177">
        <f>SUM(D223:D224)</f>
        <v>1621172</v>
      </c>
      <c r="E225" s="177">
        <f t="shared" ref="E225:P225" si="73">SUM(E223:E224)</f>
        <v>1627800</v>
      </c>
      <c r="F225" s="177">
        <f t="shared" si="73"/>
        <v>1358801</v>
      </c>
      <c r="G225" s="177">
        <f t="shared" si="73"/>
        <v>993596</v>
      </c>
      <c r="H225" s="177">
        <f t="shared" si="73"/>
        <v>1194819</v>
      </c>
      <c r="I225" s="177">
        <f t="shared" si="73"/>
        <v>1244255</v>
      </c>
      <c r="J225" s="177">
        <f t="shared" si="73"/>
        <v>1223038</v>
      </c>
      <c r="K225" s="177">
        <f t="shared" si="73"/>
        <v>1271187</v>
      </c>
      <c r="L225" s="177">
        <f t="shared" si="73"/>
        <v>1412500</v>
      </c>
      <c r="M225" s="177">
        <f t="shared" si="73"/>
        <v>1270660</v>
      </c>
      <c r="N225" s="177">
        <f t="shared" si="73"/>
        <v>1793673</v>
      </c>
      <c r="O225" s="177">
        <f t="shared" si="73"/>
        <v>1958218</v>
      </c>
      <c r="P225" s="248">
        <f t="shared" si="73"/>
        <v>16969719</v>
      </c>
    </row>
    <row r="226" spans="1:16" s="219" customFormat="1" x14ac:dyDescent="0.2">
      <c r="A226" s="224">
        <f t="shared" si="44"/>
        <v>222</v>
      </c>
      <c r="B226" s="224"/>
      <c r="C226" s="219" t="s">
        <v>948</v>
      </c>
      <c r="D226" s="89">
        <f>D57+D70+D83+D115+D167+D184</f>
        <v>188700</v>
      </c>
      <c r="E226" s="89">
        <f>E57+E70+E83+E115+E167+E184</f>
        <v>272302</v>
      </c>
      <c r="F226" s="89">
        <f>F57+F70+F83+F115+F167+F184</f>
        <v>177976</v>
      </c>
      <c r="G226" s="89">
        <f>G57+G70+G83+G115+G167+G184</f>
        <v>34193</v>
      </c>
      <c r="H226" s="89">
        <f>H57+H70+H83+H115+H167+H184</f>
        <v>133119</v>
      </c>
      <c r="I226" s="89">
        <f>I57+I70+I83+I115+I167+I184</f>
        <v>123842</v>
      </c>
      <c r="J226" s="89">
        <f>J57+J70+J83+J115+J167+J184</f>
        <v>95877</v>
      </c>
      <c r="K226" s="89">
        <f>K57+K70+K83+K115+K167+K184</f>
        <v>123812</v>
      </c>
      <c r="L226" s="89">
        <f>L57+L70+L83+L115+L167+L184</f>
        <v>97433</v>
      </c>
      <c r="M226" s="89">
        <f>M57+M70+M83+M115+M167+M184</f>
        <v>-72071</v>
      </c>
      <c r="N226" s="89">
        <f>N57+N70+N83+N115+N167+N184</f>
        <v>-137662</v>
      </c>
      <c r="O226" s="89">
        <f>O57+O70+O83+O115+O167+O184</f>
        <v>-166176</v>
      </c>
      <c r="P226" s="235">
        <f t="shared" ref="P226:P228" si="74">SUM(D226:O226)</f>
        <v>871345</v>
      </c>
    </row>
    <row r="227" spans="1:16" s="219" customFormat="1" x14ac:dyDescent="0.2">
      <c r="A227" s="224">
        <f t="shared" si="44"/>
        <v>223</v>
      </c>
      <c r="B227" s="224"/>
      <c r="C227" s="219" t="s">
        <v>949</v>
      </c>
      <c r="D227" s="89">
        <f>D58+D71+D84+D116+D168+D185</f>
        <v>212677</v>
      </c>
      <c r="E227" s="89">
        <f>E58+E71+E84+E116+E168+E185</f>
        <v>192724</v>
      </c>
      <c r="F227" s="89">
        <f>F58+F71+F84+F116+F168+F185</f>
        <v>117635</v>
      </c>
      <c r="G227" s="89">
        <f>G58+G71+G84+G116+G168+G185</f>
        <v>111210</v>
      </c>
      <c r="H227" s="89">
        <f>H58+H71+H84+H116+H168+H185</f>
        <v>163221</v>
      </c>
      <c r="I227" s="89">
        <f>I58+I71+I84+I116+I168+I185</f>
        <v>201329</v>
      </c>
      <c r="J227" s="89">
        <f>J58+J71+J84+J116+J168+J185</f>
        <v>180218</v>
      </c>
      <c r="K227" s="89">
        <f>K58+K71+K84+K116+K168+K185</f>
        <v>168518</v>
      </c>
      <c r="L227" s="89">
        <f>L58+L71+L84+L116+L168+L185</f>
        <v>185585</v>
      </c>
      <c r="M227" s="89">
        <f>M58+M71+M84+M116+M168+M185</f>
        <v>163095</v>
      </c>
      <c r="N227" s="89">
        <f>N58+N71+N84+N116+N168+N185</f>
        <v>251343</v>
      </c>
      <c r="O227" s="89">
        <f>O58+O71+O84+O116+O168+O185</f>
        <v>316024</v>
      </c>
      <c r="P227" s="235">
        <f t="shared" si="74"/>
        <v>2263579</v>
      </c>
    </row>
    <row r="228" spans="1:16" s="219" customFormat="1" x14ac:dyDescent="0.2">
      <c r="A228" s="224">
        <f t="shared" si="44"/>
        <v>224</v>
      </c>
      <c r="B228" s="224"/>
      <c r="C228" s="219" t="s">
        <v>861</v>
      </c>
      <c r="D228" s="291">
        <f>D52+D65+D78+D110+D162+D175</f>
        <v>21789800</v>
      </c>
      <c r="E228" s="291">
        <f>E52+E65+E78+E110+E162+E175</f>
        <v>18511452</v>
      </c>
      <c r="F228" s="291">
        <f>F52+F65+F78+F110+F162+F175</f>
        <v>16540620</v>
      </c>
      <c r="G228" s="291">
        <f>G52+G65+G78+G110+G162+G175</f>
        <v>13676605</v>
      </c>
      <c r="H228" s="291">
        <f>H52+H65+H78+H110+H162+H175</f>
        <v>15127199</v>
      </c>
      <c r="I228" s="291">
        <f>I52+I65+I78+I110+I162+I175</f>
        <v>15676309</v>
      </c>
      <c r="J228" s="291">
        <f>J52+J65+J78+J110+J162+J175</f>
        <v>21216194</v>
      </c>
      <c r="K228" s="291">
        <f>K52+K65+K78+K110+K162+K175</f>
        <v>16248295</v>
      </c>
      <c r="L228" s="291">
        <f>L52+L65+L78+L110+L162+L175</f>
        <v>14635358</v>
      </c>
      <c r="M228" s="291">
        <f>M52+M65+M78+M110+M162+M175</f>
        <v>15770364</v>
      </c>
      <c r="N228" s="291">
        <f>N52+N65+N78+N110+N162+N175</f>
        <v>23253623</v>
      </c>
      <c r="O228" s="291">
        <f>O52+O65+O78+O110+O162+O175</f>
        <v>25526157</v>
      </c>
      <c r="P228" s="239">
        <f t="shared" si="74"/>
        <v>217971976</v>
      </c>
    </row>
    <row r="229" spans="1:16" s="219" customFormat="1" x14ac:dyDescent="0.2">
      <c r="A229" s="224">
        <f t="shared" si="44"/>
        <v>225</v>
      </c>
      <c r="B229" s="224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39"/>
    </row>
    <row r="230" spans="1:16" s="219" customFormat="1" x14ac:dyDescent="0.2">
      <c r="A230" s="224">
        <f t="shared" si="44"/>
        <v>226</v>
      </c>
      <c r="B230" s="224" t="s">
        <v>1197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6" s="219" customFormat="1" x14ac:dyDescent="0.2">
      <c r="A231" s="224">
        <f t="shared" si="44"/>
        <v>227</v>
      </c>
      <c r="B231" s="224"/>
      <c r="C231" s="219" t="s">
        <v>1108</v>
      </c>
      <c r="D231" s="89">
        <f>D209</f>
        <v>105004</v>
      </c>
      <c r="E231" s="89">
        <f>E209</f>
        <v>111491.79999999999</v>
      </c>
      <c r="F231" s="89">
        <f>F209</f>
        <v>98520.4</v>
      </c>
      <c r="G231" s="89">
        <f>G209</f>
        <v>101269.6</v>
      </c>
      <c r="H231" s="89">
        <f>H209</f>
        <v>118597</v>
      </c>
      <c r="I231" s="89">
        <f>I209</f>
        <v>124864.6</v>
      </c>
      <c r="J231" s="89">
        <f>J209</f>
        <v>120022.6</v>
      </c>
      <c r="K231" s="89">
        <f>K209</f>
        <v>119925.6</v>
      </c>
      <c r="L231" s="89">
        <f>L209</f>
        <v>122245.79999999999</v>
      </c>
      <c r="M231" s="89">
        <f>M209</f>
        <v>110202</v>
      </c>
      <c r="N231" s="89">
        <f>N209</f>
        <v>113689.2</v>
      </c>
      <c r="O231" s="89">
        <f>O209</f>
        <v>117600</v>
      </c>
      <c r="P231" s="235">
        <f>SUM(D231:O231)</f>
        <v>1363432.5999999999</v>
      </c>
    </row>
    <row r="232" spans="1:16" s="219" customFormat="1" x14ac:dyDescent="0.2">
      <c r="A232" s="224">
        <f t="shared" si="44"/>
        <v>228</v>
      </c>
      <c r="B232" s="224"/>
      <c r="C232" s="219" t="s">
        <v>1109</v>
      </c>
      <c r="D232" s="89">
        <f>D210</f>
        <v>346235</v>
      </c>
      <c r="E232" s="89">
        <f>E210</f>
        <v>432574.2</v>
      </c>
      <c r="F232" s="89">
        <f>F210</f>
        <v>420333.6</v>
      </c>
      <c r="G232" s="89">
        <f>G210</f>
        <v>328230.40000000002</v>
      </c>
      <c r="H232" s="89">
        <f>H210</f>
        <v>438106</v>
      </c>
      <c r="I232" s="89">
        <f>I210</f>
        <v>423496.4</v>
      </c>
      <c r="J232" s="89">
        <f>J210</f>
        <v>416318.4</v>
      </c>
      <c r="K232" s="89">
        <f>K210</f>
        <v>487811.4</v>
      </c>
      <c r="L232" s="89">
        <f>L210</f>
        <v>476748.2</v>
      </c>
      <c r="M232" s="89">
        <f>M210</f>
        <v>356794</v>
      </c>
      <c r="N232" s="89">
        <f>N210</f>
        <v>366126.8</v>
      </c>
      <c r="O232" s="89">
        <f>O210</f>
        <v>346316</v>
      </c>
      <c r="P232" s="235">
        <f>SUM(D232:O232)</f>
        <v>4839090.3999999994</v>
      </c>
    </row>
    <row r="233" spans="1:16" s="219" customFormat="1" x14ac:dyDescent="0.2">
      <c r="A233" s="224">
        <f t="shared" si="44"/>
        <v>229</v>
      </c>
      <c r="B233" s="224"/>
      <c r="C233" s="219" t="s">
        <v>0</v>
      </c>
      <c r="D233" s="177">
        <f>SUM(D231:D232)</f>
        <v>451239</v>
      </c>
      <c r="E233" s="177">
        <f t="shared" ref="E233:P233" si="75">SUM(E231:E232)</f>
        <v>544066</v>
      </c>
      <c r="F233" s="177">
        <f t="shared" si="75"/>
        <v>518854</v>
      </c>
      <c r="G233" s="177">
        <f t="shared" si="75"/>
        <v>429500</v>
      </c>
      <c r="H233" s="177">
        <f t="shared" si="75"/>
        <v>556703</v>
      </c>
      <c r="I233" s="177">
        <f t="shared" si="75"/>
        <v>548361</v>
      </c>
      <c r="J233" s="177">
        <f t="shared" si="75"/>
        <v>536341</v>
      </c>
      <c r="K233" s="177">
        <f t="shared" si="75"/>
        <v>607737</v>
      </c>
      <c r="L233" s="177">
        <f t="shared" si="75"/>
        <v>598994</v>
      </c>
      <c r="M233" s="177">
        <f t="shared" si="75"/>
        <v>466996</v>
      </c>
      <c r="N233" s="177">
        <f t="shared" si="75"/>
        <v>479816</v>
      </c>
      <c r="O233" s="177">
        <f t="shared" si="75"/>
        <v>463916</v>
      </c>
      <c r="P233" s="248">
        <f t="shared" si="75"/>
        <v>6202522.9999999991</v>
      </c>
    </row>
    <row r="234" spans="1:16" s="219" customFormat="1" x14ac:dyDescent="0.2">
      <c r="A234" s="224">
        <f t="shared" si="44"/>
        <v>230</v>
      </c>
      <c r="B234" s="224"/>
      <c r="C234" s="219" t="s">
        <v>948</v>
      </c>
      <c r="D234" s="89">
        <f>D132</f>
        <v>57745</v>
      </c>
      <c r="E234" s="89">
        <f>E132</f>
        <v>113124</v>
      </c>
      <c r="F234" s="89">
        <f>F132</f>
        <v>88685</v>
      </c>
      <c r="G234" s="89">
        <f>G132</f>
        <v>19000</v>
      </c>
      <c r="H234" s="89">
        <f>H132</f>
        <v>76411</v>
      </c>
      <c r="I234" s="89">
        <f>I132</f>
        <v>65892</v>
      </c>
      <c r="J234" s="89">
        <f>J132</f>
        <v>51569</v>
      </c>
      <c r="K234" s="89">
        <f>K132</f>
        <v>74411</v>
      </c>
      <c r="L234" s="89">
        <f>L132</f>
        <v>52650</v>
      </c>
      <c r="M234" s="89">
        <f>M132</f>
        <v>-33748</v>
      </c>
      <c r="N234" s="89">
        <f>N132</f>
        <v>-46049</v>
      </c>
      <c r="O234" s="89">
        <f>O132</f>
        <v>-47316</v>
      </c>
      <c r="P234" s="235">
        <f t="shared" ref="P234:P236" si="76">SUM(D234:O234)</f>
        <v>472374</v>
      </c>
    </row>
    <row r="235" spans="1:16" s="219" customFormat="1" x14ac:dyDescent="0.2">
      <c r="A235" s="224">
        <f t="shared" si="44"/>
        <v>231</v>
      </c>
      <c r="B235" s="224"/>
      <c r="C235" s="219" t="s">
        <v>949</v>
      </c>
      <c r="D235" s="89">
        <f>D133</f>
        <v>61465</v>
      </c>
      <c r="E235" s="89">
        <f>E133</f>
        <v>72278</v>
      </c>
      <c r="F235" s="89">
        <f>F133</f>
        <v>50659</v>
      </c>
      <c r="G235" s="89">
        <f>G133</f>
        <v>55241</v>
      </c>
      <c r="H235" s="89">
        <f>H133</f>
        <v>84120</v>
      </c>
      <c r="I235" s="89">
        <f>I133</f>
        <v>94566</v>
      </c>
      <c r="J235" s="89">
        <f>J133</f>
        <v>86496</v>
      </c>
      <c r="K235" s="89">
        <f>K133</f>
        <v>87376</v>
      </c>
      <c r="L235" s="89">
        <f>L133</f>
        <v>91243</v>
      </c>
      <c r="M235" s="89">
        <f>M133</f>
        <v>71170</v>
      </c>
      <c r="N235" s="89">
        <f>N133</f>
        <v>76982</v>
      </c>
      <c r="O235" s="89">
        <f>O133</f>
        <v>83500</v>
      </c>
      <c r="P235" s="235">
        <f t="shared" si="76"/>
        <v>915096</v>
      </c>
    </row>
    <row r="236" spans="1:16" s="219" customFormat="1" x14ac:dyDescent="0.2">
      <c r="A236" s="224">
        <f t="shared" si="44"/>
        <v>232</v>
      </c>
      <c r="B236" s="224"/>
      <c r="C236" s="219" t="s">
        <v>861</v>
      </c>
      <c r="D236" s="291">
        <f>D123</f>
        <v>6667995</v>
      </c>
      <c r="E236" s="291">
        <f>E123</f>
        <v>7690298</v>
      </c>
      <c r="F236" s="291">
        <f>F123</f>
        <v>8242065</v>
      </c>
      <c r="G236" s="291">
        <f>G123</f>
        <v>7600160</v>
      </c>
      <c r="H236" s="291">
        <f>H123</f>
        <v>8683096</v>
      </c>
      <c r="I236" s="291">
        <f>I123</f>
        <v>8340797</v>
      </c>
      <c r="J236" s="291">
        <f>J123</f>
        <v>8609250</v>
      </c>
      <c r="K236" s="291">
        <f>K123</f>
        <v>9765162</v>
      </c>
      <c r="L236" s="291">
        <f>L123</f>
        <v>7905375</v>
      </c>
      <c r="M236" s="291">
        <f>M123</f>
        <v>7384748</v>
      </c>
      <c r="N236" s="291">
        <f>N123</f>
        <v>7778571</v>
      </c>
      <c r="O236" s="291">
        <f>O123</f>
        <v>7268137</v>
      </c>
      <c r="P236" s="239">
        <f t="shared" si="76"/>
        <v>95935654</v>
      </c>
    </row>
    <row r="237" spans="1:16" s="219" customFormat="1" x14ac:dyDescent="0.2">
      <c r="A237" s="224">
        <f t="shared" si="44"/>
        <v>233</v>
      </c>
      <c r="B237" s="22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6" s="219" customFormat="1" x14ac:dyDescent="0.2">
      <c r="A238" s="224">
        <f t="shared" si="44"/>
        <v>234</v>
      </c>
      <c r="B238" s="224" t="s">
        <v>1198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6" s="219" customFormat="1" x14ac:dyDescent="0.2">
      <c r="A239" s="224">
        <f t="shared" si="44"/>
        <v>235</v>
      </c>
      <c r="B239" s="224"/>
      <c r="C239" s="219" t="s">
        <v>1108</v>
      </c>
      <c r="D239" s="89">
        <f>D31-D223-D231</f>
        <v>3744956.8</v>
      </c>
      <c r="E239" s="89">
        <f>E31-E223-E231</f>
        <v>2518971.4000000004</v>
      </c>
      <c r="F239" s="89">
        <f>F31-F223-F231</f>
        <v>1886019.8</v>
      </c>
      <c r="G239" s="89">
        <f>G31-G223-G231</f>
        <v>1668090.8</v>
      </c>
      <c r="H239" s="89">
        <f>H31-H223-H231</f>
        <v>1988513.4000000004</v>
      </c>
      <c r="I239" s="89">
        <f>I31-I223-I231</f>
        <v>2524641.2000000002</v>
      </c>
      <c r="J239" s="89">
        <f>J31-J223-J231</f>
        <v>2593073.7999999998</v>
      </c>
      <c r="K239" s="89">
        <f>K31-K223-K231</f>
        <v>2394620.4</v>
      </c>
      <c r="L239" s="89">
        <f>L31-L223-L231</f>
        <v>2148308.6</v>
      </c>
      <c r="M239" s="89">
        <f>M31-M223-M231</f>
        <v>1790298.4</v>
      </c>
      <c r="N239" s="89">
        <f>N31-N223-N231</f>
        <v>2369173.1999999997</v>
      </c>
      <c r="O239" s="89">
        <f>O31-O223-O231</f>
        <v>3079645.4</v>
      </c>
      <c r="P239" s="235">
        <f>SUM(D239:O239)</f>
        <v>28706313.199999999</v>
      </c>
    </row>
    <row r="240" spans="1:16" s="219" customFormat="1" x14ac:dyDescent="0.2">
      <c r="A240" s="224">
        <f t="shared" si="44"/>
        <v>236</v>
      </c>
      <c r="B240" s="224"/>
      <c r="C240" s="219" t="s">
        <v>1109</v>
      </c>
      <c r="D240" s="89">
        <f>D32-D224-D232</f>
        <v>8522480.1999999993</v>
      </c>
      <c r="E240" s="89">
        <f>E32-E224-E232</f>
        <v>6275455.5999999996</v>
      </c>
      <c r="F240" s="89">
        <f>F32-F224-F232</f>
        <v>5139516.2</v>
      </c>
      <c r="G240" s="89">
        <f>G32-G224-G232</f>
        <v>3838602.2000000007</v>
      </c>
      <c r="H240" s="89">
        <f>H32-H224-H232</f>
        <v>4766311.6000000006</v>
      </c>
      <c r="I240" s="89">
        <f>I32-I224-I232</f>
        <v>5909249.7999999998</v>
      </c>
      <c r="J240" s="89">
        <f>J32-J224-J232</f>
        <v>6210385.1999999993</v>
      </c>
      <c r="K240" s="89">
        <f>K32-K224-K232</f>
        <v>6085109.5999999996</v>
      </c>
      <c r="L240" s="89">
        <f>L32-L224-L232</f>
        <v>5709782.3999999994</v>
      </c>
      <c r="M240" s="89">
        <f>M32-M224-M232</f>
        <v>4141732.5999999996</v>
      </c>
      <c r="N240" s="89">
        <f>N32-N224-N232</f>
        <v>4679675.8000000007</v>
      </c>
      <c r="O240" s="89">
        <f>O32-O224-O232</f>
        <v>6729647.5999999996</v>
      </c>
      <c r="P240" s="235">
        <f>SUM(D240:O240)</f>
        <v>68007948.799999997</v>
      </c>
    </row>
    <row r="241" spans="1:16" s="219" customFormat="1" x14ac:dyDescent="0.2">
      <c r="A241" s="224">
        <f t="shared" si="44"/>
        <v>237</v>
      </c>
      <c r="B241" s="224"/>
      <c r="C241" s="219" t="s">
        <v>0</v>
      </c>
      <c r="D241" s="177">
        <f>SUM(D239:D240)</f>
        <v>12267437</v>
      </c>
      <c r="E241" s="177">
        <f t="shared" ref="E241:P241" si="77">SUM(E239:E240)</f>
        <v>8794427</v>
      </c>
      <c r="F241" s="177">
        <f t="shared" si="77"/>
        <v>7025536</v>
      </c>
      <c r="G241" s="177">
        <f t="shared" si="77"/>
        <v>5506693.0000000009</v>
      </c>
      <c r="H241" s="177">
        <f t="shared" si="77"/>
        <v>6754825.0000000009</v>
      </c>
      <c r="I241" s="177">
        <f t="shared" si="77"/>
        <v>8433891</v>
      </c>
      <c r="J241" s="177">
        <f t="shared" si="77"/>
        <v>8803459</v>
      </c>
      <c r="K241" s="177">
        <f t="shared" si="77"/>
        <v>8479730</v>
      </c>
      <c r="L241" s="177">
        <f t="shared" si="77"/>
        <v>7858091</v>
      </c>
      <c r="M241" s="177">
        <f t="shared" si="77"/>
        <v>5932031</v>
      </c>
      <c r="N241" s="177">
        <f t="shared" si="77"/>
        <v>7048849</v>
      </c>
      <c r="O241" s="177">
        <f t="shared" si="77"/>
        <v>9809293</v>
      </c>
      <c r="P241" s="248">
        <f t="shared" si="77"/>
        <v>96714262</v>
      </c>
    </row>
    <row r="242" spans="1:16" s="219" customFormat="1" x14ac:dyDescent="0.2">
      <c r="A242" s="224">
        <f t="shared" si="44"/>
        <v>238</v>
      </c>
      <c r="B242" s="224"/>
      <c r="C242" s="219" t="s">
        <v>948</v>
      </c>
      <c r="D242" s="89">
        <f>D12-D226-D234</f>
        <v>1248091</v>
      </c>
      <c r="E242" s="89">
        <f>E12-E226-E234</f>
        <v>1423809</v>
      </c>
      <c r="F242" s="89">
        <f>F12-F226-F234</f>
        <v>932552</v>
      </c>
      <c r="G242" s="89">
        <f>G12-G226-G234</f>
        <v>184864</v>
      </c>
      <c r="H242" s="89">
        <f>H12-H226-H234</f>
        <v>689524</v>
      </c>
      <c r="I242" s="89">
        <f>I12-I226-I234</f>
        <v>760682</v>
      </c>
      <c r="J242" s="89">
        <f>J12-J226-J234</f>
        <v>634357</v>
      </c>
      <c r="K242" s="89">
        <f>K12-K226-K234</f>
        <v>777216</v>
      </c>
      <c r="L242" s="89">
        <f>L12-L226-L234</f>
        <v>543575</v>
      </c>
      <c r="M242" s="89">
        <f>M12-M226-M234</f>
        <v>-335558</v>
      </c>
      <c r="N242" s="89">
        <f>N12-N226-N234</f>
        <v>-499558</v>
      </c>
      <c r="O242" s="89">
        <f>O12-O226-O234</f>
        <v>-781927</v>
      </c>
      <c r="P242" s="235">
        <f>SUM(D242:O242)</f>
        <v>5577627</v>
      </c>
    </row>
    <row r="243" spans="1:16" s="219" customFormat="1" x14ac:dyDescent="0.2">
      <c r="A243" s="224">
        <f t="shared" si="44"/>
        <v>239</v>
      </c>
      <c r="B243" s="224"/>
      <c r="C243" s="219" t="s">
        <v>949</v>
      </c>
      <c r="D243" s="89">
        <f>D13-D227-D235</f>
        <v>1762551</v>
      </c>
      <c r="E243" s="89">
        <f>E13-E227-E235</f>
        <v>1191805</v>
      </c>
      <c r="F243" s="89">
        <f>F13-F227-F235</f>
        <v>700945</v>
      </c>
      <c r="G243" s="89">
        <f>G13-G227-G235</f>
        <v>724835</v>
      </c>
      <c r="H243" s="89">
        <f>H13-H227-H235</f>
        <v>1038000</v>
      </c>
      <c r="I243" s="89">
        <f>I13-I227-I235</f>
        <v>1514862</v>
      </c>
      <c r="J243" s="89">
        <f>J13-J227-J235</f>
        <v>1471010</v>
      </c>
      <c r="K243" s="89">
        <f>K13-K227-K235</f>
        <v>1283457</v>
      </c>
      <c r="L243" s="89">
        <f>L13-L227-L235</f>
        <v>1226572</v>
      </c>
      <c r="M243" s="89">
        <f>M13-M227-M235</f>
        <v>934585</v>
      </c>
      <c r="N243" s="89">
        <f>N13-N227-N235</f>
        <v>1167351</v>
      </c>
      <c r="O243" s="89">
        <f>O13-O227-O235</f>
        <v>1850975</v>
      </c>
      <c r="P243" s="235">
        <f>SUM(D243:O243)</f>
        <v>14866948</v>
      </c>
    </row>
    <row r="244" spans="1:16" s="219" customFormat="1" x14ac:dyDescent="0.2">
      <c r="A244" s="224">
        <f t="shared" si="44"/>
        <v>240</v>
      </c>
      <c r="B244" s="224"/>
      <c r="C244" s="219" t="s">
        <v>861</v>
      </c>
      <c r="D244" s="34">
        <f>D7-D228-D236</f>
        <v>144121527</v>
      </c>
      <c r="E244" s="34">
        <f>E7-E228-E236</f>
        <v>96791922</v>
      </c>
      <c r="F244" s="34">
        <f>F7-F228-F236</f>
        <v>86668508</v>
      </c>
      <c r="G244" s="34">
        <f>G7-G228-G236</f>
        <v>73945728</v>
      </c>
      <c r="H244" s="34">
        <f>H7-H228-H236</f>
        <v>78355294</v>
      </c>
      <c r="I244" s="34">
        <f>I7-I228-I236</f>
        <v>96288913</v>
      </c>
      <c r="J244" s="34">
        <f>J7-J228-J236</f>
        <v>100692200</v>
      </c>
      <c r="K244" s="34">
        <f>K7-K228-K236</f>
        <v>101996679</v>
      </c>
      <c r="L244" s="34">
        <f>L7-L228-L236</f>
        <v>81617403</v>
      </c>
      <c r="M244" s="34">
        <f>M7-M228-M236</f>
        <v>73426571</v>
      </c>
      <c r="N244" s="34">
        <f>N7-N228-N236</f>
        <v>84384872</v>
      </c>
      <c r="O244" s="34">
        <f>O7-O228-O236</f>
        <v>120111629</v>
      </c>
      <c r="P244" s="239">
        <f>SUM(D244:O244)</f>
        <v>1138401246</v>
      </c>
    </row>
    <row r="245" spans="1:16" s="219" customFormat="1" x14ac:dyDescent="0.2">
      <c r="A245" s="224"/>
      <c r="B245" s="22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6" s="219" customFormat="1" x14ac:dyDescent="0.2">
      <c r="A246" s="224"/>
      <c r="B246" s="22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6" s="219" customFormat="1" x14ac:dyDescent="0.2">
      <c r="A247" s="224"/>
      <c r="B247" s="22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6" s="219" customFormat="1" x14ac:dyDescent="0.2">
      <c r="A248" s="224"/>
      <c r="B248" s="22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6" s="219" customFormat="1" x14ac:dyDescent="0.2">
      <c r="A249" s="224"/>
      <c r="B249" s="22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6" s="219" customFormat="1" x14ac:dyDescent="0.2">
      <c r="A250" s="224"/>
      <c r="B250" s="22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6" s="219" customFormat="1" x14ac:dyDescent="0.2">
      <c r="A251" s="224"/>
      <c r="B251" s="22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6" s="219" customFormat="1" x14ac:dyDescent="0.2">
      <c r="A252" s="224"/>
      <c r="B252" s="22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6" s="219" customFormat="1" x14ac:dyDescent="0.2">
      <c r="A253" s="224"/>
      <c r="B253" s="22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6" s="219" customFormat="1" x14ac:dyDescent="0.2">
      <c r="A254" s="224"/>
      <c r="B254" s="22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6" s="219" customFormat="1" x14ac:dyDescent="0.2">
      <c r="A255" s="224"/>
      <c r="B255" s="22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6" s="219" customFormat="1" x14ac:dyDescent="0.2">
      <c r="A256" s="224"/>
      <c r="B256" s="22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s="219" customFormat="1" x14ac:dyDescent="0.2">
      <c r="A257" s="224"/>
      <c r="B257" s="22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s="219" customFormat="1" x14ac:dyDescent="0.2">
      <c r="A258" s="224"/>
      <c r="B258" s="22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s="219" customFormat="1" x14ac:dyDescent="0.2">
      <c r="A259" s="224"/>
      <c r="B259" s="22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s="219" customFormat="1" x14ac:dyDescent="0.2">
      <c r="A260" s="224"/>
      <c r="B260" s="22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s="219" customFormat="1" x14ac:dyDescent="0.2">
      <c r="A261" s="224"/>
      <c r="B261" s="22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s="219" customFormat="1" x14ac:dyDescent="0.2">
      <c r="A262" s="224"/>
      <c r="B262" s="22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s="219" customFormat="1" x14ac:dyDescent="0.2">
      <c r="A263" s="224"/>
      <c r="B263" s="22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s="219" customFormat="1" x14ac:dyDescent="0.2">
      <c r="A264" s="224"/>
      <c r="B264" s="22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s="219" customFormat="1" x14ac:dyDescent="0.2">
      <c r="A265" s="224"/>
      <c r="B265" s="22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s="219" customFormat="1" x14ac:dyDescent="0.2">
      <c r="A266" s="224"/>
      <c r="B266" s="22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s="219" customFormat="1" x14ac:dyDescent="0.2">
      <c r="A267" s="224"/>
      <c r="B267" s="22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s="219" customFormat="1" x14ac:dyDescent="0.2">
      <c r="A268" s="224"/>
      <c r="B268" s="22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s="219" customFormat="1" x14ac:dyDescent="0.2">
      <c r="A269" s="224"/>
      <c r="B269" s="22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s="219" customFormat="1" x14ac:dyDescent="0.2">
      <c r="A270" s="224"/>
      <c r="B270" s="22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s="219" customFormat="1" x14ac:dyDescent="0.2">
      <c r="A271" s="224"/>
      <c r="B271" s="22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s="219" customFormat="1" x14ac:dyDescent="0.2">
      <c r="A272" s="224"/>
      <c r="B272" s="22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s="219" customFormat="1" x14ac:dyDescent="0.2">
      <c r="A273" s="224"/>
      <c r="B273" s="22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s="219" customFormat="1" x14ac:dyDescent="0.2">
      <c r="A274" s="224"/>
      <c r="B274" s="22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s="219" customFormat="1" x14ac:dyDescent="0.2">
      <c r="A275" s="224"/>
      <c r="B275" s="22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s="219" customFormat="1" x14ac:dyDescent="0.2">
      <c r="A276" s="224"/>
      <c r="B276" s="22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s="219" customFormat="1" x14ac:dyDescent="0.2">
      <c r="A277" s="224"/>
      <c r="B277" s="22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s="219" customFormat="1" x14ac:dyDescent="0.2">
      <c r="A278" s="224"/>
      <c r="B278" s="22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s="219" customFormat="1" x14ac:dyDescent="0.2">
      <c r="A279" s="224"/>
      <c r="B279" s="22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s="219" customFormat="1" x14ac:dyDescent="0.2">
      <c r="A280" s="224"/>
      <c r="B280" s="22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s="219" customFormat="1" x14ac:dyDescent="0.2">
      <c r="A281" s="224"/>
      <c r="B281" s="22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s="219" customFormat="1" x14ac:dyDescent="0.2">
      <c r="A282" s="224"/>
      <c r="B282" s="22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s="219" customFormat="1" x14ac:dyDescent="0.2">
      <c r="A283" s="224"/>
      <c r="B283" s="22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s="219" customFormat="1" x14ac:dyDescent="0.2">
      <c r="A284" s="224"/>
      <c r="B284" s="22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s="219" customFormat="1" x14ac:dyDescent="0.2">
      <c r="A285" s="224"/>
      <c r="B285" s="22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s="219" customFormat="1" x14ac:dyDescent="0.2">
      <c r="A286" s="224"/>
      <c r="B286" s="22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s="219" customFormat="1" x14ac:dyDescent="0.2">
      <c r="A287" s="224"/>
      <c r="B287" s="22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s="219" customFormat="1" x14ac:dyDescent="0.2">
      <c r="A288" s="224"/>
      <c r="B288" s="22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s="219" customFormat="1" x14ac:dyDescent="0.2">
      <c r="A289" s="224"/>
      <c r="B289" s="22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s="219" customFormat="1" x14ac:dyDescent="0.2">
      <c r="A290" s="224"/>
      <c r="B290" s="22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s="219" customFormat="1" x14ac:dyDescent="0.2">
      <c r="A291" s="224"/>
      <c r="B291" s="22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s="219" customFormat="1" x14ac:dyDescent="0.2">
      <c r="A292" s="224"/>
      <c r="B292" s="22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s="219" customFormat="1" x14ac:dyDescent="0.2">
      <c r="A293" s="224"/>
      <c r="B293" s="22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s="219" customFormat="1" x14ac:dyDescent="0.2">
      <c r="A294" s="224"/>
      <c r="B294" s="22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s="219" customFormat="1" x14ac:dyDescent="0.2">
      <c r="A295" s="224"/>
      <c r="B295" s="22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s="219" customFormat="1" x14ac:dyDescent="0.2">
      <c r="A296" s="224"/>
      <c r="B296" s="22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s="219" customFormat="1" x14ac:dyDescent="0.2">
      <c r="A297" s="224"/>
      <c r="B297" s="22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s="219" customFormat="1" x14ac:dyDescent="0.2">
      <c r="A298" s="224"/>
      <c r="B298" s="22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s="219" customFormat="1" x14ac:dyDescent="0.2">
      <c r="A299" s="224"/>
      <c r="B299" s="22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s="219" customFormat="1" x14ac:dyDescent="0.2">
      <c r="A300" s="224"/>
      <c r="B300" s="22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s="219" customFormat="1" x14ac:dyDescent="0.2">
      <c r="A301" s="224"/>
      <c r="B301" s="22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s="219" customFormat="1" x14ac:dyDescent="0.2">
      <c r="A302" s="224"/>
      <c r="B302" s="22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s="219" customFormat="1" x14ac:dyDescent="0.2">
      <c r="A303" s="224"/>
      <c r="B303" s="22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s="219" customFormat="1" x14ac:dyDescent="0.2">
      <c r="A304" s="224"/>
      <c r="B304" s="22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s="219" customFormat="1" x14ac:dyDescent="0.2">
      <c r="A305" s="224"/>
      <c r="B305" s="22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s="219" customFormat="1" x14ac:dyDescent="0.2">
      <c r="A306" s="224"/>
      <c r="B306" s="22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s="219" customFormat="1" x14ac:dyDescent="0.2">
      <c r="A307" s="224"/>
      <c r="B307" s="22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s="219" customFormat="1" x14ac:dyDescent="0.2">
      <c r="A308" s="224"/>
      <c r="B308" s="22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s="219" customFormat="1" x14ac:dyDescent="0.2">
      <c r="A309" s="224"/>
      <c r="B309" s="22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s="219" customFormat="1" x14ac:dyDescent="0.2">
      <c r="A310" s="224"/>
      <c r="B310" s="22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s="219" customFormat="1" x14ac:dyDescent="0.2">
      <c r="A311" s="224"/>
      <c r="B311" s="22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s="219" customFormat="1" x14ac:dyDescent="0.2">
      <c r="A312" s="224"/>
      <c r="B312" s="22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s="219" customFormat="1" x14ac:dyDescent="0.2">
      <c r="A313" s="224"/>
      <c r="B313" s="22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s="219" customFormat="1" x14ac:dyDescent="0.2">
      <c r="A314" s="224"/>
      <c r="B314" s="22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s="219" customFormat="1" x14ac:dyDescent="0.2">
      <c r="A315" s="224"/>
      <c r="B315" s="22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s="219" customFormat="1" x14ac:dyDescent="0.2">
      <c r="A316" s="224"/>
      <c r="B316" s="22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s="219" customFormat="1" x14ac:dyDescent="0.2">
      <c r="A317" s="224"/>
      <c r="B317" s="22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s="219" customFormat="1" x14ac:dyDescent="0.2">
      <c r="A318" s="224"/>
      <c r="B318" s="22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s="219" customFormat="1" x14ac:dyDescent="0.2">
      <c r="A319" s="224"/>
      <c r="B319" s="22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s="219" customFormat="1" x14ac:dyDescent="0.2">
      <c r="A320" s="224"/>
      <c r="B320" s="22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s="219" customFormat="1" x14ac:dyDescent="0.2">
      <c r="A321" s="224"/>
      <c r="B321" s="22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s="219" customFormat="1" x14ac:dyDescent="0.2">
      <c r="A322" s="224"/>
      <c r="B322" s="22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s="219" customFormat="1" x14ac:dyDescent="0.2">
      <c r="A323" s="224"/>
      <c r="B323" s="22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s="219" customFormat="1" x14ac:dyDescent="0.2">
      <c r="A324" s="224"/>
      <c r="B324" s="22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s="219" customFormat="1" x14ac:dyDescent="0.2">
      <c r="A325" s="224"/>
      <c r="B325" s="22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s="219" customFormat="1" x14ac:dyDescent="0.2">
      <c r="A326" s="224"/>
      <c r="B326" s="22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s="219" customFormat="1" x14ac:dyDescent="0.2">
      <c r="A327" s="224"/>
      <c r="B327" s="22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s="219" customFormat="1" x14ac:dyDescent="0.2">
      <c r="A328" s="224"/>
      <c r="B328" s="22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s="219" customFormat="1" x14ac:dyDescent="0.2">
      <c r="A329" s="224"/>
      <c r="B329" s="22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s="219" customFormat="1" x14ac:dyDescent="0.2">
      <c r="A330" s="224"/>
      <c r="B330" s="22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s="219" customFormat="1" x14ac:dyDescent="0.2">
      <c r="A331" s="224"/>
      <c r="B331" s="22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</sheetData>
  <phoneticPr fontId="14" type="noConversion"/>
  <printOptions horizontalCentered="1"/>
  <pageMargins left="0.45" right="0.45" top="1.25" bottom="0.75" header="0.55000000000000004" footer="0.3"/>
  <pageSetup scale="60" fitToHeight="2" orientation="landscape" r:id="rId1"/>
  <headerFooter>
    <oddFooter>&amp;RExhibit JW-7
Page &amp;P of &amp;N</oddFooter>
  </headerFooter>
  <rowBreaks count="4" manualBreakCount="4">
    <brk id="43" max="16383" man="1"/>
    <brk id="104" max="15" man="1"/>
    <brk id="156" max="15" man="1"/>
    <brk id="215" max="16383" man="1"/>
  </rowBreaks>
  <ignoredErrors>
    <ignoredError sqref="D14:O14 D72:P72 D85:O85 D101:O101 D117:O117 D134:O134 D153:O153 D169:O169 D186:O18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90"/>
  <sheetViews>
    <sheetView tabSelected="1" view="pageBreakPreview" zoomScaleNormal="100" zoomScaleSheetLayoutView="100" workbookViewId="0">
      <selection activeCell="C224" sqref="C224"/>
    </sheetView>
  </sheetViews>
  <sheetFormatPr defaultColWidth="9.140625" defaultRowHeight="12.75" x14ac:dyDescent="0.2"/>
  <cols>
    <col min="1" max="1" width="5.5703125" style="14" customWidth="1"/>
    <col min="2" max="2" width="30.5703125" style="27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tr">
        <f>'Summary of Returns'!A1</f>
        <v>BLUE GRASS ENERGY</v>
      </c>
    </row>
    <row r="2" spans="1:8" x14ac:dyDescent="0.2">
      <c r="A2" s="13" t="s">
        <v>677</v>
      </c>
    </row>
    <row r="4" spans="1:8" ht="62.25" customHeight="1" thickBot="1" x14ac:dyDescent="0.25">
      <c r="A4" s="62" t="s">
        <v>944</v>
      </c>
      <c r="B4" s="86" t="s">
        <v>751</v>
      </c>
      <c r="C4" s="119" t="s">
        <v>867</v>
      </c>
      <c r="D4" s="80" t="s">
        <v>868</v>
      </c>
      <c r="E4" s="80" t="s">
        <v>869</v>
      </c>
      <c r="F4" s="80" t="s">
        <v>860</v>
      </c>
      <c r="G4" s="80" t="s">
        <v>870</v>
      </c>
      <c r="H4" s="81"/>
    </row>
    <row r="5" spans="1:8" x14ac:dyDescent="0.2">
      <c r="A5" s="27"/>
      <c r="B5" s="13"/>
      <c r="C5" s="57"/>
      <c r="E5" s="274"/>
    </row>
    <row r="6" spans="1:8" x14ac:dyDescent="0.2">
      <c r="A6" s="27">
        <v>1</v>
      </c>
      <c r="B6" s="14" t="str">
        <f>'Summary of Returns'!B10</f>
        <v>Residential and Farm</v>
      </c>
      <c r="C6" s="120" t="str">
        <f>'Summary of Returns'!C10</f>
        <v>GS-1</v>
      </c>
      <c r="D6" s="103">
        <f>'Billing Det'!C8</f>
        <v>60373.142287506394</v>
      </c>
      <c r="E6" s="121">
        <v>212</v>
      </c>
      <c r="F6" s="121">
        <f t="shared" ref="F6:F9" si="0">E6*D6</f>
        <v>12799106.164951356</v>
      </c>
      <c r="G6" s="122">
        <f t="shared" ref="G6:G11" si="1">F6/$F$33</f>
        <v>0.93962069859209651</v>
      </c>
      <c r="H6" s="122"/>
    </row>
    <row r="7" spans="1:8" x14ac:dyDescent="0.2">
      <c r="A7" s="27">
        <v>2</v>
      </c>
      <c r="B7" s="14" t="str">
        <f>'Summary of Returns'!B11</f>
        <v>Residential and Farm Inclining Block</v>
      </c>
      <c r="C7" s="120" t="str">
        <f>'Summary of Returns'!C11</f>
        <v>GS-2</v>
      </c>
      <c r="D7" s="103">
        <f>'Billing Det'!C9</f>
        <v>117.41666666666667</v>
      </c>
      <c r="E7" s="121">
        <v>212</v>
      </c>
      <c r="F7" s="121">
        <f t="shared" si="0"/>
        <v>24892.333333333336</v>
      </c>
      <c r="G7" s="122">
        <f t="shared" si="1"/>
        <v>1.8274207069476944E-3</v>
      </c>
      <c r="H7" s="122"/>
    </row>
    <row r="8" spans="1:8" x14ac:dyDescent="0.2">
      <c r="A8" s="27">
        <v>3</v>
      </c>
      <c r="B8" s="14" t="str">
        <f>'Summary of Returns'!B12</f>
        <v>Residential and Farm Time-of-Day Rate</v>
      </c>
      <c r="C8" s="120" t="str">
        <f>'Summary of Returns'!C12</f>
        <v>GS-3</v>
      </c>
      <c r="D8" s="103">
        <f>'Billing Det'!C10</f>
        <v>19</v>
      </c>
      <c r="E8" s="121">
        <v>258</v>
      </c>
      <c r="F8" s="121">
        <f t="shared" si="0"/>
        <v>4902</v>
      </c>
      <c r="G8" s="122">
        <f t="shared" si="1"/>
        <v>3.5987049448120293E-4</v>
      </c>
      <c r="H8" s="122"/>
    </row>
    <row r="9" spans="1:8" x14ac:dyDescent="0.2">
      <c r="A9" s="27">
        <v>4</v>
      </c>
      <c r="B9" s="14" t="str">
        <f>'Summary of Returns'!B13</f>
        <v>General Service (0-100 KW)</v>
      </c>
      <c r="C9" s="120" t="str">
        <f>'Summary of Returns'!C13</f>
        <v>SC-1</v>
      </c>
      <c r="D9" s="103">
        <f>'Billing Det'!C11</f>
        <v>3037.1666666666665</v>
      </c>
      <c r="E9" s="121">
        <v>190.8</v>
      </c>
      <c r="F9" s="121">
        <f t="shared" si="0"/>
        <v>579491.4</v>
      </c>
      <c r="G9" s="122">
        <f t="shared" si="1"/>
        <v>4.2542198422195948E-2</v>
      </c>
      <c r="H9" s="122"/>
    </row>
    <row r="10" spans="1:8" x14ac:dyDescent="0.2">
      <c r="A10" s="27">
        <v>5</v>
      </c>
      <c r="B10" s="14" t="str">
        <f>'Summary of Returns'!B14</f>
        <v>General Service 0-100 KW Time of Day Rate</v>
      </c>
      <c r="C10" s="120" t="str">
        <f>'Summary of Returns'!C14</f>
        <v>SC-2</v>
      </c>
      <c r="D10" s="103">
        <f>'Billing Det'!C12</f>
        <v>48.666666666666664</v>
      </c>
      <c r="E10" s="121">
        <v>258</v>
      </c>
      <c r="F10" s="121">
        <f>E10*D10</f>
        <v>12556</v>
      </c>
      <c r="G10" s="122">
        <f t="shared" si="1"/>
        <v>9.2177354726764252E-4</v>
      </c>
      <c r="H10" s="122"/>
    </row>
    <row r="11" spans="1:8" x14ac:dyDescent="0.2">
      <c r="A11" s="27">
        <v>6</v>
      </c>
      <c r="B11" s="14" t="str">
        <f>'Summary of Returns'!B15</f>
        <v>Large Power (101 - 500 kW)</v>
      </c>
      <c r="C11" s="120" t="str">
        <f>'Summary of Returns'!C15</f>
        <v>LP-1</v>
      </c>
      <c r="D11" s="103">
        <f>'Billing Det'!C13</f>
        <v>62.083333333333336</v>
      </c>
      <c r="E11" s="121">
        <v>1525.0900000000001</v>
      </c>
      <c r="F11" s="121">
        <f>E11*D11</f>
        <v>94682.670833333352</v>
      </c>
      <c r="G11" s="122">
        <f t="shared" si="1"/>
        <v>6.950938305098458E-3</v>
      </c>
      <c r="H11" s="122"/>
    </row>
    <row r="12" spans="1:8" x14ac:dyDescent="0.2">
      <c r="A12" s="27">
        <v>7</v>
      </c>
      <c r="B12" s="14" t="str">
        <f>'Summary of Returns'!B16</f>
        <v>Large Power (over 500 kW)</v>
      </c>
      <c r="C12" s="120" t="str">
        <f>'Summary of Returns'!C16</f>
        <v>LP-2</v>
      </c>
      <c r="D12" s="103">
        <f>'Billing Det'!C14</f>
        <v>29.666666666666668</v>
      </c>
      <c r="E12" s="121">
        <f>E11</f>
        <v>1525.0900000000001</v>
      </c>
      <c r="F12" s="121">
        <f>E12*D12</f>
        <v>45244.33666666667</v>
      </c>
      <c r="G12" s="122">
        <f t="shared" ref="G12" si="2">F12/$F$33</f>
        <v>3.3215221967987257E-3</v>
      </c>
      <c r="H12" s="122"/>
    </row>
    <row r="13" spans="1:8" x14ac:dyDescent="0.2">
      <c r="A13" s="27">
        <v>8</v>
      </c>
      <c r="B13" s="14" t="str">
        <f>'Summary of Returns'!B17</f>
        <v>Large Industrial (1,000 - 3,999 kW)</v>
      </c>
      <c r="C13" s="120" t="str">
        <f>'Summary of Returns'!C17</f>
        <v>B-1</v>
      </c>
      <c r="D13" s="103">
        <f>'Billing Det'!C15</f>
        <v>3</v>
      </c>
      <c r="E13" s="121">
        <v>2612.65</v>
      </c>
      <c r="F13" s="121">
        <f>E13*D13</f>
        <v>7837.9500000000007</v>
      </c>
      <c r="G13" s="122">
        <f t="shared" ref="G13" si="3">F13/$F$33</f>
        <v>5.7540737295368107E-4</v>
      </c>
      <c r="H13" s="122"/>
    </row>
    <row r="14" spans="1:8" x14ac:dyDescent="0.2">
      <c r="A14" s="27">
        <v>9</v>
      </c>
      <c r="B14" s="14" t="str">
        <f>'Summary of Returns'!B18</f>
        <v>Large Industrial (over 4,000 kW)</v>
      </c>
      <c r="C14" s="120" t="str">
        <f>'Summary of Returns'!C18</f>
        <v>B-2</v>
      </c>
      <c r="D14" s="103">
        <f>'Billing Det'!C16</f>
        <v>3</v>
      </c>
      <c r="E14" s="121">
        <v>17618</v>
      </c>
      <c r="F14" s="121">
        <f>E14*D14</f>
        <v>52854</v>
      </c>
      <c r="G14" s="122">
        <f t="shared" ref="G14" si="4">F14/$F$33</f>
        <v>3.8801703621602402E-3</v>
      </c>
      <c r="H14" s="122"/>
    </row>
    <row r="15" spans="1:8" x14ac:dyDescent="0.2">
      <c r="A15" s="27">
        <v>10</v>
      </c>
      <c r="B15" s="14" t="str">
        <f>'Summary of Returns'!B19</f>
        <v>Large Industrial Rate (15,000+ kW)</v>
      </c>
      <c r="C15" s="120" t="str">
        <f>'Summary of Returns'!C19</f>
        <v>G1</v>
      </c>
      <c r="D15" s="103">
        <f>'Billing Det'!C17</f>
        <v>1</v>
      </c>
      <c r="E15" s="121">
        <v>0</v>
      </c>
      <c r="F15" s="103">
        <f t="shared" ref="F15:F16" si="5">E15*D15</f>
        <v>0</v>
      </c>
      <c r="G15" s="122">
        <f t="shared" ref="G15:G32" si="6">F15/F$33</f>
        <v>0</v>
      </c>
    </row>
    <row r="16" spans="1:8" x14ac:dyDescent="0.2">
      <c r="A16" s="27">
        <v>11</v>
      </c>
      <c r="B16" s="14" t="str">
        <f>'Summary of Returns'!B20</f>
        <v>Lighting</v>
      </c>
      <c r="C16" s="120" t="str">
        <f>'Summary of Returns'!C20</f>
        <v>L</v>
      </c>
      <c r="D16" s="103">
        <f>'Billing Det'!C18</f>
        <v>15341.5</v>
      </c>
      <c r="E16" s="121">
        <v>0</v>
      </c>
      <c r="F16" s="103">
        <f t="shared" si="5"/>
        <v>0</v>
      </c>
      <c r="G16" s="122">
        <f t="shared" si="6"/>
        <v>0</v>
      </c>
    </row>
    <row r="17" spans="1:7" hidden="1" x14ac:dyDescent="0.2">
      <c r="A17" s="27"/>
      <c r="B17" s="14"/>
      <c r="C17" s="27"/>
      <c r="D17" s="103"/>
      <c r="E17" s="121"/>
      <c r="F17" s="121"/>
      <c r="G17" s="122">
        <f t="shared" si="6"/>
        <v>0</v>
      </c>
    </row>
    <row r="18" spans="1:7" hidden="1" x14ac:dyDescent="0.2">
      <c r="A18" s="27"/>
      <c r="B18" s="100"/>
      <c r="C18" s="27"/>
      <c r="D18" s="103"/>
      <c r="E18" s="121"/>
      <c r="F18" s="121"/>
      <c r="G18" s="122">
        <f t="shared" si="6"/>
        <v>0</v>
      </c>
    </row>
    <row r="19" spans="1:7" hidden="1" x14ac:dyDescent="0.2">
      <c r="A19" s="27"/>
      <c r="B19" s="14"/>
      <c r="C19" s="27"/>
      <c r="D19" s="103"/>
      <c r="E19" s="121"/>
      <c r="F19" s="121"/>
      <c r="G19" s="122">
        <f t="shared" si="6"/>
        <v>0</v>
      </c>
    </row>
    <row r="20" spans="1:7" hidden="1" x14ac:dyDescent="0.2">
      <c r="A20" s="27"/>
      <c r="B20" s="14"/>
      <c r="C20" s="27"/>
      <c r="D20" s="103"/>
      <c r="E20" s="121"/>
      <c r="F20" s="121"/>
      <c r="G20" s="122">
        <f t="shared" si="6"/>
        <v>0</v>
      </c>
    </row>
    <row r="21" spans="1:7" hidden="1" x14ac:dyDescent="0.2">
      <c r="A21" s="27"/>
      <c r="B21" s="14"/>
      <c r="C21" s="27"/>
      <c r="D21" s="103"/>
      <c r="E21" s="121"/>
      <c r="F21" s="121"/>
      <c r="G21" s="122">
        <f t="shared" si="6"/>
        <v>0</v>
      </c>
    </row>
    <row r="22" spans="1:7" hidden="1" x14ac:dyDescent="0.2">
      <c r="A22" s="27"/>
      <c r="B22" s="14"/>
      <c r="C22" s="27"/>
      <c r="D22" s="103"/>
      <c r="E22" s="121"/>
      <c r="F22" s="121"/>
      <c r="G22" s="122">
        <f t="shared" si="6"/>
        <v>0</v>
      </c>
    </row>
    <row r="23" spans="1:7" hidden="1" x14ac:dyDescent="0.2">
      <c r="A23" s="27"/>
      <c r="B23" s="14"/>
      <c r="C23" s="27"/>
      <c r="D23" s="103"/>
      <c r="E23" s="121"/>
      <c r="F23" s="121"/>
      <c r="G23" s="122">
        <f t="shared" si="6"/>
        <v>0</v>
      </c>
    </row>
    <row r="24" spans="1:7" hidden="1" x14ac:dyDescent="0.2">
      <c r="A24" s="27"/>
      <c r="B24" s="14"/>
      <c r="C24" s="27"/>
      <c r="D24" s="103"/>
      <c r="E24" s="121"/>
      <c r="F24" s="121"/>
      <c r="G24" s="122">
        <f t="shared" si="6"/>
        <v>0</v>
      </c>
    </row>
    <row r="25" spans="1:7" hidden="1" x14ac:dyDescent="0.2">
      <c r="A25" s="27"/>
      <c r="B25" s="14"/>
      <c r="C25" s="27"/>
      <c r="D25" s="103"/>
      <c r="E25" s="121"/>
      <c r="F25" s="121"/>
      <c r="G25" s="122">
        <f t="shared" si="6"/>
        <v>0</v>
      </c>
    </row>
    <row r="26" spans="1:7" hidden="1" x14ac:dyDescent="0.2">
      <c r="A26" s="27"/>
      <c r="B26" s="14"/>
      <c r="C26" s="27"/>
      <c r="D26" s="103"/>
      <c r="E26" s="121"/>
      <c r="F26" s="121"/>
      <c r="G26" s="122">
        <f t="shared" si="6"/>
        <v>0</v>
      </c>
    </row>
    <row r="27" spans="1:7" hidden="1" x14ac:dyDescent="0.2">
      <c r="A27" s="27"/>
      <c r="B27" s="14"/>
      <c r="C27" s="27"/>
      <c r="D27" s="103"/>
      <c r="E27" s="121"/>
      <c r="F27" s="121"/>
      <c r="G27" s="122">
        <f t="shared" si="6"/>
        <v>0</v>
      </c>
    </row>
    <row r="28" spans="1:7" hidden="1" x14ac:dyDescent="0.2">
      <c r="A28" s="27"/>
      <c r="B28" s="14"/>
      <c r="C28" s="27"/>
      <c r="D28" s="103"/>
      <c r="E28" s="121"/>
      <c r="F28" s="121"/>
      <c r="G28" s="122">
        <f t="shared" si="6"/>
        <v>0</v>
      </c>
    </row>
    <row r="29" spans="1:7" hidden="1" x14ac:dyDescent="0.2">
      <c r="A29" s="27"/>
      <c r="B29" s="14"/>
      <c r="C29" s="27"/>
      <c r="D29" s="103"/>
      <c r="E29" s="121"/>
      <c r="F29" s="121"/>
      <c r="G29" s="122">
        <f t="shared" si="6"/>
        <v>0</v>
      </c>
    </row>
    <row r="30" spans="1:7" hidden="1" x14ac:dyDescent="0.2">
      <c r="A30" s="27"/>
      <c r="B30" s="14"/>
      <c r="C30" s="27"/>
      <c r="D30" s="103"/>
      <c r="E30" s="121"/>
      <c r="F30" s="121"/>
      <c r="G30" s="122">
        <f t="shared" si="6"/>
        <v>0</v>
      </c>
    </row>
    <row r="31" spans="1:7" hidden="1" x14ac:dyDescent="0.2">
      <c r="A31" s="27"/>
      <c r="B31" s="14"/>
      <c r="C31" s="27"/>
      <c r="D31" s="103"/>
      <c r="E31" s="121"/>
      <c r="F31" s="121"/>
      <c r="G31" s="122">
        <f t="shared" si="6"/>
        <v>0</v>
      </c>
    </row>
    <row r="32" spans="1:7" hidden="1" x14ac:dyDescent="0.2">
      <c r="A32" s="27"/>
      <c r="B32" s="14"/>
      <c r="C32" s="27"/>
      <c r="D32" s="103"/>
      <c r="E32" s="121"/>
      <c r="F32" s="121"/>
      <c r="G32" s="122">
        <f t="shared" si="6"/>
        <v>0</v>
      </c>
    </row>
    <row r="33" spans="1:16" ht="13.5" thickBot="1" x14ac:dyDescent="0.25">
      <c r="A33" s="27">
        <v>10</v>
      </c>
      <c r="B33" s="123" t="s">
        <v>0</v>
      </c>
      <c r="C33" s="124"/>
      <c r="D33" s="125">
        <f>SUM(D6:D14)</f>
        <v>63693.142287506387</v>
      </c>
      <c r="E33" s="126">
        <f>F33/D33</f>
        <v>213.86237774700908</v>
      </c>
      <c r="F33" s="127">
        <f>SUM(F6:F14)</f>
        <v>13621566.855784688</v>
      </c>
      <c r="G33" s="128">
        <f>SUM(G6:G14)</f>
        <v>1</v>
      </c>
      <c r="H33" s="46"/>
    </row>
    <row r="34" spans="1:16" ht="13.5" thickTop="1" x14ac:dyDescent="0.2">
      <c r="A34" s="27"/>
      <c r="B34" s="14"/>
      <c r="C34" s="129"/>
      <c r="D34" s="49"/>
    </row>
    <row r="35" spans="1:16" x14ac:dyDescent="0.2">
      <c r="B35" s="129"/>
      <c r="C35" s="49"/>
    </row>
    <row r="36" spans="1:16" x14ac:dyDescent="0.2">
      <c r="B36" s="129"/>
      <c r="C36" s="49"/>
    </row>
    <row r="37" spans="1:16" x14ac:dyDescent="0.2">
      <c r="B37" s="130"/>
      <c r="C37" s="131"/>
    </row>
    <row r="38" spans="1:16" s="13" customFormat="1" x14ac:dyDescent="0.2">
      <c r="A38" s="14"/>
      <c r="B38" s="130"/>
      <c r="C38" s="13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">
      <c r="B39" s="130"/>
      <c r="C39" s="131"/>
    </row>
    <row r="40" spans="1:16" x14ac:dyDescent="0.2">
      <c r="B40" s="129"/>
      <c r="C40" s="49"/>
    </row>
    <row r="41" spans="1:16" x14ac:dyDescent="0.2">
      <c r="B41" s="129"/>
      <c r="C41" s="49"/>
    </row>
    <row r="42" spans="1:16" x14ac:dyDescent="0.2">
      <c r="B42" s="129"/>
      <c r="C42" s="49"/>
    </row>
    <row r="43" spans="1:16" x14ac:dyDescent="0.2">
      <c r="B43" s="129"/>
      <c r="C43" s="49"/>
    </row>
    <row r="44" spans="1:16" x14ac:dyDescent="0.2">
      <c r="B44" s="129"/>
      <c r="C44" s="49"/>
    </row>
    <row r="45" spans="1:16" x14ac:dyDescent="0.2">
      <c r="B45" s="129"/>
      <c r="C45" s="49"/>
    </row>
    <row r="46" spans="1:16" x14ac:dyDescent="0.2">
      <c r="B46" s="129"/>
      <c r="C46" s="49"/>
    </row>
    <row r="47" spans="1:16" x14ac:dyDescent="0.2">
      <c r="B47" s="129"/>
      <c r="C47" s="49"/>
    </row>
    <row r="48" spans="1:16" x14ac:dyDescent="0.2">
      <c r="B48" s="129"/>
      <c r="C48" s="49"/>
    </row>
    <row r="49" spans="2:3" x14ac:dyDescent="0.2">
      <c r="B49" s="129"/>
      <c r="C49" s="49"/>
    </row>
    <row r="50" spans="2:3" x14ac:dyDescent="0.2">
      <c r="B50" s="129"/>
      <c r="C50" s="49"/>
    </row>
    <row r="51" spans="2:3" x14ac:dyDescent="0.2">
      <c r="B51" s="129"/>
      <c r="C51" s="49"/>
    </row>
    <row r="52" spans="2:3" x14ac:dyDescent="0.2">
      <c r="B52" s="129"/>
      <c r="C52" s="49"/>
    </row>
    <row r="53" spans="2:3" x14ac:dyDescent="0.2">
      <c r="B53" s="129"/>
      <c r="C53" s="49"/>
    </row>
    <row r="54" spans="2:3" x14ac:dyDescent="0.2">
      <c r="B54" s="129"/>
      <c r="C54" s="49"/>
    </row>
    <row r="55" spans="2:3" x14ac:dyDescent="0.2">
      <c r="B55" s="129"/>
      <c r="C55" s="49"/>
    </row>
    <row r="56" spans="2:3" x14ac:dyDescent="0.2">
      <c r="B56" s="129"/>
      <c r="C56" s="49"/>
    </row>
    <row r="57" spans="2:3" x14ac:dyDescent="0.2">
      <c r="B57" s="129"/>
      <c r="C57" s="49"/>
    </row>
    <row r="58" spans="2:3" x14ac:dyDescent="0.2">
      <c r="B58" s="129"/>
      <c r="C58" s="49"/>
    </row>
    <row r="59" spans="2:3" x14ac:dyDescent="0.2">
      <c r="B59" s="129"/>
      <c r="C59" s="49"/>
    </row>
    <row r="60" spans="2:3" x14ac:dyDescent="0.2">
      <c r="B60" s="129"/>
      <c r="C60" s="49"/>
    </row>
    <row r="61" spans="2:3" x14ac:dyDescent="0.2">
      <c r="B61" s="129"/>
      <c r="C61" s="49"/>
    </row>
    <row r="62" spans="2:3" x14ac:dyDescent="0.2">
      <c r="B62" s="129"/>
      <c r="C62" s="49"/>
    </row>
    <row r="63" spans="2:3" x14ac:dyDescent="0.2">
      <c r="B63" s="129"/>
      <c r="C63" s="49"/>
    </row>
    <row r="64" spans="2:3" x14ac:dyDescent="0.2">
      <c r="B64" s="129"/>
      <c r="C64" s="49"/>
    </row>
    <row r="65" spans="2:3" x14ac:dyDescent="0.2">
      <c r="B65" s="129"/>
      <c r="C65" s="49"/>
    </row>
    <row r="66" spans="2:3" x14ac:dyDescent="0.2">
      <c r="B66" s="129"/>
      <c r="C66" s="49"/>
    </row>
    <row r="67" spans="2:3" x14ac:dyDescent="0.2">
      <c r="B67" s="129"/>
      <c r="C67" s="49"/>
    </row>
    <row r="68" spans="2:3" x14ac:dyDescent="0.2">
      <c r="B68" s="129"/>
      <c r="C68" s="49"/>
    </row>
    <row r="69" spans="2:3" x14ac:dyDescent="0.2">
      <c r="B69" s="129"/>
      <c r="C69" s="49"/>
    </row>
    <row r="70" spans="2:3" x14ac:dyDescent="0.2">
      <c r="B70" s="129"/>
      <c r="C70" s="49"/>
    </row>
    <row r="71" spans="2:3" x14ac:dyDescent="0.2">
      <c r="B71" s="129"/>
      <c r="C71" s="49"/>
    </row>
    <row r="72" spans="2:3" x14ac:dyDescent="0.2">
      <c r="B72" s="129"/>
      <c r="C72" s="49"/>
    </row>
    <row r="73" spans="2:3" x14ac:dyDescent="0.2">
      <c r="B73" s="129"/>
      <c r="C73" s="49"/>
    </row>
    <row r="74" spans="2:3" x14ac:dyDescent="0.2">
      <c r="B74" s="129"/>
      <c r="C74" s="49"/>
    </row>
    <row r="75" spans="2:3" x14ac:dyDescent="0.2">
      <c r="B75" s="129"/>
      <c r="C75" s="49"/>
    </row>
    <row r="76" spans="2:3" x14ac:dyDescent="0.2">
      <c r="B76" s="129"/>
      <c r="C76" s="49"/>
    </row>
    <row r="77" spans="2:3" x14ac:dyDescent="0.2">
      <c r="B77" s="129"/>
      <c r="C77" s="49"/>
    </row>
    <row r="78" spans="2:3" x14ac:dyDescent="0.2">
      <c r="B78" s="129"/>
      <c r="C78" s="49"/>
    </row>
    <row r="79" spans="2:3" x14ac:dyDescent="0.2">
      <c r="B79" s="129"/>
      <c r="C79" s="49"/>
    </row>
    <row r="80" spans="2:3" x14ac:dyDescent="0.2">
      <c r="B80" s="129"/>
      <c r="C80" s="49"/>
    </row>
    <row r="81" spans="2:3" x14ac:dyDescent="0.2">
      <c r="B81" s="129"/>
      <c r="C81" s="49"/>
    </row>
    <row r="82" spans="2:3" x14ac:dyDescent="0.2">
      <c r="B82" s="129"/>
      <c r="C82" s="49"/>
    </row>
    <row r="83" spans="2:3" x14ac:dyDescent="0.2">
      <c r="B83" s="129"/>
      <c r="C83" s="49"/>
    </row>
    <row r="84" spans="2:3" x14ac:dyDescent="0.2">
      <c r="B84" s="129"/>
      <c r="C84" s="49"/>
    </row>
    <row r="85" spans="2:3" x14ac:dyDescent="0.2">
      <c r="B85" s="129"/>
      <c r="C85" s="49"/>
    </row>
    <row r="86" spans="2:3" x14ac:dyDescent="0.2">
      <c r="B86" s="129"/>
      <c r="C86" s="49"/>
    </row>
    <row r="87" spans="2:3" x14ac:dyDescent="0.2">
      <c r="B87" s="129"/>
      <c r="C87" s="49"/>
    </row>
    <row r="88" spans="2:3" x14ac:dyDescent="0.2">
      <c r="B88" s="132"/>
    </row>
    <row r="89" spans="2:3" x14ac:dyDescent="0.2">
      <c r="B89" s="132"/>
    </row>
    <row r="90" spans="2:3" x14ac:dyDescent="0.2">
      <c r="B90" s="132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tabSelected="1" view="pageBreakPreview" zoomScaleNormal="100" zoomScaleSheetLayoutView="100" workbookViewId="0">
      <selection activeCell="C224" sqref="C224"/>
    </sheetView>
  </sheetViews>
  <sheetFormatPr defaultColWidth="9.140625" defaultRowHeight="12.75" x14ac:dyDescent="0.2"/>
  <cols>
    <col min="1" max="1" width="6.7109375" style="14" customWidth="1"/>
    <col min="2" max="2" width="30.85546875" style="27" customWidth="1"/>
    <col min="3" max="3" width="8.42578125" style="26" customWidth="1"/>
    <col min="4" max="4" width="13.28515625" style="26" customWidth="1"/>
    <col min="5" max="5" width="12.85546875" style="26" customWidth="1"/>
    <col min="6" max="6" width="15.42578125" style="26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tr">
        <f>'Summary of Returns'!A1</f>
        <v>BLUE GRASS ENERGY</v>
      </c>
    </row>
    <row r="2" spans="1:7" x14ac:dyDescent="0.2">
      <c r="A2" s="13" t="s">
        <v>698</v>
      </c>
    </row>
    <row r="4" spans="1:7" ht="45.75" customHeight="1" thickBot="1" x14ac:dyDescent="0.25">
      <c r="A4" s="62" t="s">
        <v>944</v>
      </c>
      <c r="B4" s="86" t="s">
        <v>751</v>
      </c>
      <c r="C4" s="119" t="s">
        <v>758</v>
      </c>
      <c r="D4" s="80" t="s">
        <v>872</v>
      </c>
      <c r="E4" s="80" t="s">
        <v>871</v>
      </c>
      <c r="F4" s="80" t="s">
        <v>859</v>
      </c>
      <c r="G4" s="80" t="s">
        <v>752</v>
      </c>
    </row>
    <row r="5" spans="1:7" x14ac:dyDescent="0.2">
      <c r="A5" s="27"/>
      <c r="B5" s="13"/>
      <c r="C5" s="57"/>
      <c r="G5" s="26"/>
    </row>
    <row r="6" spans="1:7" x14ac:dyDescent="0.2">
      <c r="A6" s="27">
        <v>1</v>
      </c>
      <c r="B6" s="14" t="str">
        <f>'Summary of Returns'!B10</f>
        <v>Residential and Farm</v>
      </c>
      <c r="C6" s="120" t="str">
        <f>'Summary of Returns'!C10</f>
        <v>GS-1</v>
      </c>
      <c r="D6" s="103">
        <f>'Billing Det'!C8</f>
        <v>60373.142287506394</v>
      </c>
      <c r="E6" s="121">
        <v>4890.03</v>
      </c>
      <c r="F6" s="103">
        <f>E6*D6</f>
        <v>295226476.9801749</v>
      </c>
      <c r="G6" s="122">
        <f>F6/F$33</f>
        <v>0.92057964499839062</v>
      </c>
    </row>
    <row r="7" spans="1:7" x14ac:dyDescent="0.2">
      <c r="A7" s="27">
        <v>2</v>
      </c>
      <c r="B7" s="14" t="str">
        <f>'Summary of Returns'!B11</f>
        <v>Residential and Farm Inclining Block</v>
      </c>
      <c r="C7" s="120" t="str">
        <f>'Summary of Returns'!C11</f>
        <v>GS-2</v>
      </c>
      <c r="D7" s="103">
        <f>'Billing Det'!C9</f>
        <v>117.41666666666667</v>
      </c>
      <c r="E7" s="121">
        <f>E6</f>
        <v>4890.03</v>
      </c>
      <c r="F7" s="103">
        <f t="shared" ref="F7:F12" si="0">E7*D7</f>
        <v>574171.02249999996</v>
      </c>
      <c r="G7" s="122">
        <f t="shared" ref="G7:G33" si="1">F7/F$33</f>
        <v>1.7903887262012328E-3</v>
      </c>
    </row>
    <row r="8" spans="1:7" x14ac:dyDescent="0.2">
      <c r="A8" s="27">
        <v>3</v>
      </c>
      <c r="B8" s="14" t="str">
        <f>'Summary of Returns'!B12</f>
        <v>Residential and Farm Time-of-Day Rate</v>
      </c>
      <c r="C8" s="120" t="str">
        <f>'Summary of Returns'!C12</f>
        <v>GS-3</v>
      </c>
      <c r="D8" s="103">
        <f>'Billing Det'!C10</f>
        <v>19</v>
      </c>
      <c r="E8" s="121">
        <f>E7</f>
        <v>4890.03</v>
      </c>
      <c r="F8" s="103">
        <f t="shared" si="0"/>
        <v>92910.569999999992</v>
      </c>
      <c r="G8" s="122">
        <f t="shared" si="1"/>
        <v>2.8971513809359907E-4</v>
      </c>
    </row>
    <row r="9" spans="1:7" x14ac:dyDescent="0.2">
      <c r="A9" s="27">
        <v>4</v>
      </c>
      <c r="B9" s="14" t="str">
        <f>'Summary of Returns'!B13</f>
        <v>General Service (0-100 KW)</v>
      </c>
      <c r="C9" s="120" t="str">
        <f>'Summary of Returns'!C13</f>
        <v>SC-1</v>
      </c>
      <c r="D9" s="103">
        <f>'Billing Det'!C11</f>
        <v>3037.1666666666665</v>
      </c>
      <c r="E9" s="121">
        <v>5856.03</v>
      </c>
      <c r="F9" s="103">
        <f t="shared" si="0"/>
        <v>17785739.114999998</v>
      </c>
      <c r="G9" s="122">
        <f t="shared" si="1"/>
        <v>5.5459759463309194E-2</v>
      </c>
    </row>
    <row r="10" spans="1:7" x14ac:dyDescent="0.2">
      <c r="A10" s="27">
        <v>5</v>
      </c>
      <c r="B10" s="14" t="str">
        <f>'Summary of Returns'!B14</f>
        <v>General Service 0-100 KW Time of Day Rate</v>
      </c>
      <c r="C10" s="120" t="str">
        <f>'Summary of Returns'!C14</f>
        <v>SC-2</v>
      </c>
      <c r="D10" s="103">
        <f>'Billing Det'!C12</f>
        <v>48.666666666666664</v>
      </c>
      <c r="E10" s="121">
        <f>E9</f>
        <v>5856.03</v>
      </c>
      <c r="F10" s="103">
        <f t="shared" si="0"/>
        <v>284993.45999999996</v>
      </c>
      <c r="G10" s="122">
        <f t="shared" si="1"/>
        <v>8.8867089739813891E-4</v>
      </c>
    </row>
    <row r="11" spans="1:7" x14ac:dyDescent="0.2">
      <c r="A11" s="27">
        <v>6</v>
      </c>
      <c r="B11" s="14" t="str">
        <f>'Summary of Returns'!B15</f>
        <v>Large Power (101 - 500 kW)</v>
      </c>
      <c r="C11" s="120" t="str">
        <f>'Summary of Returns'!C15</f>
        <v>LP-1</v>
      </c>
      <c r="D11" s="103">
        <f>'Billing Det'!C13</f>
        <v>62.083333333333336</v>
      </c>
      <c r="E11" s="121">
        <v>37622.53</v>
      </c>
      <c r="F11" s="103">
        <f t="shared" si="0"/>
        <v>2335732.0708333333</v>
      </c>
      <c r="G11" s="122">
        <f t="shared" si="1"/>
        <v>7.283314906486176E-3</v>
      </c>
    </row>
    <row r="12" spans="1:7" x14ac:dyDescent="0.2">
      <c r="A12" s="27">
        <v>7</v>
      </c>
      <c r="B12" s="14" t="str">
        <f>'Summary of Returns'!B16</f>
        <v>Large Power (over 500 kW)</v>
      </c>
      <c r="C12" s="120" t="str">
        <f>'Summary of Returns'!C16</f>
        <v>LP-2</v>
      </c>
      <c r="D12" s="103">
        <f>'Billing Det'!C14</f>
        <v>29.666666666666668</v>
      </c>
      <c r="E12" s="121">
        <v>91148.53</v>
      </c>
      <c r="F12" s="103">
        <f t="shared" si="0"/>
        <v>2704073.0566666666</v>
      </c>
      <c r="G12" s="122">
        <f t="shared" si="1"/>
        <v>8.4318813136908307E-3</v>
      </c>
    </row>
    <row r="13" spans="1:7" x14ac:dyDescent="0.2">
      <c r="A13" s="27">
        <v>8</v>
      </c>
      <c r="B13" s="14" t="str">
        <f>'Summary of Returns'!B17</f>
        <v>Large Industrial (1,000 - 3,999 kW)</v>
      </c>
      <c r="C13" s="120" t="str">
        <f>'Summary of Returns'!C17</f>
        <v>B-1</v>
      </c>
      <c r="D13" s="103">
        <f>'Billing Det'!C15</f>
        <v>3</v>
      </c>
      <c r="E13" s="121">
        <v>96807.53</v>
      </c>
      <c r="F13" s="103">
        <f t="shared" ref="F13" si="2">E13*D13</f>
        <v>290422.58999999997</v>
      </c>
      <c r="G13" s="122">
        <f t="shared" ref="G13" si="3">F13/F$33</f>
        <v>9.0560009229682589E-4</v>
      </c>
    </row>
    <row r="14" spans="1:7" x14ac:dyDescent="0.2">
      <c r="A14" s="27">
        <v>9</v>
      </c>
      <c r="B14" s="14" t="str">
        <f>'Summary of Returns'!B18</f>
        <v>Large Industrial (over 4,000 kW)</v>
      </c>
      <c r="C14" s="120" t="str">
        <f>'Summary of Returns'!C18</f>
        <v>B-2</v>
      </c>
      <c r="D14" s="103">
        <f>'Billing Det'!C16</f>
        <v>3</v>
      </c>
      <c r="E14" s="121">
        <v>467257.11</v>
      </c>
      <c r="F14" s="103">
        <f t="shared" ref="F14" si="4">E14*D14</f>
        <v>1401771.33</v>
      </c>
      <c r="G14" s="122">
        <f t="shared" si="1"/>
        <v>4.3710244641336085E-3</v>
      </c>
    </row>
    <row r="15" spans="1:7" x14ac:dyDescent="0.2">
      <c r="A15" s="27">
        <v>10</v>
      </c>
      <c r="B15" s="14" t="str">
        <f>'Summary of Returns'!B19</f>
        <v>Large Industrial Rate (15,000+ kW)</v>
      </c>
      <c r="C15" s="120" t="str">
        <f>'Summary of Returns'!C19</f>
        <v>G1</v>
      </c>
      <c r="D15" s="103">
        <f>'Billing Det'!C17</f>
        <v>1</v>
      </c>
      <c r="E15" s="121">
        <v>0</v>
      </c>
      <c r="F15" s="103">
        <f t="shared" ref="F15:F16" si="5">E15*D15</f>
        <v>0</v>
      </c>
      <c r="G15" s="122">
        <f t="shared" ref="G15:G16" si="6">F15/F$33</f>
        <v>0</v>
      </c>
    </row>
    <row r="16" spans="1:7" x14ac:dyDescent="0.2">
      <c r="A16" s="27">
        <v>11</v>
      </c>
      <c r="B16" s="14" t="str">
        <f>'Summary of Returns'!B20</f>
        <v>Lighting</v>
      </c>
      <c r="C16" s="120" t="str">
        <f>'Summary of Returns'!C20</f>
        <v>L</v>
      </c>
      <c r="D16" s="103">
        <f>'Billing Det'!C18</f>
        <v>15341.5</v>
      </c>
      <c r="E16" s="121">
        <v>0</v>
      </c>
      <c r="F16" s="103">
        <f t="shared" si="5"/>
        <v>0</v>
      </c>
      <c r="G16" s="122">
        <f t="shared" si="6"/>
        <v>0</v>
      </c>
    </row>
    <row r="17" spans="1:7" hidden="1" x14ac:dyDescent="0.2">
      <c r="A17" s="27"/>
      <c r="B17" s="14"/>
      <c r="C17" s="27"/>
      <c r="D17" s="103"/>
      <c r="E17" s="121"/>
      <c r="F17" s="121"/>
      <c r="G17" s="122">
        <f t="shared" si="1"/>
        <v>0</v>
      </c>
    </row>
    <row r="18" spans="1:7" hidden="1" x14ac:dyDescent="0.2">
      <c r="A18" s="27"/>
      <c r="B18" s="100"/>
      <c r="C18" s="27"/>
      <c r="D18" s="103"/>
      <c r="E18" s="121"/>
      <c r="F18" s="121"/>
      <c r="G18" s="122">
        <f t="shared" si="1"/>
        <v>0</v>
      </c>
    </row>
    <row r="19" spans="1:7" hidden="1" x14ac:dyDescent="0.2">
      <c r="A19" s="27"/>
      <c r="B19" s="14"/>
      <c r="C19" s="27"/>
      <c r="D19" s="103"/>
      <c r="E19" s="121"/>
      <c r="F19" s="121"/>
      <c r="G19" s="122">
        <f t="shared" si="1"/>
        <v>0</v>
      </c>
    </row>
    <row r="20" spans="1:7" hidden="1" x14ac:dyDescent="0.2">
      <c r="A20" s="27"/>
      <c r="B20" s="14"/>
      <c r="C20" s="27"/>
      <c r="D20" s="103"/>
      <c r="E20" s="121"/>
      <c r="F20" s="121"/>
      <c r="G20" s="122">
        <f t="shared" si="1"/>
        <v>0</v>
      </c>
    </row>
    <row r="21" spans="1:7" hidden="1" x14ac:dyDescent="0.2">
      <c r="A21" s="27"/>
      <c r="B21" s="14"/>
      <c r="C21" s="27"/>
      <c r="D21" s="103"/>
      <c r="E21" s="121"/>
      <c r="F21" s="121"/>
      <c r="G21" s="122">
        <f t="shared" si="1"/>
        <v>0</v>
      </c>
    </row>
    <row r="22" spans="1:7" hidden="1" x14ac:dyDescent="0.2">
      <c r="A22" s="27"/>
      <c r="B22" s="14"/>
      <c r="C22" s="27"/>
      <c r="D22" s="103"/>
      <c r="E22" s="121"/>
      <c r="F22" s="121"/>
      <c r="G22" s="122">
        <f t="shared" si="1"/>
        <v>0</v>
      </c>
    </row>
    <row r="23" spans="1:7" hidden="1" x14ac:dyDescent="0.2">
      <c r="A23" s="27"/>
      <c r="B23" s="14"/>
      <c r="C23" s="27"/>
      <c r="D23" s="103"/>
      <c r="E23" s="121"/>
      <c r="F23" s="121"/>
      <c r="G23" s="122">
        <f t="shared" si="1"/>
        <v>0</v>
      </c>
    </row>
    <row r="24" spans="1:7" hidden="1" x14ac:dyDescent="0.2">
      <c r="A24" s="27"/>
      <c r="B24" s="14"/>
      <c r="C24" s="27"/>
      <c r="D24" s="103"/>
      <c r="E24" s="121"/>
      <c r="F24" s="121"/>
      <c r="G24" s="122">
        <f t="shared" si="1"/>
        <v>0</v>
      </c>
    </row>
    <row r="25" spans="1:7" hidden="1" x14ac:dyDescent="0.2">
      <c r="A25" s="27"/>
      <c r="B25" s="14"/>
      <c r="C25" s="27"/>
      <c r="D25" s="103"/>
      <c r="E25" s="121"/>
      <c r="F25" s="121"/>
      <c r="G25" s="122">
        <f t="shared" si="1"/>
        <v>0</v>
      </c>
    </row>
    <row r="26" spans="1:7" hidden="1" x14ac:dyDescent="0.2">
      <c r="A26" s="27"/>
      <c r="B26" s="14"/>
      <c r="C26" s="27"/>
      <c r="D26" s="103"/>
      <c r="E26" s="121"/>
      <c r="F26" s="121"/>
      <c r="G26" s="122">
        <f t="shared" si="1"/>
        <v>0</v>
      </c>
    </row>
    <row r="27" spans="1:7" hidden="1" x14ac:dyDescent="0.2">
      <c r="A27" s="27"/>
      <c r="B27" s="14"/>
      <c r="C27" s="27"/>
      <c r="D27" s="103"/>
      <c r="E27" s="121"/>
      <c r="F27" s="121"/>
      <c r="G27" s="122">
        <f t="shared" si="1"/>
        <v>0</v>
      </c>
    </row>
    <row r="28" spans="1:7" hidden="1" x14ac:dyDescent="0.2">
      <c r="A28" s="27"/>
      <c r="B28" s="14"/>
      <c r="C28" s="27"/>
      <c r="D28" s="103"/>
      <c r="E28" s="121"/>
      <c r="F28" s="121"/>
      <c r="G28" s="122">
        <f t="shared" si="1"/>
        <v>0</v>
      </c>
    </row>
    <row r="29" spans="1:7" hidden="1" x14ac:dyDescent="0.2">
      <c r="A29" s="27"/>
      <c r="B29" s="14"/>
      <c r="C29" s="27"/>
      <c r="D29" s="103"/>
      <c r="E29" s="121"/>
      <c r="F29" s="121"/>
      <c r="G29" s="122">
        <f t="shared" si="1"/>
        <v>0</v>
      </c>
    </row>
    <row r="30" spans="1:7" hidden="1" x14ac:dyDescent="0.2">
      <c r="A30" s="27"/>
      <c r="B30" s="14"/>
      <c r="C30" s="27"/>
      <c r="D30" s="103"/>
      <c r="E30" s="121"/>
      <c r="F30" s="121"/>
      <c r="G30" s="122">
        <f t="shared" si="1"/>
        <v>0</v>
      </c>
    </row>
    <row r="31" spans="1:7" hidden="1" x14ac:dyDescent="0.2">
      <c r="A31" s="27"/>
      <c r="B31" s="14"/>
      <c r="C31" s="27"/>
      <c r="D31" s="103"/>
      <c r="E31" s="121"/>
      <c r="F31" s="121"/>
      <c r="G31" s="122">
        <f t="shared" si="1"/>
        <v>0</v>
      </c>
    </row>
    <row r="32" spans="1:7" hidden="1" x14ac:dyDescent="0.2">
      <c r="A32" s="27"/>
      <c r="B32" s="14"/>
      <c r="C32" s="27"/>
      <c r="D32" s="103"/>
      <c r="E32" s="121"/>
      <c r="F32" s="121"/>
      <c r="G32" s="122">
        <f t="shared" si="1"/>
        <v>0</v>
      </c>
    </row>
    <row r="33" spans="1:7" ht="13.5" thickBot="1" x14ac:dyDescent="0.25">
      <c r="A33" s="27">
        <v>12</v>
      </c>
      <c r="B33" s="123" t="s">
        <v>0</v>
      </c>
      <c r="C33" s="124"/>
      <c r="D33" s="133">
        <f>SUM(D6:D32)</f>
        <v>79035.642287506387</v>
      </c>
      <c r="E33" s="134">
        <f>F33/D33</f>
        <v>4057.6160440195358</v>
      </c>
      <c r="F33" s="135">
        <f>SUM(F6:F32)</f>
        <v>320696290.19517481</v>
      </c>
      <c r="G33" s="214">
        <f t="shared" si="1"/>
        <v>1</v>
      </c>
    </row>
    <row r="34" spans="1:7" ht="13.5" thickTop="1" x14ac:dyDescent="0.2">
      <c r="B34" s="130"/>
      <c r="C34" s="136"/>
    </row>
    <row r="35" spans="1:7" x14ac:dyDescent="0.2">
      <c r="B35" s="130"/>
      <c r="C35" s="136"/>
    </row>
    <row r="36" spans="1:7" x14ac:dyDescent="0.2">
      <c r="B36" s="130"/>
      <c r="C36" s="136"/>
    </row>
    <row r="37" spans="1:7" x14ac:dyDescent="0.2">
      <c r="B37" s="130"/>
      <c r="C37" s="136"/>
    </row>
    <row r="38" spans="1:7" x14ac:dyDescent="0.2">
      <c r="B38" s="130"/>
      <c r="C38" s="136"/>
    </row>
    <row r="39" spans="1:7" x14ac:dyDescent="0.2">
      <c r="B39" s="130"/>
      <c r="C39" s="136"/>
    </row>
    <row r="40" spans="1:7" x14ac:dyDescent="0.2">
      <c r="B40" s="130"/>
      <c r="C40" s="136"/>
    </row>
    <row r="41" spans="1:7" x14ac:dyDescent="0.2">
      <c r="B41" s="130"/>
      <c r="C41" s="136"/>
    </row>
    <row r="42" spans="1:7" x14ac:dyDescent="0.2">
      <c r="B42" s="130"/>
      <c r="C42" s="136"/>
    </row>
    <row r="43" spans="1:7" x14ac:dyDescent="0.2">
      <c r="B43" s="130"/>
      <c r="C43" s="136"/>
    </row>
    <row r="44" spans="1:7" x14ac:dyDescent="0.2">
      <c r="B44" s="130"/>
      <c r="C44" s="136"/>
    </row>
    <row r="45" spans="1:7" x14ac:dyDescent="0.2">
      <c r="B45" s="130"/>
      <c r="C45" s="136"/>
    </row>
    <row r="46" spans="1:7" x14ac:dyDescent="0.2">
      <c r="B46" s="130"/>
      <c r="C46" s="136"/>
    </row>
    <row r="47" spans="1:7" x14ac:dyDescent="0.2">
      <c r="B47" s="130"/>
      <c r="C47" s="136"/>
    </row>
    <row r="48" spans="1:7" x14ac:dyDescent="0.2">
      <c r="B48" s="130"/>
      <c r="C48" s="136"/>
    </row>
    <row r="49" spans="2:3" x14ac:dyDescent="0.2">
      <c r="B49" s="130"/>
      <c r="C49" s="136"/>
    </row>
    <row r="50" spans="2:3" x14ac:dyDescent="0.2">
      <c r="B50" s="130"/>
      <c r="C50" s="136"/>
    </row>
    <row r="51" spans="2:3" x14ac:dyDescent="0.2">
      <c r="B51" s="130"/>
      <c r="C51" s="136"/>
    </row>
    <row r="52" spans="2:3" x14ac:dyDescent="0.2">
      <c r="B52" s="130"/>
      <c r="C52" s="136"/>
    </row>
    <row r="53" spans="2:3" x14ac:dyDescent="0.2">
      <c r="B53" s="130"/>
      <c r="C53" s="136"/>
    </row>
    <row r="54" spans="2:3" x14ac:dyDescent="0.2">
      <c r="B54" s="130"/>
      <c r="C54" s="136"/>
    </row>
    <row r="55" spans="2:3" x14ac:dyDescent="0.2">
      <c r="B55" s="130"/>
      <c r="C55" s="136"/>
    </row>
    <row r="56" spans="2:3" x14ac:dyDescent="0.2">
      <c r="B56" s="130"/>
      <c r="C56" s="136"/>
    </row>
    <row r="57" spans="2:3" x14ac:dyDescent="0.2">
      <c r="B57" s="130"/>
      <c r="C57" s="136"/>
    </row>
    <row r="58" spans="2:3" x14ac:dyDescent="0.2">
      <c r="B58" s="130"/>
      <c r="C58" s="136"/>
    </row>
    <row r="59" spans="2:3" x14ac:dyDescent="0.2">
      <c r="B59" s="130"/>
      <c r="C59" s="136"/>
    </row>
    <row r="60" spans="2:3" x14ac:dyDescent="0.2">
      <c r="B60" s="130"/>
      <c r="C60" s="136"/>
    </row>
    <row r="61" spans="2:3" x14ac:dyDescent="0.2">
      <c r="B61" s="130"/>
      <c r="C61" s="136"/>
    </row>
    <row r="62" spans="2:3" x14ac:dyDescent="0.2">
      <c r="B62" s="130"/>
      <c r="C62" s="136"/>
    </row>
    <row r="63" spans="2:3" x14ac:dyDescent="0.2">
      <c r="B63" s="130"/>
      <c r="C63" s="136"/>
    </row>
    <row r="64" spans="2:3" x14ac:dyDescent="0.2">
      <c r="B64" s="130"/>
      <c r="C64" s="136"/>
    </row>
    <row r="65" spans="2:3" x14ac:dyDescent="0.2">
      <c r="B65" s="130"/>
      <c r="C65" s="136"/>
    </row>
    <row r="66" spans="2:3" x14ac:dyDescent="0.2">
      <c r="B66" s="130"/>
      <c r="C66" s="136"/>
    </row>
    <row r="67" spans="2:3" x14ac:dyDescent="0.2">
      <c r="B67" s="130"/>
      <c r="C67" s="136"/>
    </row>
    <row r="68" spans="2:3" x14ac:dyDescent="0.2">
      <c r="B68" s="130"/>
      <c r="C68" s="136"/>
    </row>
    <row r="69" spans="2:3" x14ac:dyDescent="0.2">
      <c r="B69" s="130"/>
      <c r="C69" s="136"/>
    </row>
    <row r="70" spans="2:3" x14ac:dyDescent="0.2">
      <c r="B70" s="130"/>
      <c r="C70" s="136"/>
    </row>
    <row r="71" spans="2:3" x14ac:dyDescent="0.2">
      <c r="B71" s="130"/>
      <c r="C71" s="136"/>
    </row>
    <row r="72" spans="2:3" x14ac:dyDescent="0.2">
      <c r="B72" s="130"/>
      <c r="C72" s="136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206</v>
      </c>
      <c r="E2" s="5" t="s">
        <v>0</v>
      </c>
      <c r="F2" s="10" t="s">
        <v>713</v>
      </c>
      <c r="G2" s="10" t="s">
        <v>720</v>
      </c>
      <c r="H2" s="10" t="s">
        <v>724</v>
      </c>
      <c r="I2" s="10" t="s">
        <v>725</v>
      </c>
      <c r="J2" s="10" t="s">
        <v>726</v>
      </c>
      <c r="K2" s="10" t="s">
        <v>727</v>
      </c>
      <c r="L2" s="10" t="s">
        <v>728</v>
      </c>
      <c r="M2" s="10" t="s">
        <v>729</v>
      </c>
      <c r="N2" s="10" t="s">
        <v>716</v>
      </c>
      <c r="O2" s="10" t="s">
        <v>717</v>
      </c>
      <c r="P2" s="10" t="s">
        <v>718</v>
      </c>
      <c r="Q2" s="10" t="s">
        <v>719</v>
      </c>
      <c r="R2" s="10" t="s">
        <v>730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723</v>
      </c>
      <c r="G3" s="9" t="s">
        <v>735</v>
      </c>
      <c r="H3" s="9" t="s">
        <v>734</v>
      </c>
      <c r="I3" s="9" t="s">
        <v>732</v>
      </c>
      <c r="J3" s="9" t="s">
        <v>733</v>
      </c>
      <c r="K3" s="9" t="s">
        <v>714</v>
      </c>
      <c r="L3" s="9" t="s">
        <v>701</v>
      </c>
      <c r="M3" s="9" t="s">
        <v>736</v>
      </c>
      <c r="N3" s="9" t="s">
        <v>737</v>
      </c>
      <c r="O3" s="9" t="s">
        <v>738</v>
      </c>
      <c r="P3" s="9" t="s">
        <v>739</v>
      </c>
      <c r="Q3" s="9" t="s">
        <v>740</v>
      </c>
      <c r="R3" s="9" t="s">
        <v>731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741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742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743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0"/>
  <sheetViews>
    <sheetView view="pageBreakPreview" topLeftCell="A106" zoomScale="90" zoomScaleNormal="100" zoomScaleSheetLayoutView="100" workbookViewId="0">
      <selection activeCell="O141" sqref="O141"/>
    </sheetView>
  </sheetViews>
  <sheetFormatPr defaultColWidth="9.140625" defaultRowHeight="12.75" x14ac:dyDescent="0.2"/>
  <cols>
    <col min="1" max="1" width="3.140625" style="14" customWidth="1"/>
    <col min="2" max="2" width="33.710937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1.5703125" style="14" bestFit="1" customWidth="1"/>
    <col min="7" max="7" width="3.7109375" style="14" customWidth="1"/>
    <col min="8" max="8" width="12" style="14" bestFit="1" customWidth="1"/>
    <col min="9" max="9" width="14" style="14" bestFit="1" customWidth="1"/>
    <col min="10" max="10" width="12.42578125" style="14" customWidth="1"/>
    <col min="11" max="11" width="2.28515625" style="14" customWidth="1"/>
    <col min="12" max="12" width="6.28515625" style="27" customWidth="1"/>
    <col min="13" max="13" width="8.7109375" style="14" bestFit="1" customWidth="1"/>
    <col min="14" max="16384" width="9.140625" style="14"/>
  </cols>
  <sheetData>
    <row r="1" spans="1:13" x14ac:dyDescent="0.2">
      <c r="A1" s="13" t="str">
        <f>'Summary of Returns'!A1</f>
        <v>BLUE GRASS ENERGY</v>
      </c>
    </row>
    <row r="2" spans="1:13" x14ac:dyDescent="0.2">
      <c r="A2" s="13" t="s">
        <v>993</v>
      </c>
    </row>
    <row r="4" spans="1:13" x14ac:dyDescent="0.2">
      <c r="A4" s="13" t="s">
        <v>981</v>
      </c>
      <c r="B4" s="15"/>
      <c r="D4" s="32"/>
      <c r="E4" s="32"/>
      <c r="F4" s="32"/>
      <c r="G4" s="32"/>
      <c r="H4" s="32"/>
      <c r="I4" s="32"/>
      <c r="J4" s="32"/>
      <c r="K4" s="32"/>
      <c r="L4" s="33"/>
      <c r="M4" s="32"/>
    </row>
    <row r="5" spans="1:13" x14ac:dyDescent="0.2">
      <c r="C5" s="274"/>
      <c r="F5" s="57" t="s">
        <v>956</v>
      </c>
      <c r="I5" s="57" t="s">
        <v>957</v>
      </c>
    </row>
    <row r="6" spans="1:13" x14ac:dyDescent="0.2">
      <c r="C6" s="251"/>
      <c r="D6" s="57"/>
      <c r="E6" s="16"/>
      <c r="F6" s="57" t="s">
        <v>958</v>
      </c>
      <c r="H6" s="57"/>
      <c r="I6" s="57"/>
      <c r="J6" s="57"/>
      <c r="K6" s="57"/>
    </row>
    <row r="7" spans="1:13" x14ac:dyDescent="0.2">
      <c r="B7" s="17" t="s">
        <v>6</v>
      </c>
      <c r="C7" s="18" t="s">
        <v>959</v>
      </c>
      <c r="D7" s="104" t="s">
        <v>960</v>
      </c>
      <c r="E7" s="19" t="s">
        <v>961</v>
      </c>
      <c r="F7" s="104" t="s">
        <v>962</v>
      </c>
      <c r="H7" s="20" t="s">
        <v>963</v>
      </c>
      <c r="I7" s="20" t="s">
        <v>964</v>
      </c>
      <c r="J7" s="20" t="s">
        <v>965</v>
      </c>
      <c r="K7" s="21"/>
    </row>
    <row r="8" spans="1:13" x14ac:dyDescent="0.2">
      <c r="B8" s="14" t="s">
        <v>1112</v>
      </c>
      <c r="C8" s="23">
        <v>66.369</v>
      </c>
      <c r="D8" s="40">
        <v>11707713.550000001</v>
      </c>
      <c r="E8" s="22">
        <v>11373151</v>
      </c>
      <c r="F8" s="23">
        <f t="shared" ref="F8:F23" si="0">D8/E8</f>
        <v>1.0294168740043987</v>
      </c>
      <c r="G8" s="34"/>
      <c r="H8" s="23">
        <f t="shared" ref="H8:H23" si="1">F8*E8^0.5</f>
        <v>3471.6160335469044</v>
      </c>
      <c r="I8" s="23">
        <f t="shared" ref="I8:I23" si="2">E8^0.5</f>
        <v>3372.4102656705336</v>
      </c>
      <c r="J8" s="23">
        <f t="shared" ref="J8:J23" si="3">C8*E8^0.5</f>
        <v>223823.49692228765</v>
      </c>
      <c r="K8" s="23"/>
    </row>
    <row r="9" spans="1:13" x14ac:dyDescent="0.2">
      <c r="B9" s="14" t="s">
        <v>1113</v>
      </c>
      <c r="C9" s="23">
        <v>41.74</v>
      </c>
      <c r="D9" s="40">
        <v>1842815.78</v>
      </c>
      <c r="E9" s="22">
        <v>10457910</v>
      </c>
      <c r="F9" s="23">
        <f t="shared" si="0"/>
        <v>0.17621262565847287</v>
      </c>
      <c r="G9" s="34"/>
      <c r="H9" s="23">
        <f t="shared" si="1"/>
        <v>569.84858269426854</v>
      </c>
      <c r="I9" s="23">
        <f t="shared" si="2"/>
        <v>3233.8691995812073</v>
      </c>
      <c r="J9" s="23">
        <f t="shared" si="3"/>
        <v>134981.7003905196</v>
      </c>
      <c r="K9" s="23"/>
    </row>
    <row r="10" spans="1:13" x14ac:dyDescent="0.2">
      <c r="B10" s="14" t="s">
        <v>1114</v>
      </c>
      <c r="C10" s="23">
        <v>105.53100000000001</v>
      </c>
      <c r="D10" s="40">
        <v>8929269.0899999999</v>
      </c>
      <c r="E10" s="22">
        <v>10048321</v>
      </c>
      <c r="F10" s="23">
        <f t="shared" si="0"/>
        <v>0.88863294574287588</v>
      </c>
      <c r="G10" s="34"/>
      <c r="H10" s="23">
        <f t="shared" si="1"/>
        <v>2816.8852825022018</v>
      </c>
      <c r="I10" s="23">
        <f t="shared" si="2"/>
        <v>3169.9086737633311</v>
      </c>
      <c r="J10" s="23">
        <f t="shared" si="3"/>
        <v>334523.63225091813</v>
      </c>
      <c r="K10" s="23"/>
    </row>
    <row r="11" spans="1:13" x14ac:dyDescent="0.2">
      <c r="B11" s="14" t="s">
        <v>1115</v>
      </c>
      <c r="C11" s="23">
        <v>133.072</v>
      </c>
      <c r="D11" s="40">
        <v>71574</v>
      </c>
      <c r="E11" s="22">
        <v>190456</v>
      </c>
      <c r="F11" s="23">
        <f t="shared" si="0"/>
        <v>0.37580333515352626</v>
      </c>
      <c r="G11" s="34"/>
      <c r="H11" s="23">
        <f t="shared" si="1"/>
        <v>164.00532890817448</v>
      </c>
      <c r="I11" s="23">
        <f t="shared" si="2"/>
        <v>436.41264876261323</v>
      </c>
      <c r="J11" s="23">
        <f t="shared" si="3"/>
        <v>58074.303996138471</v>
      </c>
      <c r="K11" s="23"/>
    </row>
    <row r="12" spans="1:13" x14ac:dyDescent="0.2">
      <c r="B12" s="14" t="s">
        <v>1116</v>
      </c>
      <c r="C12" s="23">
        <v>167.8</v>
      </c>
      <c r="D12" s="40">
        <v>687197.47</v>
      </c>
      <c r="E12" s="22">
        <v>1116884</v>
      </c>
      <c r="F12" s="23">
        <f t="shared" si="0"/>
        <v>0.61528096919644293</v>
      </c>
      <c r="G12" s="34"/>
      <c r="H12" s="23">
        <f t="shared" si="1"/>
        <v>650.24574229359121</v>
      </c>
      <c r="I12" s="23">
        <f t="shared" si="2"/>
        <v>1056.827327428658</v>
      </c>
      <c r="J12" s="23">
        <f t="shared" si="3"/>
        <v>177335.62554252884</v>
      </c>
      <c r="K12" s="23"/>
    </row>
    <row r="13" spans="1:13" x14ac:dyDescent="0.2">
      <c r="B13" s="14" t="s">
        <v>1117</v>
      </c>
      <c r="C13" s="23">
        <v>211.59200000000001</v>
      </c>
      <c r="D13" s="40">
        <v>2079122.81</v>
      </c>
      <c r="E13" s="22">
        <v>2638309</v>
      </c>
      <c r="F13" s="23">
        <f t="shared" si="0"/>
        <v>0.78805128967077021</v>
      </c>
      <c r="G13" s="34"/>
      <c r="H13" s="23">
        <f t="shared" si="1"/>
        <v>1280.0216450530888</v>
      </c>
      <c r="I13" s="23">
        <f t="shared" si="2"/>
        <v>1624.2872282943063</v>
      </c>
      <c r="J13" s="23">
        <f t="shared" si="3"/>
        <v>343686.18320924888</v>
      </c>
      <c r="K13" s="23"/>
    </row>
    <row r="14" spans="1:13" x14ac:dyDescent="0.2">
      <c r="B14" s="14" t="s">
        <v>1118</v>
      </c>
      <c r="C14" s="23">
        <v>16.509</v>
      </c>
      <c r="D14" s="40">
        <v>191796.86</v>
      </c>
      <c r="E14" s="22">
        <v>3092533</v>
      </c>
      <c r="F14" s="23">
        <f t="shared" si="0"/>
        <v>6.2019341426591081E-2</v>
      </c>
      <c r="G14" s="34"/>
      <c r="H14" s="23">
        <f t="shared" si="1"/>
        <v>109.06472823460429</v>
      </c>
      <c r="I14" s="23">
        <f t="shared" si="2"/>
        <v>1758.5599222090784</v>
      </c>
      <c r="J14" s="23">
        <f t="shared" si="3"/>
        <v>29032.065755749678</v>
      </c>
      <c r="K14" s="23"/>
    </row>
    <row r="15" spans="1:13" x14ac:dyDescent="0.2">
      <c r="B15" s="14" t="s">
        <v>1119</v>
      </c>
      <c r="C15" s="23">
        <v>336.4</v>
      </c>
      <c r="D15" s="40">
        <v>12048505.449999999</v>
      </c>
      <c r="E15" s="22">
        <v>6566940</v>
      </c>
      <c r="F15" s="23">
        <f t="shared" si="0"/>
        <v>1.834721415149217</v>
      </c>
      <c r="G15" s="34"/>
      <c r="H15" s="23">
        <f t="shared" si="1"/>
        <v>4701.6647019600459</v>
      </c>
      <c r="I15" s="23">
        <f t="shared" si="2"/>
        <v>2562.6041442251667</v>
      </c>
      <c r="J15" s="23">
        <f t="shared" si="3"/>
        <v>862060.03411734605</v>
      </c>
      <c r="K15" s="23"/>
    </row>
    <row r="16" spans="1:13" x14ac:dyDescent="0.2">
      <c r="B16" s="14" t="s">
        <v>1120</v>
      </c>
      <c r="C16" s="23">
        <v>556.1</v>
      </c>
      <c r="D16" s="40">
        <v>266642.75</v>
      </c>
      <c r="E16" s="22">
        <v>103704</v>
      </c>
      <c r="F16" s="23">
        <f t="shared" si="0"/>
        <v>2.571190600169714</v>
      </c>
      <c r="G16" s="34"/>
      <c r="H16" s="23">
        <f t="shared" si="1"/>
        <v>828.00322004410293</v>
      </c>
      <c r="I16" s="23">
        <f t="shared" si="2"/>
        <v>322.03105440314295</v>
      </c>
      <c r="J16" s="23">
        <f t="shared" si="3"/>
        <v>179081.4693535878</v>
      </c>
      <c r="K16" s="23"/>
    </row>
    <row r="17" spans="2:11" x14ac:dyDescent="0.2">
      <c r="B17" s="14" t="s">
        <v>1121</v>
      </c>
      <c r="C17" s="23">
        <v>26.251000000000001</v>
      </c>
      <c r="D17" s="40">
        <v>623.24</v>
      </c>
      <c r="E17" s="22">
        <v>49448</v>
      </c>
      <c r="F17" s="23">
        <f t="shared" si="0"/>
        <v>1.2603947581297525E-2</v>
      </c>
      <c r="G17" s="34"/>
      <c r="H17" s="23">
        <f t="shared" si="1"/>
        <v>2.8027280086672466</v>
      </c>
      <c r="I17" s="23">
        <f t="shared" si="2"/>
        <v>222.36906259639628</v>
      </c>
      <c r="J17" s="23">
        <f t="shared" si="3"/>
        <v>5837.4102622179989</v>
      </c>
      <c r="K17" s="23"/>
    </row>
    <row r="18" spans="2:11" x14ac:dyDescent="0.2">
      <c r="B18" s="14" t="s">
        <v>1122</v>
      </c>
      <c r="C18" s="23">
        <v>66.37</v>
      </c>
      <c r="D18" s="40">
        <v>3016.84</v>
      </c>
      <c r="E18" s="22">
        <v>21992</v>
      </c>
      <c r="F18" s="23">
        <f t="shared" si="0"/>
        <v>0.13717897417242633</v>
      </c>
      <c r="G18" s="34"/>
      <c r="H18" s="23">
        <f t="shared" si="1"/>
        <v>20.343230236182816</v>
      </c>
      <c r="I18" s="23">
        <f t="shared" si="2"/>
        <v>148.29699929533302</v>
      </c>
      <c r="J18" s="23">
        <f t="shared" si="3"/>
        <v>9842.4718432312529</v>
      </c>
      <c r="K18" s="23"/>
    </row>
    <row r="19" spans="2:11" x14ac:dyDescent="0.2">
      <c r="B19" s="14" t="s">
        <v>1123</v>
      </c>
      <c r="C19" s="23">
        <v>13.092000000000001</v>
      </c>
      <c r="D19" s="40">
        <v>290.63</v>
      </c>
      <c r="E19" s="22">
        <v>1570</v>
      </c>
      <c r="F19" s="23">
        <f t="shared" si="0"/>
        <v>0.18511464968152866</v>
      </c>
      <c r="G19" s="34"/>
      <c r="H19" s="23">
        <f t="shared" si="1"/>
        <v>7.3348395099649375</v>
      </c>
      <c r="I19" s="23">
        <f t="shared" si="2"/>
        <v>39.623225512317902</v>
      </c>
      <c r="J19" s="23">
        <f t="shared" si="3"/>
        <v>518.74726840726601</v>
      </c>
      <c r="K19" s="23"/>
    </row>
    <row r="20" spans="2:11" x14ac:dyDescent="0.2">
      <c r="B20" s="14" t="s">
        <v>1124</v>
      </c>
      <c r="C20" s="23">
        <v>26.25</v>
      </c>
      <c r="D20" s="40">
        <v>2963.12</v>
      </c>
      <c r="E20" s="22">
        <v>6554</v>
      </c>
      <c r="F20" s="23">
        <f t="shared" si="0"/>
        <v>0.45210863594751294</v>
      </c>
      <c r="G20" s="34"/>
      <c r="H20" s="23">
        <f t="shared" si="1"/>
        <v>36.601258739950389</v>
      </c>
      <c r="I20" s="23">
        <f t="shared" si="2"/>
        <v>80.956778592036386</v>
      </c>
      <c r="J20" s="23">
        <f t="shared" si="3"/>
        <v>2125.1154380409553</v>
      </c>
      <c r="K20" s="23"/>
    </row>
    <row r="21" spans="2:11" x14ac:dyDescent="0.2">
      <c r="B21" s="14" t="s">
        <v>1125</v>
      </c>
      <c r="C21" s="23">
        <v>26.25</v>
      </c>
      <c r="D21" s="40">
        <v>1769.34</v>
      </c>
      <c r="E21" s="22">
        <v>1264</v>
      </c>
      <c r="F21" s="23">
        <f t="shared" si="0"/>
        <v>1.3997943037974683</v>
      </c>
      <c r="G21" s="34"/>
      <c r="H21" s="23">
        <f t="shared" si="1"/>
        <v>49.766575665611278</v>
      </c>
      <c r="I21" s="23">
        <f t="shared" si="2"/>
        <v>35.552777669262355</v>
      </c>
      <c r="J21" s="23">
        <f t="shared" si="3"/>
        <v>933.26041381813684</v>
      </c>
      <c r="K21" s="23"/>
    </row>
    <row r="22" spans="2:11" x14ac:dyDescent="0.2">
      <c r="B22" s="14" t="s">
        <v>1126</v>
      </c>
      <c r="C22" s="23">
        <v>336</v>
      </c>
      <c r="D22" s="40">
        <v>200999.74</v>
      </c>
      <c r="E22" s="22">
        <v>25037</v>
      </c>
      <c r="F22" s="23">
        <f t="shared" si="0"/>
        <v>8.0281080001597633</v>
      </c>
      <c r="G22" s="34"/>
      <c r="H22" s="23">
        <f t="shared" si="1"/>
        <v>1270.294304767219</v>
      </c>
      <c r="I22" s="23">
        <f t="shared" si="2"/>
        <v>158.23084402227019</v>
      </c>
      <c r="J22" s="23">
        <f t="shared" si="3"/>
        <v>53165.563591482787</v>
      </c>
      <c r="K22" s="23"/>
    </row>
    <row r="23" spans="2:11" x14ac:dyDescent="0.2">
      <c r="B23" s="14" t="s">
        <v>1127</v>
      </c>
      <c r="C23" s="23">
        <v>556</v>
      </c>
      <c r="D23" s="40">
        <v>440908.13</v>
      </c>
      <c r="E23" s="22">
        <v>41550</v>
      </c>
      <c r="F23" s="23">
        <f t="shared" si="0"/>
        <v>10.611507340553549</v>
      </c>
      <c r="G23" s="34"/>
      <c r="H23" s="23">
        <f t="shared" si="1"/>
        <v>2163.0302489805222</v>
      </c>
      <c r="I23" s="23">
        <f t="shared" si="2"/>
        <v>203.83817110639509</v>
      </c>
      <c r="J23" s="23">
        <f t="shared" si="3"/>
        <v>113334.02313515567</v>
      </c>
      <c r="K23" s="23"/>
    </row>
    <row r="24" spans="2:11" x14ac:dyDescent="0.2">
      <c r="B24" s="24" t="s">
        <v>857</v>
      </c>
      <c r="D24" s="35">
        <f>SUM(D8:D23)</f>
        <v>38475208.800000012</v>
      </c>
      <c r="E24" s="36">
        <f>SUM(E8:E23)</f>
        <v>45735623</v>
      </c>
    </row>
    <row r="26" spans="2:11" x14ac:dyDescent="0.2">
      <c r="B26" s="17" t="s">
        <v>966</v>
      </c>
      <c r="H26" s="269" t="s">
        <v>967</v>
      </c>
      <c r="I26" s="269"/>
    </row>
    <row r="28" spans="2:11" x14ac:dyDescent="0.2">
      <c r="B28" s="14" t="s">
        <v>968</v>
      </c>
      <c r="D28" s="37">
        <f>H28</f>
        <v>4.7774059929655945E-3</v>
      </c>
      <c r="H28" s="37">
        <f t="array" ref="H28:I30">LINEST(H8:H23,I8:J23,FALSE,TRUE)</f>
        <v>4.7774059929655945E-3</v>
      </c>
      <c r="I28" s="37">
        <v>0.27978670704126857</v>
      </c>
    </row>
    <row r="29" spans="2:11" x14ac:dyDescent="0.2">
      <c r="B29" s="14" t="s">
        <v>969</v>
      </c>
      <c r="D29" s="37">
        <f>I28</f>
        <v>0.27978670704126857</v>
      </c>
      <c r="H29" s="37">
        <v>1.0676679050080544E-3</v>
      </c>
      <c r="I29" s="37">
        <v>0.16745239080505198</v>
      </c>
    </row>
    <row r="30" spans="2:11" x14ac:dyDescent="0.2">
      <c r="B30" s="14" t="s">
        <v>970</v>
      </c>
      <c r="D30" s="38">
        <f>H30</f>
        <v>0.8471280243320648</v>
      </c>
      <c r="H30" s="37">
        <v>0.8471280243320648</v>
      </c>
      <c r="I30" s="37">
        <v>749.89766039411654</v>
      </c>
    </row>
    <row r="31" spans="2:11" x14ac:dyDescent="0.2">
      <c r="H31" s="37"/>
      <c r="I31" s="37"/>
    </row>
    <row r="32" spans="2:11" x14ac:dyDescent="0.2">
      <c r="B32" s="25" t="s">
        <v>971</v>
      </c>
      <c r="C32" s="39"/>
    </row>
    <row r="33" spans="1:13" x14ac:dyDescent="0.2">
      <c r="C33" s="39"/>
    </row>
    <row r="34" spans="1:13" x14ac:dyDescent="0.2">
      <c r="B34" s="14" t="s">
        <v>972</v>
      </c>
      <c r="C34" s="39"/>
      <c r="D34" s="34">
        <f>E24</f>
        <v>45735623</v>
      </c>
    </row>
    <row r="35" spans="1:13" x14ac:dyDescent="0.2">
      <c r="B35" s="14" t="s">
        <v>973</v>
      </c>
      <c r="C35" s="39"/>
      <c r="D35" s="40">
        <f>D29</f>
        <v>0.27978670704126857</v>
      </c>
      <c r="E35" s="26"/>
      <c r="F35" s="27"/>
    </row>
    <row r="36" spans="1:13" x14ac:dyDescent="0.2">
      <c r="B36" s="14" t="s">
        <v>974</v>
      </c>
      <c r="C36" s="39"/>
      <c r="D36" s="40">
        <f>MIN(F8:F23)</f>
        <v>1.2603947581297525E-2</v>
      </c>
    </row>
    <row r="37" spans="1:13" x14ac:dyDescent="0.2">
      <c r="B37" s="14" t="s">
        <v>975</v>
      </c>
      <c r="C37" s="39"/>
      <c r="D37" s="148" t="s">
        <v>982</v>
      </c>
    </row>
    <row r="38" spans="1:13" x14ac:dyDescent="0.2">
      <c r="B38" s="14" t="s">
        <v>976</v>
      </c>
      <c r="C38" s="39"/>
      <c r="D38" s="41">
        <f>IF(D37="Z",D34*D35,D34*D36)</f>
        <v>12796219.353650905</v>
      </c>
    </row>
    <row r="39" spans="1:13" x14ac:dyDescent="0.2">
      <c r="B39" s="14" t="s">
        <v>977</v>
      </c>
      <c r="C39" s="39"/>
      <c r="D39" s="41">
        <f>D24</f>
        <v>38475208.800000012</v>
      </c>
    </row>
    <row r="40" spans="1:13" x14ac:dyDescent="0.2">
      <c r="B40" s="14" t="s">
        <v>978</v>
      </c>
      <c r="C40" s="39"/>
      <c r="D40" s="42">
        <f>D38/D39</f>
        <v>0.33258349344294919</v>
      </c>
    </row>
    <row r="41" spans="1:13" x14ac:dyDescent="0.2">
      <c r="B41" s="14" t="s">
        <v>979</v>
      </c>
      <c r="C41" s="39"/>
      <c r="D41" s="43">
        <f>D40</f>
        <v>0.33258349344294919</v>
      </c>
    </row>
    <row r="42" spans="1:13" x14ac:dyDescent="0.2">
      <c r="B42" s="14" t="s">
        <v>980</v>
      </c>
      <c r="C42" s="39"/>
      <c r="D42" s="44">
        <f>1-D41</f>
        <v>0.66741650655705076</v>
      </c>
    </row>
    <row r="44" spans="1:13" x14ac:dyDescent="0.2">
      <c r="A44" s="13" t="s">
        <v>983</v>
      </c>
      <c r="B44" s="15"/>
      <c r="D44" s="32"/>
      <c r="E44" s="32"/>
      <c r="F44" s="32"/>
      <c r="G44" s="32"/>
      <c r="H44" s="32"/>
      <c r="I44" s="32"/>
      <c r="J44" s="32"/>
      <c r="K44" s="32"/>
      <c r="L44" s="33"/>
      <c r="M44" s="32"/>
    </row>
    <row r="45" spans="1:13" x14ac:dyDescent="0.2">
      <c r="C45" s="274"/>
      <c r="F45" s="57" t="s">
        <v>956</v>
      </c>
      <c r="I45" s="57" t="s">
        <v>957</v>
      </c>
    </row>
    <row r="46" spans="1:13" x14ac:dyDescent="0.2">
      <c r="C46" s="251"/>
      <c r="D46" s="57"/>
      <c r="E46" s="16"/>
      <c r="F46" s="57" t="s">
        <v>958</v>
      </c>
      <c r="H46" s="57"/>
      <c r="I46" s="57"/>
      <c r="J46" s="57"/>
      <c r="K46" s="57"/>
    </row>
    <row r="47" spans="1:13" x14ac:dyDescent="0.2">
      <c r="B47" s="17" t="s">
        <v>6</v>
      </c>
      <c r="C47" s="18" t="s">
        <v>959</v>
      </c>
      <c r="D47" s="104" t="s">
        <v>960</v>
      </c>
      <c r="E47" s="19" t="s">
        <v>961</v>
      </c>
      <c r="F47" s="104" t="s">
        <v>962</v>
      </c>
      <c r="H47" s="20" t="s">
        <v>963</v>
      </c>
      <c r="I47" s="20" t="s">
        <v>964</v>
      </c>
      <c r="J47" s="20" t="s">
        <v>965</v>
      </c>
      <c r="K47" s="21"/>
    </row>
    <row r="48" spans="1:13" x14ac:dyDescent="0.2">
      <c r="B48" s="14" t="s">
        <v>1128</v>
      </c>
      <c r="C48" s="23">
        <v>105.53100000000001</v>
      </c>
      <c r="D48" s="40">
        <v>17395155.09</v>
      </c>
      <c r="E48" s="22">
        <v>3082227</v>
      </c>
      <c r="F48" s="23">
        <f t="shared" ref="F48:F55" si="4">D48/E48</f>
        <v>5.6436969405562927</v>
      </c>
      <c r="G48" s="34"/>
      <c r="H48" s="23">
        <f t="shared" ref="H48:H55" si="5">F48*E48^0.5</f>
        <v>9908.2280737746041</v>
      </c>
      <c r="I48" s="23">
        <f t="shared" ref="I48:I55" si="6">E48^0.5</f>
        <v>1755.6272383396197</v>
      </c>
      <c r="J48" s="23">
        <f t="shared" ref="J48:J55" si="7">C48*E48^0.5</f>
        <v>185273.0980892184</v>
      </c>
      <c r="K48" s="23"/>
    </row>
    <row r="49" spans="2:11" x14ac:dyDescent="0.2">
      <c r="B49" s="14" t="s">
        <v>1129</v>
      </c>
      <c r="C49" s="23">
        <v>211.59200000000001</v>
      </c>
      <c r="D49" s="40">
        <v>825689.72</v>
      </c>
      <c r="E49" s="22">
        <v>122483</v>
      </c>
      <c r="F49" s="23">
        <f t="shared" si="4"/>
        <v>6.7412597666614955</v>
      </c>
      <c r="G49" s="34"/>
      <c r="H49" s="23">
        <f t="shared" si="5"/>
        <v>2359.2771963425566</v>
      </c>
      <c r="I49" s="23">
        <f t="shared" si="6"/>
        <v>349.97571344309023</v>
      </c>
      <c r="J49" s="23">
        <f t="shared" si="7"/>
        <v>74052.061158850353</v>
      </c>
      <c r="K49" s="23"/>
    </row>
    <row r="50" spans="2:11" x14ac:dyDescent="0.2">
      <c r="B50" s="14" t="s">
        <v>1130</v>
      </c>
      <c r="C50" s="23">
        <v>350</v>
      </c>
      <c r="D50" s="40">
        <v>76509.97</v>
      </c>
      <c r="E50" s="22">
        <v>27949</v>
      </c>
      <c r="F50" s="23">
        <f t="shared" si="4"/>
        <v>2.7374850620773552</v>
      </c>
      <c r="G50" s="34"/>
      <c r="H50" s="23">
        <f t="shared" si="5"/>
        <v>457.65150494124521</v>
      </c>
      <c r="I50" s="23">
        <f t="shared" si="6"/>
        <v>167.17954420323079</v>
      </c>
      <c r="J50" s="23">
        <f t="shared" si="7"/>
        <v>58512.840471130774</v>
      </c>
      <c r="K50" s="23"/>
    </row>
    <row r="51" spans="2:11" x14ac:dyDescent="0.2">
      <c r="B51" s="14" t="s">
        <v>1131</v>
      </c>
      <c r="C51" s="23">
        <v>66.369</v>
      </c>
      <c r="D51" s="40">
        <v>392549.92</v>
      </c>
      <c r="E51" s="22">
        <v>154330</v>
      </c>
      <c r="F51" s="23">
        <f t="shared" si="4"/>
        <v>2.5435749368236893</v>
      </c>
      <c r="G51" s="34"/>
      <c r="H51" s="23">
        <f t="shared" si="5"/>
        <v>999.23978001485921</v>
      </c>
      <c r="I51" s="23">
        <f t="shared" si="6"/>
        <v>392.8485713350629</v>
      </c>
      <c r="J51" s="23">
        <f t="shared" si="7"/>
        <v>26072.966830936788</v>
      </c>
      <c r="K51" s="23"/>
    </row>
    <row r="52" spans="2:11" x14ac:dyDescent="0.2">
      <c r="B52" s="14" t="s">
        <v>1132</v>
      </c>
      <c r="C52" s="23">
        <v>66.369</v>
      </c>
      <c r="D52" s="40">
        <v>347.8</v>
      </c>
      <c r="E52" s="22">
        <v>225</v>
      </c>
      <c r="F52" s="23">
        <f t="shared" si="4"/>
        <v>1.5457777777777779</v>
      </c>
      <c r="G52" s="34"/>
      <c r="H52" s="23">
        <f t="shared" si="5"/>
        <v>23.186666666666667</v>
      </c>
      <c r="I52" s="23">
        <f t="shared" si="6"/>
        <v>15</v>
      </c>
      <c r="J52" s="23">
        <f t="shared" si="7"/>
        <v>995.53499999999997</v>
      </c>
      <c r="K52" s="23"/>
    </row>
    <row r="53" spans="2:11" x14ac:dyDescent="0.2">
      <c r="B53" s="14" t="s">
        <v>1133</v>
      </c>
      <c r="C53" s="23">
        <v>66.369</v>
      </c>
      <c r="D53" s="40">
        <v>1881.02</v>
      </c>
      <c r="E53" s="22">
        <v>1555</v>
      </c>
      <c r="F53" s="23">
        <f t="shared" si="4"/>
        <v>1.2096591639871384</v>
      </c>
      <c r="G53" s="34"/>
      <c r="H53" s="23">
        <f t="shared" si="5"/>
        <v>47.701080497647922</v>
      </c>
      <c r="I53" s="23">
        <f t="shared" si="6"/>
        <v>39.433488306260706</v>
      </c>
      <c r="J53" s="23">
        <f t="shared" si="7"/>
        <v>2617.1611853982167</v>
      </c>
      <c r="K53" s="23"/>
    </row>
    <row r="54" spans="2:11" x14ac:dyDescent="0.2">
      <c r="B54" s="14" t="s">
        <v>1134</v>
      </c>
      <c r="C54" s="23">
        <v>500</v>
      </c>
      <c r="D54" s="40">
        <v>1901590.02</v>
      </c>
      <c r="E54" s="22">
        <v>115805</v>
      </c>
      <c r="F54" s="23">
        <f t="shared" si="4"/>
        <v>16.420621043996373</v>
      </c>
      <c r="G54" s="34"/>
      <c r="H54" s="23">
        <f t="shared" si="5"/>
        <v>5587.9592965111588</v>
      </c>
      <c r="I54" s="23">
        <f t="shared" si="6"/>
        <v>340.30133705291257</v>
      </c>
      <c r="J54" s="23">
        <f t="shared" si="7"/>
        <v>170150.66852645628</v>
      </c>
      <c r="K54" s="23"/>
    </row>
    <row r="55" spans="2:11" x14ac:dyDescent="0.2">
      <c r="B55" s="14" t="s">
        <v>1135</v>
      </c>
      <c r="C55" s="23">
        <v>750</v>
      </c>
      <c r="D55" s="40">
        <v>247761.44</v>
      </c>
      <c r="E55" s="22">
        <v>13904</v>
      </c>
      <c r="F55" s="23">
        <f t="shared" si="4"/>
        <v>17.819436133486768</v>
      </c>
      <c r="G55" s="34"/>
      <c r="H55" s="23">
        <f t="shared" si="5"/>
        <v>2101.1827993824609</v>
      </c>
      <c r="I55" s="23">
        <f t="shared" si="6"/>
        <v>117.91522378386941</v>
      </c>
      <c r="J55" s="23">
        <f t="shared" si="7"/>
        <v>88436.41783790206</v>
      </c>
      <c r="K55" s="23"/>
    </row>
    <row r="56" spans="2:11" x14ac:dyDescent="0.2">
      <c r="B56" s="24" t="s">
        <v>857</v>
      </c>
      <c r="C56" s="191"/>
      <c r="D56" s="35">
        <f>SUM(D48:D55)</f>
        <v>20841484.98</v>
      </c>
      <c r="E56" s="36">
        <f>SUM(E48:E55)</f>
        <v>3518478</v>
      </c>
    </row>
    <row r="58" spans="2:11" x14ac:dyDescent="0.2">
      <c r="B58" s="17" t="s">
        <v>966</v>
      </c>
      <c r="H58" s="269" t="s">
        <v>967</v>
      </c>
      <c r="I58" s="269"/>
    </row>
    <row r="60" spans="2:11" x14ac:dyDescent="0.2">
      <c r="B60" s="14" t="s">
        <v>968</v>
      </c>
      <c r="D60" s="37">
        <f>H60</f>
        <v>2.3131111104849927E-2</v>
      </c>
      <c r="H60" s="37">
        <f t="array" ref="H60:I62">LINEST(H48:H55,I48:J55,FALSE,TRUE)</f>
        <v>2.3131111104849927E-2</v>
      </c>
      <c r="I60" s="37">
        <v>3.0330303637399698</v>
      </c>
    </row>
    <row r="61" spans="2:11" x14ac:dyDescent="0.2">
      <c r="B61" s="14" t="s">
        <v>969</v>
      </c>
      <c r="D61" s="37">
        <f>I60</f>
        <v>3.0330303637399698</v>
      </c>
      <c r="H61" s="37">
        <v>4.66092652033655E-3</v>
      </c>
      <c r="I61" s="37">
        <v>0.70585262767833057</v>
      </c>
    </row>
    <row r="62" spans="2:11" x14ac:dyDescent="0.2">
      <c r="B62" s="14" t="s">
        <v>970</v>
      </c>
      <c r="D62" s="38">
        <f>H62</f>
        <v>0.97612215116354173</v>
      </c>
      <c r="H62" s="37">
        <v>0.97612215116354173</v>
      </c>
      <c r="I62" s="37">
        <v>747.99630096370674</v>
      </c>
    </row>
    <row r="63" spans="2:11" x14ac:dyDescent="0.2">
      <c r="H63" s="37"/>
      <c r="I63" s="37"/>
    </row>
    <row r="64" spans="2:11" x14ac:dyDescent="0.2">
      <c r="B64" s="25" t="s">
        <v>971</v>
      </c>
      <c r="C64" s="39"/>
    </row>
    <row r="65" spans="1:13" x14ac:dyDescent="0.2">
      <c r="C65" s="39"/>
    </row>
    <row r="66" spans="1:13" x14ac:dyDescent="0.2">
      <c r="B66" s="14" t="s">
        <v>972</v>
      </c>
      <c r="C66" s="39"/>
      <c r="D66" s="34">
        <f>E56</f>
        <v>3518478</v>
      </c>
    </row>
    <row r="67" spans="1:13" x14ac:dyDescent="0.2">
      <c r="B67" s="14" t="s">
        <v>973</v>
      </c>
      <c r="C67" s="39"/>
      <c r="D67" s="40">
        <f>D61</f>
        <v>3.0330303637399698</v>
      </c>
      <c r="E67" s="26"/>
      <c r="F67" s="27"/>
    </row>
    <row r="68" spans="1:13" x14ac:dyDescent="0.2">
      <c r="B68" s="14" t="s">
        <v>974</v>
      </c>
      <c r="C68" s="39"/>
      <c r="D68" s="40">
        <f>MIN(F48:F55)</f>
        <v>1.2096591639871384</v>
      </c>
    </row>
    <row r="69" spans="1:13" x14ac:dyDescent="0.2">
      <c r="B69" s="14" t="s">
        <v>975</v>
      </c>
      <c r="C69" s="39"/>
      <c r="D69" s="148" t="s">
        <v>982</v>
      </c>
    </row>
    <row r="70" spans="1:13" x14ac:dyDescent="0.2">
      <c r="B70" s="14" t="s">
        <v>976</v>
      </c>
      <c r="C70" s="39"/>
      <c r="D70" s="41">
        <f>IF(D69="Z",D66*D67,D66*D68)</f>
        <v>10671650.608151082</v>
      </c>
    </row>
    <row r="71" spans="1:13" x14ac:dyDescent="0.2">
      <c r="B71" s="14" t="s">
        <v>977</v>
      </c>
      <c r="C71" s="39"/>
      <c r="D71" s="41">
        <f>D56</f>
        <v>20841484.98</v>
      </c>
    </row>
    <row r="72" spans="1:13" x14ac:dyDescent="0.2">
      <c r="B72" s="14" t="s">
        <v>978</v>
      </c>
      <c r="C72" s="39"/>
      <c r="D72" s="42">
        <f>D70/D71</f>
        <v>0.51203887911019097</v>
      </c>
    </row>
    <row r="73" spans="1:13" x14ac:dyDescent="0.2">
      <c r="B73" s="14" t="s">
        <v>979</v>
      </c>
      <c r="C73" s="39"/>
      <c r="D73" s="43">
        <f>D72</f>
        <v>0.51203887911019097</v>
      </c>
    </row>
    <row r="74" spans="1:13" x14ac:dyDescent="0.2">
      <c r="B74" s="14" t="s">
        <v>980</v>
      </c>
      <c r="C74" s="39"/>
      <c r="D74" s="44">
        <f>1-D73</f>
        <v>0.48796112088980903</v>
      </c>
    </row>
    <row r="76" spans="1:13" x14ac:dyDescent="0.2">
      <c r="A76" s="13" t="s">
        <v>984</v>
      </c>
      <c r="B76" s="15"/>
      <c r="C76" s="32"/>
      <c r="D76" s="32"/>
      <c r="E76" s="32"/>
      <c r="F76" s="32"/>
      <c r="G76" s="32"/>
      <c r="H76" s="32"/>
      <c r="I76" s="32"/>
      <c r="J76" s="32"/>
      <c r="K76" s="32"/>
      <c r="L76" s="33"/>
      <c r="M76" s="32"/>
    </row>
    <row r="77" spans="1:13" x14ac:dyDescent="0.2">
      <c r="C77" s="274"/>
      <c r="F77" s="57" t="s">
        <v>956</v>
      </c>
      <c r="I77" s="57" t="s">
        <v>957</v>
      </c>
      <c r="L77" s="270" t="s">
        <v>985</v>
      </c>
      <c r="M77" s="270"/>
    </row>
    <row r="78" spans="1:13" x14ac:dyDescent="0.2">
      <c r="C78" s="251"/>
      <c r="D78" s="57"/>
      <c r="E78" s="16"/>
      <c r="F78" s="57" t="s">
        <v>958</v>
      </c>
      <c r="H78" s="57"/>
      <c r="I78" s="57"/>
      <c r="J78" s="57"/>
      <c r="K78" s="57"/>
    </row>
    <row r="79" spans="1:13" x14ac:dyDescent="0.2">
      <c r="B79" s="17" t="s">
        <v>6</v>
      </c>
      <c r="C79" s="18" t="s">
        <v>959</v>
      </c>
      <c r="D79" s="104" t="s">
        <v>960</v>
      </c>
      <c r="E79" s="19" t="s">
        <v>961</v>
      </c>
      <c r="F79" s="104" t="s">
        <v>962</v>
      </c>
      <c r="H79" s="20" t="s">
        <v>963</v>
      </c>
      <c r="I79" s="20" t="s">
        <v>964</v>
      </c>
      <c r="J79" s="20" t="s">
        <v>965</v>
      </c>
      <c r="K79" s="21"/>
      <c r="L79" s="19" t="s">
        <v>986</v>
      </c>
      <c r="M79" s="28" t="s">
        <v>987</v>
      </c>
    </row>
    <row r="80" spans="1:13" x14ac:dyDescent="0.2">
      <c r="B80" s="14" t="s">
        <v>1136</v>
      </c>
      <c r="C80" s="23">
        <v>1.5</v>
      </c>
      <c r="D80" s="40">
        <v>192285.71</v>
      </c>
      <c r="E80" s="22">
        <v>234</v>
      </c>
      <c r="F80" s="23">
        <f t="shared" ref="F80:F104" si="8">D80/E80</f>
        <v>821.7338034188034</v>
      </c>
      <c r="G80" s="34"/>
      <c r="H80" s="23">
        <f t="shared" ref="H80:H104" si="9">F80*E80^0.5</f>
        <v>12570.110095833888</v>
      </c>
      <c r="I80" s="23">
        <f t="shared" ref="I80:I104" si="10">E80^0.5</f>
        <v>15.297058540778355</v>
      </c>
      <c r="J80" s="23">
        <f t="shared" ref="J80:J104" si="11">C80*E80^0.5</f>
        <v>22.945587811167535</v>
      </c>
      <c r="K80" s="23"/>
      <c r="L80" s="27">
        <f>IF(C80&gt;50,0,1)</f>
        <v>1</v>
      </c>
      <c r="M80" s="34">
        <f t="shared" ref="M80:M104" si="12">L80*E80</f>
        <v>234</v>
      </c>
    </row>
    <row r="81" spans="2:13" x14ac:dyDescent="0.2">
      <c r="B81" s="14" t="s">
        <v>1137</v>
      </c>
      <c r="C81" s="23">
        <v>5</v>
      </c>
      <c r="D81" s="40">
        <v>193025.92000000001</v>
      </c>
      <c r="E81" s="22">
        <v>1313</v>
      </c>
      <c r="F81" s="23">
        <f t="shared" ref="F81:F93" si="13">D81/E81</f>
        <v>147.01136329017518</v>
      </c>
      <c r="G81" s="34"/>
      <c r="H81" s="23">
        <f t="shared" ref="H81:H93" si="14">F81*E81^0.5</f>
        <v>5327.0070067102679</v>
      </c>
      <c r="I81" s="23">
        <f t="shared" ref="I81:I93" si="15">E81^0.5</f>
        <v>36.235341863986875</v>
      </c>
      <c r="J81" s="23">
        <f t="shared" ref="J81:J93" si="16">C81*E81^0.5</f>
        <v>181.17670931993439</v>
      </c>
      <c r="K81" s="23"/>
      <c r="L81" s="27">
        <f t="shared" ref="L81:L93" si="17">IF(C81&gt;50,0,1)</f>
        <v>1</v>
      </c>
      <c r="M81" s="34">
        <f t="shared" ref="M81:M93" si="18">L81*E81</f>
        <v>1313</v>
      </c>
    </row>
    <row r="82" spans="2:13" x14ac:dyDescent="0.2">
      <c r="B82" s="14" t="s">
        <v>1138</v>
      </c>
      <c r="C82" s="23">
        <v>10</v>
      </c>
      <c r="D82" s="40">
        <v>914332.58</v>
      </c>
      <c r="E82" s="22">
        <v>1627</v>
      </c>
      <c r="F82" s="23">
        <f t="shared" si="13"/>
        <v>561.97454210202829</v>
      </c>
      <c r="G82" s="34"/>
      <c r="H82" s="23">
        <f t="shared" si="14"/>
        <v>22667.854617816531</v>
      </c>
      <c r="I82" s="23">
        <f t="shared" si="15"/>
        <v>40.336088060197412</v>
      </c>
      <c r="J82" s="23">
        <f t="shared" si="16"/>
        <v>403.36088060197415</v>
      </c>
      <c r="K82" s="23"/>
      <c r="L82" s="27">
        <f t="shared" si="17"/>
        <v>1</v>
      </c>
      <c r="M82" s="34">
        <f t="shared" si="18"/>
        <v>1627</v>
      </c>
    </row>
    <row r="83" spans="2:13" x14ac:dyDescent="0.2">
      <c r="B83" s="14" t="s">
        <v>1139</v>
      </c>
      <c r="C83" s="23">
        <v>15</v>
      </c>
      <c r="D83" s="40">
        <v>7865236.6900000004</v>
      </c>
      <c r="E83" s="22">
        <v>7823</v>
      </c>
      <c r="F83" s="23">
        <f t="shared" si="13"/>
        <v>1005.3990400102263</v>
      </c>
      <c r="G83" s="34"/>
      <c r="H83" s="23">
        <f t="shared" si="14"/>
        <v>88925.257478284591</v>
      </c>
      <c r="I83" s="23">
        <f t="shared" si="15"/>
        <v>88.447724673956429</v>
      </c>
      <c r="J83" s="23">
        <f t="shared" si="16"/>
        <v>1326.7158701093465</v>
      </c>
      <c r="K83" s="23"/>
      <c r="L83" s="27">
        <f t="shared" si="17"/>
        <v>1</v>
      </c>
      <c r="M83" s="34">
        <f t="shared" si="18"/>
        <v>7823</v>
      </c>
    </row>
    <row r="84" spans="2:13" x14ac:dyDescent="0.2">
      <c r="B84" s="14" t="s">
        <v>1140</v>
      </c>
      <c r="C84" s="23">
        <v>25</v>
      </c>
      <c r="D84" s="40">
        <v>3754490.16</v>
      </c>
      <c r="E84" s="22">
        <v>3351</v>
      </c>
      <c r="F84" s="23">
        <f t="shared" si="13"/>
        <v>1120.4088809310654</v>
      </c>
      <c r="G84" s="34"/>
      <c r="H84" s="23">
        <f t="shared" si="14"/>
        <v>64858.030486843309</v>
      </c>
      <c r="I84" s="23">
        <f t="shared" si="15"/>
        <v>57.887822553625213</v>
      </c>
      <c r="J84" s="23">
        <f t="shared" si="16"/>
        <v>1447.1955638406303</v>
      </c>
      <c r="K84" s="23"/>
      <c r="L84" s="27">
        <f t="shared" si="17"/>
        <v>1</v>
      </c>
      <c r="M84" s="34">
        <f t="shared" si="18"/>
        <v>3351</v>
      </c>
    </row>
    <row r="85" spans="2:13" x14ac:dyDescent="0.2">
      <c r="B85" s="14" t="s">
        <v>1141</v>
      </c>
      <c r="C85" s="23">
        <v>37.5</v>
      </c>
      <c r="D85" s="40">
        <v>109075.39</v>
      </c>
      <c r="E85" s="22">
        <v>197</v>
      </c>
      <c r="F85" s="23">
        <f t="shared" si="13"/>
        <v>553.68218274111678</v>
      </c>
      <c r="G85" s="34"/>
      <c r="H85" s="23">
        <f t="shared" si="14"/>
        <v>7771.2997637807393</v>
      </c>
      <c r="I85" s="23">
        <f t="shared" si="15"/>
        <v>14.035668847618199</v>
      </c>
      <c r="J85" s="23">
        <f t="shared" si="16"/>
        <v>526.33758178568246</v>
      </c>
      <c r="K85" s="23"/>
      <c r="L85" s="27">
        <f t="shared" si="17"/>
        <v>1</v>
      </c>
      <c r="M85" s="34">
        <f t="shared" si="18"/>
        <v>197</v>
      </c>
    </row>
    <row r="86" spans="2:13" x14ac:dyDescent="0.2">
      <c r="B86" s="14" t="s">
        <v>1142</v>
      </c>
      <c r="C86" s="23">
        <v>50</v>
      </c>
      <c r="D86" s="40">
        <v>1486463.27</v>
      </c>
      <c r="E86" s="22">
        <v>1311</v>
      </c>
      <c r="F86" s="23">
        <f t="shared" si="13"/>
        <v>1133.8392601067887</v>
      </c>
      <c r="G86" s="34"/>
      <c r="H86" s="23">
        <f t="shared" si="14"/>
        <v>41053.750306551992</v>
      </c>
      <c r="I86" s="23">
        <f t="shared" si="15"/>
        <v>36.207733980463345</v>
      </c>
      <c r="J86" s="23">
        <f t="shared" si="16"/>
        <v>1810.3866990231672</v>
      </c>
      <c r="K86" s="23"/>
      <c r="L86" s="27">
        <f t="shared" si="17"/>
        <v>1</v>
      </c>
      <c r="M86" s="34">
        <f t="shared" si="18"/>
        <v>1311</v>
      </c>
    </row>
    <row r="87" spans="2:13" x14ac:dyDescent="0.2">
      <c r="B87" s="14" t="s">
        <v>1143</v>
      </c>
      <c r="C87" s="23">
        <v>300</v>
      </c>
      <c r="D87" s="40">
        <v>12538.63</v>
      </c>
      <c r="E87" s="22">
        <v>2</v>
      </c>
      <c r="F87" s="23">
        <f t="shared" si="13"/>
        <v>6269.3149999999996</v>
      </c>
      <c r="G87" s="34"/>
      <c r="H87" s="23">
        <f t="shared" si="14"/>
        <v>8866.1502997890802</v>
      </c>
      <c r="I87" s="23">
        <f t="shared" si="15"/>
        <v>1.4142135623730951</v>
      </c>
      <c r="J87" s="23">
        <f t="shared" si="16"/>
        <v>424.26406871192853</v>
      </c>
      <c r="K87" s="23"/>
      <c r="L87" s="27">
        <f t="shared" si="17"/>
        <v>0</v>
      </c>
      <c r="M87" s="34">
        <f t="shared" si="18"/>
        <v>0</v>
      </c>
    </row>
    <row r="88" spans="2:13" x14ac:dyDescent="0.2">
      <c r="B88" s="14" t="s">
        <v>1144</v>
      </c>
      <c r="C88" s="23">
        <v>75</v>
      </c>
      <c r="D88" s="40">
        <v>260494.99</v>
      </c>
      <c r="E88" s="22">
        <v>182</v>
      </c>
      <c r="F88" s="23">
        <f t="shared" si="13"/>
        <v>1431.2911538461537</v>
      </c>
      <c r="G88" s="34"/>
      <c r="H88" s="23">
        <f t="shared" si="14"/>
        <v>19309.173333114039</v>
      </c>
      <c r="I88" s="23">
        <f t="shared" si="15"/>
        <v>13.490737563232042</v>
      </c>
      <c r="J88" s="23">
        <f t="shared" si="16"/>
        <v>1011.8053172424031</v>
      </c>
      <c r="K88" s="23"/>
      <c r="L88" s="27">
        <f t="shared" si="17"/>
        <v>0</v>
      </c>
      <c r="M88" s="34">
        <f t="shared" si="18"/>
        <v>0</v>
      </c>
    </row>
    <row r="89" spans="2:13" x14ac:dyDescent="0.2">
      <c r="B89" s="14" t="s">
        <v>1145</v>
      </c>
      <c r="C89" s="23">
        <v>100</v>
      </c>
      <c r="D89" s="22">
        <v>180323.79</v>
      </c>
      <c r="E89" s="22">
        <v>84</v>
      </c>
      <c r="F89" s="23">
        <f t="shared" si="13"/>
        <v>2146.7117857142857</v>
      </c>
      <c r="G89" s="34"/>
      <c r="H89" s="23">
        <f t="shared" si="14"/>
        <v>19674.93850657907</v>
      </c>
      <c r="I89" s="23">
        <f t="shared" si="15"/>
        <v>9.1651513899116797</v>
      </c>
      <c r="J89" s="23">
        <f t="shared" si="16"/>
        <v>916.51513899116799</v>
      </c>
      <c r="K89" s="23"/>
      <c r="L89" s="27">
        <f t="shared" si="17"/>
        <v>0</v>
      </c>
      <c r="M89" s="34">
        <f t="shared" si="18"/>
        <v>0</v>
      </c>
    </row>
    <row r="90" spans="2:13" x14ac:dyDescent="0.2">
      <c r="B90" s="14" t="s">
        <v>1146</v>
      </c>
      <c r="C90" s="23">
        <v>167</v>
      </c>
      <c r="D90" s="40">
        <v>93800.83</v>
      </c>
      <c r="E90" s="22">
        <v>44</v>
      </c>
      <c r="F90" s="23">
        <f t="shared" si="13"/>
        <v>2131.8370454545457</v>
      </c>
      <c r="G90" s="34"/>
      <c r="H90" s="23">
        <f t="shared" si="14"/>
        <v>14141.007187905116</v>
      </c>
      <c r="I90" s="23">
        <f t="shared" si="15"/>
        <v>6.6332495807107996</v>
      </c>
      <c r="J90" s="23">
        <f t="shared" si="16"/>
        <v>1107.7526799787036</v>
      </c>
      <c r="K90" s="23"/>
      <c r="L90" s="27">
        <f t="shared" si="17"/>
        <v>0</v>
      </c>
      <c r="M90" s="34">
        <f t="shared" si="18"/>
        <v>0</v>
      </c>
    </row>
    <row r="91" spans="2:13" x14ac:dyDescent="0.2">
      <c r="B91" s="14" t="s">
        <v>1147</v>
      </c>
      <c r="C91" s="23">
        <v>1.5</v>
      </c>
      <c r="D91" s="40">
        <v>11891.96</v>
      </c>
      <c r="E91" s="22">
        <v>387</v>
      </c>
      <c r="F91" s="23">
        <f t="shared" si="13"/>
        <v>30.728578811369506</v>
      </c>
      <c r="G91" s="34"/>
      <c r="H91" s="23">
        <f t="shared" si="14"/>
        <v>604.5022994841737</v>
      </c>
      <c r="I91" s="23">
        <f t="shared" si="15"/>
        <v>19.672315572906001</v>
      </c>
      <c r="J91" s="23">
        <f t="shared" si="16"/>
        <v>29.508473359359002</v>
      </c>
      <c r="K91" s="23"/>
      <c r="L91" s="27">
        <f t="shared" si="17"/>
        <v>1</v>
      </c>
      <c r="M91" s="34">
        <f t="shared" si="18"/>
        <v>387</v>
      </c>
    </row>
    <row r="92" spans="2:13" x14ac:dyDescent="0.2">
      <c r="B92" s="14" t="s">
        <v>1148</v>
      </c>
      <c r="C92" s="23">
        <v>3</v>
      </c>
      <c r="D92" s="40">
        <v>90620.91</v>
      </c>
      <c r="E92" s="22">
        <v>832</v>
      </c>
      <c r="F92" s="23">
        <f t="shared" si="13"/>
        <v>108.91936298076924</v>
      </c>
      <c r="G92" s="34"/>
      <c r="H92" s="23">
        <f t="shared" si="14"/>
        <v>3141.7147849443018</v>
      </c>
      <c r="I92" s="23">
        <f t="shared" si="15"/>
        <v>28.844410203711913</v>
      </c>
      <c r="J92" s="23">
        <f t="shared" si="16"/>
        <v>86.533230611135735</v>
      </c>
      <c r="K92" s="23"/>
      <c r="L92" s="27">
        <f t="shared" si="17"/>
        <v>1</v>
      </c>
      <c r="M92" s="34">
        <f t="shared" si="18"/>
        <v>832</v>
      </c>
    </row>
    <row r="93" spans="2:13" x14ac:dyDescent="0.2">
      <c r="B93" s="14" t="s">
        <v>1149</v>
      </c>
      <c r="C93" s="23">
        <v>5</v>
      </c>
      <c r="D93" s="40">
        <v>168494.99</v>
      </c>
      <c r="E93" s="22">
        <v>1032</v>
      </c>
      <c r="F93" s="23">
        <f t="shared" si="13"/>
        <v>163.27033914728682</v>
      </c>
      <c r="H93" s="23">
        <f t="shared" si="14"/>
        <v>5245.0199391345213</v>
      </c>
      <c r="I93" s="23">
        <f t="shared" si="15"/>
        <v>32.12475680841802</v>
      </c>
      <c r="J93" s="23">
        <f t="shared" si="16"/>
        <v>160.62378404209011</v>
      </c>
      <c r="K93" s="23"/>
      <c r="L93" s="27">
        <f t="shared" si="17"/>
        <v>1</v>
      </c>
      <c r="M93" s="34">
        <f t="shared" si="18"/>
        <v>1032</v>
      </c>
    </row>
    <row r="94" spans="2:13" x14ac:dyDescent="0.2">
      <c r="B94" s="14" t="s">
        <v>1150</v>
      </c>
      <c r="C94" s="23">
        <v>7.5</v>
      </c>
      <c r="D94" s="40">
        <v>41606.17</v>
      </c>
      <c r="E94" s="22">
        <v>202</v>
      </c>
      <c r="F94" s="23">
        <f t="shared" ref="F94" si="19">D94/E94</f>
        <v>205.97113861386137</v>
      </c>
      <c r="G94" s="34"/>
      <c r="H94" s="23">
        <f t="shared" ref="H94" si="20">F94*E94^0.5</f>
        <v>2927.3999057631122</v>
      </c>
      <c r="I94" s="23">
        <f t="shared" ref="I94" si="21">E94^0.5</f>
        <v>14.212670403551895</v>
      </c>
      <c r="J94" s="23">
        <f t="shared" ref="J94" si="22">C94*E94^0.5</f>
        <v>106.59502802663921</v>
      </c>
      <c r="K94" s="23"/>
      <c r="L94" s="27">
        <f t="shared" ref="L94" si="23">IF(C94&gt;50,0,1)</f>
        <v>1</v>
      </c>
      <c r="M94" s="34">
        <f t="shared" ref="M94" si="24">L94*E94</f>
        <v>202</v>
      </c>
    </row>
    <row r="95" spans="2:13" x14ac:dyDescent="0.2">
      <c r="B95" s="14" t="s">
        <v>1151</v>
      </c>
      <c r="C95" s="23">
        <v>10</v>
      </c>
      <c r="D95" s="40">
        <v>1637580.68</v>
      </c>
      <c r="E95" s="22">
        <v>4319</v>
      </c>
      <c r="F95" s="23">
        <f t="shared" si="8"/>
        <v>379.15736976151885</v>
      </c>
      <c r="G95" s="34"/>
      <c r="H95" s="23">
        <f t="shared" si="9"/>
        <v>24917.880796750746</v>
      </c>
      <c r="I95" s="23">
        <f t="shared" si="10"/>
        <v>65.719099202591025</v>
      </c>
      <c r="J95" s="23">
        <f t="shared" si="11"/>
        <v>657.19099202591019</v>
      </c>
      <c r="K95" s="23"/>
      <c r="L95" s="27">
        <f t="shared" ref="L95:L104" si="25">IF(C95&gt;50,0,1)</f>
        <v>1</v>
      </c>
      <c r="M95" s="34">
        <f t="shared" si="12"/>
        <v>4319</v>
      </c>
    </row>
    <row r="96" spans="2:13" x14ac:dyDescent="0.2">
      <c r="B96" s="14" t="s">
        <v>1152</v>
      </c>
      <c r="C96" s="23">
        <v>15</v>
      </c>
      <c r="D96" s="40">
        <v>6314385.9500000002</v>
      </c>
      <c r="E96" s="22">
        <v>11814</v>
      </c>
      <c r="F96" s="23">
        <f t="shared" si="8"/>
        <v>534.48332063653299</v>
      </c>
      <c r="G96" s="34"/>
      <c r="H96" s="23">
        <f t="shared" si="9"/>
        <v>58094.181897472918</v>
      </c>
      <c r="I96" s="23">
        <f t="shared" si="10"/>
        <v>108.6922260329597</v>
      </c>
      <c r="J96" s="23">
        <f t="shared" si="11"/>
        <v>1630.3833904943954</v>
      </c>
      <c r="K96" s="23"/>
      <c r="L96" s="27">
        <f t="shared" si="25"/>
        <v>1</v>
      </c>
      <c r="M96" s="34">
        <f t="shared" si="12"/>
        <v>11814</v>
      </c>
    </row>
    <row r="97" spans="2:13" x14ac:dyDescent="0.2">
      <c r="B97" s="14" t="s">
        <v>1153</v>
      </c>
      <c r="C97" s="23">
        <v>25</v>
      </c>
      <c r="D97" s="40">
        <v>4551497.13</v>
      </c>
      <c r="E97" s="22">
        <v>6547</v>
      </c>
      <c r="F97" s="23">
        <f t="shared" si="8"/>
        <v>695.20347181915383</v>
      </c>
      <c r="G97" s="34"/>
      <c r="H97" s="23">
        <f t="shared" si="9"/>
        <v>56251.369821106709</v>
      </c>
      <c r="I97" s="23">
        <f t="shared" si="10"/>
        <v>80.9135340965898</v>
      </c>
      <c r="J97" s="23">
        <f t="shared" si="11"/>
        <v>2022.838352414745</v>
      </c>
      <c r="K97" s="23"/>
      <c r="L97" s="27">
        <f t="shared" si="25"/>
        <v>1</v>
      </c>
      <c r="M97" s="34">
        <f t="shared" si="12"/>
        <v>6547</v>
      </c>
    </row>
    <row r="98" spans="2:13" x14ac:dyDescent="0.2">
      <c r="B98" s="14" t="s">
        <v>1154</v>
      </c>
      <c r="C98" s="23">
        <v>37.5</v>
      </c>
      <c r="D98" s="40">
        <v>51238.95</v>
      </c>
      <c r="E98" s="22">
        <v>65</v>
      </c>
      <c r="F98" s="23">
        <f t="shared" si="8"/>
        <v>788.29153846153838</v>
      </c>
      <c r="G98" s="34"/>
      <c r="H98" s="23">
        <f t="shared" si="9"/>
        <v>6355.4095638797216</v>
      </c>
      <c r="I98" s="23">
        <f t="shared" si="10"/>
        <v>8.0622577482985491</v>
      </c>
      <c r="J98" s="23">
        <f t="shared" si="11"/>
        <v>302.33466556119561</v>
      </c>
      <c r="K98" s="23"/>
      <c r="L98" s="27">
        <f t="shared" si="25"/>
        <v>1</v>
      </c>
      <c r="M98" s="34">
        <f t="shared" si="12"/>
        <v>65</v>
      </c>
    </row>
    <row r="99" spans="2:13" x14ac:dyDescent="0.2">
      <c r="B99" s="14" t="s">
        <v>1155</v>
      </c>
      <c r="C99" s="23">
        <v>50</v>
      </c>
      <c r="D99" s="40">
        <v>717730.37</v>
      </c>
      <c r="E99" s="22">
        <v>785</v>
      </c>
      <c r="F99" s="23">
        <f t="shared" si="8"/>
        <v>914.30620382165603</v>
      </c>
      <c r="G99" s="34"/>
      <c r="H99" s="23">
        <f t="shared" si="9"/>
        <v>25616.895400540103</v>
      </c>
      <c r="I99" s="23">
        <f t="shared" si="10"/>
        <v>28.0178514522438</v>
      </c>
      <c r="J99" s="23">
        <f t="shared" si="11"/>
        <v>1400.89257261219</v>
      </c>
      <c r="K99" s="23"/>
      <c r="L99" s="27">
        <f t="shared" si="25"/>
        <v>1</v>
      </c>
      <c r="M99" s="34">
        <f t="shared" si="12"/>
        <v>785</v>
      </c>
    </row>
    <row r="100" spans="2:13" x14ac:dyDescent="0.2">
      <c r="B100" s="14" t="s">
        <v>1156</v>
      </c>
      <c r="C100" s="23">
        <v>10</v>
      </c>
      <c r="D100" s="40">
        <v>842232.46</v>
      </c>
      <c r="E100" s="22">
        <v>2427</v>
      </c>
      <c r="F100" s="23">
        <f t="shared" si="8"/>
        <v>347.02614750721051</v>
      </c>
      <c r="G100" s="34"/>
      <c r="H100" s="23">
        <f t="shared" si="9"/>
        <v>17096.101482481929</v>
      </c>
      <c r="I100" s="23">
        <f t="shared" si="10"/>
        <v>49.264591747014407</v>
      </c>
      <c r="J100" s="23">
        <f t="shared" si="11"/>
        <v>492.64591747014407</v>
      </c>
      <c r="K100" s="23"/>
      <c r="L100" s="27">
        <f t="shared" si="25"/>
        <v>1</v>
      </c>
      <c r="M100" s="34">
        <f t="shared" si="12"/>
        <v>2427</v>
      </c>
    </row>
    <row r="101" spans="2:13" x14ac:dyDescent="0.2">
      <c r="B101" s="14" t="s">
        <v>1157</v>
      </c>
      <c r="C101" s="23">
        <v>15</v>
      </c>
      <c r="D101" s="40">
        <v>444569.67</v>
      </c>
      <c r="E101" s="22">
        <v>916</v>
      </c>
      <c r="F101" s="23">
        <f t="shared" si="8"/>
        <v>485.33806768558952</v>
      </c>
      <c r="G101" s="34"/>
      <c r="H101" s="23">
        <f t="shared" si="9"/>
        <v>14688.995356709056</v>
      </c>
      <c r="I101" s="23">
        <f t="shared" si="10"/>
        <v>30.265491900843113</v>
      </c>
      <c r="J101" s="23">
        <f t="shared" si="11"/>
        <v>453.98237851264668</v>
      </c>
      <c r="K101" s="23"/>
      <c r="L101" s="27">
        <f t="shared" si="25"/>
        <v>1</v>
      </c>
      <c r="M101" s="34">
        <f t="shared" si="12"/>
        <v>916</v>
      </c>
    </row>
    <row r="102" spans="2:13" x14ac:dyDescent="0.2">
      <c r="B102" s="14" t="s">
        <v>1158</v>
      </c>
      <c r="C102" s="23">
        <v>25</v>
      </c>
      <c r="D102" s="40">
        <v>106153.63</v>
      </c>
      <c r="E102" s="22">
        <v>190</v>
      </c>
      <c r="F102" s="23">
        <f t="shared" si="8"/>
        <v>558.70331578947366</v>
      </c>
      <c r="G102" s="34"/>
      <c r="H102" s="23">
        <f t="shared" si="9"/>
        <v>7701.1937427965631</v>
      </c>
      <c r="I102" s="23">
        <f t="shared" si="10"/>
        <v>13.784048752090222</v>
      </c>
      <c r="J102" s="23">
        <f t="shared" si="11"/>
        <v>344.60121880225552</v>
      </c>
      <c r="K102" s="23"/>
      <c r="L102" s="27">
        <f t="shared" si="25"/>
        <v>1</v>
      </c>
      <c r="M102" s="34">
        <f t="shared" si="12"/>
        <v>190</v>
      </c>
    </row>
    <row r="103" spans="2:13" x14ac:dyDescent="0.2">
      <c r="B103" s="14" t="s">
        <v>1159</v>
      </c>
      <c r="C103" s="23">
        <v>333</v>
      </c>
      <c r="D103" s="40">
        <v>24072.94</v>
      </c>
      <c r="E103" s="22">
        <v>7</v>
      </c>
      <c r="F103" s="23">
        <f t="shared" si="8"/>
        <v>3438.9914285714285</v>
      </c>
      <c r="G103" s="34"/>
      <c r="H103" s="23">
        <f t="shared" si="9"/>
        <v>9098.7160808827466</v>
      </c>
      <c r="I103" s="23">
        <f t="shared" si="10"/>
        <v>2.6457513110645907</v>
      </c>
      <c r="J103" s="23">
        <f t="shared" si="11"/>
        <v>881.03518658450866</v>
      </c>
      <c r="K103" s="23"/>
      <c r="L103" s="27">
        <f t="shared" si="25"/>
        <v>0</v>
      </c>
      <c r="M103" s="34">
        <f t="shared" si="12"/>
        <v>0</v>
      </c>
    </row>
    <row r="104" spans="2:13" x14ac:dyDescent="0.2">
      <c r="B104" s="14" t="s">
        <v>1160</v>
      </c>
      <c r="C104" s="23">
        <v>250</v>
      </c>
      <c r="D104" s="40">
        <v>14768</v>
      </c>
      <c r="E104" s="22">
        <v>4</v>
      </c>
      <c r="F104" s="23">
        <f t="shared" si="8"/>
        <v>3692</v>
      </c>
      <c r="G104" s="34"/>
      <c r="H104" s="23">
        <f t="shared" si="9"/>
        <v>7384</v>
      </c>
      <c r="I104" s="23">
        <f t="shared" si="10"/>
        <v>2</v>
      </c>
      <c r="J104" s="23">
        <f t="shared" si="11"/>
        <v>500</v>
      </c>
      <c r="K104" s="23"/>
      <c r="L104" s="27">
        <f t="shared" si="25"/>
        <v>0</v>
      </c>
      <c r="M104" s="34">
        <f t="shared" si="12"/>
        <v>0</v>
      </c>
    </row>
    <row r="105" spans="2:13" x14ac:dyDescent="0.2">
      <c r="B105" s="24" t="s">
        <v>857</v>
      </c>
      <c r="D105" s="35">
        <f>SUM(D80:D104)</f>
        <v>30078911.770000003</v>
      </c>
      <c r="E105" s="36">
        <f>SUM(E80:E104)</f>
        <v>45695</v>
      </c>
      <c r="M105" s="36">
        <f>SUM(M80:M104)</f>
        <v>45372</v>
      </c>
    </row>
    <row r="107" spans="2:13" x14ac:dyDescent="0.2">
      <c r="B107" s="17" t="s">
        <v>966</v>
      </c>
      <c r="H107" s="269" t="s">
        <v>967</v>
      </c>
      <c r="I107" s="269"/>
    </row>
    <row r="109" spans="2:13" x14ac:dyDescent="0.2">
      <c r="B109" s="14" t="s">
        <v>968</v>
      </c>
      <c r="D109" s="37">
        <f>H109</f>
        <v>16.069229828040463</v>
      </c>
      <c r="H109" s="37">
        <f t="array" ref="H109:I111">LINEST(H80:H103,I80:J103,FALSE,TRUE)</f>
        <v>16.069229828040463</v>
      </c>
      <c r="I109" s="37">
        <v>373.87390724041728</v>
      </c>
    </row>
    <row r="110" spans="2:13" x14ac:dyDescent="0.2">
      <c r="B110" s="14" t="s">
        <v>969</v>
      </c>
      <c r="D110" s="37">
        <f>I109</f>
        <v>373.87390724041728</v>
      </c>
      <c r="H110" s="37">
        <v>3.9728156904486873</v>
      </c>
      <c r="I110" s="37">
        <v>86.181424893501671</v>
      </c>
    </row>
    <row r="111" spans="2:13" x14ac:dyDescent="0.2">
      <c r="B111" s="14" t="s">
        <v>970</v>
      </c>
      <c r="D111" s="38">
        <f>H111</f>
        <v>0.89622876810092345</v>
      </c>
      <c r="H111" s="37">
        <v>0.89622876810092345</v>
      </c>
      <c r="I111" s="38">
        <v>10673.407202856504</v>
      </c>
    </row>
    <row r="112" spans="2:13" x14ac:dyDescent="0.2">
      <c r="H112" s="37"/>
      <c r="I112" s="37"/>
    </row>
    <row r="113" spans="1:12" x14ac:dyDescent="0.2">
      <c r="B113" s="25" t="s">
        <v>971</v>
      </c>
      <c r="C113" s="39"/>
    </row>
    <row r="114" spans="1:12" x14ac:dyDescent="0.2">
      <c r="C114" s="39"/>
      <c r="F114" s="30"/>
    </row>
    <row r="115" spans="1:12" x14ac:dyDescent="0.2">
      <c r="B115" s="14" t="s">
        <v>972</v>
      </c>
      <c r="C115" s="29" t="s">
        <v>988</v>
      </c>
      <c r="D115" s="34">
        <f>M105</f>
        <v>45372</v>
      </c>
      <c r="F115" s="30" t="s">
        <v>989</v>
      </c>
    </row>
    <row r="116" spans="1:12" x14ac:dyDescent="0.2">
      <c r="B116" s="14" t="s">
        <v>973</v>
      </c>
      <c r="C116" s="39"/>
      <c r="D116" s="40">
        <f>D110</f>
        <v>373.87390724041728</v>
      </c>
      <c r="E116" s="26"/>
      <c r="F116" s="30" t="s">
        <v>990</v>
      </c>
    </row>
    <row r="117" spans="1:12" x14ac:dyDescent="0.2">
      <c r="B117" s="14" t="s">
        <v>974</v>
      </c>
      <c r="C117" s="39"/>
      <c r="D117" s="40">
        <f>MIN(F80:F103)</f>
        <v>30.728578811369506</v>
      </c>
      <c r="E117" s="26"/>
    </row>
    <row r="118" spans="1:12" x14ac:dyDescent="0.2">
      <c r="B118" s="14" t="s">
        <v>975</v>
      </c>
      <c r="C118" s="39"/>
      <c r="D118" s="148" t="s">
        <v>982</v>
      </c>
      <c r="E118" s="26"/>
    </row>
    <row r="119" spans="1:12" x14ac:dyDescent="0.2">
      <c r="B119" s="14" t="s">
        <v>976</v>
      </c>
      <c r="C119" s="39"/>
      <c r="D119" s="41">
        <f>IF(D118="Z",D115*D116,D115*D117)</f>
        <v>16963406.919312213</v>
      </c>
    </row>
    <row r="120" spans="1:12" x14ac:dyDescent="0.2">
      <c r="B120" s="14" t="s">
        <v>977</v>
      </c>
      <c r="C120" s="39"/>
      <c r="D120" s="41">
        <f>D105</f>
        <v>30078911.770000003</v>
      </c>
    </row>
    <row r="121" spans="1:12" x14ac:dyDescent="0.2">
      <c r="B121" s="14" t="s">
        <v>978</v>
      </c>
      <c r="C121" s="39"/>
      <c r="D121" s="42">
        <f>D119/D120</f>
        <v>0.56396345216954002</v>
      </c>
    </row>
    <row r="122" spans="1:12" x14ac:dyDescent="0.2">
      <c r="B122" s="14" t="s">
        <v>979</v>
      </c>
      <c r="C122" s="39"/>
      <c r="D122" s="43">
        <f>D121</f>
        <v>0.56396345216954002</v>
      </c>
    </row>
    <row r="123" spans="1:12" x14ac:dyDescent="0.2">
      <c r="B123" s="14" t="s">
        <v>980</v>
      </c>
      <c r="C123" s="39"/>
      <c r="D123" s="44">
        <f>1-D122</f>
        <v>0.43603654783045998</v>
      </c>
    </row>
    <row r="125" spans="1:12" x14ac:dyDescent="0.2">
      <c r="B125" s="137" t="s">
        <v>857</v>
      </c>
      <c r="L125" s="14"/>
    </row>
    <row r="126" spans="1:12" x14ac:dyDescent="0.2">
      <c r="A126" s="13"/>
      <c r="L126" s="14"/>
    </row>
    <row r="127" spans="1:12" x14ac:dyDescent="0.2">
      <c r="A127" s="13"/>
      <c r="B127" s="137" t="s">
        <v>991</v>
      </c>
      <c r="C127" s="62" t="s">
        <v>992</v>
      </c>
      <c r="D127" s="138" t="s">
        <v>10</v>
      </c>
      <c r="E127" s="138" t="s">
        <v>12</v>
      </c>
      <c r="H127" s="62" t="s">
        <v>1013</v>
      </c>
      <c r="L127" s="14"/>
    </row>
    <row r="128" spans="1:12" x14ac:dyDescent="0.2">
      <c r="B128" s="14" t="s">
        <v>199</v>
      </c>
      <c r="C128" s="27">
        <v>365</v>
      </c>
      <c r="D128" s="38">
        <f>D42</f>
        <v>0.66741650655705076</v>
      </c>
      <c r="E128" s="38">
        <f>D41</f>
        <v>0.33258349344294919</v>
      </c>
      <c r="G128" s="146"/>
      <c r="H128" s="151" t="str">
        <f>D37</f>
        <v>Z</v>
      </c>
      <c r="L128" s="14"/>
    </row>
    <row r="129" spans="2:12" x14ac:dyDescent="0.2">
      <c r="B129" s="14" t="s">
        <v>200</v>
      </c>
      <c r="C129" s="27">
        <v>367</v>
      </c>
      <c r="D129" s="38">
        <f>D74</f>
        <v>0.48796112088980903</v>
      </c>
      <c r="E129" s="38">
        <f>D73</f>
        <v>0.51203887911019097</v>
      </c>
      <c r="G129" s="146"/>
      <c r="H129" s="151" t="str">
        <f>D69</f>
        <v>Z</v>
      </c>
      <c r="L129" s="14"/>
    </row>
    <row r="130" spans="2:12" x14ac:dyDescent="0.2">
      <c r="B130" s="14" t="s">
        <v>201</v>
      </c>
      <c r="C130" s="27">
        <v>368</v>
      </c>
      <c r="D130" s="139">
        <f>D123</f>
        <v>0.43603654783045998</v>
      </c>
      <c r="E130" s="139">
        <f>D122</f>
        <v>0.56396345216954002</v>
      </c>
      <c r="G130" s="146"/>
      <c r="H130" s="151" t="str">
        <f>D118</f>
        <v>Z</v>
      </c>
      <c r="L130" s="14"/>
    </row>
  </sheetData>
  <mergeCells count="4">
    <mergeCell ref="H26:I26"/>
    <mergeCell ref="H58:I58"/>
    <mergeCell ref="L77:M77"/>
    <mergeCell ref="H107:I107"/>
  </mergeCells>
  <pageMargins left="0.7" right="0.7" top="0.75" bottom="0.75" header="0.3" footer="0.3"/>
  <pageSetup scale="70" fitToHeight="3" orientation="landscape" r:id="rId1"/>
  <headerFooter>
    <oddFooter>&amp;RExhibit JW-8
Page &amp;P of &amp;N</oddFooter>
  </headerFooter>
  <rowBreaks count="3" manualBreakCount="3">
    <brk id="42" max="16383" man="1"/>
    <brk id="74" max="16383" man="1"/>
    <brk id="123" max="16383" man="1"/>
  </rowBreaks>
  <ignoredErrors>
    <ignoredError sqref="D110 D29 D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2025-04-23T13:35:09Z</cp:lastPrinted>
  <dcterms:created xsi:type="dcterms:W3CDTF">1999-02-10T22:20:33Z</dcterms:created>
  <dcterms:modified xsi:type="dcterms:W3CDTF">2025-04-23T13:35:10Z</dcterms:modified>
</cp:coreProperties>
</file>