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8595\Desktop\KRWA\North Marshall\Application\"/>
    </mc:Choice>
  </mc:AlternateContent>
  <xr:revisionPtr revIDLastSave="0" documentId="13_ncr:1_{1B86F97A-0A88-4A80-9593-2975F631A74B}" xr6:coauthVersionLast="47" xr6:coauthVersionMax="47" xr10:uidLastSave="{00000000-0000-0000-0000-000000000000}"/>
  <bookViews>
    <workbookView xWindow="-110" yWindow="-110" windowWidth="19420" windowHeight="10300" tabRatio="641" xr2:uid="{00000000-000D-0000-FFFF-FFFF00000000}"/>
  </bookViews>
  <sheets>
    <sheet name="SAO" sheetId="6" r:id="rId1"/>
    <sheet name="References" sheetId="58" r:id="rId2"/>
    <sheet name="Wages" sheetId="55" r:id="rId3"/>
    <sheet name="Debt Service" sheetId="50" r:id="rId4"/>
    <sheet name="Depreciation" sheetId="51" r:id="rId5"/>
    <sheet name="Capital" sheetId="56" r:id="rId6"/>
    <sheet name="Medical" sheetId="40" r:id="rId7"/>
    <sheet name="Water Loss" sheetId="54" r:id="rId8"/>
    <sheet name="Rates" sheetId="2" r:id="rId9"/>
    <sheet name="Bills" sheetId="42" r:id="rId10"/>
    <sheet name="ExBA" sheetId="52" r:id="rId11"/>
    <sheet name="PrBA%" sheetId="53" r:id="rId12"/>
  </sheets>
  <definedNames>
    <definedName name="AHV">#REF!</definedName>
    <definedName name="_xlnm.Print_Area" localSheetId="9">Bills!$B$1:$I$27</definedName>
    <definedName name="_xlnm.Print_Area" localSheetId="3">'Debt Service'!$A$1:$O$25</definedName>
    <definedName name="_xlnm.Print_Area" localSheetId="4">Depreciation!$A$1:$L$50</definedName>
    <definedName name="_xlnm.Print_Area" localSheetId="11">'PrBA%'!$A$1:$L$37</definedName>
    <definedName name="_xlnm.Print_Area" localSheetId="8">Rates!$B$2:$I$21</definedName>
    <definedName name="_xlnm.Print_Area" localSheetId="0">SAO!$A$1:$G$64</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6" l="1"/>
  <c r="D93" i="6"/>
  <c r="G20" i="58" l="1"/>
  <c r="F20" i="58"/>
  <c r="G23" i="6" l="1"/>
  <c r="G28" i="6"/>
  <c r="F8" i="52"/>
  <c r="H50" i="55"/>
  <c r="F10" i="52" l="1"/>
  <c r="E23" i="6"/>
  <c r="E47" i="6"/>
  <c r="M20" i="55"/>
  <c r="E11" i="40"/>
  <c r="M30" i="40"/>
  <c r="E24" i="40"/>
  <c r="J24" i="40" s="1"/>
  <c r="E23" i="40"/>
  <c r="E22" i="40"/>
  <c r="E21" i="40"/>
  <c r="J21" i="40" s="1"/>
  <c r="J23" i="40"/>
  <c r="J22" i="40"/>
  <c r="G76" i="6"/>
  <c r="F116" i="55"/>
  <c r="E116" i="55"/>
  <c r="D115" i="55"/>
  <c r="D111" i="55"/>
  <c r="D108" i="55"/>
  <c r="D107" i="55"/>
  <c r="D104" i="55"/>
  <c r="F115" i="55"/>
  <c r="E115" i="55"/>
  <c r="G115" i="55"/>
  <c r="F109" i="55"/>
  <c r="E106" i="55"/>
  <c r="E103" i="55"/>
  <c r="E102" i="55"/>
  <c r="E114" i="55"/>
  <c r="E113" i="55"/>
  <c r="E112" i="55"/>
  <c r="F105" i="55" l="1"/>
  <c r="F110" i="55"/>
  <c r="F101" i="55"/>
  <c r="H10" i="51"/>
  <c r="F10" i="51"/>
  <c r="H42" i="51"/>
  <c r="F42" i="51"/>
  <c r="E46" i="6"/>
  <c r="D16" i="55" l="1"/>
  <c r="E30" i="6" l="1"/>
  <c r="E20" i="6"/>
  <c r="D5" i="56"/>
  <c r="J18" i="55"/>
  <c r="I18" i="55"/>
  <c r="H18" i="55"/>
  <c r="J15" i="55"/>
  <c r="I15" i="55"/>
  <c r="H15" i="55"/>
  <c r="K15" i="55" s="1"/>
  <c r="L15" i="55" s="1"/>
  <c r="K12" i="50"/>
  <c r="I12" i="50"/>
  <c r="G12" i="50"/>
  <c r="F20" i="55"/>
  <c r="D20" i="55"/>
  <c r="K18" i="55" l="1"/>
  <c r="L18" i="55" s="1"/>
  <c r="B18" i="40"/>
  <c r="F8" i="53" l="1"/>
  <c r="C33" i="53"/>
  <c r="C31" i="53"/>
  <c r="C30" i="53"/>
  <c r="C29" i="53"/>
  <c r="C28" i="53"/>
  <c r="C23" i="53"/>
  <c r="C22" i="53"/>
  <c r="C21" i="53"/>
  <c r="C20" i="53"/>
  <c r="C19" i="53"/>
  <c r="C18" i="53"/>
  <c r="C17" i="53"/>
  <c r="E7" i="52" l="1"/>
  <c r="G46" i="6" l="1"/>
  <c r="M12" i="50"/>
  <c r="C19" i="52"/>
  <c r="J29" i="52"/>
  <c r="J30" i="52" s="1"/>
  <c r="C20" i="52" l="1"/>
  <c r="C23" i="52" s="1"/>
  <c r="C22" i="52"/>
  <c r="C21" i="52"/>
  <c r="C18" i="52"/>
  <c r="C17" i="52"/>
  <c r="C16" i="52"/>
  <c r="C32" i="52"/>
  <c r="C30" i="52"/>
  <c r="C29" i="52"/>
  <c r="C28" i="52"/>
  <c r="C27" i="52"/>
  <c r="J17" i="55"/>
  <c r="I17" i="55"/>
  <c r="H17" i="55"/>
  <c r="J19" i="55"/>
  <c r="I19" i="55"/>
  <c r="H19" i="55"/>
  <c r="K17" i="55" l="1"/>
  <c r="L17" i="55" s="1"/>
  <c r="K19" i="55"/>
  <c r="L19" i="55" s="1"/>
  <c r="D8" i="56"/>
  <c r="C11" i="56" s="1"/>
  <c r="D4" i="56"/>
  <c r="G8" i="6"/>
  <c r="Q8" i="55"/>
  <c r="L5" i="55"/>
  <c r="H46" i="51" l="1"/>
  <c r="J27" i="40" l="1"/>
  <c r="M27" i="40" s="1"/>
  <c r="C25" i="40"/>
  <c r="D18" i="40"/>
  <c r="C18" i="40"/>
  <c r="E13" i="40"/>
  <c r="J13" i="40" s="1"/>
  <c r="E12" i="40"/>
  <c r="M12" i="40" s="1"/>
  <c r="M11" i="40"/>
  <c r="E10" i="40"/>
  <c r="M10" i="40" s="1"/>
  <c r="E9" i="40"/>
  <c r="H9" i="40" s="1"/>
  <c r="E8" i="40"/>
  <c r="G8" i="40" s="1"/>
  <c r="H8" i="40" s="1"/>
  <c r="E7" i="40"/>
  <c r="J7" i="40" s="1"/>
  <c r="E6" i="40"/>
  <c r="G6" i="40" s="1"/>
  <c r="H6" i="40" s="1"/>
  <c r="H13" i="40" l="1"/>
  <c r="K13" i="40" s="1"/>
  <c r="J10" i="40"/>
  <c r="J8" i="40"/>
  <c r="J9" i="40"/>
  <c r="F10" i="40"/>
  <c r="G10" i="40" s="1"/>
  <c r="H10" i="40" s="1"/>
  <c r="K10" i="40" s="1"/>
  <c r="N10" i="40" s="1"/>
  <c r="M9" i="40"/>
  <c r="J11" i="40"/>
  <c r="J12" i="40"/>
  <c r="M13" i="40"/>
  <c r="F11" i="40"/>
  <c r="G11" i="40" s="1"/>
  <c r="H11" i="40" s="1"/>
  <c r="K11" i="40" s="1"/>
  <c r="N11" i="40" s="1"/>
  <c r="F12" i="40"/>
  <c r="H12" i="40" s="1"/>
  <c r="K12" i="40" s="1"/>
  <c r="N12" i="40" s="1"/>
  <c r="K6" i="40"/>
  <c r="K8" i="40"/>
  <c r="M6" i="40"/>
  <c r="J6" i="40"/>
  <c r="K9" i="40"/>
  <c r="N9" i="40" s="1"/>
  <c r="M7" i="40"/>
  <c r="F7" i="40"/>
  <c r="G7" i="40" s="1"/>
  <c r="H7" i="40" s="1"/>
  <c r="K7" i="40" s="1"/>
  <c r="M8" i="40"/>
  <c r="N13" i="40" l="1"/>
  <c r="N6" i="40"/>
  <c r="N8" i="40"/>
  <c r="N7" i="40"/>
  <c r="I16" i="55" l="1"/>
  <c r="I14" i="55"/>
  <c r="I13" i="55"/>
  <c r="I12" i="55"/>
  <c r="I11" i="55"/>
  <c r="I10" i="55"/>
  <c r="I9" i="55"/>
  <c r="I8" i="55"/>
  <c r="I7" i="55"/>
  <c r="I6" i="55"/>
  <c r="I20" i="55" l="1"/>
  <c r="C24" i="53"/>
  <c r="D6" i="53" s="1"/>
  <c r="C35" i="53"/>
  <c r="E6" i="53" s="1"/>
  <c r="C34" i="52"/>
  <c r="D61" i="55" l="1"/>
  <c r="D27" i="52"/>
  <c r="E27" i="52" s="1"/>
  <c r="D17" i="52"/>
  <c r="E17" i="52" s="1"/>
  <c r="D18" i="52"/>
  <c r="E18" i="52" s="1"/>
  <c r="D19" i="52"/>
  <c r="E19" i="52" s="1"/>
  <c r="D20" i="52"/>
  <c r="E20" i="52" s="1"/>
  <c r="D21" i="52"/>
  <c r="E21" i="52" s="1"/>
  <c r="D22" i="52"/>
  <c r="E22" i="52" s="1"/>
  <c r="D16" i="52"/>
  <c r="E16" i="52" s="1"/>
  <c r="E56" i="55"/>
  <c r="H16" i="55"/>
  <c r="H14" i="55"/>
  <c r="H13" i="55"/>
  <c r="H12" i="55"/>
  <c r="H11" i="55"/>
  <c r="H10" i="55"/>
  <c r="H9" i="55"/>
  <c r="H8" i="55"/>
  <c r="H7" i="55"/>
  <c r="H6" i="55"/>
  <c r="G37" i="6"/>
  <c r="G35" i="6"/>
  <c r="G34" i="6"/>
  <c r="G33" i="6"/>
  <c r="G32" i="6"/>
  <c r="J16" i="55"/>
  <c r="J9" i="55"/>
  <c r="J8" i="55"/>
  <c r="J7" i="55"/>
  <c r="K16" i="55" l="1"/>
  <c r="L16" i="55" s="1"/>
  <c r="D28" i="52"/>
  <c r="K9" i="55"/>
  <c r="L9" i="55" s="1"/>
  <c r="K8" i="55"/>
  <c r="L8" i="55" s="1"/>
  <c r="K7" i="55"/>
  <c r="L7" i="55" s="1"/>
  <c r="E23" i="52"/>
  <c r="F6" i="52" s="1"/>
  <c r="D6" i="52"/>
  <c r="D29" i="52" l="1"/>
  <c r="E28" i="52"/>
  <c r="E17" i="42"/>
  <c r="E24" i="42"/>
  <c r="O17" i="42" s="1"/>
  <c r="E23" i="42"/>
  <c r="O16" i="42" s="1"/>
  <c r="E22" i="42"/>
  <c r="E21" i="42"/>
  <c r="E20" i="42"/>
  <c r="O13" i="42" s="1"/>
  <c r="E19" i="42"/>
  <c r="E18" i="42"/>
  <c r="O12" i="42" s="1"/>
  <c r="E16" i="42"/>
  <c r="E15" i="42"/>
  <c r="E14" i="42"/>
  <c r="E13" i="42"/>
  <c r="O11" i="42" s="1"/>
  <c r="E12" i="42"/>
  <c r="E11" i="42"/>
  <c r="E10" i="42"/>
  <c r="E9" i="42"/>
  <c r="F17" i="2"/>
  <c r="F16" i="2"/>
  <c r="F15" i="2"/>
  <c r="F14" i="2"/>
  <c r="F13" i="2"/>
  <c r="F12" i="2"/>
  <c r="F11" i="2"/>
  <c r="O15" i="42" l="1"/>
  <c r="O14" i="42"/>
  <c r="D30" i="52"/>
  <c r="E29" i="52"/>
  <c r="D31" i="52" l="1"/>
  <c r="E30" i="52"/>
  <c r="M22" i="40"/>
  <c r="G22" i="40"/>
  <c r="H22" i="40" s="1"/>
  <c r="K22" i="40" s="1"/>
  <c r="G24" i="40"/>
  <c r="H24" i="40" s="1"/>
  <c r="K24" i="40" s="1"/>
  <c r="E14" i="40"/>
  <c r="J14" i="40" s="1"/>
  <c r="G9" i="6"/>
  <c r="L16" i="50"/>
  <c r="D16" i="50"/>
  <c r="K16" i="50"/>
  <c r="I16" i="50"/>
  <c r="H16" i="50"/>
  <c r="G16" i="50"/>
  <c r="F16" i="50"/>
  <c r="E16" i="50"/>
  <c r="C16" i="50"/>
  <c r="H5" i="55"/>
  <c r="H20" i="55" s="1"/>
  <c r="F54" i="51"/>
  <c r="K26" i="55"/>
  <c r="B32" i="54"/>
  <c r="D32" i="54" s="1"/>
  <c r="E28" i="6" s="1"/>
  <c r="B31" i="54"/>
  <c r="D31" i="54" s="1"/>
  <c r="E27" i="6" s="1"/>
  <c r="B30" i="54"/>
  <c r="G13" i="6"/>
  <c r="A32" i="54"/>
  <c r="A31" i="54"/>
  <c r="A30" i="54"/>
  <c r="D32" i="52" l="1"/>
  <c r="E31" i="52"/>
  <c r="J18" i="40"/>
  <c r="E25" i="40"/>
  <c r="E18" i="40"/>
  <c r="E28" i="40" s="1"/>
  <c r="N22" i="40"/>
  <c r="G14" i="40"/>
  <c r="H14" i="40" s="1"/>
  <c r="K14" i="40" s="1"/>
  <c r="M23" i="40"/>
  <c r="G21" i="40"/>
  <c r="H21" i="40" s="1"/>
  <c r="K21" i="40" s="1"/>
  <c r="G23" i="40"/>
  <c r="H23" i="40" s="1"/>
  <c r="K23" i="40" s="1"/>
  <c r="M21" i="40"/>
  <c r="M24" i="40"/>
  <c r="M14" i="40"/>
  <c r="J16" i="50"/>
  <c r="M23" i="50" s="1"/>
  <c r="G56" i="6" s="1"/>
  <c r="F44" i="51"/>
  <c r="J18" i="51"/>
  <c r="J42" i="51"/>
  <c r="K23" i="51"/>
  <c r="M25" i="40" l="1"/>
  <c r="D33" i="52"/>
  <c r="E33" i="52" s="1"/>
  <c r="E32" i="52"/>
  <c r="F18" i="40"/>
  <c r="J25" i="40"/>
  <c r="J28" i="40" s="1"/>
  <c r="M18" i="40"/>
  <c r="M29" i="40" s="1"/>
  <c r="M31" i="40" s="1"/>
  <c r="E22" i="6" s="1"/>
  <c r="N14" i="40"/>
  <c r="N23" i="40"/>
  <c r="K25" i="40"/>
  <c r="N21" i="40"/>
  <c r="N24" i="40"/>
  <c r="K19" i="51"/>
  <c r="K18" i="51"/>
  <c r="K42" i="51"/>
  <c r="C14" i="56"/>
  <c r="C13" i="56"/>
  <c r="J10" i="55"/>
  <c r="K10" i="55" s="1"/>
  <c r="L10" i="55" s="1"/>
  <c r="J14" i="55"/>
  <c r="K14" i="55" s="1"/>
  <c r="L14" i="55" s="1"/>
  <c r="J12" i="55"/>
  <c r="K12" i="55" s="1"/>
  <c r="L12" i="55" s="1"/>
  <c r="J6" i="55"/>
  <c r="J5" i="55"/>
  <c r="C21" i="54"/>
  <c r="C13" i="54"/>
  <c r="C4" i="54"/>
  <c r="K18" i="40" l="1"/>
  <c r="K6" i="55"/>
  <c r="E34" i="52"/>
  <c r="F7" i="52" s="1"/>
  <c r="F9" i="52" s="1"/>
  <c r="N25" i="40"/>
  <c r="N18" i="40"/>
  <c r="C22" i="54"/>
  <c r="D25" i="54"/>
  <c r="D27" i="54" s="1"/>
  <c r="J11" i="55"/>
  <c r="K11" i="55" s="1"/>
  <c r="L11" i="55" s="1"/>
  <c r="J13" i="55"/>
  <c r="K13" i="55" s="1"/>
  <c r="L13" i="55" s="1"/>
  <c r="E37" i="52" l="1"/>
  <c r="J20" i="55"/>
  <c r="K20" i="55"/>
  <c r="L6" i="55"/>
  <c r="L20" i="55" s="1"/>
  <c r="F11" i="52"/>
  <c r="E10" i="6" s="1"/>
  <c r="G10" i="6" s="1"/>
  <c r="F10" i="53"/>
  <c r="C32" i="54"/>
  <c r="C31" i="54"/>
  <c r="C30" i="54"/>
  <c r="D30" i="54" s="1"/>
  <c r="N34" i="40"/>
  <c r="G78" i="6" l="1"/>
  <c r="G61" i="6"/>
  <c r="G50" i="55"/>
  <c r="K37" i="55"/>
  <c r="K39" i="55" s="1"/>
  <c r="D35" i="54"/>
  <c r="K25" i="55"/>
  <c r="K27" i="55" s="1"/>
  <c r="E19" i="6" s="1"/>
  <c r="H44" i="51"/>
  <c r="J41" i="51"/>
  <c r="K41" i="51" s="1"/>
  <c r="J38" i="51"/>
  <c r="K38" i="51" s="1"/>
  <c r="J35" i="51"/>
  <c r="K35" i="51" s="1"/>
  <c r="J28" i="51"/>
  <c r="K28" i="51" s="1"/>
  <c r="K24" i="51"/>
  <c r="K22" i="51"/>
  <c r="J15" i="51"/>
  <c r="K15" i="51" s="1"/>
  <c r="J10" i="51"/>
  <c r="K10" i="51" s="1"/>
  <c r="M14" i="50"/>
  <c r="M13" i="50"/>
  <c r="M16" i="50" l="1"/>
  <c r="M19" i="50" s="1"/>
  <c r="G71" i="6" s="1"/>
  <c r="G20" i="6"/>
  <c r="K29" i="55"/>
  <c r="K31" i="55" s="1"/>
  <c r="K33" i="55" s="1"/>
  <c r="K35" i="55" s="1"/>
  <c r="K44" i="51"/>
  <c r="J44" i="51"/>
  <c r="P16" i="50"/>
  <c r="J46" i="51" l="1"/>
  <c r="K46" i="51" s="1"/>
  <c r="F53" i="51" s="1"/>
  <c r="F55" i="51" s="1"/>
  <c r="E45" i="6"/>
  <c r="M21" i="50"/>
  <c r="G72" i="6" s="1"/>
  <c r="G45" i="6" l="1"/>
  <c r="G6" i="6"/>
  <c r="P21" i="50"/>
  <c r="G47" i="6"/>
  <c r="G42" i="6"/>
  <c r="G41" i="6"/>
  <c r="G40" i="6"/>
  <c r="G39" i="6"/>
  <c r="G38" i="6"/>
  <c r="G36" i="6"/>
  <c r="G30" i="6"/>
  <c r="G27" i="6"/>
  <c r="G26" i="6"/>
  <c r="G21" i="6"/>
  <c r="G7" i="6"/>
  <c r="G31" i="6" l="1"/>
  <c r="G14" i="6" l="1"/>
  <c r="F20" i="2" l="1"/>
  <c r="G12" i="6" l="1"/>
  <c r="D15" i="6"/>
  <c r="D43" i="6"/>
  <c r="D48" i="6" s="1"/>
  <c r="G74" i="6" l="1"/>
  <c r="G58" i="6"/>
  <c r="G43" i="6"/>
  <c r="G48" i="6" l="1"/>
  <c r="G70" i="6" s="1"/>
  <c r="G73" i="6" s="1"/>
  <c r="G77" i="6" s="1"/>
  <c r="G15" i="6"/>
  <c r="D50" i="6"/>
  <c r="G79" i="6" l="1"/>
  <c r="G81" i="6" s="1"/>
  <c r="G53" i="6"/>
  <c r="G50" i="6"/>
  <c r="G55" i="6" l="1"/>
  <c r="G57" i="6" l="1"/>
  <c r="G60" i="6" l="1"/>
  <c r="E40" i="53" l="1"/>
  <c r="G62" i="6"/>
  <c r="G64" i="6" s="1"/>
  <c r="E20" i="2" s="1"/>
  <c r="E16" i="2" l="1"/>
  <c r="D22" i="53" s="1"/>
  <c r="E22" i="53" s="1"/>
  <c r="E15" i="2"/>
  <c r="D21" i="53" s="1"/>
  <c r="E21" i="53" s="1"/>
  <c r="E14" i="2"/>
  <c r="D20" i="53" s="1"/>
  <c r="E20" i="53" s="1"/>
  <c r="E13" i="2"/>
  <c r="D19" i="53" s="1"/>
  <c r="E19" i="53" s="1"/>
  <c r="E12" i="2"/>
  <c r="D18" i="53" s="1"/>
  <c r="E18" i="53" s="1"/>
  <c r="E11" i="2"/>
  <c r="E17" i="2"/>
  <c r="D23" i="53" s="1"/>
  <c r="E23" i="53" s="1"/>
  <c r="G16" i="2" l="1"/>
  <c r="H16" i="2" s="1"/>
  <c r="G14" i="2"/>
  <c r="H14" i="2" s="1"/>
  <c r="G17" i="2"/>
  <c r="H17" i="2" s="1"/>
  <c r="F22" i="42"/>
  <c r="G15" i="2"/>
  <c r="H15" i="2" s="1"/>
  <c r="G13" i="2"/>
  <c r="H13" i="2" s="1"/>
  <c r="F15" i="42"/>
  <c r="G15" i="42" s="1"/>
  <c r="H15" i="42" s="1"/>
  <c r="G12" i="2"/>
  <c r="H12" i="2" s="1"/>
  <c r="F12" i="42"/>
  <c r="G12" i="42" s="1"/>
  <c r="H12" i="42" s="1"/>
  <c r="F13" i="42"/>
  <c r="G11" i="2"/>
  <c r="H11" i="2" s="1"/>
  <c r="F9" i="42"/>
  <c r="G9" i="42" s="1"/>
  <c r="H9" i="42" s="1"/>
  <c r="F14" i="42"/>
  <c r="G14" i="42" s="1"/>
  <c r="H14" i="42" s="1"/>
  <c r="D17" i="53"/>
  <c r="E17" i="53" s="1"/>
  <c r="E24" i="53" s="1"/>
  <c r="F6" i="53" s="1"/>
  <c r="F16" i="42"/>
  <c r="G16" i="42" s="1"/>
  <c r="H16" i="42" s="1"/>
  <c r="F18" i="42"/>
  <c r="D28" i="53"/>
  <c r="G20" i="2"/>
  <c r="H20" i="2" s="1"/>
  <c r="F20" i="42"/>
  <c r="F17" i="42"/>
  <c r="G17" i="42" s="1"/>
  <c r="H17" i="42" s="1"/>
  <c r="F10" i="42"/>
  <c r="G10" i="42" s="1"/>
  <c r="H10" i="42" s="1"/>
  <c r="F21" i="42"/>
  <c r="F11" i="42"/>
  <c r="F19" i="42"/>
  <c r="G19" i="42" s="1"/>
  <c r="H19" i="42" s="1"/>
  <c r="F23" i="42"/>
  <c r="P16" i="42" s="1"/>
  <c r="Q16" i="42" s="1"/>
  <c r="R16" i="42" s="1"/>
  <c r="F24" i="42"/>
  <c r="P17" i="42" s="1"/>
  <c r="Q17" i="42" s="1"/>
  <c r="R17" i="42" s="1"/>
  <c r="G13" i="42" l="1"/>
  <c r="H13" i="42" s="1"/>
  <c r="P11" i="42"/>
  <c r="G20" i="42"/>
  <c r="H20" i="42" s="1"/>
  <c r="P13" i="42"/>
  <c r="P15" i="42"/>
  <c r="Q15" i="42" s="1"/>
  <c r="R15" i="42" s="1"/>
  <c r="P14" i="42"/>
  <c r="Q14" i="42" s="1"/>
  <c r="R14" i="42" s="1"/>
  <c r="G21" i="42"/>
  <c r="H21" i="42" s="1"/>
  <c r="G11" i="42"/>
  <c r="H11" i="42" s="1"/>
  <c r="G22" i="42"/>
  <c r="H22" i="42" s="1"/>
  <c r="G24" i="42"/>
  <c r="H24" i="42" s="1"/>
  <c r="G23" i="42"/>
  <c r="H23" i="42" s="1"/>
  <c r="G18" i="42"/>
  <c r="H18" i="42" s="1"/>
  <c r="P12" i="42"/>
  <c r="D29" i="53"/>
  <c r="E28" i="53"/>
  <c r="Q12" i="42" l="1"/>
  <c r="R12" i="42" s="1"/>
  <c r="Q13" i="42"/>
  <c r="R13" i="42" s="1"/>
  <c r="Q11" i="42"/>
  <c r="R11" i="42" s="1"/>
  <c r="E29" i="53"/>
  <c r="D30" i="53"/>
  <c r="D31" i="53" l="1"/>
  <c r="E30" i="53"/>
  <c r="D32" i="53" l="1"/>
  <c r="E31" i="53"/>
  <c r="E32" i="53" l="1"/>
  <c r="D33" i="53"/>
  <c r="D34" i="53" l="1"/>
  <c r="E34" i="53" s="1"/>
  <c r="E33" i="53"/>
  <c r="E35" i="53" l="1"/>
  <c r="E38" i="53" s="1"/>
  <c r="E43" i="53" s="1"/>
  <c r="E45" i="53" s="1"/>
  <c r="F7" i="53" l="1"/>
  <c r="F9" i="53" s="1"/>
  <c r="F11" i="53" s="1"/>
  <c r="F12" i="53" s="1"/>
</calcChain>
</file>

<file path=xl/sharedStrings.xml><?xml version="1.0" encoding="utf-8"?>
<sst xmlns="http://schemas.openxmlformats.org/spreadsheetml/2006/main" count="667" uniqueCount="453">
  <si>
    <t>Total Operating Expenses</t>
  </si>
  <si>
    <t>Taxes Other Than Income</t>
  </si>
  <si>
    <t>Salaries and Wages - Employees</t>
  </si>
  <si>
    <t>Salaries and Wages - Officers</t>
  </si>
  <si>
    <t>Employee Pensions and Benefits</t>
  </si>
  <si>
    <t>Purchased Water</t>
  </si>
  <si>
    <t>Purchased Power</t>
  </si>
  <si>
    <t>Materials and Supplies</t>
  </si>
  <si>
    <t>Miscellaneous Expenses</t>
  </si>
  <si>
    <t>Transportation Expenses</t>
  </si>
  <si>
    <t>Proposed</t>
  </si>
  <si>
    <t>Interest Income</t>
  </si>
  <si>
    <t>Total</t>
  </si>
  <si>
    <t>Gallons</t>
  </si>
  <si>
    <t>Operating Revenues</t>
  </si>
  <si>
    <t>Sales for Resale</t>
  </si>
  <si>
    <t>Other Water Revenues:</t>
  </si>
  <si>
    <t>Misc. Service Revenues</t>
  </si>
  <si>
    <t>Total Operating Revenues</t>
  </si>
  <si>
    <t>Operating Expenses</t>
  </si>
  <si>
    <t>Depreciation Expense</t>
  </si>
  <si>
    <t>REVENUE REQUIREMENTS</t>
  </si>
  <si>
    <t>Plus:</t>
  </si>
  <si>
    <t>Less:</t>
  </si>
  <si>
    <t>Other Operating Revenue</t>
  </si>
  <si>
    <t>Existing</t>
  </si>
  <si>
    <t>Change</t>
  </si>
  <si>
    <t>1"</t>
  </si>
  <si>
    <t>2"</t>
  </si>
  <si>
    <t>Table A</t>
  </si>
  <si>
    <t>SCHEDULE OF ADJUSTED OPERATIONS</t>
  </si>
  <si>
    <t>Test Year</t>
  </si>
  <si>
    <t>Adjustments</t>
  </si>
  <si>
    <t>Ref.</t>
  </si>
  <si>
    <t>Proforma</t>
  </si>
  <si>
    <t>Operation and Maintenance</t>
  </si>
  <si>
    <t>Insurance - Gen. Liab. &amp; Workers Comp.</t>
  </si>
  <si>
    <t>Total Operation and Mnt. Expenses</t>
  </si>
  <si>
    <t>Total Utility Operating Income</t>
  </si>
  <si>
    <t>Pro Forma Operating Expenses</t>
  </si>
  <si>
    <t>Adjustment</t>
  </si>
  <si>
    <t>Forfeited Discounts</t>
  </si>
  <si>
    <t>DEPRECIATION EXPENSE ADJUSTMENTS</t>
  </si>
  <si>
    <t>Depreciation</t>
  </si>
  <si>
    <t>Date in</t>
  </si>
  <si>
    <t>Original</t>
  </si>
  <si>
    <t>Expense</t>
  </si>
  <si>
    <t>Service</t>
  </si>
  <si>
    <t>Life</t>
  </si>
  <si>
    <t>Depr. Exp.</t>
  </si>
  <si>
    <t>SUMMARY</t>
  </si>
  <si>
    <t>USAGE</t>
  </si>
  <si>
    <t>BILLS</t>
  </si>
  <si>
    <t>GALLONS</t>
  </si>
  <si>
    <t>TOTAL</t>
  </si>
  <si>
    <t>RATE</t>
  </si>
  <si>
    <t>REVENUE</t>
  </si>
  <si>
    <t>CURRENT AND PROPOSED RATES</t>
  </si>
  <si>
    <t>Current</t>
  </si>
  <si>
    <t>Private Fire Protection</t>
  </si>
  <si>
    <t>Other Water Revenues</t>
  </si>
  <si>
    <t>Rental of Building/Real Property</t>
  </si>
  <si>
    <t>Insurance - Other</t>
  </si>
  <si>
    <t>Revenue Required From Sales of Water</t>
  </si>
  <si>
    <t>Revenue from Sales with Present Rates</t>
  </si>
  <si>
    <t>Total Revenue Requirement</t>
  </si>
  <si>
    <t>Required Revenue Increase</t>
  </si>
  <si>
    <t>Percent Increase</t>
  </si>
  <si>
    <t>Meter</t>
  </si>
  <si>
    <t>Difference</t>
  </si>
  <si>
    <t>Bill</t>
  </si>
  <si>
    <t>Percentage</t>
  </si>
  <si>
    <t>Size</t>
  </si>
  <si>
    <t>5/8 x 3/4"</t>
  </si>
  <si>
    <t>TOTALS</t>
  </si>
  <si>
    <t>per Month*</t>
  </si>
  <si>
    <t>* Highlighted usage represents the average residential bill.</t>
  </si>
  <si>
    <t>Chemicals</t>
  </si>
  <si>
    <t>Salaries &amp; Wages and Associated Adjustments</t>
  </si>
  <si>
    <t>Pro Forma</t>
  </si>
  <si>
    <t>Employee</t>
  </si>
  <si>
    <t>Reg. Hrs</t>
  </si>
  <si>
    <t>O. T. Hours</t>
  </si>
  <si>
    <t>Wage Rate</t>
  </si>
  <si>
    <t>Reg. Wages</t>
  </si>
  <si>
    <t>O. T. Wages</t>
  </si>
  <si>
    <t>Wages</t>
  </si>
  <si>
    <t>Pro Forma Salaries &amp; Wages Expense</t>
  </si>
  <si>
    <t>Less: Test Year Salaries &amp; Wages Exp</t>
  </si>
  <si>
    <t>Pro Forma Salaries &amp; Wages Adj'mt</t>
  </si>
  <si>
    <t xml:space="preserve"> </t>
  </si>
  <si>
    <t>Pro Forma Salaries and Wages Expense</t>
  </si>
  <si>
    <t>Times: 7.65 Percent FICA Rate</t>
  </si>
  <si>
    <t>Pro Forma Payroll Taxes</t>
  </si>
  <si>
    <t>Less: Test Year Payroll Taxes</t>
  </si>
  <si>
    <t>Payroll Tax Adjustment</t>
  </si>
  <si>
    <t>Total Pro Forma Pension Contribution</t>
  </si>
  <si>
    <t>Less: Test Year Pension Contribution</t>
  </si>
  <si>
    <t>Pension &amp; Benefits Adjustment</t>
  </si>
  <si>
    <t>Average Annual Principal and Interest Payments</t>
  </si>
  <si>
    <t>Additional Working Capital</t>
  </si>
  <si>
    <t>Table B</t>
  </si>
  <si>
    <t>DEBT SERVICE SCHDULE</t>
  </si>
  <si>
    <t>CY 2025</t>
  </si>
  <si>
    <t>CY 2026</t>
  </si>
  <si>
    <t>Interest</t>
  </si>
  <si>
    <t>Principal</t>
  </si>
  <si>
    <t>&amp; Fees</t>
  </si>
  <si>
    <t>Average Annual Principal &amp; Interest</t>
  </si>
  <si>
    <t>Average Annual Coverage</t>
  </si>
  <si>
    <t>General Plant</t>
  </si>
  <si>
    <t>Pumping Plant</t>
  </si>
  <si>
    <t>Transmission &amp; Distribution Plant</t>
  </si>
  <si>
    <t>Transportation Equipment</t>
  </si>
  <si>
    <t>Water Treatment Plant</t>
  </si>
  <si>
    <t>Asset</t>
  </si>
  <si>
    <t>Structures &amp; Improvements</t>
  </si>
  <si>
    <t>Communication &amp; Computer Eqmt.</t>
  </si>
  <si>
    <t>Office Furniture &amp; Equipment</t>
  </si>
  <si>
    <t>Power Operated Equipment</t>
  </si>
  <si>
    <t>Tools, Shop, &amp; Garage Equipment</t>
  </si>
  <si>
    <t>Tank Repairs &amp; Painting</t>
  </si>
  <si>
    <t>Telemetry</t>
  </si>
  <si>
    <t>Pumping Equipment</t>
  </si>
  <si>
    <t>Hydrants</t>
  </si>
  <si>
    <t>Transmission &amp; Distribution Mains</t>
  </si>
  <si>
    <t>Meter Installations</t>
  </si>
  <si>
    <t>Meter Change-outs</t>
  </si>
  <si>
    <t>Pump Equipment</t>
  </si>
  <si>
    <t>Tank Fence</t>
  </si>
  <si>
    <t>Services</t>
  </si>
  <si>
    <t>Reservoirs &amp; Tanks</t>
  </si>
  <si>
    <t>Tank Painting &amp; Repairs</t>
  </si>
  <si>
    <t>Entire Group</t>
  </si>
  <si>
    <t xml:space="preserve">              *  Includes only costs associated with assets that contributed to depreciation expense in the test year.</t>
  </si>
  <si>
    <t>Cost *</t>
  </si>
  <si>
    <t>Reported</t>
  </si>
  <si>
    <t>Water Loss Adjustment</t>
  </si>
  <si>
    <t>Sold</t>
  </si>
  <si>
    <t>Uses:</t>
  </si>
  <si>
    <t xml:space="preserve">  water loss percentage</t>
  </si>
  <si>
    <t xml:space="preserve">  allowable in rates</t>
  </si>
  <si>
    <t xml:space="preserve">  adjustment percentage</t>
  </si>
  <si>
    <t>Produced</t>
  </si>
  <si>
    <t>Purchased</t>
  </si>
  <si>
    <t>Total Produced and Purchased</t>
  </si>
  <si>
    <t>Total Other Water Used</t>
  </si>
  <si>
    <t>Losses:</t>
  </si>
  <si>
    <t xml:space="preserve">   WTP</t>
  </si>
  <si>
    <t xml:space="preserve">   Flushing</t>
  </si>
  <si>
    <t xml:space="preserve">   Fire</t>
  </si>
  <si>
    <t xml:space="preserve">   Other</t>
  </si>
  <si>
    <t xml:space="preserve">   Tank O.F.</t>
  </si>
  <si>
    <t xml:space="preserve">   Line Brks.</t>
  </si>
  <si>
    <t xml:space="preserve">   Line Leaks</t>
  </si>
  <si>
    <t xml:space="preserve">   Unknown</t>
  </si>
  <si>
    <t>Total Losses:</t>
  </si>
  <si>
    <t>Sold, Used, and Lost</t>
  </si>
  <si>
    <t>Total Gross Wages</t>
  </si>
  <si>
    <t>COMPONENT</t>
  </si>
  <si>
    <t>LESS ADJUSTMENTS</t>
  </si>
  <si>
    <t>FROM PSC ANNUAL REPORT</t>
  </si>
  <si>
    <t>DIFFERENCE</t>
  </si>
  <si>
    <t>ADJUSTMENT TO SAO BILLED RETAIL REVENUES</t>
  </si>
  <si>
    <t>H</t>
  </si>
  <si>
    <t>Labor and Materials Adjustment for New Service Installations</t>
  </si>
  <si>
    <t xml:space="preserve">Labor </t>
  </si>
  <si>
    <t xml:space="preserve">Materials </t>
  </si>
  <si>
    <t>New Meter Fees Collected</t>
  </si>
  <si>
    <t>Medical Insurance Adjustment</t>
  </si>
  <si>
    <t>MONTHLY</t>
  </si>
  <si>
    <t>Allowable</t>
  </si>
  <si>
    <t>EMPLOYEE</t>
  </si>
  <si>
    <t>Employer</t>
  </si>
  <si>
    <t>PREMIUM</t>
  </si>
  <si>
    <t>CONTRIB</t>
  </si>
  <si>
    <t>CONTRIB %</t>
  </si>
  <si>
    <t>Share</t>
  </si>
  <si>
    <t>Premium</t>
  </si>
  <si>
    <t>Structures and Improvements</t>
  </si>
  <si>
    <t>Water Treatment Equipment</t>
  </si>
  <si>
    <t>Source of Supply Plant</t>
  </si>
  <si>
    <t>Collecting &amp; Impounding Reservoirs</t>
  </si>
  <si>
    <t>Supply Mains</t>
  </si>
  <si>
    <t>Less: Reported Depreciation</t>
  </si>
  <si>
    <t>Adjustment to Allowed Depreciation</t>
  </si>
  <si>
    <t>Pension</t>
  </si>
  <si>
    <t>TABLE D</t>
  </si>
  <si>
    <t>Total Adjustment</t>
  </si>
  <si>
    <t>CURRENT AND PROPOSED BILLS</t>
  </si>
  <si>
    <t xml:space="preserve">   Excavation Damages</t>
  </si>
  <si>
    <t>Computation of Adjustment:</t>
  </si>
  <si>
    <t>No. in</t>
  </si>
  <si>
    <t>`</t>
  </si>
  <si>
    <t>UTILITY</t>
  </si>
  <si>
    <t xml:space="preserve">TOTAL </t>
  </si>
  <si>
    <t>Annual</t>
  </si>
  <si>
    <t>Utility Share</t>
  </si>
  <si>
    <t>Unallowable</t>
  </si>
  <si>
    <t>NET METERED WATER SALES</t>
  </si>
  <si>
    <t>DENTAL</t>
  </si>
  <si>
    <t>TOTAL UNALLOWABLE EMPLOYER PREMIUM</t>
  </si>
  <si>
    <t>CERS</t>
  </si>
  <si>
    <t>LESS: MEDICAL AND DENTAL INSURANCE PREMIUM PAID IN TEST YEAR</t>
  </si>
  <si>
    <t>INCREASE IN UTILITY SHARE OF MEDICAL AND DENTAL INSURANCE PREMIUM OVER TEST YEAR</t>
  </si>
  <si>
    <t>G</t>
  </si>
  <si>
    <t>J</t>
  </si>
  <si>
    <t>TABLE C</t>
  </si>
  <si>
    <t>North Marshall Water District</t>
  </si>
  <si>
    <t>NORTH MARSHALL WATER DISTRICT</t>
  </si>
  <si>
    <t>6"</t>
  </si>
  <si>
    <t>4"</t>
  </si>
  <si>
    <t>3"</t>
  </si>
  <si>
    <t>1 1/2"</t>
  </si>
  <si>
    <t>All Water Usage</t>
  </si>
  <si>
    <t>Rate Per Gallon</t>
  </si>
  <si>
    <t xml:space="preserve">RATES  </t>
  </si>
  <si>
    <t>5/8" x 3/4" Meter</t>
  </si>
  <si>
    <t>1" Meter</t>
  </si>
  <si>
    <t>1 1/2" Meter</t>
  </si>
  <si>
    <t>2" Meter</t>
  </si>
  <si>
    <t>3" Meter</t>
  </si>
  <si>
    <t>4" Meter</t>
  </si>
  <si>
    <t>6" Meter</t>
  </si>
  <si>
    <t>CY 2027</t>
  </si>
  <si>
    <t xml:space="preserve">Bimonthly </t>
  </si>
  <si>
    <t>Rate</t>
  </si>
  <si>
    <t>Meter Size</t>
  </si>
  <si>
    <t>Usage Revenue</t>
  </si>
  <si>
    <t>CUSTOMER CHARGE</t>
  </si>
  <si>
    <t>per 1,000</t>
  </si>
  <si>
    <t>Darrell Howell</t>
  </si>
  <si>
    <t>Ginger Jones</t>
  </si>
  <si>
    <t>Jeremiah Noles</t>
  </si>
  <si>
    <t>Mike Penney</t>
  </si>
  <si>
    <t>Kimberly Smith</t>
  </si>
  <si>
    <t>Jason Stevenson</t>
  </si>
  <si>
    <t>Ezra Darnell</t>
  </si>
  <si>
    <t>Contractual Services-Legal</t>
  </si>
  <si>
    <t>Contractual Services-Water testing</t>
  </si>
  <si>
    <t>Contractual Services-Other</t>
  </si>
  <si>
    <t>Contractual Services-Acct.</t>
  </si>
  <si>
    <t>Rental of Equipment</t>
  </si>
  <si>
    <t>Advertising Expense</t>
  </si>
  <si>
    <t>Decrease expense due to greater than 15 % water loss</t>
  </si>
  <si>
    <t>Hospital Insurance</t>
  </si>
  <si>
    <t>Emp Pension Paid by District</t>
  </si>
  <si>
    <t>Life/Dental Insurance</t>
  </si>
  <si>
    <t>Educational and Training Expenses</t>
  </si>
  <si>
    <t>Customer Charge by Meter Size</t>
  </si>
  <si>
    <t>Treasurer</t>
  </si>
  <si>
    <t>Decrease materials attributable to tapping fees.</t>
  </si>
  <si>
    <t>Decrease labor attributable to tapping fees.</t>
  </si>
  <si>
    <t>Disability Insurance</t>
  </si>
  <si>
    <t>Total Revenue from water sales</t>
  </si>
  <si>
    <t>Combined Residential and Commercial Adjustment Reports</t>
  </si>
  <si>
    <t>Holiday Hrs.</t>
  </si>
  <si>
    <t>Holiday Wages</t>
  </si>
  <si>
    <t>A</t>
  </si>
  <si>
    <t>TOTAL WAGES</t>
  </si>
  <si>
    <t>Commissioners Salaries</t>
  </si>
  <si>
    <t>KACo</t>
  </si>
  <si>
    <t>EMP</t>
  </si>
  <si>
    <t>ESP</t>
  </si>
  <si>
    <t>FAM</t>
  </si>
  <si>
    <t>ECH</t>
  </si>
  <si>
    <t>EMP Only</t>
  </si>
  <si>
    <t>Admin Fees</t>
  </si>
  <si>
    <t>Various</t>
  </si>
  <si>
    <t>Varies</t>
  </si>
  <si>
    <t>PSC Allowed Depreciation</t>
  </si>
  <si>
    <t>REVENUE REQUIREMENTS USING OPERATING RATIO METHOD</t>
  </si>
  <si>
    <t>Divided by:  Operating Ratio</t>
  </si>
  <si>
    <t>Average interest &amp; Fees</t>
  </si>
  <si>
    <t>2014 Bond($3,850,000)</t>
  </si>
  <si>
    <t>Approved in case 2015-00195</t>
  </si>
  <si>
    <t>Approved in Case 2021-00333</t>
  </si>
  <si>
    <t>Five year average interest on promissory notes.</t>
  </si>
  <si>
    <t xml:space="preserve">Total  </t>
  </si>
  <si>
    <t>TOTAL ALLOWABLE CURRENT UTILITY SHARE OF MEDICAL AND DENTAL INSURANCE PROFORMA ANNUAL PREMIUM</t>
  </si>
  <si>
    <t>Increase Payroll taxes due to increase wages</t>
  </si>
  <si>
    <t>Eligible Wages</t>
  </si>
  <si>
    <t>OPEB</t>
  </si>
  <si>
    <t>ADJUSTMENT</t>
  </si>
  <si>
    <t>Pension Rates</t>
  </si>
  <si>
    <t>%</t>
  </si>
  <si>
    <t>Allowable Health Ins. Determined on Medical sheet</t>
  </si>
  <si>
    <t>REFRENCES</t>
  </si>
  <si>
    <t>A.</t>
  </si>
  <si>
    <t>B.</t>
  </si>
  <si>
    <t>C.</t>
  </si>
  <si>
    <t>D.</t>
  </si>
  <si>
    <t>E.</t>
  </si>
  <si>
    <t>F.</t>
  </si>
  <si>
    <t>G.</t>
  </si>
  <si>
    <t>H.</t>
  </si>
  <si>
    <t>I.</t>
  </si>
  <si>
    <t>J.</t>
  </si>
  <si>
    <t xml:space="preserve">Revenue requirement is computed using the Operating Ratio Method. This method is used when systems have little or no debt. </t>
  </si>
  <si>
    <t>B</t>
  </si>
  <si>
    <t>C</t>
  </si>
  <si>
    <t>D</t>
  </si>
  <si>
    <t>E</t>
  </si>
  <si>
    <t>F</t>
  </si>
  <si>
    <t>I</t>
  </si>
  <si>
    <t>Sheet Water Loss Cell D31</t>
  </si>
  <si>
    <t>Sheet Water Loss Cell D32</t>
  </si>
  <si>
    <t>Subtotal</t>
  </si>
  <si>
    <t>Plus: Interest Expense</t>
  </si>
  <si>
    <t>USING DEBT SERVICE COVERAGE METHOD</t>
  </si>
  <si>
    <t>***</t>
  </si>
  <si>
    <t>FYI - DSC METHOD NOT USED  ***</t>
  </si>
  <si>
    <t>Sheet Debt Service Cell M23</t>
  </si>
  <si>
    <t>TEST YEAR METERED SALES</t>
  </si>
  <si>
    <t>Average rate</t>
  </si>
  <si>
    <t>Increased payroll taxes due to increased salaries.</t>
  </si>
  <si>
    <t>PERCENTAGE INCREASE</t>
  </si>
  <si>
    <t>Total Revenue from water sales at proposed rates</t>
  </si>
  <si>
    <t>difference</t>
  </si>
  <si>
    <t>Contribution</t>
  </si>
  <si>
    <t>Ea. Tier</t>
  </si>
  <si>
    <t>Operating ratio</t>
  </si>
  <si>
    <t>Amortization Expense</t>
  </si>
  <si>
    <t>2023 PSC annual report</t>
  </si>
  <si>
    <t>2023 EMPLOYEE PENSION AND BENEFITS</t>
  </si>
  <si>
    <t>2023</t>
  </si>
  <si>
    <t>CY 2028</t>
  </si>
  <si>
    <t>CY 2029</t>
  </si>
  <si>
    <t>CY 2025 - 2029</t>
  </si>
  <si>
    <t>Depreciation Expense 2023 PSC annual report</t>
  </si>
  <si>
    <t>2023 new</t>
  </si>
  <si>
    <t>CURRENT BILLING ANALYSIS WITH 2023 USAGE &amp; EXISTING RATES</t>
  </si>
  <si>
    <t>Sales to Residential Customers</t>
  </si>
  <si>
    <t>Sales to Commercial Customers</t>
  </si>
  <si>
    <t>Sales to Multiple Family Dwellings</t>
  </si>
  <si>
    <t>Contractual Services- Management Fees</t>
  </si>
  <si>
    <t>5/8 X 3/4"</t>
  </si>
  <si>
    <t>Actual cost</t>
  </si>
  <si>
    <t>connections</t>
  </si>
  <si>
    <t>Revenue</t>
  </si>
  <si>
    <t xml:space="preserve">Meter  </t>
  </si>
  <si>
    <t>2024</t>
  </si>
  <si>
    <t>Tina Harris</t>
  </si>
  <si>
    <t>Dalton Young</t>
  </si>
  <si>
    <t>Shannon W Elam</t>
  </si>
  <si>
    <t xml:space="preserve">Kyle Green </t>
  </si>
  <si>
    <t xml:space="preserve">EMP Only </t>
  </si>
  <si>
    <t>Emp + spouse</t>
  </si>
  <si>
    <t>Family</t>
  </si>
  <si>
    <t>Emp + Child</t>
  </si>
  <si>
    <t>Part - Time</t>
  </si>
  <si>
    <t>*Current rates effective 12/15/23</t>
  </si>
  <si>
    <t>two-meter rate</t>
  </si>
  <si>
    <t>Rate increase effective 12/15/23 Case No. 2023-134</t>
  </si>
  <si>
    <t>New</t>
  </si>
  <si>
    <t>Admin Fee</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</si>
  <si>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</si>
  <si>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</si>
  <si>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</si>
  <si>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</si>
  <si>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</si>
  <si>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</si>
  <si>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</si>
  <si>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</si>
  <si>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</si>
  <si>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</si>
  <si>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</si>
  <si>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</si>
  <si>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</si>
  <si>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</si>
  <si>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Dalton Smith(20hrs/week)</t>
  </si>
  <si>
    <t>David Penny(40hrs/week)</t>
  </si>
  <si>
    <t>John David Harris(40hrs/wk)</t>
  </si>
  <si>
    <t>Emp+spouse</t>
  </si>
  <si>
    <t>Emp only</t>
  </si>
  <si>
    <t>Emp+Child</t>
  </si>
  <si>
    <t>Commissioners</t>
  </si>
  <si>
    <t>Scott Adair</t>
  </si>
  <si>
    <t>Larry Joe Draffin</t>
  </si>
  <si>
    <t>Billy Driskill</t>
  </si>
  <si>
    <t>James Leonard</t>
  </si>
  <si>
    <t>Michael Dean McCoy</t>
  </si>
  <si>
    <t>Increase due to employee wage rate increases and new employees</t>
  </si>
  <si>
    <t>Sheet EXBA cell F11</t>
  </si>
  <si>
    <t>Sheet Capital Cell C13</t>
  </si>
  <si>
    <t>Sheet Capital Cell C14</t>
  </si>
  <si>
    <t>91-05</t>
  </si>
  <si>
    <t>91-01 and 91-03</t>
  </si>
  <si>
    <t>2021 Bond($2,715,000)</t>
  </si>
  <si>
    <t>Sheet Debt Service Cell M19</t>
  </si>
  <si>
    <t>Sheet Debt Service Cell M21</t>
  </si>
  <si>
    <t>Source Kimberly 12/12/24 email</t>
  </si>
  <si>
    <t>NMWD long term debt RD.pdf</t>
  </si>
  <si>
    <t xml:space="preserve">Meter </t>
  </si>
  <si>
    <t>5/8"</t>
  </si>
  <si>
    <t>2023 Depreciation schedule adjusted to PSC policy allowed lives</t>
  </si>
  <si>
    <t>2023 annual report</t>
  </si>
  <si>
    <t>Commofity</t>
  </si>
  <si>
    <t>Demand</t>
  </si>
  <si>
    <t>Customer</t>
  </si>
  <si>
    <t>Class III Operator</t>
  </si>
  <si>
    <t>Decrease to Health and dental insurance to allowable employer share</t>
  </si>
  <si>
    <t>Sheet Medical  cell M31</t>
  </si>
  <si>
    <t>Commissioners ($6,000 each)</t>
  </si>
  <si>
    <t>H. Ins $113,026, Life Dental Ins. $10,798(source 1/28/25 email)</t>
  </si>
  <si>
    <t>2024 Invoice</t>
  </si>
  <si>
    <t>(Source 1/28/25 email)</t>
  </si>
  <si>
    <t>Eligible wages times average 2024 CERS pension Rate</t>
  </si>
  <si>
    <t>Jan - June 2025</t>
  </si>
  <si>
    <t>July - Dec 2025</t>
  </si>
  <si>
    <t>From 2023 AR taxes other than income (1/28/25 email)</t>
  </si>
  <si>
    <t>Sheet wages Cell K35</t>
  </si>
  <si>
    <t>2023 pension expense provided by utility 1/28/25 email</t>
  </si>
  <si>
    <t>Decrease in pension benefits to reflect decrease in contribution rate and change in salaries.</t>
  </si>
  <si>
    <t>Sheet wages cell K39</t>
  </si>
  <si>
    <t>Sheet Depreciation Cell J46</t>
  </si>
  <si>
    <t>decrease due to lower contribution rate</t>
  </si>
  <si>
    <t>11/26 Email from Kimberly</t>
  </si>
  <si>
    <t>Customer Charge Revenue by Meter Size</t>
  </si>
  <si>
    <t>From SAO</t>
  </si>
  <si>
    <t>Adjustment to metered sales revenues due to rate increase approved in Case No 2023-00134.</t>
  </si>
  <si>
    <t>The utility collected $65,834 in tapping fees in 2023. These taps were installed by the utility and were recorded as labor and material expenses.  Labor expense has been reduced by $19,750 or 30% of the tapping fees while materials and supplies expense has been reduced by $46,084 or 70% of the tapping fees.</t>
  </si>
  <si>
    <t>Decrease Health and Dental insurance by $4,702 to allowable employer share</t>
  </si>
  <si>
    <t>Since 2023, there have been increases to individual wage rates and employee turnover, resulting in an increase to wages of $136,404.</t>
  </si>
  <si>
    <t>Decrease in pension benefits to reflect decrease in CERS pension contribution rate.</t>
  </si>
  <si>
    <t>The utility's test year water loss was 18.87 percent. The PSC's maximum allowable loss for rate-making purposes is 15.0 percent. Therefore, the expenses for purchased power and chemicals above the 15 percent limit is not allowed in the rate base and must be deducted. Purchased power expense was decreased by $6,455 and chemical expense was reduced by $1,205.</t>
  </si>
  <si>
    <t>The PSC requires adjustments to a water utility's depreciation expense when asset lives fall outside the ranges recommended by NARUC in its publication titled "Depreciation Practices for small utilities".  Adjustments are included to bring asset lives to the midpoint of the recommended ranges. NMWD fixed assets scheduled omitted two items from the total depreciation expense was decreased by $28. See Table A.</t>
  </si>
  <si>
    <t>($15,350/3=$5,117)</t>
  </si>
  <si>
    <t>Total amortization expense of $7,768. Recovery of Rate Case Expense, allowed by the Public Service Commission in Case No. 2023-00134 in the amount of $7,954 amortized over a three year period(7,954/3yrs=$2,651) . Additionally, KRWA consulting fees in the amount of $15,350 amortized over a three year period for the current project($15,350/3yrs= $5,117).</t>
  </si>
  <si>
    <t>*Across the board percentage using Operating Ratio method for Revenue Requirement</t>
  </si>
  <si>
    <t>Return check fees</t>
  </si>
  <si>
    <t>Replace box or lid</t>
  </si>
  <si>
    <t>Turn off fee</t>
  </si>
  <si>
    <t>meter install fee</t>
  </si>
  <si>
    <t>meter test fee</t>
  </si>
  <si>
    <t>meter relocation charge</t>
  </si>
  <si>
    <t>Transfer / reading fees</t>
  </si>
  <si>
    <t>K.</t>
  </si>
  <si>
    <t>K</t>
  </si>
  <si>
    <t>Miscelanious Servous Revenues reduced due to decrease in non-recurring charge rates approved in Case No 2023-00134.</t>
  </si>
  <si>
    <t>Decrease to NRC's effective 12/15/23 Case No. 2023-134</t>
  </si>
  <si>
    <t>2024 Non-recurring charge revenues (2/5/25 email</t>
  </si>
  <si>
    <t>Average Gallons</t>
  </si>
  <si>
    <t xml:space="preserve">Proposed </t>
  </si>
  <si>
    <t>$</t>
  </si>
  <si>
    <t>Increase</t>
  </si>
  <si>
    <t>*Table for public notice</t>
  </si>
  <si>
    <t xml:space="preserve">Total adjustments to 2023 Depreciation Expense </t>
  </si>
  <si>
    <t>Across the board percentage increase</t>
  </si>
  <si>
    <t>Bi-monthly Customer Charge</t>
  </si>
  <si>
    <t>AVERAGE BI-MONTHLY WATER BILLS</t>
  </si>
  <si>
    <t>CURRENT BILLING ANALYSIS WITH 2023 USAGE AT PROPOSED RATES</t>
  </si>
  <si>
    <t>PSC Order in case 2023-00134 Rate case expense amortization($2,651)+(25-102)Rate case amortization($15,350/3=$5,117)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</si>
</sst>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 #,##0.0_);_(* \(#,##0.0\);_(* &quot;-&quot;??_);_(@_)"/>
    <numFmt numFmtId="168" formatCode="mm/dd/yy;@"/>
    <numFmt numFmtId="169" formatCode="_([$$-409]* #,##0_);_([$$-409]* \(#,##0\);_([$$-409]* &quot;-&quot;??_);_(@_)"/>
    <numFmt numFmtId="170" formatCode="[$$-409]#,##0"/>
    <numFmt numFmtId="171" formatCode="_(&quot;$&quot;* #,##0.00000_);_(&quot;$&quot;* \(#,##0.00000\);_(&quot;$&quot;* &quot;-&quot;??_);_(@_)"/>
    <numFmt numFmtId="172" formatCode="0_);\(0\)"/>
    <numFmt numFmtId="173" formatCode="0.0000"/>
    <numFmt numFmtId="174" formatCode="0.000%"/>
    <numFmt numFmtId="175" formatCode="_(* #,##0.0000_);_(* \(#,##0.0000\);_(* &quot;-&quot;??_);_(@_)"/>
  </numFmts>
  <fonts count="46"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2"/>
      <name val="Arial"/>
      <family val="2"/>
    </font>
    <font>
      <sz val="11"/>
      <name val="Calibri"/>
      <family val="2"/>
      <scheme val="minor"/>
    </font>
    <font>
      <b/>
      <sz val="14"/>
      <name val="Calibri"/>
      <family val="2"/>
      <scheme val="minor"/>
    </font>
    <font>
      <b/>
      <u/>
      <sz val="14"/>
      <name val="Calibri"/>
      <family val="2"/>
      <scheme val="minor"/>
    </font>
    <font>
      <u/>
      <sz val="11"/>
      <name val="Calibri"/>
      <family val="2"/>
      <scheme val="minor"/>
    </font>
    <font>
      <b/>
      <sz val="11"/>
      <name val="Calibri"/>
      <family val="2"/>
      <scheme val="minor"/>
    </font>
    <font>
      <b/>
      <u/>
      <sz val="11"/>
      <name val="Calibri"/>
      <family val="2"/>
      <scheme val="minor"/>
    </font>
    <font>
      <u val="singleAccounting"/>
      <sz val="11"/>
      <name val="Calibri"/>
      <family val="2"/>
      <scheme val="minor"/>
    </font>
    <font>
      <b/>
      <u val="singleAccounting"/>
      <sz val="11"/>
      <name val="Calibri"/>
      <family val="2"/>
      <scheme val="minor"/>
    </font>
    <font>
      <b/>
      <sz val="12"/>
      <name val="Calibri"/>
      <family val="2"/>
      <scheme val="minor"/>
    </font>
    <font>
      <sz val="8"/>
      <color rgb="FFFF0000"/>
      <name val="Calibri"/>
      <family val="2"/>
      <scheme val="minor"/>
    </font>
    <font>
      <b/>
      <sz val="11"/>
      <color rgb="FFFF0000"/>
      <name val="Calibri"/>
      <family val="2"/>
      <scheme val="minor"/>
    </font>
    <font>
      <b/>
      <sz val="8"/>
      <color rgb="FF00B050"/>
      <name val="Calibri"/>
      <family val="2"/>
      <scheme val="minor"/>
    </font>
    <font>
      <sz val="11"/>
      <color theme="1"/>
      <name val="Calibri"/>
      <family val="2"/>
      <scheme val="minor"/>
    </font>
    <font>
      <b/>
      <sz val="11"/>
      <color rgb="FF00B050"/>
      <name val="Calibri"/>
      <family val="2"/>
      <scheme val="minor"/>
    </font>
    <font>
      <sz val="8"/>
      <name val="Calibri"/>
      <family val="2"/>
      <scheme val="minor"/>
    </font>
    <font>
      <b/>
      <u/>
      <sz val="11"/>
      <color rgb="FFC00000"/>
      <name val="Calibri"/>
      <family val="2"/>
      <scheme val="minor"/>
    </font>
    <font>
      <u/>
      <sz val="11"/>
      <color theme="1"/>
      <name val="Calibri"/>
      <family val="2"/>
      <scheme val="minor"/>
    </font>
    <font>
      <b/>
      <sz val="16"/>
      <name val="Calibri"/>
      <family val="2"/>
      <scheme val="minor"/>
    </font>
    <font>
      <b/>
      <u/>
      <sz val="16"/>
      <name val="Calibri"/>
      <family val="2"/>
      <scheme val="minor"/>
    </font>
    <font>
      <sz val="12"/>
      <name val="Calibri"/>
      <family val="2"/>
      <scheme val="minor"/>
    </font>
    <font>
      <sz val="11"/>
      <name val="Arial"/>
      <family val="2"/>
    </font>
    <font>
      <b/>
      <i/>
      <u/>
      <sz val="14"/>
      <name val="Calibri"/>
      <family val="2"/>
      <scheme val="minor"/>
    </font>
    <font>
      <b/>
      <sz val="11"/>
      <color rgb="FF000000"/>
      <name val="Calibri"/>
      <family val="2"/>
    </font>
    <font>
      <b/>
      <sz val="12"/>
      <name val="Arial"/>
      <family val="2"/>
    </font>
    <font>
      <u val="singleAccounting"/>
      <sz val="12"/>
      <name val="Arial"/>
      <family val="2"/>
    </font>
    <font>
      <u/>
      <sz val="12"/>
      <name val="Arial"/>
      <family val="2"/>
    </font>
    <font>
      <b/>
      <sz val="16"/>
      <color theme="1"/>
      <name val="Calibri"/>
      <family val="2"/>
      <scheme val="minor"/>
    </font>
    <font>
      <sz val="14"/>
      <color theme="1"/>
      <name val="Calibri"/>
      <family val="2"/>
      <scheme val="minor"/>
    </font>
    <font>
      <sz val="12"/>
      <color theme="1"/>
      <name val="Arial"/>
      <family val="2"/>
    </font>
    <font>
      <b/>
      <sz val="11"/>
      <color theme="1"/>
      <name val="Calibri"/>
      <family val="2"/>
      <scheme val="minor"/>
    </font>
    <font>
      <b/>
      <sz val="14"/>
      <name val="Arial"/>
      <family val="2"/>
    </font>
    <font>
      <sz val="14"/>
      <name val="Arial"/>
      <family val="2"/>
    </font>
    <font>
      <sz val="11"/>
      <name val="Calibri"/>
      <family val="2"/>
    </font>
    <font>
      <u/>
      <sz val="11"/>
      <name val="Arial"/>
      <family val="2"/>
    </font>
    <font>
      <b/>
      <sz val="11"/>
      <name val="Arial"/>
      <family val="2"/>
    </font>
    <font>
      <b/>
      <sz val="11"/>
      <name val="Calibri"/>
      <family val="2"/>
    </font>
    <font>
      <sz val="8"/>
      <name val="Arial"/>
    </font>
    <font>
      <u val="singleAccounting"/>
      <sz val="11"/>
      <name val="Arial"/>
      <family val="2"/>
    </font>
    <font>
      <b/>
      <u val="singleAccounting"/>
      <sz val="11"/>
      <name val="Arial"/>
      <family val="2"/>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0" fontId="1" fillId="0" borderId="0"/>
    <xf numFmtId="44" fontId="1" fillId="0" borderId="0" applyFont="0" applyFill="0" applyBorder="0" applyAlignment="0" applyProtection="0"/>
  </cellStyleXfs>
  <cellXfs count="516">
    <xf numFmtId="0" fontId="0" fillId="0" borderId="0" xfId="0"/>
    <xf numFmtId="0" fontId="7" fillId="0" borderId="0" xfId="0" applyFont="1"/>
    <xf numFmtId="165" fontId="7" fillId="0" borderId="0" xfId="0" applyNumberFormat="1" applyFont="1"/>
    <xf numFmtId="3" fontId="7" fillId="0" borderId="0" xfId="0" applyNumberFormat="1" applyFont="1"/>
    <xf numFmtId="0" fontId="0" fillId="0" borderId="6" xfId="0" applyBorder="1"/>
    <xf numFmtId="165" fontId="7" fillId="0" borderId="1" xfId="1" applyNumberFormat="1" applyFont="1" applyBorder="1"/>
    <xf numFmtId="165" fontId="7" fillId="0" borderId="0" xfId="1" applyNumberFormat="1" applyFont="1" applyBorder="1"/>
    <xf numFmtId="165" fontId="7" fillId="0" borderId="0" xfId="1" applyNumberFormat="1" applyFont="1"/>
    <xf numFmtId="165" fontId="7" fillId="0" borderId="7" xfId="1" applyNumberFormat="1" applyFont="1" applyBorder="1"/>
    <xf numFmtId="165" fontId="7" fillId="0" borderId="8" xfId="1" applyNumberFormat="1" applyFont="1" applyBorder="1"/>
    <xf numFmtId="165" fontId="7" fillId="0" borderId="5" xfId="1" applyNumberFormat="1" applyFont="1" applyBorder="1"/>
    <xf numFmtId="165" fontId="7" fillId="0" borderId="6" xfId="1" applyNumberFormat="1" applyFont="1" applyBorder="1"/>
    <xf numFmtId="43" fontId="7" fillId="0" borderId="0" xfId="1" applyFont="1"/>
    <xf numFmtId="165" fontId="13" fillId="0" borderId="0" xfId="1" applyNumberFormat="1" applyFont="1" applyBorder="1" applyAlignment="1">
      <alignment horizontal="center"/>
    </xf>
    <xf numFmtId="43" fontId="7" fillId="0" borderId="0" xfId="1" applyFont="1" applyBorder="1"/>
    <xf numFmtId="165" fontId="7" fillId="0" borderId="0" xfId="5" applyNumberFormat="1" applyFont="1"/>
    <xf numFmtId="3" fontId="7" fillId="0" borderId="0" xfId="0" applyNumberFormat="1" applyFont="1" applyAlignment="1">
      <alignment horizontal="right"/>
    </xf>
    <xf numFmtId="165" fontId="7" fillId="0" borderId="7" xfId="5" applyNumberFormat="1" applyFont="1" applyBorder="1"/>
    <xf numFmtId="0" fontId="7" fillId="0" borderId="0" xfId="0" applyFont="1" applyAlignment="1">
      <alignment horizontal="center"/>
    </xf>
    <xf numFmtId="0" fontId="7" fillId="0" borderId="0" xfId="0" applyFont="1" applyAlignment="1">
      <alignment horizontal="right"/>
    </xf>
    <xf numFmtId="165" fontId="7" fillId="0" borderId="0" xfId="5" applyNumberFormat="1" applyFont="1" applyBorder="1"/>
    <xf numFmtId="0" fontId="17" fillId="0" borderId="0" xfId="0" applyFont="1" applyAlignment="1">
      <alignment horizontal="centerContinuous"/>
    </xf>
    <xf numFmtId="0" fontId="7" fillId="0" borderId="0" xfId="0" applyFont="1" applyAlignment="1">
      <alignment horizontal="centerContinuous"/>
    </xf>
    <xf numFmtId="165" fontId="13" fillId="0" borderId="0" xfId="1" applyNumberFormat="1" applyFont="1"/>
    <xf numFmtId="167" fontId="12" fillId="0" borderId="0" xfId="5" applyNumberFormat="1" applyFont="1" applyBorder="1" applyAlignment="1">
      <alignment horizontal="center"/>
    </xf>
    <xf numFmtId="43" fontId="7" fillId="0" borderId="0" xfId="1" applyFont="1" applyBorder="1" applyAlignment="1"/>
    <xf numFmtId="43" fontId="7" fillId="0" borderId="0" xfId="1" applyFont="1" applyBorder="1" applyAlignment="1">
      <alignment horizontal="right"/>
    </xf>
    <xf numFmtId="43" fontId="7" fillId="0" borderId="7" xfId="1" applyFont="1" applyBorder="1"/>
    <xf numFmtId="43" fontId="13" fillId="0" borderId="0" xfId="1" applyFont="1" applyBorder="1" applyAlignment="1">
      <alignment horizontal="center"/>
    </xf>
    <xf numFmtId="44" fontId="7" fillId="0" borderId="0" xfId="2" applyFont="1" applyBorder="1" applyAlignment="1"/>
    <xf numFmtId="44" fontId="7" fillId="0" borderId="0" xfId="2" applyFont="1" applyBorder="1" applyAlignment="1">
      <alignment vertical="center"/>
    </xf>
    <xf numFmtId="164" fontId="7" fillId="0" borderId="0" xfId="6" applyNumberFormat="1" applyFont="1"/>
    <xf numFmtId="165" fontId="10" fillId="0" borderId="0" xfId="1" applyNumberFormat="1" applyFont="1"/>
    <xf numFmtId="165" fontId="13" fillId="0" borderId="8" xfId="1" applyNumberFormat="1" applyFont="1" applyBorder="1" applyAlignment="1">
      <alignment horizontal="center"/>
    </xf>
    <xf numFmtId="3" fontId="8" fillId="0" borderId="0" xfId="0" applyNumberFormat="1" applyFont="1" applyAlignment="1">
      <alignment horizontal="center" vertical="center"/>
    </xf>
    <xf numFmtId="3" fontId="15" fillId="0" borderId="7" xfId="0" applyNumberFormat="1" applyFont="1" applyBorder="1" applyAlignment="1">
      <alignment horizontal="center" vertical="center"/>
    </xf>
    <xf numFmtId="3" fontId="15" fillId="0" borderId="0" xfId="0" applyNumberFormat="1" applyFont="1" applyAlignment="1">
      <alignment horizontal="center" vertical="center"/>
    </xf>
    <xf numFmtId="3" fontId="15" fillId="0" borderId="8" xfId="0" applyNumberFormat="1" applyFont="1" applyBorder="1" applyAlignment="1">
      <alignment horizontal="center" vertical="center"/>
    </xf>
    <xf numFmtId="165" fontId="13" fillId="0" borderId="7" xfId="1" applyNumberFormat="1" applyFont="1" applyBorder="1" applyAlignment="1">
      <alignment horizontal="center"/>
    </xf>
    <xf numFmtId="43" fontId="7" fillId="0" borderId="8" xfId="1" quotePrefix="1" applyFont="1" applyBorder="1" applyAlignment="1">
      <alignment horizontal="center"/>
    </xf>
    <xf numFmtId="0" fontId="7" fillId="0" borderId="8" xfId="0" applyFont="1" applyBorder="1" applyAlignment="1">
      <alignment horizontal="center"/>
    </xf>
    <xf numFmtId="43" fontId="7" fillId="0" borderId="1" xfId="1" applyFont="1" applyBorder="1"/>
    <xf numFmtId="43" fontId="7" fillId="0" borderId="5" xfId="1" applyFont="1" applyBorder="1"/>
    <xf numFmtId="166" fontId="7" fillId="0" borderId="8" xfId="3" applyNumberFormat="1" applyFont="1" applyBorder="1"/>
    <xf numFmtId="165" fontId="7" fillId="2" borderId="0" xfId="1" applyNumberFormat="1" applyFont="1" applyFill="1" applyBorder="1"/>
    <xf numFmtId="43" fontId="7" fillId="2" borderId="8" xfId="1" quotePrefix="1" applyFont="1" applyFill="1" applyBorder="1" applyAlignment="1">
      <alignment horizontal="center"/>
    </xf>
    <xf numFmtId="43" fontId="7" fillId="2" borderId="0" xfId="1" applyFont="1" applyFill="1" applyBorder="1"/>
    <xf numFmtId="166" fontId="7" fillId="2" borderId="8" xfId="3" applyNumberFormat="1" applyFont="1" applyFill="1" applyBorder="1"/>
    <xf numFmtId="165" fontId="17" fillId="0" borderId="0" xfId="1" applyNumberFormat="1" applyFont="1"/>
    <xf numFmtId="10" fontId="7" fillId="0" borderId="0" xfId="0" applyNumberFormat="1" applyFont="1"/>
    <xf numFmtId="44" fontId="7" fillId="0" borderId="0" xfId="2" applyFont="1" applyBorder="1"/>
    <xf numFmtId="165" fontId="7" fillId="0" borderId="0" xfId="5" quotePrefix="1" applyNumberFormat="1" applyFont="1"/>
    <xf numFmtId="43" fontId="7" fillId="0" borderId="0" xfId="1" applyFont="1" applyBorder="1" applyAlignment="1">
      <alignment horizontal="center"/>
    </xf>
    <xf numFmtId="0" fontId="7" fillId="0" borderId="7" xfId="0" applyFont="1" applyBorder="1"/>
    <xf numFmtId="165" fontId="7" fillId="0" borderId="0" xfId="1" applyNumberFormat="1" applyFont="1" applyAlignment="1">
      <alignment horizontal="centerContinuous" vertical="center"/>
    </xf>
    <xf numFmtId="165" fontId="7" fillId="0" borderId="0" xfId="1" applyNumberFormat="1" applyFont="1" applyAlignment="1">
      <alignment vertical="center"/>
    </xf>
    <xf numFmtId="165" fontId="15" fillId="0" borderId="0" xfId="1" applyNumberFormat="1" applyFont="1" applyAlignment="1">
      <alignment horizontal="centerContinuous" vertical="center"/>
    </xf>
    <xf numFmtId="165" fontId="12" fillId="0" borderId="0" xfId="1" applyNumberFormat="1" applyFont="1" applyAlignment="1">
      <alignment horizontal="center" vertical="center"/>
    </xf>
    <xf numFmtId="165" fontId="10" fillId="0" borderId="0" xfId="1" applyNumberFormat="1" applyFont="1" applyAlignment="1">
      <alignment vertical="center"/>
    </xf>
    <xf numFmtId="165" fontId="16" fillId="0" borderId="0" xfId="1" applyNumberFormat="1" applyFont="1" applyAlignment="1">
      <alignment vertical="center"/>
    </xf>
    <xf numFmtId="165" fontId="18" fillId="0" borderId="0" xfId="1" applyNumberFormat="1" applyFont="1" applyAlignment="1">
      <alignment vertical="center"/>
    </xf>
    <xf numFmtId="165" fontId="21" fillId="0" borderId="0" xfId="1" applyNumberFormat="1" applyFont="1" applyAlignment="1">
      <alignment vertical="center"/>
    </xf>
    <xf numFmtId="165" fontId="11" fillId="0" borderId="0" xfId="1" applyNumberFormat="1" applyFont="1" applyAlignment="1">
      <alignment vertical="center"/>
    </xf>
    <xf numFmtId="165" fontId="7" fillId="0" borderId="0" xfId="1" applyNumberFormat="1" applyFont="1" applyAlignment="1">
      <alignment horizontal="center"/>
    </xf>
    <xf numFmtId="165" fontId="16" fillId="0" borderId="0" xfId="1" applyNumberFormat="1" applyFont="1" applyAlignment="1">
      <alignment horizontal="center"/>
    </xf>
    <xf numFmtId="165" fontId="14" fillId="0" borderId="0" xfId="1" applyNumberFormat="1" applyFont="1" applyAlignment="1">
      <alignment horizontal="center" vertical="center"/>
    </xf>
    <xf numFmtId="165" fontId="7" fillId="0" borderId="0" xfId="1" applyNumberFormat="1" applyFont="1" applyAlignment="1"/>
    <xf numFmtId="165" fontId="7" fillId="0" borderId="6" xfId="5" applyNumberFormat="1" applyFont="1" applyBorder="1"/>
    <xf numFmtId="165" fontId="7" fillId="0" borderId="0" xfId="5" applyNumberFormat="1" applyFont="1" applyBorder="1" applyAlignment="1">
      <alignment horizontal="center"/>
    </xf>
    <xf numFmtId="10" fontId="7" fillId="0" borderId="0" xfId="3" applyNumberFormat="1" applyFont="1" applyBorder="1"/>
    <xf numFmtId="10" fontId="7" fillId="2" borderId="0" xfId="3" applyNumberFormat="1" applyFont="1" applyFill="1" applyBorder="1"/>
    <xf numFmtId="165" fontId="7" fillId="0" borderId="8" xfId="5" applyNumberFormat="1" applyFont="1" applyBorder="1"/>
    <xf numFmtId="165" fontId="11" fillId="0" borderId="7" xfId="5" applyNumberFormat="1" applyFont="1" applyBorder="1" applyAlignment="1">
      <alignment horizontal="center"/>
    </xf>
    <xf numFmtId="165" fontId="7" fillId="0" borderId="0" xfId="1" applyNumberFormat="1" applyFont="1" applyBorder="1" applyAlignment="1">
      <alignment vertical="center"/>
    </xf>
    <xf numFmtId="165" fontId="13" fillId="0" borderId="0" xfId="1" applyNumberFormat="1" applyFont="1" applyBorder="1" applyAlignment="1">
      <alignment vertical="center"/>
    </xf>
    <xf numFmtId="165" fontId="13" fillId="0" borderId="0" xfId="1" applyNumberFormat="1" applyFont="1" applyAlignment="1">
      <alignment vertical="center"/>
    </xf>
    <xf numFmtId="165" fontId="7" fillId="0" borderId="3" xfId="5" applyNumberFormat="1" applyFont="1" applyBorder="1"/>
    <xf numFmtId="165" fontId="7" fillId="0" borderId="2" xfId="5" applyNumberFormat="1" applyFont="1" applyBorder="1"/>
    <xf numFmtId="165" fontId="7" fillId="0" borderId="4" xfId="5" applyNumberFormat="1" applyFont="1" applyBorder="1"/>
    <xf numFmtId="165" fontId="8" fillId="0" borderId="7" xfId="5" applyNumberFormat="1" applyFont="1" applyBorder="1" applyAlignment="1">
      <alignment horizontal="centerContinuous"/>
    </xf>
    <xf numFmtId="165" fontId="11" fillId="0" borderId="0" xfId="5" applyNumberFormat="1" applyFont="1" applyAlignment="1">
      <alignment horizontal="centerContinuous"/>
    </xf>
    <xf numFmtId="165" fontId="9" fillId="0" borderId="7" xfId="5" applyNumberFormat="1" applyFont="1" applyBorder="1" applyAlignment="1">
      <alignment horizontal="centerContinuous"/>
    </xf>
    <xf numFmtId="165" fontId="12" fillId="0" borderId="0" xfId="5" applyNumberFormat="1" applyFont="1" applyAlignment="1">
      <alignment horizontal="centerContinuous"/>
    </xf>
    <xf numFmtId="3" fontId="15" fillId="0" borderId="7" xfId="0" applyNumberFormat="1" applyFont="1" applyBorder="1" applyAlignment="1">
      <alignment horizontal="centerContinuous" vertical="center"/>
    </xf>
    <xf numFmtId="165" fontId="26" fillId="0" borderId="7" xfId="5" applyNumberFormat="1" applyFont="1" applyBorder="1" applyAlignment="1">
      <alignment horizontal="centerContinuous"/>
    </xf>
    <xf numFmtId="165" fontId="7" fillId="0" borderId="0" xfId="5" applyNumberFormat="1" applyFont="1" applyAlignment="1">
      <alignment horizontal="centerContinuous"/>
    </xf>
    <xf numFmtId="165" fontId="7" fillId="0" borderId="7" xfId="5" applyNumberFormat="1" applyFont="1" applyBorder="1" applyAlignment="1">
      <alignment horizontal="centerContinuous"/>
    </xf>
    <xf numFmtId="165" fontId="7" fillId="0" borderId="9" xfId="5" applyNumberFormat="1" applyFont="1" applyBorder="1" applyAlignment="1">
      <alignment horizontal="left"/>
    </xf>
    <xf numFmtId="165" fontId="7" fillId="0" borderId="3" xfId="5" applyNumberFormat="1" applyFont="1" applyBorder="1" applyAlignment="1">
      <alignment horizontal="left"/>
    </xf>
    <xf numFmtId="165" fontId="7" fillId="0" borderId="2" xfId="5" applyNumberFormat="1" applyFont="1" applyBorder="1" applyAlignment="1">
      <alignment horizontal="left"/>
    </xf>
    <xf numFmtId="165" fontId="7" fillId="0" borderId="4" xfId="5" applyNumberFormat="1" applyFont="1" applyBorder="1" applyAlignment="1">
      <alignment horizontal="left"/>
    </xf>
    <xf numFmtId="165" fontId="7" fillId="0" borderId="10" xfId="5" applyNumberFormat="1" applyFont="1" applyBorder="1"/>
    <xf numFmtId="165" fontId="14" fillId="0" borderId="0" xfId="5" applyNumberFormat="1" applyFont="1" applyAlignment="1">
      <alignment horizontal="center" vertical="center"/>
    </xf>
    <xf numFmtId="165" fontId="11" fillId="0" borderId="8" xfId="5" applyNumberFormat="1" applyFont="1" applyBorder="1" applyAlignment="1">
      <alignment horizontal="center" vertical="center"/>
    </xf>
    <xf numFmtId="165" fontId="11" fillId="0" borderId="0" xfId="5" applyNumberFormat="1" applyFont="1" applyAlignment="1">
      <alignment horizontal="center" vertical="center"/>
    </xf>
    <xf numFmtId="165" fontId="14" fillId="0" borderId="8" xfId="5" applyNumberFormat="1" applyFont="1" applyBorder="1" applyAlignment="1">
      <alignment horizontal="center" vertical="center"/>
    </xf>
    <xf numFmtId="165" fontId="14" fillId="0" borderId="0" xfId="5" applyNumberFormat="1" applyFont="1" applyBorder="1" applyAlignment="1">
      <alignment horizontal="center" vertical="center"/>
    </xf>
    <xf numFmtId="165" fontId="7" fillId="0" borderId="10" xfId="5" applyNumberFormat="1" applyFont="1" applyBorder="1" applyAlignment="1">
      <alignment horizontal="left"/>
    </xf>
    <xf numFmtId="165" fontId="7" fillId="0" borderId="10" xfId="5" quotePrefix="1" applyNumberFormat="1" applyFont="1" applyBorder="1" applyAlignment="1">
      <alignment horizontal="center"/>
    </xf>
    <xf numFmtId="165" fontId="11" fillId="0" borderId="11" xfId="5" applyNumberFormat="1" applyFont="1" applyBorder="1" applyAlignment="1">
      <alignment horizontal="right"/>
    </xf>
    <xf numFmtId="165" fontId="11" fillId="0" borderId="7" xfId="5" applyNumberFormat="1" applyFont="1" applyBorder="1" applyAlignment="1">
      <alignment horizontal="right"/>
    </xf>
    <xf numFmtId="165" fontId="11" fillId="0" borderId="0" xfId="5" applyNumberFormat="1" applyFont="1" applyAlignment="1">
      <alignment horizontal="right"/>
    </xf>
    <xf numFmtId="165" fontId="11" fillId="0" borderId="2" xfId="5" applyNumberFormat="1" applyFont="1" applyBorder="1" applyAlignment="1">
      <alignment horizontal="right"/>
    </xf>
    <xf numFmtId="165" fontId="11" fillId="0" borderId="7" xfId="5" applyNumberFormat="1" applyFont="1" applyBorder="1"/>
    <xf numFmtId="164" fontId="11" fillId="0" borderId="0" xfId="6" applyNumberFormat="1" applyFont="1"/>
    <xf numFmtId="165" fontId="11" fillId="0" borderId="0" xfId="5" applyNumberFormat="1" applyFont="1"/>
    <xf numFmtId="165" fontId="11" fillId="0" borderId="0" xfId="5" applyNumberFormat="1" applyFont="1" applyBorder="1"/>
    <xf numFmtId="164" fontId="11" fillId="0" borderId="0" xfId="6" applyNumberFormat="1" applyFont="1" applyBorder="1"/>
    <xf numFmtId="165" fontId="7" fillId="0" borderId="5" xfId="5" applyNumberFormat="1" applyFont="1" applyBorder="1" applyAlignment="1">
      <alignment horizontal="center"/>
    </xf>
    <xf numFmtId="165" fontId="7" fillId="0" borderId="1" xfId="5" applyNumberFormat="1" applyFont="1" applyBorder="1" applyAlignment="1">
      <alignment horizontal="center"/>
    </xf>
    <xf numFmtId="0" fontId="7" fillId="0" borderId="3" xfId="0" applyFont="1" applyBorder="1"/>
    <xf numFmtId="0" fontId="7" fillId="0" borderId="5" xfId="0" applyFont="1" applyBorder="1"/>
    <xf numFmtId="3" fontId="7" fillId="0" borderId="2" xfId="0" applyNumberFormat="1" applyFont="1" applyBorder="1"/>
    <xf numFmtId="3" fontId="11" fillId="0" borderId="0" xfId="0" applyNumberFormat="1" applyFont="1" applyAlignment="1">
      <alignment horizontal="center"/>
    </xf>
    <xf numFmtId="3" fontId="12" fillId="0" borderId="0" xfId="0" applyNumberFormat="1" applyFont="1" applyAlignment="1">
      <alignment horizontal="center"/>
    </xf>
    <xf numFmtId="3" fontId="12" fillId="0" borderId="0" xfId="0" applyNumberFormat="1" applyFont="1"/>
    <xf numFmtId="3" fontId="11" fillId="0" borderId="0" xfId="0" applyNumberFormat="1" applyFont="1"/>
    <xf numFmtId="3" fontId="7" fillId="0" borderId="1" xfId="0" applyNumberFormat="1" applyFont="1" applyBorder="1"/>
    <xf numFmtId="44" fontId="14" fillId="0" borderId="0" xfId="0" applyNumberFormat="1" applyFont="1" applyAlignment="1">
      <alignment horizontal="center"/>
    </xf>
    <xf numFmtId="168" fontId="7" fillId="0" borderId="0" xfId="0" applyNumberFormat="1" applyFont="1" applyAlignment="1">
      <alignment horizontal="center"/>
    </xf>
    <xf numFmtId="167" fontId="7" fillId="0" borderId="0" xfId="5" applyNumberFormat="1" applyFont="1" applyAlignment="1"/>
    <xf numFmtId="167" fontId="7" fillId="0" borderId="2" xfId="5" applyNumberFormat="1" applyFont="1" applyBorder="1"/>
    <xf numFmtId="167" fontId="7" fillId="0" borderId="0" xfId="5" applyNumberFormat="1" applyFont="1" applyBorder="1" applyAlignment="1"/>
    <xf numFmtId="167" fontId="7" fillId="0" borderId="0" xfId="5" applyNumberFormat="1" applyFont="1" applyBorder="1" applyAlignment="1">
      <alignment horizontal="center"/>
    </xf>
    <xf numFmtId="167" fontId="17" fillId="0" borderId="0" xfId="5" applyNumberFormat="1" applyFont="1" applyBorder="1" applyAlignment="1"/>
    <xf numFmtId="170" fontId="7" fillId="0" borderId="0" xfId="0" applyNumberFormat="1" applyFont="1"/>
    <xf numFmtId="169" fontId="11" fillId="0" borderId="0" xfId="0" applyNumberFormat="1" applyFont="1"/>
    <xf numFmtId="167" fontId="7" fillId="0" borderId="0" xfId="5" quotePrefix="1" applyNumberFormat="1" applyFont="1" applyBorder="1" applyAlignment="1">
      <alignment horizontal="center"/>
    </xf>
    <xf numFmtId="3" fontId="7" fillId="0" borderId="4" xfId="0" applyNumberFormat="1" applyFont="1" applyBorder="1"/>
    <xf numFmtId="3" fontId="7" fillId="0" borderId="8" xfId="0" applyNumberFormat="1" applyFont="1" applyBorder="1"/>
    <xf numFmtId="3" fontId="7" fillId="0" borderId="6" xfId="0" applyNumberFormat="1" applyFont="1" applyBorder="1"/>
    <xf numFmtId="3" fontId="7" fillId="0" borderId="7" xfId="0" applyNumberFormat="1" applyFont="1" applyBorder="1"/>
    <xf numFmtId="4" fontId="7" fillId="0" borderId="7" xfId="0" applyNumberFormat="1" applyFont="1" applyBorder="1"/>
    <xf numFmtId="0" fontId="0" fillId="0" borderId="0" xfId="0" applyAlignment="1">
      <alignment vertical="top"/>
    </xf>
    <xf numFmtId="3" fontId="0" fillId="0" borderId="0" xfId="0" applyNumberFormat="1" applyAlignment="1">
      <alignment vertical="top"/>
    </xf>
    <xf numFmtId="165" fontId="0" fillId="0" borderId="0" xfId="1" applyNumberFormat="1" applyFont="1" applyBorder="1" applyAlignment="1">
      <alignment vertical="top"/>
    </xf>
    <xf numFmtId="165" fontId="11" fillId="0" borderId="0" xfId="5" applyNumberFormat="1" applyFont="1" applyBorder="1" applyAlignment="1">
      <alignment vertical="center"/>
    </xf>
    <xf numFmtId="0" fontId="7" fillId="0" borderId="0" xfId="0" applyFont="1" applyAlignment="1">
      <alignment vertical="top"/>
    </xf>
    <xf numFmtId="0" fontId="7" fillId="0" borderId="0" xfId="0" applyFont="1" applyAlignment="1">
      <alignment horizontal="center" vertical="top"/>
    </xf>
    <xf numFmtId="0" fontId="27" fillId="0" borderId="0" xfId="0" applyFont="1"/>
    <xf numFmtId="165" fontId="27" fillId="0" borderId="0" xfId="1" applyNumberFormat="1" applyFont="1"/>
    <xf numFmtId="43" fontId="7" fillId="0" borderId="0" xfId="1" applyFont="1" applyAlignment="1">
      <alignment horizontal="right"/>
    </xf>
    <xf numFmtId="10" fontId="7" fillId="0" borderId="1" xfId="3" applyNumberFormat="1" applyFont="1" applyBorder="1"/>
    <xf numFmtId="2" fontId="7" fillId="0" borderId="0" xfId="0" applyNumberFormat="1" applyFont="1"/>
    <xf numFmtId="0" fontId="7" fillId="0" borderId="0" xfId="0" applyFont="1" applyAlignment="1">
      <alignment horizontal="left"/>
    </xf>
    <xf numFmtId="37" fontId="7" fillId="0" borderId="0" xfId="0" applyNumberFormat="1" applyFont="1" applyAlignment="1">
      <alignment horizontal="center"/>
    </xf>
    <xf numFmtId="165" fontId="7" fillId="0" borderId="0" xfId="1" applyNumberFormat="1" applyFont="1" applyBorder="1" applyAlignment="1"/>
    <xf numFmtId="164" fontId="7" fillId="0" borderId="0" xfId="6" applyNumberFormat="1" applyFont="1" applyBorder="1"/>
    <xf numFmtId="164" fontId="7" fillId="0" borderId="0" xfId="0" applyNumberFormat="1" applyFont="1"/>
    <xf numFmtId="164" fontId="0" fillId="0" borderId="0" xfId="0" applyNumberFormat="1" applyAlignment="1">
      <alignment vertical="top"/>
    </xf>
    <xf numFmtId="10" fontId="0" fillId="0" borderId="0" xfId="3" applyNumberFormat="1" applyFont="1" applyBorder="1" applyAlignment="1">
      <alignment vertical="top"/>
    </xf>
    <xf numFmtId="164" fontId="7" fillId="0" borderId="0" xfId="2" applyNumberFormat="1" applyFont="1" applyBorder="1" applyAlignment="1"/>
    <xf numFmtId="37" fontId="7" fillId="0" borderId="0" xfId="0" applyNumberFormat="1" applyFont="1"/>
    <xf numFmtId="0" fontId="7" fillId="0" borderId="0" xfId="0" applyFont="1" applyAlignment="1">
      <alignment horizontal="center" wrapText="1"/>
    </xf>
    <xf numFmtId="37" fontId="7" fillId="0" borderId="0" xfId="0" applyNumberFormat="1" applyFont="1" applyAlignment="1">
      <alignment horizontal="right"/>
    </xf>
    <xf numFmtId="165" fontId="7" fillId="0" borderId="0" xfId="5" applyNumberFormat="1" applyFont="1" applyBorder="1" applyAlignment="1">
      <alignment horizontal="right"/>
    </xf>
    <xf numFmtId="165" fontId="7" fillId="0" borderId="0" xfId="0" applyNumberFormat="1" applyFont="1" applyAlignment="1">
      <alignment horizontal="right"/>
    </xf>
    <xf numFmtId="44" fontId="7" fillId="0" borderId="0" xfId="5" applyNumberFormat="1" applyFont="1" applyBorder="1"/>
    <xf numFmtId="44" fontId="7" fillId="0" borderId="0" xfId="0" applyNumberFormat="1" applyFont="1" applyAlignment="1">
      <alignment vertical="top"/>
    </xf>
    <xf numFmtId="164" fontId="13" fillId="0" borderId="0" xfId="2" applyNumberFormat="1" applyFont="1" applyBorder="1" applyAlignment="1"/>
    <xf numFmtId="165" fontId="7" fillId="0" borderId="0" xfId="1" applyNumberFormat="1" applyFont="1" applyFill="1" applyAlignment="1">
      <alignment vertical="center"/>
    </xf>
    <xf numFmtId="6" fontId="7" fillId="0" borderId="0" xfId="0" applyNumberFormat="1" applyFont="1"/>
    <xf numFmtId="9" fontId="7" fillId="0" borderId="0" xfId="0" applyNumberFormat="1" applyFont="1"/>
    <xf numFmtId="0" fontId="7" fillId="0" borderId="0" xfId="0" quotePrefix="1" applyFont="1"/>
    <xf numFmtId="44" fontId="7" fillId="0" borderId="0" xfId="0" applyNumberFormat="1" applyFont="1" applyAlignment="1">
      <alignment horizontal="right"/>
    </xf>
    <xf numFmtId="9" fontId="7" fillId="0" borderId="0" xfId="0" applyNumberFormat="1" applyFont="1" applyAlignment="1">
      <alignment horizontal="right"/>
    </xf>
    <xf numFmtId="166" fontId="7" fillId="0" borderId="0" xfId="3" applyNumberFormat="1" applyFont="1" applyFill="1" applyBorder="1" applyAlignment="1">
      <alignment horizontal="right"/>
    </xf>
    <xf numFmtId="9" fontId="7" fillId="0" borderId="0" xfId="3" applyFont="1" applyFill="1" applyBorder="1" applyAlignment="1">
      <alignment horizontal="right"/>
    </xf>
    <xf numFmtId="44" fontId="4" fillId="0" borderId="0" xfId="0" applyNumberFormat="1" applyFont="1" applyAlignment="1">
      <alignment horizontal="right"/>
    </xf>
    <xf numFmtId="3" fontId="7" fillId="0" borderId="2" xfId="0" applyNumberFormat="1" applyFont="1" applyBorder="1" applyAlignment="1">
      <alignment horizontal="right"/>
    </xf>
    <xf numFmtId="3" fontId="12" fillId="0" borderId="0" xfId="0" applyNumberFormat="1" applyFont="1" applyAlignment="1">
      <alignment horizontal="right"/>
    </xf>
    <xf numFmtId="0" fontId="0" fillId="0" borderId="0" xfId="0" applyAlignment="1">
      <alignment horizontal="right"/>
    </xf>
    <xf numFmtId="169" fontId="11" fillId="0" borderId="0" xfId="0" applyNumberFormat="1" applyFont="1" applyAlignment="1">
      <alignment horizontal="right"/>
    </xf>
    <xf numFmtId="167" fontId="7" fillId="0" borderId="1" xfId="5" applyNumberFormat="1" applyFont="1" applyBorder="1" applyAlignment="1">
      <alignment horizontal="right"/>
    </xf>
    <xf numFmtId="167" fontId="7" fillId="0" borderId="0" xfId="5" applyNumberFormat="1" applyFont="1" applyBorder="1" applyAlignment="1">
      <alignment horizontal="right"/>
    </xf>
    <xf numFmtId="164" fontId="7" fillId="0" borderId="0" xfId="0" applyNumberFormat="1" applyFont="1" applyAlignment="1">
      <alignment horizontal="right"/>
    </xf>
    <xf numFmtId="164" fontId="7" fillId="0" borderId="2" xfId="0" applyNumberFormat="1" applyFont="1" applyBorder="1" applyAlignment="1">
      <alignment horizontal="right"/>
    </xf>
    <xf numFmtId="164" fontId="11" fillId="0" borderId="0" xfId="0" applyNumberFormat="1" applyFont="1" applyAlignment="1">
      <alignment horizontal="center"/>
    </xf>
    <xf numFmtId="164" fontId="12" fillId="0" borderId="0" xfId="0" applyNumberFormat="1" applyFont="1" applyAlignment="1">
      <alignment horizontal="center"/>
    </xf>
    <xf numFmtId="164" fontId="12" fillId="0" borderId="0" xfId="0" applyNumberFormat="1" applyFont="1" applyAlignment="1">
      <alignment horizontal="right"/>
    </xf>
    <xf numFmtId="164" fontId="7" fillId="0" borderId="0" xfId="5" applyNumberFormat="1" applyFont="1" applyBorder="1" applyAlignment="1">
      <alignment horizontal="right"/>
    </xf>
    <xf numFmtId="164" fontId="7" fillId="0" borderId="1" xfId="0" applyNumberFormat="1" applyFont="1" applyBorder="1" applyAlignment="1">
      <alignment horizontal="right"/>
    </xf>
    <xf numFmtId="164" fontId="13" fillId="0" borderId="0" xfId="0" applyNumberFormat="1" applyFont="1" applyAlignment="1">
      <alignment horizontal="right"/>
    </xf>
    <xf numFmtId="10" fontId="7" fillId="0" borderId="0" xfId="3" applyNumberFormat="1" applyFont="1" applyBorder="1" applyAlignment="1"/>
    <xf numFmtId="43" fontId="7" fillId="0" borderId="0" xfId="1" applyFont="1" applyBorder="1" applyAlignment="1">
      <alignment vertical="center"/>
    </xf>
    <xf numFmtId="44" fontId="7" fillId="0" borderId="0" xfId="0" applyNumberFormat="1" applyFont="1"/>
    <xf numFmtId="44" fontId="7" fillId="0" borderId="0" xfId="1" applyNumberFormat="1" applyFont="1" applyBorder="1"/>
    <xf numFmtId="43" fontId="7" fillId="0" borderId="7" xfId="1" applyFont="1" applyBorder="1" applyAlignment="1"/>
    <xf numFmtId="43" fontId="7" fillId="0" borderId="8" xfId="1" applyFont="1" applyBorder="1" applyAlignment="1"/>
    <xf numFmtId="43" fontId="13" fillId="0" borderId="8" xfId="1" applyFont="1" applyBorder="1" applyAlignment="1">
      <alignment horizontal="center"/>
    </xf>
    <xf numFmtId="44" fontId="7" fillId="0" borderId="8" xfId="2" applyFont="1" applyBorder="1" applyAlignment="1"/>
    <xf numFmtId="43" fontId="7" fillId="0" borderId="1" xfId="1" applyFont="1" applyBorder="1" applyAlignment="1"/>
    <xf numFmtId="43" fontId="7" fillId="0" borderId="6" xfId="1" applyFont="1" applyBorder="1" applyAlignment="1"/>
    <xf numFmtId="44" fontId="7" fillId="0" borderId="0" xfId="2" applyFont="1" applyBorder="1" applyAlignment="1">
      <alignment horizontal="center"/>
    </xf>
    <xf numFmtId="10" fontId="7" fillId="0" borderId="0" xfId="3" applyNumberFormat="1" applyFont="1" applyBorder="1" applyAlignment="1">
      <alignment horizontal="center"/>
    </xf>
    <xf numFmtId="10" fontId="7" fillId="0" borderId="1" xfId="3" applyNumberFormat="1" applyFont="1" applyBorder="1" applyAlignment="1">
      <alignment horizontal="center"/>
    </xf>
    <xf numFmtId="164" fontId="7" fillId="0" borderId="0" xfId="2" applyNumberFormat="1" applyFont="1"/>
    <xf numFmtId="10" fontId="7" fillId="0" borderId="0" xfId="1" applyNumberFormat="1" applyFont="1"/>
    <xf numFmtId="10" fontId="7" fillId="0" borderId="0" xfId="1" applyNumberFormat="1" applyFont="1" applyBorder="1"/>
    <xf numFmtId="44" fontId="13" fillId="0" borderId="0" xfId="0" applyNumberFormat="1" applyFont="1"/>
    <xf numFmtId="44" fontId="7" fillId="0" borderId="0" xfId="2" applyFont="1"/>
    <xf numFmtId="44" fontId="7" fillId="0" borderId="0" xfId="2" applyFont="1" applyAlignment="1">
      <alignment vertical="top"/>
    </xf>
    <xf numFmtId="10" fontId="7" fillId="0" borderId="0" xfId="3" applyNumberFormat="1" applyFont="1" applyAlignment="1">
      <alignment vertical="top"/>
    </xf>
    <xf numFmtId="166" fontId="7" fillId="0" borderId="0" xfId="0" applyNumberFormat="1" applyFont="1" applyAlignment="1">
      <alignment horizontal="right"/>
    </xf>
    <xf numFmtId="44" fontId="7" fillId="0" borderId="0" xfId="2" applyFont="1" applyFill="1" applyBorder="1" applyAlignment="1">
      <alignment horizontal="right"/>
    </xf>
    <xf numFmtId="44" fontId="23" fillId="0" borderId="0" xfId="2" applyFont="1" applyFill="1" applyBorder="1" applyAlignment="1">
      <alignment horizontal="right"/>
    </xf>
    <xf numFmtId="44" fontId="22" fillId="0" borderId="0" xfId="2" applyFont="1" applyFill="1" applyBorder="1" applyAlignment="1">
      <alignment horizontal="right"/>
    </xf>
    <xf numFmtId="44" fontId="7" fillId="0" borderId="1" xfId="2" applyFont="1" applyFill="1" applyBorder="1" applyAlignment="1">
      <alignment horizontal="right"/>
    </xf>
    <xf numFmtId="0" fontId="7" fillId="0" borderId="0" xfId="1" applyNumberFormat="1" applyFont="1" applyFill="1" applyBorder="1"/>
    <xf numFmtId="44" fontId="7" fillId="0" borderId="1" xfId="0" applyNumberFormat="1" applyFont="1" applyBorder="1" applyAlignment="1">
      <alignment horizontal="right"/>
    </xf>
    <xf numFmtId="10" fontId="7" fillId="0" borderId="0" xfId="3" applyNumberFormat="1" applyFont="1" applyBorder="1" applyAlignment="1">
      <alignment vertical="top"/>
    </xf>
    <xf numFmtId="165" fontId="7" fillId="0" borderId="0" xfId="1" applyNumberFormat="1" applyFont="1" applyFill="1" applyBorder="1" applyAlignment="1">
      <alignment horizontal="right"/>
    </xf>
    <xf numFmtId="0" fontId="11" fillId="0" borderId="0" xfId="0" applyFont="1"/>
    <xf numFmtId="0" fontId="11" fillId="0" borderId="0" xfId="1" applyNumberFormat="1" applyFont="1" applyFill="1" applyBorder="1"/>
    <xf numFmtId="44" fontId="11" fillId="0" borderId="12" xfId="0" applyNumberFormat="1" applyFont="1" applyBorder="1" applyAlignment="1">
      <alignment horizontal="right"/>
    </xf>
    <xf numFmtId="44" fontId="11" fillId="0" borderId="0" xfId="2" applyFont="1" applyFill="1" applyBorder="1" applyAlignment="1">
      <alignment horizontal="right"/>
    </xf>
    <xf numFmtId="43" fontId="7" fillId="0" borderId="0" xfId="1" applyFont="1" applyFill="1"/>
    <xf numFmtId="43" fontId="7" fillId="0" borderId="0" xfId="1" applyFont="1" applyFill="1" applyBorder="1"/>
    <xf numFmtId="44" fontId="7" fillId="3" borderId="1" xfId="2" applyFont="1" applyFill="1" applyBorder="1" applyAlignment="1">
      <alignment horizontal="right"/>
    </xf>
    <xf numFmtId="44" fontId="29" fillId="0" borderId="1" xfId="2" applyFont="1" applyBorder="1"/>
    <xf numFmtId="0" fontId="27" fillId="0" borderId="0" xfId="0" applyFont="1" applyAlignment="1">
      <alignment horizontal="center"/>
    </xf>
    <xf numFmtId="43" fontId="7" fillId="0" borderId="2" xfId="1" applyFont="1" applyBorder="1"/>
    <xf numFmtId="0" fontId="7" fillId="0" borderId="0" xfId="2" applyNumberFormat="1" applyFont="1" applyBorder="1" applyAlignment="1"/>
    <xf numFmtId="165" fontId="13" fillId="0" borderId="0" xfId="1" applyNumberFormat="1" applyFont="1" applyFill="1" applyBorder="1" applyAlignment="1">
      <alignment vertical="center"/>
    </xf>
    <xf numFmtId="44" fontId="28" fillId="0" borderId="7" xfId="2" applyFont="1" applyBorder="1" applyAlignment="1">
      <alignment horizontal="center"/>
    </xf>
    <xf numFmtId="44" fontId="28" fillId="0" borderId="0" xfId="2" applyFont="1" applyBorder="1" applyAlignment="1">
      <alignment horizontal="center"/>
    </xf>
    <xf numFmtId="44" fontId="28" fillId="0" borderId="8" xfId="2" applyFont="1" applyBorder="1" applyAlignment="1">
      <alignment horizontal="center"/>
    </xf>
    <xf numFmtId="44" fontId="7" fillId="0" borderId="0" xfId="2" applyFont="1" applyBorder="1" applyAlignment="1">
      <alignment horizontal="right"/>
    </xf>
    <xf numFmtId="44" fontId="7" fillId="0" borderId="7" xfId="2" applyFont="1" applyBorder="1" applyAlignment="1">
      <alignment horizontal="right"/>
    </xf>
    <xf numFmtId="171" fontId="7" fillId="0" borderId="0" xfId="2" applyNumberFormat="1" applyFont="1" applyBorder="1" applyAlignment="1">
      <alignment vertical="center"/>
    </xf>
    <xf numFmtId="10" fontId="7" fillId="0" borderId="0" xfId="3" applyNumberFormat="1" applyFont="1" applyFill="1" applyAlignment="1">
      <alignment vertical="center"/>
    </xf>
    <xf numFmtId="0" fontId="5" fillId="0" borderId="0" xfId="0" applyFont="1" applyAlignment="1">
      <alignment vertical="top"/>
    </xf>
    <xf numFmtId="0" fontId="30" fillId="0" borderId="0" xfId="0" applyFont="1" applyAlignment="1">
      <alignment horizontal="left"/>
    </xf>
    <xf numFmtId="0" fontId="5" fillId="0" borderId="0" xfId="0" applyFont="1"/>
    <xf numFmtId="0" fontId="5" fillId="0" borderId="0" xfId="0" applyFont="1" applyAlignment="1">
      <alignment horizontal="center" wrapText="1"/>
    </xf>
    <xf numFmtId="37" fontId="5" fillId="0" borderId="0" xfId="0" applyNumberFormat="1" applyFont="1"/>
    <xf numFmtId="165" fontId="30" fillId="0" borderId="0" xfId="5" applyNumberFormat="1" applyFont="1" applyBorder="1" applyAlignment="1">
      <alignment vertical="center"/>
    </xf>
    <xf numFmtId="0" fontId="5" fillId="0" borderId="0" xfId="0" applyFont="1" applyAlignment="1">
      <alignment horizontal="center"/>
    </xf>
    <xf numFmtId="165" fontId="30" fillId="0" borderId="0" xfId="5" applyNumberFormat="1" applyFont="1" applyBorder="1" applyAlignment="1">
      <alignment horizontal="center" vertical="center"/>
    </xf>
    <xf numFmtId="37" fontId="30" fillId="0" borderId="0" xfId="0" applyNumberFormat="1" applyFont="1" applyAlignment="1">
      <alignment horizontal="right"/>
    </xf>
    <xf numFmtId="0" fontId="30" fillId="0" borderId="0" xfId="0" applyFont="1" applyAlignment="1">
      <alignment horizontal="center"/>
    </xf>
    <xf numFmtId="0" fontId="30" fillId="0" borderId="0" xfId="0" applyFont="1" applyAlignment="1">
      <alignment horizontal="right"/>
    </xf>
    <xf numFmtId="165" fontId="5" fillId="0" borderId="0" xfId="0" applyNumberFormat="1" applyFont="1"/>
    <xf numFmtId="165" fontId="5" fillId="0" borderId="0" xfId="1" applyNumberFormat="1" applyFont="1" applyBorder="1" applyAlignment="1"/>
    <xf numFmtId="164" fontId="5" fillId="0" borderId="0" xfId="6" applyNumberFormat="1" applyFont="1" applyBorder="1"/>
    <xf numFmtId="3" fontId="5" fillId="0" borderId="0" xfId="0" applyNumberFormat="1" applyFont="1" applyAlignment="1">
      <alignment horizontal="left"/>
    </xf>
    <xf numFmtId="164" fontId="5" fillId="0" borderId="0" xfId="2" applyNumberFormat="1" applyFont="1" applyBorder="1" applyAlignment="1"/>
    <xf numFmtId="164" fontId="31" fillId="0" borderId="0" xfId="2" applyNumberFormat="1" applyFont="1" applyBorder="1" applyAlignment="1"/>
    <xf numFmtId="0" fontId="5" fillId="0" borderId="0" xfId="0" applyFont="1" applyAlignment="1">
      <alignment vertical="center"/>
    </xf>
    <xf numFmtId="165" fontId="5" fillId="0" borderId="0" xfId="1" applyNumberFormat="1" applyFont="1" applyBorder="1" applyAlignment="1">
      <alignment vertical="center"/>
    </xf>
    <xf numFmtId="164" fontId="31" fillId="0" borderId="0" xfId="2" applyNumberFormat="1" applyFont="1" applyFill="1" applyBorder="1" applyAlignment="1">
      <alignment vertical="center"/>
    </xf>
    <xf numFmtId="0" fontId="7" fillId="0" borderId="0" xfId="0" applyFont="1" applyAlignment="1">
      <alignment vertical="center"/>
    </xf>
    <xf numFmtId="0" fontId="0" fillId="0" borderId="0" xfId="0" applyAlignment="1">
      <alignment vertical="center"/>
    </xf>
    <xf numFmtId="3" fontId="0" fillId="0" borderId="0" xfId="0" applyNumberFormat="1" applyAlignment="1">
      <alignment vertical="center"/>
    </xf>
    <xf numFmtId="37" fontId="32" fillId="0" borderId="0" xfId="0" applyNumberFormat="1" applyFont="1" applyAlignment="1">
      <alignment horizontal="center" vertical="center"/>
    </xf>
    <xf numFmtId="37" fontId="32" fillId="0" borderId="0" xfId="0" applyNumberFormat="1" applyFont="1" applyAlignment="1">
      <alignment horizontal="center" vertical="center" wrapText="1"/>
    </xf>
    <xf numFmtId="37" fontId="32" fillId="0" borderId="0" xfId="0" applyNumberFormat="1" applyFont="1" applyAlignment="1">
      <alignment horizontal="center"/>
    </xf>
    <xf numFmtId="0" fontId="32" fillId="0" borderId="0" xfId="0" applyFont="1" applyAlignment="1">
      <alignment vertical="top"/>
    </xf>
    <xf numFmtId="0" fontId="32" fillId="0" borderId="0" xfId="0" applyFont="1" applyAlignment="1">
      <alignment horizontal="center" vertical="center" wrapText="1"/>
    </xf>
    <xf numFmtId="171" fontId="7" fillId="0" borderId="0" xfId="2" applyNumberFormat="1" applyFont="1" applyBorder="1" applyAlignment="1">
      <alignment horizontal="center"/>
    </xf>
    <xf numFmtId="0" fontId="33" fillId="0" borderId="0" xfId="0" applyFont="1"/>
    <xf numFmtId="44" fontId="0" fillId="0" borderId="0" xfId="2" applyFont="1"/>
    <xf numFmtId="0" fontId="34" fillId="0" borderId="0" xfId="0" applyFont="1"/>
    <xf numFmtId="44" fontId="31" fillId="0" borderId="0" xfId="2" quotePrefix="1" applyFont="1" applyAlignment="1">
      <alignment horizontal="center"/>
    </xf>
    <xf numFmtId="0" fontId="34" fillId="0" borderId="0" xfId="0" applyFont="1" applyAlignment="1">
      <alignment horizontal="right"/>
    </xf>
    <xf numFmtId="44" fontId="7" fillId="0" borderId="0" xfId="2" applyFont="1" applyAlignment="1">
      <alignment horizontal="center" wrapText="1"/>
    </xf>
    <xf numFmtId="37" fontId="10" fillId="0" borderId="0" xfId="0" applyNumberFormat="1" applyFont="1" applyAlignment="1">
      <alignment horizontal="center"/>
    </xf>
    <xf numFmtId="164" fontId="7" fillId="0" borderId="0" xfId="2" applyNumberFormat="1" applyFont="1" applyFill="1" applyBorder="1" applyAlignment="1"/>
    <xf numFmtId="3" fontId="5" fillId="0" borderId="0" xfId="0" applyNumberFormat="1" applyFont="1" applyAlignment="1">
      <alignment horizontal="left" vertical="center"/>
    </xf>
    <xf numFmtId="10" fontId="5" fillId="0" borderId="0" xfId="3" applyNumberFormat="1" applyFont="1" applyBorder="1" applyAlignment="1"/>
    <xf numFmtId="43" fontId="7" fillId="0" borderId="0" xfId="1" applyFont="1" applyAlignment="1">
      <alignment horizontal="center"/>
    </xf>
    <xf numFmtId="172" fontId="7" fillId="0" borderId="0" xfId="1" applyNumberFormat="1" applyFont="1" applyAlignment="1">
      <alignment horizontal="center"/>
    </xf>
    <xf numFmtId="44" fontId="7" fillId="0" borderId="13" xfId="2" applyFont="1" applyFill="1" applyBorder="1" applyAlignment="1">
      <alignment horizontal="right"/>
    </xf>
    <xf numFmtId="44" fontId="7" fillId="3" borderId="13" xfId="2" applyFont="1" applyFill="1" applyBorder="1" applyAlignment="1">
      <alignment horizontal="right"/>
    </xf>
    <xf numFmtId="1" fontId="7" fillId="0" borderId="0" xfId="0" applyNumberFormat="1" applyFont="1" applyAlignment="1">
      <alignment horizontal="right"/>
    </xf>
    <xf numFmtId="165" fontId="7" fillId="0" borderId="0" xfId="5" applyNumberFormat="1" applyFont="1" applyAlignment="1">
      <alignment vertical="center"/>
    </xf>
    <xf numFmtId="3" fontId="7" fillId="0" borderId="0" xfId="0" applyNumberFormat="1" applyFont="1" applyAlignment="1">
      <alignment vertical="center"/>
    </xf>
    <xf numFmtId="165" fontId="7" fillId="0" borderId="0" xfId="5" applyNumberFormat="1" applyFont="1" applyAlignment="1"/>
    <xf numFmtId="9" fontId="7" fillId="0" borderId="0" xfId="7" applyFont="1"/>
    <xf numFmtId="165" fontId="13" fillId="0" borderId="0" xfId="5" applyNumberFormat="1" applyFont="1" applyBorder="1"/>
    <xf numFmtId="172" fontId="12" fillId="0" borderId="0" xfId="1" applyNumberFormat="1" applyFont="1" applyFill="1" applyBorder="1" applyAlignment="1">
      <alignment horizontal="center"/>
    </xf>
    <xf numFmtId="44" fontId="11" fillId="0" borderId="0" xfId="0" applyNumberFormat="1" applyFont="1" applyAlignment="1">
      <alignment horizontal="right"/>
    </xf>
    <xf numFmtId="44" fontId="11" fillId="0" borderId="0" xfId="0" applyNumberFormat="1" applyFont="1" applyAlignment="1">
      <alignment horizontal="center"/>
    </xf>
    <xf numFmtId="44" fontId="11" fillId="0" borderId="1" xfId="2" applyFont="1" applyFill="1" applyBorder="1" applyAlignment="1">
      <alignment horizontal="right"/>
    </xf>
    <xf numFmtId="44" fontId="35" fillId="0" borderId="0" xfId="2" applyFont="1"/>
    <xf numFmtId="43" fontId="5" fillId="0" borderId="0" xfId="1" applyFont="1"/>
    <xf numFmtId="43" fontId="7" fillId="0" borderId="0" xfId="0" applyNumberFormat="1" applyFont="1" applyAlignment="1">
      <alignment horizontal="right"/>
    </xf>
    <xf numFmtId="0" fontId="7" fillId="0" borderId="1" xfId="0" applyFont="1" applyBorder="1" applyAlignment="1">
      <alignment horizontal="center"/>
    </xf>
    <xf numFmtId="43" fontId="7" fillId="0" borderId="1" xfId="1" applyFont="1" applyBorder="1" applyAlignment="1">
      <alignment horizontal="center"/>
    </xf>
    <xf numFmtId="43" fontId="7" fillId="4" borderId="0" xfId="1" applyFont="1" applyFill="1"/>
    <xf numFmtId="43" fontId="7" fillId="0" borderId="0" xfId="0" applyNumberFormat="1" applyFont="1"/>
    <xf numFmtId="0" fontId="36" fillId="0" borderId="0" xfId="0" applyFont="1"/>
    <xf numFmtId="0" fontId="0" fillId="0" borderId="0" xfId="0" applyAlignment="1">
      <alignment horizontal="center" vertical="top"/>
    </xf>
    <xf numFmtId="0" fontId="37" fillId="0" borderId="0" xfId="0" applyFont="1" applyAlignment="1">
      <alignment horizontal="center" wrapText="1"/>
    </xf>
    <xf numFmtId="0" fontId="38" fillId="0" borderId="0" xfId="0" applyFont="1" applyAlignment="1">
      <alignment horizontal="center" wrapText="1"/>
    </xf>
    <xf numFmtId="0" fontId="5" fillId="0" borderId="0" xfId="0" applyFont="1" applyAlignment="1">
      <alignment horizontal="center" vertical="top"/>
    </xf>
    <xf numFmtId="165" fontId="7" fillId="0" borderId="0" xfId="1" quotePrefix="1" applyNumberFormat="1" applyFont="1"/>
    <xf numFmtId="165" fontId="13" fillId="0" borderId="0" xfId="1" quotePrefix="1" applyNumberFormat="1" applyFont="1"/>
    <xf numFmtId="165" fontId="7" fillId="3" borderId="0" xfId="5" applyNumberFormat="1" applyFont="1" applyFill="1" applyBorder="1" applyAlignment="1">
      <alignment horizontal="center"/>
    </xf>
    <xf numFmtId="0" fontId="7" fillId="0" borderId="1" xfId="0" applyFont="1" applyBorder="1"/>
    <xf numFmtId="164" fontId="5" fillId="0" borderId="0" xfId="2" applyNumberFormat="1" applyFont="1" applyBorder="1" applyAlignment="1">
      <alignment horizontal="center"/>
    </xf>
    <xf numFmtId="0" fontId="11" fillId="0" borderId="0" xfId="0" applyFont="1" applyAlignment="1">
      <alignment horizontal="center"/>
    </xf>
    <xf numFmtId="3" fontId="11" fillId="4" borderId="0" xfId="0" applyNumberFormat="1" applyFont="1" applyFill="1" applyAlignment="1">
      <alignment vertical="center"/>
    </xf>
    <xf numFmtId="3" fontId="7" fillId="4" borderId="0" xfId="0" applyNumberFormat="1" applyFont="1" applyFill="1" applyAlignment="1">
      <alignment vertical="center"/>
    </xf>
    <xf numFmtId="43" fontId="7" fillId="0" borderId="5" xfId="1" applyFont="1" applyBorder="1" applyAlignment="1">
      <alignment horizontal="right"/>
    </xf>
    <xf numFmtId="37" fontId="27" fillId="0" borderId="0" xfId="0" applyNumberFormat="1" applyFont="1" applyAlignment="1">
      <alignment horizontal="center"/>
    </xf>
    <xf numFmtId="44" fontId="27" fillId="0" borderId="0" xfId="2" applyFont="1" applyBorder="1" applyAlignment="1">
      <alignment horizontal="right"/>
    </xf>
    <xf numFmtId="44" fontId="27" fillId="0" borderId="0" xfId="2" applyFont="1" applyAlignment="1">
      <alignment horizontal="center" wrapText="1"/>
    </xf>
    <xf numFmtId="44" fontId="27" fillId="0" borderId="7" xfId="2" applyFont="1" applyBorder="1" applyAlignment="1">
      <alignment horizontal="right"/>
    </xf>
    <xf numFmtId="165" fontId="27" fillId="0" borderId="0" xfId="5" applyNumberFormat="1" applyFont="1" applyBorder="1"/>
    <xf numFmtId="0" fontId="27" fillId="0" borderId="0" xfId="0" applyFont="1" applyAlignment="1">
      <alignment horizontal="right"/>
    </xf>
    <xf numFmtId="37" fontId="27" fillId="0" borderId="0" xfId="0" applyNumberFormat="1" applyFont="1" applyAlignment="1">
      <alignment horizontal="right"/>
    </xf>
    <xf numFmtId="44" fontId="27" fillId="0" borderId="0" xfId="2" applyFont="1" applyBorder="1"/>
    <xf numFmtId="37" fontId="27" fillId="0" borderId="0" xfId="0" applyNumberFormat="1" applyFont="1"/>
    <xf numFmtId="0" fontId="27" fillId="0" borderId="0" xfId="0" applyFont="1" applyAlignment="1">
      <alignment horizontal="center" wrapText="1"/>
    </xf>
    <xf numFmtId="44" fontId="27" fillId="0" borderId="0" xfId="2" applyFont="1" applyBorder="1" applyAlignment="1"/>
    <xf numFmtId="44" fontId="27" fillId="0" borderId="0" xfId="5" applyNumberFormat="1" applyFont="1" applyBorder="1"/>
    <xf numFmtId="165" fontId="41" fillId="0" borderId="0" xfId="5" applyNumberFormat="1" applyFont="1" applyBorder="1" applyAlignment="1">
      <alignment vertical="center"/>
    </xf>
    <xf numFmtId="44" fontId="27" fillId="0" borderId="0" xfId="2" applyFont="1" applyAlignment="1">
      <alignment horizontal="center"/>
    </xf>
    <xf numFmtId="44" fontId="40" fillId="0" borderId="0" xfId="2" applyFont="1" applyAlignment="1">
      <alignment horizontal="center" wrapText="1"/>
    </xf>
    <xf numFmtId="0" fontId="30" fillId="0" borderId="0" xfId="0" applyFont="1"/>
    <xf numFmtId="44" fontId="30" fillId="0" borderId="0" xfId="0" applyNumberFormat="1" applyFont="1"/>
    <xf numFmtId="165" fontId="7" fillId="0" borderId="0" xfId="1" applyNumberFormat="1" applyFont="1" applyAlignment="1">
      <alignment horizontal="left" vertical="top"/>
    </xf>
    <xf numFmtId="165" fontId="14" fillId="0" borderId="0" xfId="1" applyNumberFormat="1" applyFont="1" applyAlignment="1">
      <alignment horizontal="center" vertical="top"/>
    </xf>
    <xf numFmtId="165" fontId="20" fillId="0" borderId="0" xfId="1" applyNumberFormat="1" applyFont="1" applyAlignment="1">
      <alignment horizontal="left" vertical="top"/>
    </xf>
    <xf numFmtId="165" fontId="7" fillId="0" borderId="0" xfId="5" applyNumberFormat="1" applyFont="1" applyAlignment="1">
      <alignment horizontal="left" vertical="top"/>
    </xf>
    <xf numFmtId="165" fontId="14" fillId="0" borderId="0" xfId="1" quotePrefix="1" applyNumberFormat="1" applyFont="1" applyAlignment="1">
      <alignment horizontal="left" vertical="top"/>
    </xf>
    <xf numFmtId="165" fontId="10" fillId="0" borderId="0" xfId="1" applyNumberFormat="1" applyFont="1" applyAlignment="1">
      <alignment horizontal="left" vertical="top"/>
    </xf>
    <xf numFmtId="9" fontId="7" fillId="0" borderId="0" xfId="7" applyFont="1" applyAlignment="1">
      <alignment horizontal="left" vertical="top"/>
    </xf>
    <xf numFmtId="165" fontId="39" fillId="0" borderId="0" xfId="5" applyNumberFormat="1" applyFont="1" applyAlignment="1">
      <alignment horizontal="center" vertical="center"/>
    </xf>
    <xf numFmtId="165" fontId="39" fillId="0" borderId="8" xfId="5" applyNumberFormat="1" applyFont="1" applyBorder="1" applyAlignment="1">
      <alignment horizontal="center" vertical="center"/>
    </xf>
    <xf numFmtId="165" fontId="39" fillId="0" borderId="0" xfId="5" quotePrefix="1" applyNumberFormat="1" applyFont="1" applyBorder="1" applyAlignment="1">
      <alignment horizontal="center"/>
    </xf>
    <xf numFmtId="165" fontId="39" fillId="0" borderId="7" xfId="5" applyNumberFormat="1" applyFont="1" applyBorder="1" applyAlignment="1">
      <alignment horizontal="center"/>
    </xf>
    <xf numFmtId="165" fontId="39" fillId="0" borderId="0" xfId="5" applyNumberFormat="1" applyFont="1" applyAlignment="1">
      <alignment horizontal="center"/>
    </xf>
    <xf numFmtId="165" fontId="39" fillId="0" borderId="8" xfId="5" applyNumberFormat="1" applyFont="1" applyBorder="1" applyAlignment="1">
      <alignment horizontal="center"/>
    </xf>
    <xf numFmtId="165" fontId="39" fillId="0" borderId="7" xfId="5" quotePrefix="1" applyNumberFormat="1" applyFont="1" applyBorder="1" applyAlignment="1">
      <alignment horizontal="left"/>
    </xf>
    <xf numFmtId="165" fontId="39" fillId="0" borderId="0" xfId="5" quotePrefix="1" applyNumberFormat="1" applyFont="1" applyAlignment="1">
      <alignment horizontal="left"/>
    </xf>
    <xf numFmtId="165" fontId="39" fillId="0" borderId="8" xfId="5" quotePrefix="1" applyNumberFormat="1" applyFont="1" applyBorder="1" applyAlignment="1">
      <alignment horizontal="left"/>
    </xf>
    <xf numFmtId="165" fontId="42" fillId="0" borderId="7" xfId="5" quotePrefix="1" applyNumberFormat="1" applyFont="1" applyBorder="1" applyAlignment="1">
      <alignment horizontal="left"/>
    </xf>
    <xf numFmtId="165" fontId="42" fillId="0" borderId="5" xfId="5" applyNumberFormat="1" applyFont="1" applyBorder="1" applyAlignment="1">
      <alignment horizontal="right"/>
    </xf>
    <xf numFmtId="165" fontId="42" fillId="0" borderId="1" xfId="5" applyNumberFormat="1" applyFont="1" applyBorder="1" applyAlignment="1">
      <alignment horizontal="right"/>
    </xf>
    <xf numFmtId="165" fontId="42" fillId="0" borderId="6" xfId="5" applyNumberFormat="1" applyFont="1" applyBorder="1" applyAlignment="1">
      <alignment horizontal="right"/>
    </xf>
    <xf numFmtId="165" fontId="42" fillId="0" borderId="8" xfId="5" applyNumberFormat="1" applyFont="1" applyBorder="1" applyAlignment="1">
      <alignment horizontal="right"/>
    </xf>
    <xf numFmtId="43" fontId="7" fillId="4" borderId="0" xfId="0" applyNumberFormat="1" applyFont="1" applyFill="1" applyAlignment="1">
      <alignment horizontal="right"/>
    </xf>
    <xf numFmtId="0" fontId="7" fillId="4" borderId="0" xfId="0" applyFont="1" applyFill="1"/>
    <xf numFmtId="172" fontId="7" fillId="0" borderId="0" xfId="1" applyNumberFormat="1" applyFont="1" applyAlignment="1">
      <alignment horizontal="center" vertical="center"/>
    </xf>
    <xf numFmtId="44" fontId="7" fillId="0" borderId="0" xfId="2" applyFont="1" applyFill="1"/>
    <xf numFmtId="0" fontId="10" fillId="0" borderId="0" xfId="0" applyFont="1" applyAlignment="1">
      <alignment horizontal="center"/>
    </xf>
    <xf numFmtId="165" fontId="7" fillId="0" borderId="0" xfId="1" quotePrefix="1" applyNumberFormat="1" applyFont="1" applyAlignment="1">
      <alignment horizontal="center"/>
    </xf>
    <xf numFmtId="43" fontId="7" fillId="0" borderId="0" xfId="1" quotePrefix="1" applyFont="1" applyAlignment="1">
      <alignment horizontal="center"/>
    </xf>
    <xf numFmtId="165" fontId="13" fillId="0" borderId="0" xfId="1" quotePrefix="1" applyNumberFormat="1" applyFont="1" applyAlignment="1">
      <alignment horizontal="center"/>
    </xf>
    <xf numFmtId="165" fontId="7" fillId="0" borderId="0" xfId="1" applyNumberFormat="1" applyFont="1" applyFill="1"/>
    <xf numFmtId="165" fontId="7" fillId="0" borderId="1" xfId="1" applyNumberFormat="1" applyFont="1" applyFill="1" applyBorder="1"/>
    <xf numFmtId="165" fontId="7" fillId="0" borderId="0" xfId="5" applyNumberFormat="1" applyFont="1" applyFill="1" applyAlignment="1">
      <alignment horizontal="left" vertical="top"/>
    </xf>
    <xf numFmtId="44" fontId="7" fillId="0" borderId="0" xfId="2" applyFont="1" applyFill="1" applyBorder="1" applyAlignment="1">
      <alignment horizontal="center"/>
    </xf>
    <xf numFmtId="171" fontId="7" fillId="0" borderId="0" xfId="2" applyNumberFormat="1" applyFont="1" applyFill="1" applyBorder="1" applyAlignment="1"/>
    <xf numFmtId="0" fontId="5" fillId="0" borderId="0" xfId="0" applyFont="1" applyAlignment="1">
      <alignment wrapText="1"/>
    </xf>
    <xf numFmtId="44" fontId="7" fillId="0" borderId="0" xfId="2" applyFont="1" applyFill="1" applyAlignment="1">
      <alignment horizontal="center" wrapText="1"/>
    </xf>
    <xf numFmtId="44" fontId="10" fillId="0" borderId="0" xfId="2" applyFont="1" applyFill="1" applyAlignment="1">
      <alignment horizontal="center" wrapText="1"/>
    </xf>
    <xf numFmtId="37" fontId="7" fillId="0" borderId="1" xfId="0" applyNumberFormat="1" applyFont="1" applyBorder="1" applyAlignment="1">
      <alignment horizontal="center"/>
    </xf>
    <xf numFmtId="165" fontId="7" fillId="0" borderId="0" xfId="1" applyNumberFormat="1" applyFont="1" applyFill="1" applyAlignment="1">
      <alignment horizontal="left" vertical="top"/>
    </xf>
    <xf numFmtId="165" fontId="7" fillId="0" borderId="0" xfId="1" applyNumberFormat="1" applyFont="1" applyFill="1" applyAlignment="1">
      <alignment horizontal="center"/>
    </xf>
    <xf numFmtId="10" fontId="7" fillId="4" borderId="0" xfId="3" applyNumberFormat="1" applyFont="1" applyFill="1" applyBorder="1" applyAlignment="1"/>
    <xf numFmtId="43" fontId="7" fillId="4" borderId="0" xfId="1" applyFont="1" applyFill="1" applyBorder="1" applyAlignment="1"/>
    <xf numFmtId="0" fontId="0" fillId="4" borderId="0" xfId="0" applyFill="1" applyAlignment="1">
      <alignment vertical="top"/>
    </xf>
    <xf numFmtId="165" fontId="7" fillId="0" borderId="0" xfId="1" applyNumberFormat="1" applyFont="1" applyFill="1" applyAlignment="1">
      <alignment horizontal="center" vertical="center"/>
    </xf>
    <xf numFmtId="44" fontId="7" fillId="3" borderId="11" xfId="2" applyFont="1" applyFill="1" applyBorder="1" applyAlignment="1">
      <alignment horizontal="right"/>
    </xf>
    <xf numFmtId="0" fontId="7" fillId="0" borderId="13" xfId="0" applyFont="1" applyBorder="1"/>
    <xf numFmtId="43" fontId="7" fillId="4" borderId="0" xfId="0" applyNumberFormat="1" applyFont="1" applyFill="1"/>
    <xf numFmtId="0" fontId="12" fillId="0" borderId="0" xfId="0" applyFont="1"/>
    <xf numFmtId="166" fontId="7" fillId="0" borderId="0" xfId="3" applyNumberFormat="1" applyFont="1" applyFill="1" applyBorder="1" applyAlignment="1">
      <alignment horizontal="center"/>
    </xf>
    <xf numFmtId="9" fontId="7" fillId="0" borderId="0" xfId="0" applyNumberFormat="1" applyFont="1" applyAlignment="1">
      <alignment horizontal="center"/>
    </xf>
    <xf numFmtId="44" fontId="7" fillId="0" borderId="0" xfId="0" applyNumberFormat="1" applyFont="1" applyAlignment="1">
      <alignment horizontal="center"/>
    </xf>
    <xf numFmtId="44" fontId="2" fillId="0" borderId="0" xfId="2" applyFont="1" applyFill="1" applyBorder="1" applyAlignment="1">
      <alignment horizontal="center"/>
    </xf>
    <xf numFmtId="44" fontId="3" fillId="0" borderId="0" xfId="2" applyFont="1" applyFill="1" applyBorder="1" applyAlignment="1">
      <alignment horizontal="center"/>
    </xf>
    <xf numFmtId="44" fontId="10" fillId="0" borderId="0" xfId="2" applyFont="1" applyFill="1" applyBorder="1" applyAlignment="1">
      <alignment horizontal="center"/>
    </xf>
    <xf numFmtId="166" fontId="10" fillId="0" borderId="0" xfId="3" applyNumberFormat="1" applyFont="1" applyFill="1" applyBorder="1" applyAlignment="1">
      <alignment horizontal="center"/>
    </xf>
    <xf numFmtId="9" fontId="10" fillId="0" borderId="0" xfId="0" applyNumberFormat="1" applyFont="1" applyAlignment="1">
      <alignment horizontal="center"/>
    </xf>
    <xf numFmtId="44" fontId="10" fillId="0" borderId="0" xfId="0" applyNumberFormat="1" applyFont="1" applyAlignment="1">
      <alignment horizontal="center"/>
    </xf>
    <xf numFmtId="165" fontId="39" fillId="0" borderId="0" xfId="5" applyNumberFormat="1" applyFont="1" applyFill="1" applyAlignment="1">
      <alignment horizontal="center" vertical="center"/>
    </xf>
    <xf numFmtId="165" fontId="39" fillId="0" borderId="8" xfId="5" applyNumberFormat="1" applyFont="1" applyFill="1" applyBorder="1" applyAlignment="1">
      <alignment horizontal="center" vertical="center"/>
    </xf>
    <xf numFmtId="0" fontId="0" fillId="5" borderId="0" xfId="0" applyFill="1"/>
    <xf numFmtId="165" fontId="7" fillId="5" borderId="0" xfId="5" applyNumberFormat="1" applyFont="1" applyFill="1"/>
    <xf numFmtId="165" fontId="0" fillId="0" borderId="0" xfId="0" applyNumberFormat="1"/>
    <xf numFmtId="0" fontId="10" fillId="4" borderId="0" xfId="0" applyFont="1" applyFill="1" applyAlignment="1">
      <alignment horizontal="center"/>
    </xf>
    <xf numFmtId="43" fontId="10" fillId="4" borderId="0" xfId="1" applyFont="1" applyFill="1" applyAlignment="1">
      <alignment horizontal="center"/>
    </xf>
    <xf numFmtId="0" fontId="34" fillId="4" borderId="0" xfId="11" applyFont="1" applyFill="1"/>
    <xf numFmtId="9" fontId="7" fillId="4" borderId="0" xfId="3" applyFont="1" applyFill="1"/>
    <xf numFmtId="167" fontId="7" fillId="0" borderId="0" xfId="5" applyNumberFormat="1" applyFont="1" applyFill="1" applyBorder="1" applyAlignment="1">
      <alignment horizontal="center"/>
    </xf>
    <xf numFmtId="167" fontId="7" fillId="0" borderId="0" xfId="5" quotePrefix="1" applyNumberFormat="1" applyFont="1" applyFill="1" applyBorder="1" applyAlignment="1">
      <alignment horizontal="center"/>
    </xf>
    <xf numFmtId="0" fontId="10" fillId="0" borderId="0" xfId="0" applyFont="1"/>
    <xf numFmtId="37" fontId="7" fillId="0" borderId="0" xfId="5" applyNumberFormat="1" applyFont="1" applyBorder="1" applyAlignment="1">
      <alignment horizontal="right"/>
    </xf>
    <xf numFmtId="0" fontId="35" fillId="0" borderId="0" xfId="0" applyFont="1"/>
    <xf numFmtId="44" fontId="35" fillId="0" borderId="0" xfId="2" applyFont="1" applyFill="1"/>
    <xf numFmtId="44" fontId="35" fillId="0" borderId="1" xfId="2" applyFont="1" applyFill="1" applyBorder="1"/>
    <xf numFmtId="43" fontId="5" fillId="0" borderId="0" xfId="1" applyFont="1" applyFill="1"/>
    <xf numFmtId="43" fontId="7" fillId="0" borderId="1" xfId="1" applyFont="1" applyFill="1" applyBorder="1"/>
    <xf numFmtId="0" fontId="39" fillId="0" borderId="0" xfId="0" applyFont="1" applyAlignment="1">
      <alignment horizontal="left" vertical="top"/>
    </xf>
    <xf numFmtId="165" fontId="7" fillId="0" borderId="0" xfId="1" quotePrefix="1" applyNumberFormat="1" applyFont="1" applyAlignment="1">
      <alignment vertical="center"/>
    </xf>
    <xf numFmtId="9" fontId="4" fillId="0" borderId="0" xfId="3" applyFont="1" applyFill="1" applyBorder="1" applyAlignment="1">
      <alignment horizontal="right"/>
    </xf>
    <xf numFmtId="0" fontId="0" fillId="0" borderId="0" xfId="0" applyAlignment="1">
      <alignment wrapText="1"/>
    </xf>
    <xf numFmtId="165" fontId="16" fillId="0" borderId="0" xfId="1" applyNumberFormat="1" applyFont="1" applyFill="1" applyAlignment="1">
      <alignment horizontal="left"/>
    </xf>
    <xf numFmtId="43" fontId="7" fillId="0" borderId="0" xfId="1" applyFont="1" applyAlignment="1">
      <alignment horizontal="center" wrapText="1"/>
    </xf>
    <xf numFmtId="43" fontId="10" fillId="0" borderId="0" xfId="1" applyFont="1" applyAlignment="1">
      <alignment horizontal="center" wrapText="1"/>
    </xf>
    <xf numFmtId="9" fontId="7" fillId="0" borderId="0" xfId="3" applyFont="1" applyFill="1" applyAlignment="1">
      <alignment horizontal="right"/>
    </xf>
    <xf numFmtId="165" fontId="7" fillId="0" borderId="0" xfId="1" applyNumberFormat="1" applyFont="1" applyFill="1" applyBorder="1" applyAlignment="1">
      <alignment horizontal="center" vertical="center"/>
    </xf>
    <xf numFmtId="165" fontId="41" fillId="6" borderId="0" xfId="1" applyNumberFormat="1" applyFont="1" applyFill="1" applyAlignment="1">
      <alignment vertical="center"/>
    </xf>
    <xf numFmtId="0" fontId="0" fillId="6" borderId="0" xfId="0" applyFill="1" applyAlignment="1">
      <alignment vertical="top"/>
    </xf>
    <xf numFmtId="0" fontId="5" fillId="6" borderId="0" xfId="0" applyFont="1" applyFill="1" applyAlignment="1">
      <alignment vertical="top"/>
    </xf>
    <xf numFmtId="44" fontId="5" fillId="6" borderId="0" xfId="2" applyFont="1" applyFill="1" applyAlignment="1">
      <alignment vertical="top"/>
    </xf>
    <xf numFmtId="44" fontId="0" fillId="6" borderId="0" xfId="0" applyNumberFormat="1" applyFill="1" applyAlignment="1">
      <alignment vertical="top"/>
    </xf>
    <xf numFmtId="173" fontId="0" fillId="6" borderId="0" xfId="0" applyNumberFormat="1" applyFill="1" applyAlignment="1">
      <alignment vertical="top"/>
    </xf>
    <xf numFmtId="174" fontId="7" fillId="0" borderId="0" xfId="0" applyNumberFormat="1" applyFont="1"/>
    <xf numFmtId="164" fontId="5" fillId="0" borderId="0" xfId="2" applyNumberFormat="1" applyFont="1" applyFill="1" applyBorder="1" applyAlignment="1"/>
    <xf numFmtId="165" fontId="7" fillId="0" borderId="0" xfId="1" applyNumberFormat="1" applyFont="1" applyAlignment="1">
      <alignment horizontal="right"/>
    </xf>
    <xf numFmtId="43" fontId="13" fillId="0" borderId="0" xfId="1" applyFont="1"/>
    <xf numFmtId="165" fontId="27" fillId="0" borderId="0" xfId="5" applyNumberFormat="1" applyFont="1" applyFill="1" applyBorder="1"/>
    <xf numFmtId="43" fontId="27" fillId="0" borderId="8" xfId="5" quotePrefix="1" applyFont="1" applyFill="1" applyBorder="1"/>
    <xf numFmtId="43" fontId="27" fillId="0" borderId="0" xfId="5" quotePrefix="1" applyFont="1" applyFill="1" applyBorder="1"/>
    <xf numFmtId="43" fontId="27" fillId="0" borderId="0" xfId="5" applyFont="1" applyFill="1" applyBorder="1"/>
    <xf numFmtId="10" fontId="27" fillId="0" borderId="0" xfId="7" applyNumberFormat="1" applyFont="1" applyFill="1" applyBorder="1"/>
    <xf numFmtId="165" fontId="44" fillId="0" borderId="0" xfId="5" applyNumberFormat="1" applyFont="1" applyFill="1" applyBorder="1" applyAlignment="1">
      <alignment horizontal="center"/>
    </xf>
    <xf numFmtId="44" fontId="44" fillId="0" borderId="8" xfId="5" applyNumberFormat="1" applyFont="1" applyFill="1" applyBorder="1" applyAlignment="1">
      <alignment horizontal="center"/>
    </xf>
    <xf numFmtId="44" fontId="44" fillId="0" borderId="0" xfId="5" applyNumberFormat="1" applyFont="1" applyFill="1" applyBorder="1" applyAlignment="1">
      <alignment horizontal="center"/>
    </xf>
    <xf numFmtId="44" fontId="27" fillId="0" borderId="8" xfId="6" applyFont="1" applyFill="1" applyBorder="1"/>
    <xf numFmtId="44" fontId="27" fillId="0" borderId="0" xfId="6" applyFont="1" applyFill="1" applyBorder="1"/>
    <xf numFmtId="44" fontId="27" fillId="0" borderId="0" xfId="5" quotePrefix="1" applyNumberFormat="1" applyFont="1" applyFill="1" applyBorder="1"/>
    <xf numFmtId="165" fontId="44" fillId="0" borderId="0" xfId="5" applyNumberFormat="1" applyFont="1" applyFill="1" applyBorder="1"/>
    <xf numFmtId="43" fontId="27" fillId="0" borderId="0" xfId="5" quotePrefix="1" applyFont="1" applyFill="1" applyBorder="1" applyAlignment="1">
      <alignment horizontal="center"/>
    </xf>
    <xf numFmtId="44" fontId="27" fillId="0" borderId="0" xfId="0" applyNumberFormat="1" applyFont="1"/>
    <xf numFmtId="175" fontId="7" fillId="0" borderId="0" xfId="1" applyNumberFormat="1" applyFont="1" applyAlignment="1">
      <alignment vertical="center"/>
    </xf>
    <xf numFmtId="43" fontId="7" fillId="2" borderId="7" xfId="1" applyFont="1" applyFill="1" applyBorder="1"/>
    <xf numFmtId="0" fontId="27" fillId="0" borderId="3" xfId="0" applyFont="1" applyBorder="1" applyAlignment="1">
      <alignment horizontal="center"/>
    </xf>
    <xf numFmtId="165" fontId="44" fillId="0" borderId="2" xfId="5" applyNumberFormat="1" applyFont="1" applyFill="1" applyBorder="1" applyAlignment="1">
      <alignment horizontal="center"/>
    </xf>
    <xf numFmtId="44" fontId="44" fillId="0" borderId="4" xfId="5" applyNumberFormat="1" applyFont="1" applyFill="1" applyBorder="1" applyAlignment="1">
      <alignment horizontal="center"/>
    </xf>
    <xf numFmtId="165" fontId="44" fillId="0" borderId="2" xfId="5" applyNumberFormat="1" applyFont="1" applyFill="1" applyBorder="1"/>
    <xf numFmtId="165" fontId="44" fillId="0" borderId="4" xfId="5" applyNumberFormat="1" applyFont="1" applyFill="1" applyBorder="1" applyAlignment="1">
      <alignment horizontal="center"/>
    </xf>
    <xf numFmtId="0" fontId="40" fillId="0" borderId="7" xfId="0" applyFont="1" applyBorder="1" applyAlignment="1">
      <alignment horizontal="center"/>
    </xf>
    <xf numFmtId="165" fontId="44" fillId="0" borderId="8" xfId="5" applyNumberFormat="1" applyFont="1" applyFill="1" applyBorder="1" applyAlignment="1">
      <alignment horizontal="center"/>
    </xf>
    <xf numFmtId="0" fontId="27" fillId="0" borderId="7" xfId="0" applyFont="1" applyBorder="1"/>
    <xf numFmtId="0" fontId="27" fillId="0" borderId="8" xfId="0" applyFont="1" applyBorder="1"/>
    <xf numFmtId="43" fontId="27" fillId="0" borderId="7" xfId="5" quotePrefix="1" applyFont="1" applyFill="1" applyBorder="1" applyAlignment="1">
      <alignment horizontal="center"/>
    </xf>
    <xf numFmtId="43" fontId="27" fillId="0" borderId="1" xfId="5" applyFont="1" applyFill="1" applyBorder="1"/>
    <xf numFmtId="165" fontId="7" fillId="0" borderId="2" xfId="1" applyNumberFormat="1" applyFont="1" applyBorder="1"/>
    <xf numFmtId="9" fontId="27" fillId="0" borderId="8" xfId="7" applyFont="1" applyFill="1" applyBorder="1"/>
    <xf numFmtId="9" fontId="27" fillId="0" borderId="6" xfId="7" applyFont="1" applyFill="1" applyBorder="1"/>
    <xf numFmtId="0" fontId="27" fillId="0" borderId="7" xfId="0" applyFont="1" applyBorder="1" applyAlignment="1">
      <alignment horizontal="center"/>
    </xf>
    <xf numFmtId="165" fontId="27" fillId="0" borderId="0" xfId="1" applyNumberFormat="1" applyFont="1" applyBorder="1"/>
    <xf numFmtId="43" fontId="27" fillId="0" borderId="8" xfId="1" applyFont="1" applyBorder="1"/>
    <xf numFmtId="43" fontId="27" fillId="0" borderId="0" xfId="1" applyFont="1" applyBorder="1"/>
    <xf numFmtId="0" fontId="27" fillId="0" borderId="5" xfId="0" applyFont="1" applyBorder="1" applyAlignment="1">
      <alignment horizontal="center"/>
    </xf>
    <xf numFmtId="165" fontId="27" fillId="0" borderId="1" xfId="1" applyNumberFormat="1" applyFont="1" applyBorder="1"/>
    <xf numFmtId="43" fontId="27" fillId="0" borderId="6" xfId="1" applyFont="1" applyBorder="1"/>
    <xf numFmtId="43" fontId="27" fillId="0" borderId="1" xfId="1" applyFont="1" applyBorder="1"/>
    <xf numFmtId="0" fontId="24" fillId="0" borderId="0" xfId="0" applyFont="1" applyAlignment="1">
      <alignment horizontal="center"/>
    </xf>
    <xf numFmtId="9" fontId="7" fillId="0" borderId="0" xfId="3" applyFont="1" applyBorder="1" applyAlignment="1">
      <alignment horizontal="center"/>
    </xf>
    <xf numFmtId="0" fontId="40" fillId="0" borderId="0" xfId="0" applyFont="1" applyAlignment="1">
      <alignment horizontal="center"/>
    </xf>
    <xf numFmtId="43" fontId="7" fillId="0" borderId="0" xfId="1" quotePrefix="1" applyFont="1" applyBorder="1" applyAlignment="1">
      <alignment horizontal="center"/>
    </xf>
    <xf numFmtId="166" fontId="7" fillId="0" borderId="0" xfId="3" applyNumberFormat="1" applyFont="1" applyBorder="1"/>
    <xf numFmtId="43" fontId="7" fillId="2" borderId="0" xfId="1" quotePrefix="1" applyFont="1" applyFill="1" applyBorder="1" applyAlignment="1">
      <alignment horizontal="center"/>
    </xf>
    <xf numFmtId="166" fontId="7" fillId="2" borderId="0" xfId="3" applyNumberFormat="1" applyFont="1" applyFill="1" applyBorder="1"/>
    <xf numFmtId="165" fontId="7" fillId="0" borderId="0" xfId="5" quotePrefix="1" applyNumberFormat="1" applyFont="1" applyBorder="1"/>
    <xf numFmtId="9" fontId="7" fillId="0" borderId="0" xfId="3" applyFont="1" applyBorder="1"/>
    <xf numFmtId="9" fontId="7" fillId="2" borderId="0" xfId="3" applyFont="1" applyFill="1" applyBorder="1"/>
    <xf numFmtId="165" fontId="8" fillId="0" borderId="0" xfId="5" applyNumberFormat="1" applyFont="1" applyAlignment="1">
      <alignment horizontal="center" vertical="center"/>
    </xf>
    <xf numFmtId="165" fontId="8" fillId="0" borderId="0" xfId="1" applyNumberFormat="1" applyFont="1" applyAlignment="1">
      <alignment horizontal="center" vertical="center"/>
    </xf>
    <xf numFmtId="0" fontId="5" fillId="0" borderId="0" xfId="0" applyFont="1" applyAlignment="1">
      <alignment horizontal="center"/>
    </xf>
    <xf numFmtId="0" fontId="0" fillId="0" borderId="0" xfId="0"/>
    <xf numFmtId="0" fontId="7" fillId="0" borderId="0" xfId="0" applyFont="1" applyAlignment="1">
      <alignment horizontal="center"/>
    </xf>
    <xf numFmtId="165" fontId="14" fillId="0" borderId="7" xfId="5" applyNumberFormat="1" applyFont="1" applyBorder="1" applyAlignment="1">
      <alignment horizontal="center" vertical="center"/>
    </xf>
    <xf numFmtId="165" fontId="14" fillId="0" borderId="8" xfId="5" applyNumberFormat="1" applyFont="1" applyBorder="1" applyAlignment="1">
      <alignment horizontal="center" vertical="center"/>
    </xf>
    <xf numFmtId="3" fontId="8" fillId="0" borderId="0" xfId="0" applyNumberFormat="1" applyFont="1" applyAlignment="1">
      <alignment horizontal="center"/>
    </xf>
    <xf numFmtId="3" fontId="9" fillId="0" borderId="0" xfId="0" applyNumberFormat="1" applyFont="1" applyAlignment="1">
      <alignment horizontal="center"/>
    </xf>
    <xf numFmtId="3" fontId="15" fillId="0" borderId="0" xfId="0" applyNumberFormat="1" applyFont="1" applyAlignment="1">
      <alignment horizontal="center" vertical="center"/>
    </xf>
    <xf numFmtId="167" fontId="12" fillId="0" borderId="0" xfId="5" applyNumberFormat="1" applyFont="1" applyBorder="1" applyAlignment="1">
      <alignment horizontal="center"/>
    </xf>
    <xf numFmtId="43" fontId="8" fillId="0" borderId="3" xfId="1" applyFont="1" applyBorder="1" applyAlignment="1">
      <alignment horizontal="center"/>
    </xf>
    <xf numFmtId="43" fontId="8" fillId="0" borderId="2" xfId="1" applyFont="1" applyBorder="1" applyAlignment="1">
      <alignment horizontal="center"/>
    </xf>
    <xf numFmtId="43" fontId="8" fillId="0" borderId="4" xfId="1" applyFont="1" applyBorder="1" applyAlignment="1">
      <alignment horizontal="center"/>
    </xf>
    <xf numFmtId="3" fontId="25" fillId="0" borderId="3" xfId="0" applyNumberFormat="1" applyFont="1" applyBorder="1" applyAlignment="1">
      <alignment horizontal="center"/>
    </xf>
    <xf numFmtId="3" fontId="25" fillId="0" borderId="2" xfId="0" applyNumberFormat="1" applyFont="1" applyBorder="1" applyAlignment="1">
      <alignment horizontal="center"/>
    </xf>
    <xf numFmtId="3" fontId="25" fillId="0" borderId="4" xfId="0" applyNumberFormat="1" applyFont="1" applyBorder="1" applyAlignment="1">
      <alignment horizontal="center"/>
    </xf>
    <xf numFmtId="3" fontId="8" fillId="0" borderId="7" xfId="0" applyNumberFormat="1" applyFont="1" applyBorder="1" applyAlignment="1">
      <alignment horizontal="center" vertical="center"/>
    </xf>
    <xf numFmtId="3" fontId="8" fillId="0" borderId="0" xfId="0" applyNumberFormat="1" applyFont="1" applyAlignment="1">
      <alignment horizontal="center" vertical="center"/>
    </xf>
    <xf numFmtId="3" fontId="8" fillId="0" borderId="8" xfId="0" applyNumberFormat="1" applyFont="1" applyBorder="1" applyAlignment="1">
      <alignment horizontal="center" vertical="center"/>
    </xf>
    <xf numFmtId="43" fontId="13" fillId="0" borderId="7" xfId="1" applyFont="1" applyBorder="1" applyAlignment="1">
      <alignment horizontal="right"/>
    </xf>
    <xf numFmtId="43" fontId="13" fillId="0" borderId="0" xfId="1" applyFont="1" applyBorder="1" applyAlignment="1">
      <alignment horizontal="right"/>
    </xf>
    <xf numFmtId="43" fontId="13" fillId="0" borderId="0" xfId="1" applyFont="1" applyBorder="1" applyAlignment="1">
      <alignment horizontal="center"/>
    </xf>
    <xf numFmtId="44" fontId="28" fillId="0" borderId="3" xfId="2" applyFont="1" applyBorder="1" applyAlignment="1">
      <alignment horizontal="center"/>
    </xf>
    <xf numFmtId="44" fontId="28" fillId="0" borderId="2" xfId="2" applyFont="1" applyBorder="1" applyAlignment="1">
      <alignment horizontal="center"/>
    </xf>
    <xf numFmtId="44" fontId="28" fillId="0" borderId="4" xfId="2" applyFont="1" applyBorder="1" applyAlignment="1">
      <alignment horizontal="center"/>
    </xf>
    <xf numFmtId="43" fontId="8" fillId="0" borderId="7" xfId="1" applyFont="1" applyBorder="1" applyAlignment="1">
      <alignment horizontal="center"/>
    </xf>
    <xf numFmtId="43" fontId="8" fillId="0" borderId="0" xfId="1" applyFont="1" applyBorder="1" applyAlignment="1">
      <alignment horizontal="center"/>
    </xf>
    <xf numFmtId="43" fontId="8" fillId="0" borderId="8" xfId="1" applyFont="1" applyBorder="1" applyAlignment="1">
      <alignment horizontal="center"/>
    </xf>
    <xf numFmtId="12" fontId="7" fillId="0" borderId="7" xfId="2" applyNumberFormat="1" applyFont="1" applyBorder="1" applyAlignment="1">
      <alignment horizontal="right"/>
    </xf>
    <xf numFmtId="44" fontId="7" fillId="0" borderId="0" xfId="2" applyFont="1" applyBorder="1" applyAlignment="1">
      <alignment horizontal="right"/>
    </xf>
    <xf numFmtId="3" fontId="25" fillId="0" borderId="0" xfId="0" applyNumberFormat="1" applyFont="1" applyAlignment="1">
      <alignment horizontal="center"/>
    </xf>
    <xf numFmtId="44" fontId="28" fillId="0" borderId="0" xfId="2" applyFont="1" applyBorder="1" applyAlignment="1">
      <alignment horizontal="center"/>
    </xf>
    <xf numFmtId="12" fontId="7" fillId="0" borderId="0" xfId="2" applyNumberFormat="1" applyFont="1" applyBorder="1" applyAlignment="1">
      <alignment horizontal="right"/>
    </xf>
    <xf numFmtId="165" fontId="45" fillId="0" borderId="0" xfId="5" applyNumberFormat="1" applyFont="1" applyFill="1" applyBorder="1" applyAlignment="1">
      <alignment horizontal="center"/>
    </xf>
    <xf numFmtId="0" fontId="27" fillId="0" borderId="0" xfId="0" applyFont="1" applyAlignment="1">
      <alignment horizontal="center"/>
    </xf>
    <xf numFmtId="165" fontId="8" fillId="0" borderId="3" xfId="1" applyNumberFormat="1" applyFont="1" applyBorder="1" applyAlignment="1">
      <alignment horizontal="center"/>
    </xf>
    <xf numFmtId="165" fontId="8" fillId="0" borderId="2" xfId="1" applyNumberFormat="1" applyFont="1" applyBorder="1" applyAlignment="1">
      <alignment horizontal="center"/>
    </xf>
    <xf numFmtId="165" fontId="8" fillId="0" borderId="4" xfId="1" applyNumberFormat="1" applyFont="1" applyBorder="1" applyAlignment="1">
      <alignment horizontal="center"/>
    </xf>
    <xf numFmtId="0" fontId="9" fillId="0" borderId="7" xfId="0" applyFont="1" applyBorder="1" applyAlignment="1">
      <alignment horizontal="center"/>
    </xf>
    <xf numFmtId="0" fontId="9" fillId="0" borderId="0" xfId="0" applyFont="1" applyAlignment="1">
      <alignment horizontal="center"/>
    </xf>
    <xf numFmtId="0" fontId="9" fillId="0" borderId="8" xfId="0" applyFont="1" applyBorder="1" applyAlignment="1">
      <alignment horizontal="center"/>
    </xf>
    <xf numFmtId="3" fontId="15" fillId="0" borderId="7" xfId="0" applyNumberFormat="1" applyFont="1" applyBorder="1" applyAlignment="1">
      <alignment horizontal="center" vertical="center"/>
    </xf>
    <xf numFmtId="3" fontId="15" fillId="0" borderId="8" xfId="0" applyNumberFormat="1" applyFont="1" applyBorder="1" applyAlignment="1">
      <alignment horizontal="center" vertical="center"/>
    </xf>
    <xf numFmtId="165" fontId="8" fillId="0" borderId="0" xfId="1" applyNumberFormat="1" applyFont="1" applyBorder="1" applyAlignment="1">
      <alignment horizontal="center"/>
    </xf>
    <xf numFmtId="0" fontId="27" fillId="0" borderId="8" xfId="0" applyFont="1" applyBorder="1" applyAlignment="1">
      <alignment horizontal="center"/>
    </xf>
    <xf numFmtId="0" fontId="24" fillId="0" borderId="0" xfId="0" applyFont="1" applyAlignment="1">
      <alignment horizontal="center"/>
    </xf>
    <xf numFmtId="43" fontId="31" fillId="0" borderId="7" xfId="1" applyFont="1" applyBorder="1" applyAlignment="1">
      <alignment horizontal="right"/>
    </xf>
    <xf numFmtId="43" fontId="31" fillId="0" borderId="0" xfId="1" applyFont="1" applyBorder="1" applyAlignment="1">
      <alignment horizontal="right"/>
    </xf>
    <xf numFmtId="165" fontId="30" fillId="0" borderId="0" xfId="5" applyNumberFormat="1" applyFont="1" applyBorder="1" applyAlignment="1">
      <alignment horizontal="center" vertical="center"/>
    </xf>
    <xf numFmtId="12" fontId="27" fillId="0" borderId="7" xfId="2" applyNumberFormat="1" applyFont="1" applyBorder="1" applyAlignment="1">
      <alignment horizontal="right"/>
    </xf>
    <xf numFmtId="44" fontId="27" fillId="0" borderId="0" xfId="2" applyFont="1" applyBorder="1" applyAlignment="1">
      <alignment horizontal="right"/>
    </xf>
  </cellXfs>
  <cellStyles count="13">
    <cellStyle name="Comma" xfId="1" builtinId="3"/>
    <cellStyle name="Comma 2" xfId="5" xr:uid="{00000000-0005-0000-0000-000001000000}"/>
    <cellStyle name="Comma 3" xfId="9" xr:uid="{00000000-0005-0000-0000-000002000000}"/>
    <cellStyle name="Currency" xfId="2" builtinId="4"/>
    <cellStyle name="Currency 2" xfId="6" xr:uid="{00000000-0005-0000-0000-000004000000}"/>
    <cellStyle name="Currency 3" xfId="10" xr:uid="{00000000-0005-0000-0000-000005000000}"/>
    <cellStyle name="Currency 4" xfId="12" xr:uid="{60F301AA-724E-4CB8-B7D7-7B302D0AAEB0}"/>
    <cellStyle name="Normal" xfId="0" builtinId="0"/>
    <cellStyle name="Normal 2" xfId="4" xr:uid="{00000000-0005-0000-0000-000007000000}"/>
    <cellStyle name="Normal 3" xfId="8" xr:uid="{00000000-0005-0000-0000-000008000000}"/>
    <cellStyle name="Normal 4" xfId="11" xr:uid="{B53D3745-9CF0-4DFE-8CE8-9C3DE82BD12F}"/>
    <cellStyle name="Percent" xfId="3" builtinId="5"/>
    <cellStyle name="Percent 2" xfId="7" xr:uid="{00000000-0005-0000-0000-00000A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N94"/>
  <sheetViews>
    <sheetView showGridLines="0" tabSelected="1" zoomScale="120" zoomScaleNormal="120" workbookViewId="0">
      <selection sqref="A1:G1"/>
    </sheetView>
  </sheetViews>
  <sheetFormatPr defaultColWidth="8.765625" defaultRowHeight="14.5" x14ac:dyDescent="0.35"/>
  <cols>
    <col min="1" max="1" width="3.69140625" style="7" customWidth="1"/>
    <col min="2" max="2" width="2.69140625" style="7" customWidth="1"/>
    <col min="3" max="3" width="29.4609375" style="7" customWidth="1"/>
    <col min="4" max="4" width="11.3046875" style="7" customWidth="1"/>
    <col min="5" max="5" width="11.53515625" style="7" customWidth="1"/>
    <col min="6" max="6" width="5.3046875" style="7" customWidth="1"/>
    <col min="7" max="7" width="11.53515625" style="7" customWidth="1"/>
    <col min="8" max="8" width="3.53515625" style="7" customWidth="1"/>
    <col min="9" max="9" width="46.921875" style="322" bestFit="1" customWidth="1"/>
    <col min="10" max="11" width="11.3046875" style="7" customWidth="1"/>
    <col min="12" max="12" width="10.84375" style="7" customWidth="1"/>
    <col min="13" max="16384" width="8.765625" style="7"/>
  </cols>
  <sheetData>
    <row r="1" spans="1:12" ht="18.5" x14ac:dyDescent="0.35">
      <c r="A1" s="465" t="s">
        <v>30</v>
      </c>
      <c r="B1" s="465"/>
      <c r="C1" s="465"/>
      <c r="D1" s="465"/>
      <c r="E1" s="465"/>
      <c r="F1" s="465"/>
      <c r="G1" s="465"/>
      <c r="H1" s="55"/>
      <c r="J1" s="55"/>
      <c r="K1" s="55"/>
    </row>
    <row r="2" spans="1:12" ht="15.5" x14ac:dyDescent="0.35">
      <c r="A2" s="56" t="s">
        <v>208</v>
      </c>
      <c r="B2" s="54"/>
      <c r="C2" s="54"/>
      <c r="D2" s="54"/>
      <c r="E2" s="54"/>
      <c r="F2" s="54"/>
      <c r="G2" s="54"/>
      <c r="H2" s="55"/>
      <c r="J2" s="55"/>
      <c r="K2" s="55"/>
      <c r="L2" s="55"/>
    </row>
    <row r="3" spans="1:12" x14ac:dyDescent="0.35">
      <c r="A3" s="48"/>
      <c r="B3" s="54"/>
      <c r="C3" s="54"/>
      <c r="D3" s="345">
        <v>2023</v>
      </c>
      <c r="E3" s="54"/>
      <c r="F3" s="54"/>
      <c r="G3" s="54"/>
      <c r="H3" s="55"/>
      <c r="J3" s="55"/>
      <c r="K3" s="55"/>
    </row>
    <row r="4" spans="1:12" ht="16" x14ac:dyDescent="0.35">
      <c r="A4" s="55"/>
      <c r="B4" s="55"/>
      <c r="C4" s="55"/>
      <c r="D4" s="57" t="s">
        <v>31</v>
      </c>
      <c r="E4" s="57" t="s">
        <v>32</v>
      </c>
      <c r="F4" s="57" t="s">
        <v>33</v>
      </c>
      <c r="G4" s="57" t="s">
        <v>34</v>
      </c>
      <c r="H4" s="55"/>
      <c r="I4" s="323" t="s">
        <v>40</v>
      </c>
      <c r="J4" s="55"/>
      <c r="K4" s="55"/>
    </row>
    <row r="5" spans="1:12" x14ac:dyDescent="0.35">
      <c r="A5" s="58" t="s">
        <v>14</v>
      </c>
      <c r="B5" s="55"/>
      <c r="C5" s="55"/>
      <c r="D5" s="55"/>
      <c r="F5" s="55"/>
      <c r="G5" s="55"/>
      <c r="H5" s="55"/>
      <c r="J5" s="55"/>
      <c r="K5" s="55"/>
    </row>
    <row r="6" spans="1:12" x14ac:dyDescent="0.35">
      <c r="A6" s="55"/>
      <c r="B6" s="55" t="s">
        <v>332</v>
      </c>
      <c r="C6" s="55"/>
      <c r="D6" s="55">
        <v>1614963</v>
      </c>
      <c r="E6" s="398"/>
      <c r="F6" s="365"/>
      <c r="G6" s="55">
        <f>D6+E6</f>
        <v>1614963</v>
      </c>
      <c r="H6" s="59"/>
      <c r="J6" s="55"/>
      <c r="K6" s="55"/>
    </row>
    <row r="7" spans="1:12" x14ac:dyDescent="0.35">
      <c r="A7" s="55"/>
      <c r="B7" s="55" t="s">
        <v>333</v>
      </c>
      <c r="C7" s="55"/>
      <c r="D7" s="55">
        <v>311634</v>
      </c>
      <c r="E7" s="55"/>
      <c r="F7" s="365"/>
      <c r="G7" s="55">
        <f>D7+E7</f>
        <v>311634</v>
      </c>
      <c r="H7" s="60"/>
      <c r="I7" s="324"/>
      <c r="J7" s="55"/>
      <c r="K7" s="55"/>
    </row>
    <row r="8" spans="1:12" x14ac:dyDescent="0.35">
      <c r="A8" s="55"/>
      <c r="B8" s="55" t="s">
        <v>334</v>
      </c>
      <c r="C8" s="55"/>
      <c r="D8" s="55">
        <v>2892</v>
      </c>
      <c r="E8" s="55"/>
      <c r="F8" s="365"/>
      <c r="G8" s="55">
        <f>D8+E8</f>
        <v>2892</v>
      </c>
      <c r="H8" s="60"/>
      <c r="I8" s="324"/>
      <c r="J8" s="55"/>
      <c r="K8" s="55"/>
    </row>
    <row r="9" spans="1:12" x14ac:dyDescent="0.35">
      <c r="A9" s="55"/>
      <c r="B9" s="55" t="s">
        <v>15</v>
      </c>
      <c r="C9" s="55"/>
      <c r="D9" s="55">
        <v>60318</v>
      </c>
      <c r="E9" s="55"/>
      <c r="F9" s="365"/>
      <c r="G9" s="55">
        <f>D9+E9</f>
        <v>60318</v>
      </c>
      <c r="H9" s="59"/>
      <c r="J9" s="55"/>
    </row>
    <row r="10" spans="1:12" x14ac:dyDescent="0.35">
      <c r="A10" s="55"/>
      <c r="B10" s="55"/>
      <c r="C10" s="55"/>
      <c r="D10" s="55"/>
      <c r="E10" s="398">
        <f>ExBA!F11</f>
        <v>394780.93969999999</v>
      </c>
      <c r="F10" s="365" t="s">
        <v>258</v>
      </c>
      <c r="G10" s="55">
        <f>E10</f>
        <v>394780.93969999999</v>
      </c>
      <c r="H10" s="59"/>
      <c r="I10" s="322" t="s">
        <v>353</v>
      </c>
      <c r="J10" s="55"/>
      <c r="L10" s="7" t="s">
        <v>383</v>
      </c>
    </row>
    <row r="11" spans="1:12" x14ac:dyDescent="0.35">
      <c r="A11" s="55"/>
      <c r="B11" s="55" t="s">
        <v>16</v>
      </c>
      <c r="C11" s="55"/>
      <c r="D11" s="55"/>
      <c r="E11" s="55"/>
      <c r="F11" s="365"/>
      <c r="G11" s="55"/>
      <c r="H11" s="61"/>
      <c r="J11" s="55"/>
      <c r="K11" s="55"/>
    </row>
    <row r="12" spans="1:12" x14ac:dyDescent="0.35">
      <c r="A12" s="55"/>
      <c r="B12" s="55"/>
      <c r="C12" s="55" t="s">
        <v>41</v>
      </c>
      <c r="D12" s="55">
        <v>23106</v>
      </c>
      <c r="E12" s="160"/>
      <c r="F12" s="365"/>
      <c r="G12" s="55">
        <f>D12+E12</f>
        <v>23106</v>
      </c>
      <c r="H12" s="59"/>
      <c r="J12" s="55"/>
      <c r="K12" s="55"/>
    </row>
    <row r="13" spans="1:12" x14ac:dyDescent="0.35">
      <c r="A13" s="55"/>
      <c r="C13" s="55" t="s">
        <v>17</v>
      </c>
      <c r="D13" s="55">
        <v>22639</v>
      </c>
      <c r="E13" s="160">
        <f>-(D13-D93)</f>
        <v>-14419.22</v>
      </c>
      <c r="F13" s="365" t="s">
        <v>299</v>
      </c>
      <c r="G13" s="55">
        <f>D13+E13</f>
        <v>8219.7800000000007</v>
      </c>
      <c r="H13" s="59"/>
      <c r="I13" s="322" t="s">
        <v>440</v>
      </c>
      <c r="J13" s="55"/>
      <c r="K13" s="55"/>
    </row>
    <row r="14" spans="1:12" ht="16" x14ac:dyDescent="0.35">
      <c r="A14" s="55"/>
      <c r="C14" s="55" t="s">
        <v>60</v>
      </c>
      <c r="D14" s="74">
        <v>600</v>
      </c>
      <c r="E14" s="160"/>
      <c r="F14" s="365"/>
      <c r="G14" s="74">
        <f>D14+E14</f>
        <v>600</v>
      </c>
      <c r="H14" s="60"/>
      <c r="J14" s="55"/>
      <c r="K14" s="55"/>
    </row>
    <row r="15" spans="1:12" x14ac:dyDescent="0.35">
      <c r="A15" s="62" t="s">
        <v>18</v>
      </c>
      <c r="B15" s="55"/>
      <c r="C15" s="55"/>
      <c r="D15" s="55">
        <f>SUM(D6:D14)</f>
        <v>2036152</v>
      </c>
      <c r="E15" s="55"/>
      <c r="F15" s="365"/>
      <c r="G15" s="55">
        <f>SUM(G6:G14)</f>
        <v>2416513.7196999998</v>
      </c>
      <c r="H15" s="61"/>
      <c r="J15" s="55"/>
      <c r="K15" s="55"/>
    </row>
    <row r="16" spans="1:12" x14ac:dyDescent="0.35">
      <c r="A16" s="55"/>
      <c r="B16" s="55"/>
      <c r="C16" s="55"/>
      <c r="D16" s="55"/>
      <c r="E16" s="55"/>
      <c r="F16" s="365"/>
      <c r="G16" s="55"/>
      <c r="H16" s="61"/>
      <c r="J16" s="55"/>
      <c r="K16" s="55"/>
    </row>
    <row r="17" spans="1:12" x14ac:dyDescent="0.35">
      <c r="A17" s="58" t="s">
        <v>19</v>
      </c>
      <c r="B17" s="55"/>
      <c r="C17" s="55"/>
      <c r="D17" s="55"/>
      <c r="E17" s="55"/>
      <c r="F17" s="365"/>
      <c r="G17" s="55"/>
      <c r="H17" s="61"/>
      <c r="J17" s="55"/>
      <c r="K17" s="55"/>
    </row>
    <row r="18" spans="1:12" x14ac:dyDescent="0.35">
      <c r="A18" s="55"/>
      <c r="B18" s="55" t="s">
        <v>35</v>
      </c>
      <c r="C18" s="55"/>
      <c r="D18" s="55"/>
      <c r="E18" s="55"/>
      <c r="F18" s="365"/>
      <c r="G18" s="55"/>
      <c r="H18" s="61"/>
      <c r="J18" s="55"/>
      <c r="K18" s="55"/>
    </row>
    <row r="19" spans="1:12" x14ac:dyDescent="0.35">
      <c r="A19" s="55"/>
      <c r="B19" s="55"/>
      <c r="C19" s="55" t="s">
        <v>2</v>
      </c>
      <c r="D19" s="55">
        <v>670301</v>
      </c>
      <c r="E19" s="160">
        <f>Wages!K27</f>
        <v>136404.28749999998</v>
      </c>
      <c r="F19" s="361" t="s">
        <v>300</v>
      </c>
      <c r="G19" s="55"/>
      <c r="H19" s="59"/>
      <c r="I19" s="360" t="s">
        <v>382</v>
      </c>
      <c r="J19" s="55"/>
      <c r="K19" s="55"/>
    </row>
    <row r="20" spans="1:12" x14ac:dyDescent="0.35">
      <c r="A20" s="55"/>
      <c r="B20" s="55"/>
      <c r="C20" s="430"/>
      <c r="D20" s="55"/>
      <c r="E20" s="160">
        <f>-Capital!C13</f>
        <v>-19750.319999999996</v>
      </c>
      <c r="F20" s="361" t="s">
        <v>301</v>
      </c>
      <c r="G20" s="55">
        <f>D19+E19+E20</f>
        <v>786954.96750000003</v>
      </c>
      <c r="H20" s="59"/>
      <c r="I20" s="360" t="s">
        <v>252</v>
      </c>
      <c r="J20" s="55"/>
      <c r="K20" s="55"/>
      <c r="L20" s="7" t="s">
        <v>384</v>
      </c>
    </row>
    <row r="21" spans="1:12" x14ac:dyDescent="0.35">
      <c r="A21" s="55"/>
      <c r="B21" s="55"/>
      <c r="C21" s="55" t="s">
        <v>3</v>
      </c>
      <c r="D21" s="160">
        <v>30200</v>
      </c>
      <c r="E21" s="160"/>
      <c r="F21" s="365"/>
      <c r="G21" s="55">
        <f t="shared" ref="G21:G42" si="0">D21+E21</f>
        <v>30200</v>
      </c>
      <c r="H21" s="59"/>
      <c r="I21" s="360"/>
    </row>
    <row r="22" spans="1:12" x14ac:dyDescent="0.35">
      <c r="A22" s="55"/>
      <c r="B22" s="55"/>
      <c r="C22" s="55" t="s">
        <v>4</v>
      </c>
      <c r="D22" s="55">
        <v>330769</v>
      </c>
      <c r="E22" s="160">
        <f>Medical!M31</f>
        <v>-4701.9475999999995</v>
      </c>
      <c r="F22" s="361" t="s">
        <v>302</v>
      </c>
      <c r="G22" s="55"/>
      <c r="H22" s="59"/>
      <c r="I22" s="360" t="s">
        <v>401</v>
      </c>
      <c r="J22" s="55"/>
      <c r="K22" s="55"/>
      <c r="L22" s="7" t="s">
        <v>402</v>
      </c>
    </row>
    <row r="23" spans="1:12" x14ac:dyDescent="0.35">
      <c r="A23" s="55"/>
      <c r="B23" s="55"/>
      <c r="C23" s="55"/>
      <c r="D23" s="55"/>
      <c r="E23" s="160">
        <f>Wages!K39</f>
        <v>-24258.931650625018</v>
      </c>
      <c r="F23" s="361" t="s">
        <v>303</v>
      </c>
      <c r="G23" s="55">
        <f>D22+E22+E23</f>
        <v>301808.12074937497</v>
      </c>
      <c r="H23" s="59"/>
      <c r="I23" s="397" t="s">
        <v>413</v>
      </c>
      <c r="J23" s="55"/>
      <c r="K23" s="55"/>
      <c r="L23" s="7" t="s">
        <v>414</v>
      </c>
    </row>
    <row r="24" spans="1:12" hidden="1" x14ac:dyDescent="0.35">
      <c r="A24" s="55"/>
      <c r="B24" s="55"/>
      <c r="C24" s="55"/>
      <c r="D24" s="55"/>
      <c r="E24" s="160"/>
      <c r="F24" s="361"/>
      <c r="G24" s="55"/>
      <c r="H24" s="59"/>
      <c r="I24" s="397"/>
      <c r="J24" s="55"/>
      <c r="K24" s="55"/>
    </row>
    <row r="25" spans="1:12" hidden="1" x14ac:dyDescent="0.35">
      <c r="A25" s="55"/>
      <c r="B25" s="55"/>
      <c r="C25" s="55"/>
      <c r="D25" s="55"/>
      <c r="E25" s="160"/>
      <c r="F25" s="361"/>
      <c r="G25" s="55"/>
      <c r="H25" s="59"/>
      <c r="I25" s="360"/>
      <c r="J25" s="55"/>
      <c r="K25" s="55"/>
    </row>
    <row r="26" spans="1:12" x14ac:dyDescent="0.35">
      <c r="A26" s="55"/>
      <c r="B26" s="55"/>
      <c r="C26" s="55" t="s">
        <v>5</v>
      </c>
      <c r="D26" s="55"/>
      <c r="E26" s="160"/>
      <c r="F26" s="361"/>
      <c r="G26" s="160">
        <f t="shared" si="0"/>
        <v>0</v>
      </c>
      <c r="H26" s="401"/>
      <c r="I26" s="360"/>
    </row>
    <row r="27" spans="1:12" x14ac:dyDescent="0.35">
      <c r="A27" s="55"/>
      <c r="B27" s="55"/>
      <c r="C27" s="55" t="s">
        <v>6</v>
      </c>
      <c r="D27" s="55">
        <v>166835</v>
      </c>
      <c r="E27" s="55">
        <f>'Water Loss'!D31</f>
        <v>-6455.0863619171523</v>
      </c>
      <c r="F27" s="361" t="s">
        <v>205</v>
      </c>
      <c r="G27" s="55">
        <f t="shared" si="0"/>
        <v>160379.91363808286</v>
      </c>
      <c r="H27" s="64"/>
      <c r="I27" s="353" t="s">
        <v>244</v>
      </c>
      <c r="J27" s="55"/>
      <c r="K27" s="55"/>
      <c r="L27" s="7" t="s">
        <v>305</v>
      </c>
    </row>
    <row r="28" spans="1:12" x14ac:dyDescent="0.35">
      <c r="A28" s="55"/>
      <c r="B28" s="55"/>
      <c r="C28" s="55" t="s">
        <v>77</v>
      </c>
      <c r="D28" s="55">
        <v>31147</v>
      </c>
      <c r="E28" s="55">
        <f>'Water Loss'!D32</f>
        <v>-1205.1222759890522</v>
      </c>
      <c r="F28" s="361" t="s">
        <v>205</v>
      </c>
      <c r="G28" s="55">
        <f>D28+E28</f>
        <v>29941.877724010948</v>
      </c>
      <c r="H28" s="64"/>
      <c r="I28" s="353" t="s">
        <v>244</v>
      </c>
      <c r="J28" s="55"/>
      <c r="K28" s="55"/>
      <c r="L28" s="7" t="s">
        <v>306</v>
      </c>
    </row>
    <row r="29" spans="1:12" hidden="1" x14ac:dyDescent="0.35">
      <c r="A29" s="55"/>
      <c r="B29" s="55"/>
      <c r="C29" s="55"/>
      <c r="D29" s="55"/>
      <c r="E29" s="55"/>
      <c r="F29" s="361"/>
      <c r="G29" s="55"/>
      <c r="H29" s="64"/>
      <c r="I29" s="353"/>
      <c r="J29" s="55"/>
      <c r="K29" s="55"/>
    </row>
    <row r="30" spans="1:12" x14ac:dyDescent="0.35">
      <c r="A30" s="55"/>
      <c r="B30" s="55"/>
      <c r="C30" s="55" t="s">
        <v>7</v>
      </c>
      <c r="D30" s="55">
        <v>236278</v>
      </c>
      <c r="E30" s="55">
        <f>-Capital!C14</f>
        <v>-46084.079999999994</v>
      </c>
      <c r="F30" s="361" t="s">
        <v>301</v>
      </c>
      <c r="G30" s="55">
        <f t="shared" si="0"/>
        <v>190193.92000000001</v>
      </c>
      <c r="H30" s="59"/>
      <c r="I30" s="360" t="s">
        <v>251</v>
      </c>
      <c r="J30" s="55"/>
      <c r="K30" s="55"/>
      <c r="L30" s="7" t="s">
        <v>385</v>
      </c>
    </row>
    <row r="31" spans="1:12" x14ac:dyDescent="0.35">
      <c r="A31" s="55"/>
      <c r="B31" s="55"/>
      <c r="C31" s="55" t="s">
        <v>335</v>
      </c>
      <c r="D31" s="55">
        <v>6000</v>
      </c>
      <c r="E31" s="55"/>
      <c r="F31" s="361"/>
      <c r="G31" s="55">
        <f t="shared" si="0"/>
        <v>6000</v>
      </c>
      <c r="H31" s="59"/>
      <c r="J31" s="55"/>
      <c r="K31" s="55"/>
    </row>
    <row r="32" spans="1:12" x14ac:dyDescent="0.35">
      <c r="A32" s="55"/>
      <c r="B32" s="55"/>
      <c r="C32" s="55" t="s">
        <v>241</v>
      </c>
      <c r="D32" s="55">
        <v>17250</v>
      </c>
      <c r="E32" s="55"/>
      <c r="F32" s="361"/>
      <c r="G32" s="55">
        <f t="shared" si="0"/>
        <v>17250</v>
      </c>
      <c r="H32" s="59"/>
      <c r="J32" s="15"/>
      <c r="K32" s="55"/>
    </row>
    <row r="33" spans="1:14" x14ac:dyDescent="0.35">
      <c r="A33" s="55"/>
      <c r="B33" s="55"/>
      <c r="C33" s="55" t="s">
        <v>238</v>
      </c>
      <c r="D33" s="55">
        <v>1670</v>
      </c>
      <c r="E33" s="55"/>
      <c r="F33" s="361"/>
      <c r="G33" s="55">
        <f t="shared" si="0"/>
        <v>1670</v>
      </c>
      <c r="H33" s="59"/>
      <c r="J33" s="55"/>
      <c r="K33" s="55"/>
    </row>
    <row r="34" spans="1:14" x14ac:dyDescent="0.35">
      <c r="A34" s="55"/>
      <c r="B34" s="55"/>
      <c r="C34" s="55" t="s">
        <v>239</v>
      </c>
      <c r="D34" s="55">
        <v>25862</v>
      </c>
      <c r="E34" s="55"/>
      <c r="F34" s="361"/>
      <c r="G34" s="55">
        <f t="shared" si="0"/>
        <v>25862</v>
      </c>
      <c r="H34" s="59"/>
      <c r="J34" s="55"/>
      <c r="K34" s="55"/>
    </row>
    <row r="35" spans="1:14" x14ac:dyDescent="0.35">
      <c r="A35" s="55"/>
      <c r="B35" s="55"/>
      <c r="C35" s="55" t="s">
        <v>240</v>
      </c>
      <c r="D35" s="55">
        <v>82525</v>
      </c>
      <c r="E35" s="55"/>
      <c r="F35" s="361"/>
      <c r="G35" s="55">
        <f t="shared" si="0"/>
        <v>82525</v>
      </c>
      <c r="H35" s="59"/>
      <c r="J35" s="55"/>
      <c r="K35" s="55"/>
    </row>
    <row r="36" spans="1:14" x14ac:dyDescent="0.35">
      <c r="A36" s="55"/>
      <c r="B36" s="55"/>
      <c r="C36" s="55" t="s">
        <v>61</v>
      </c>
      <c r="D36" s="55"/>
      <c r="E36" s="55"/>
      <c r="F36" s="361"/>
      <c r="G36" s="55">
        <f t="shared" si="0"/>
        <v>0</v>
      </c>
      <c r="H36" s="59"/>
      <c r="J36" s="55"/>
      <c r="K36" s="55"/>
    </row>
    <row r="37" spans="1:14" x14ac:dyDescent="0.35">
      <c r="A37" s="55"/>
      <c r="B37" s="55"/>
      <c r="C37" s="55" t="s">
        <v>242</v>
      </c>
      <c r="D37" s="55">
        <v>1316</v>
      </c>
      <c r="E37" s="55"/>
      <c r="F37" s="361"/>
      <c r="G37" s="55">
        <f t="shared" si="0"/>
        <v>1316</v>
      </c>
      <c r="H37" s="59"/>
      <c r="J37" s="55"/>
      <c r="K37" s="55"/>
    </row>
    <row r="38" spans="1:14" x14ac:dyDescent="0.35">
      <c r="A38" s="55"/>
      <c r="B38" s="55"/>
      <c r="C38" s="55" t="s">
        <v>9</v>
      </c>
      <c r="D38" s="55">
        <v>41542</v>
      </c>
      <c r="E38" s="55"/>
      <c r="F38" s="361"/>
      <c r="G38" s="55">
        <f t="shared" si="0"/>
        <v>41542</v>
      </c>
      <c r="H38" s="61"/>
      <c r="J38" s="55"/>
      <c r="K38" s="55"/>
    </row>
    <row r="39" spans="1:14" x14ac:dyDescent="0.35">
      <c r="A39" s="55"/>
      <c r="B39" s="55"/>
      <c r="C39" s="55" t="s">
        <v>36</v>
      </c>
      <c r="D39" s="55">
        <v>64045</v>
      </c>
      <c r="E39" s="160"/>
      <c r="F39" s="361"/>
      <c r="G39" s="55">
        <f t="shared" si="0"/>
        <v>64045</v>
      </c>
      <c r="H39" s="61"/>
      <c r="J39" s="55"/>
      <c r="K39" s="55"/>
    </row>
    <row r="40" spans="1:14" x14ac:dyDescent="0.35">
      <c r="A40" s="55"/>
      <c r="B40" s="55"/>
      <c r="C40" s="55" t="s">
        <v>62</v>
      </c>
      <c r="D40" s="55">
        <v>790</v>
      </c>
      <c r="E40" s="160"/>
      <c r="F40" s="361"/>
      <c r="G40" s="55">
        <f t="shared" si="0"/>
        <v>790</v>
      </c>
      <c r="H40" s="61"/>
      <c r="J40" s="55"/>
      <c r="K40" s="55"/>
    </row>
    <row r="41" spans="1:14" x14ac:dyDescent="0.35">
      <c r="A41" s="55"/>
      <c r="B41" s="55"/>
      <c r="C41" s="55" t="s">
        <v>243</v>
      </c>
      <c r="D41" s="55">
        <v>630</v>
      </c>
      <c r="E41" s="55"/>
      <c r="F41" s="365"/>
      <c r="G41" s="55">
        <f t="shared" si="0"/>
        <v>630</v>
      </c>
      <c r="H41" s="61"/>
      <c r="J41" s="55"/>
      <c r="K41" s="55"/>
    </row>
    <row r="42" spans="1:14" ht="16" x14ac:dyDescent="0.35">
      <c r="A42" s="55"/>
      <c r="B42" s="55"/>
      <c r="C42" s="55" t="s">
        <v>8</v>
      </c>
      <c r="D42" s="223">
        <v>26062</v>
      </c>
      <c r="E42" s="73"/>
      <c r="F42" s="361"/>
      <c r="G42" s="74">
        <f t="shared" si="0"/>
        <v>26062</v>
      </c>
      <c r="H42" s="61"/>
      <c r="J42" s="55"/>
      <c r="K42" s="55"/>
    </row>
    <row r="43" spans="1:14" x14ac:dyDescent="0.35">
      <c r="A43" s="55"/>
      <c r="B43" s="55" t="s">
        <v>37</v>
      </c>
      <c r="C43" s="55"/>
      <c r="D43" s="55">
        <f>SUM(D19:D42)</f>
        <v>1733222</v>
      </c>
      <c r="E43" s="55"/>
      <c r="F43" s="365"/>
      <c r="G43" s="55">
        <f>SUM(G19:G42)</f>
        <v>1767170.7996114688</v>
      </c>
      <c r="H43" s="61"/>
      <c r="I43" s="360"/>
      <c r="J43" s="55"/>
      <c r="K43" s="55"/>
    </row>
    <row r="44" spans="1:14" ht="3.5" customHeight="1" x14ac:dyDescent="0.35">
      <c r="A44" s="55"/>
      <c r="B44" s="55"/>
      <c r="C44" s="55"/>
      <c r="D44" s="55"/>
      <c r="E44" s="55"/>
      <c r="F44" s="365"/>
      <c r="G44" s="55"/>
      <c r="H44" s="61"/>
      <c r="I44" s="360"/>
      <c r="J44" s="55"/>
      <c r="K44" s="55"/>
    </row>
    <row r="45" spans="1:14" x14ac:dyDescent="0.35">
      <c r="A45" s="55"/>
      <c r="B45" s="55" t="s">
        <v>20</v>
      </c>
      <c r="C45" s="55"/>
      <c r="D45" s="55">
        <v>412737</v>
      </c>
      <c r="E45" s="55">
        <f>Depreciation!K44</f>
        <v>-28.046748571428623</v>
      </c>
      <c r="F45" s="365" t="s">
        <v>164</v>
      </c>
      <c r="G45" s="55">
        <f>D45+E45</f>
        <v>412708.95325142855</v>
      </c>
      <c r="H45" s="61"/>
      <c r="I45" s="353" t="s">
        <v>395</v>
      </c>
      <c r="J45" s="275"/>
      <c r="K45" s="15"/>
      <c r="L45" s="15" t="s">
        <v>415</v>
      </c>
      <c r="M45" s="15"/>
      <c r="N45" s="15"/>
    </row>
    <row r="46" spans="1:14" x14ac:dyDescent="0.35">
      <c r="A46" s="55"/>
      <c r="B46" s="55" t="s">
        <v>322</v>
      </c>
      <c r="C46" s="55"/>
      <c r="D46" s="55"/>
      <c r="E46" s="55">
        <f>2651+5117</f>
        <v>7768</v>
      </c>
      <c r="F46" s="365" t="s">
        <v>304</v>
      </c>
      <c r="G46" s="55">
        <f>D46+E46</f>
        <v>7768</v>
      </c>
      <c r="H46" s="61"/>
      <c r="I46" s="353" t="s">
        <v>452</v>
      </c>
      <c r="J46" s="275"/>
      <c r="K46" s="15"/>
      <c r="L46" s="15"/>
      <c r="M46" s="15"/>
      <c r="N46" s="15"/>
    </row>
    <row r="47" spans="1:14" ht="16" x14ac:dyDescent="0.35">
      <c r="A47" s="55"/>
      <c r="B47" s="55" t="s">
        <v>1</v>
      </c>
      <c r="C47" s="55"/>
      <c r="D47" s="74">
        <v>55179</v>
      </c>
      <c r="E47" s="73">
        <f>Wages!K35</f>
        <v>8844.2544937499988</v>
      </c>
      <c r="F47" s="405" t="s">
        <v>206</v>
      </c>
      <c r="G47" s="74">
        <f t="shared" ref="G47" si="1">D47+E47</f>
        <v>64023.254493749999</v>
      </c>
      <c r="H47" s="61"/>
      <c r="I47" s="360" t="s">
        <v>280</v>
      </c>
      <c r="J47" s="55"/>
      <c r="L47" s="7" t="s">
        <v>411</v>
      </c>
    </row>
    <row r="48" spans="1:14" ht="16" x14ac:dyDescent="0.35">
      <c r="A48" s="62" t="s">
        <v>0</v>
      </c>
      <c r="B48" s="55"/>
      <c r="C48" s="55"/>
      <c r="D48" s="74">
        <f>SUM(D43:D47)</f>
        <v>2201138</v>
      </c>
      <c r="E48" s="74"/>
      <c r="G48" s="74">
        <f>SUM(G43:G47)</f>
        <v>2251671.0073566474</v>
      </c>
      <c r="H48" s="61"/>
      <c r="J48" s="55"/>
      <c r="K48" s="55"/>
    </row>
    <row r="49" spans="1:13" ht="4" customHeight="1" x14ac:dyDescent="0.35">
      <c r="A49" s="62"/>
      <c r="B49" s="55"/>
      <c r="C49" s="55"/>
      <c r="D49" s="75"/>
      <c r="E49" s="365"/>
      <c r="G49" s="55"/>
      <c r="H49" s="55"/>
      <c r="J49" s="55"/>
      <c r="K49" s="55"/>
    </row>
    <row r="50" spans="1:13" x14ac:dyDescent="0.35">
      <c r="A50" s="62" t="s">
        <v>38</v>
      </c>
      <c r="B50" s="55"/>
      <c r="C50" s="55"/>
      <c r="D50" s="55">
        <f>D15-D48</f>
        <v>-164986</v>
      </c>
      <c r="E50" s="365"/>
      <c r="G50" s="55">
        <f>G15-G48</f>
        <v>164842.71234335238</v>
      </c>
      <c r="H50" s="55"/>
      <c r="K50" s="55"/>
    </row>
    <row r="51" spans="1:13" x14ac:dyDescent="0.35">
      <c r="A51" s="55"/>
      <c r="B51" s="55"/>
      <c r="C51" s="55"/>
      <c r="D51" s="55"/>
      <c r="E51" s="365"/>
      <c r="G51" s="55"/>
      <c r="H51" s="55"/>
      <c r="J51" s="55"/>
      <c r="K51" s="55"/>
    </row>
    <row r="52" spans="1:13" ht="18.5" x14ac:dyDescent="0.35">
      <c r="A52" s="464" t="s">
        <v>271</v>
      </c>
      <c r="B52" s="464"/>
      <c r="C52" s="464"/>
      <c r="D52" s="464"/>
      <c r="E52" s="464"/>
      <c r="F52" s="464"/>
      <c r="G52" s="464"/>
      <c r="H52" s="55"/>
      <c r="I52" s="326"/>
      <c r="J52" s="65"/>
      <c r="K52" s="55"/>
    </row>
    <row r="53" spans="1:13" x14ac:dyDescent="0.35">
      <c r="A53" s="62" t="s">
        <v>39</v>
      </c>
      <c r="B53" s="55"/>
      <c r="C53" s="55"/>
      <c r="D53" s="66" t="s">
        <v>90</v>
      </c>
      <c r="E53" s="55"/>
      <c r="F53" s="63"/>
      <c r="G53" s="7">
        <f>G48</f>
        <v>2251671.0073566474</v>
      </c>
      <c r="H53" s="55"/>
      <c r="J53" s="55"/>
      <c r="K53" s="55"/>
    </row>
    <row r="54" spans="1:13" x14ac:dyDescent="0.35">
      <c r="A54" s="55"/>
      <c r="B54" s="55"/>
      <c r="C54" s="276" t="s">
        <v>272</v>
      </c>
      <c r="E54" s="55"/>
      <c r="F54" s="63" t="s">
        <v>438</v>
      </c>
      <c r="G54" s="278">
        <v>0.88</v>
      </c>
      <c r="H54" s="55"/>
      <c r="I54" s="360" t="s">
        <v>321</v>
      </c>
      <c r="L54" s="66"/>
    </row>
    <row r="55" spans="1:13" x14ac:dyDescent="0.35">
      <c r="A55" s="55"/>
      <c r="B55" s="55"/>
      <c r="C55" s="55" t="s">
        <v>307</v>
      </c>
      <c r="E55" s="55"/>
      <c r="F55" s="63"/>
      <c r="G55" s="15">
        <f>G53/G54</f>
        <v>2558717.053814372</v>
      </c>
      <c r="H55" s="55"/>
      <c r="I55" s="360"/>
      <c r="L55" s="66"/>
    </row>
    <row r="56" spans="1:13" x14ac:dyDescent="0.35">
      <c r="A56" s="55"/>
      <c r="B56" s="55"/>
      <c r="C56" s="55" t="s">
        <v>308</v>
      </c>
      <c r="E56" s="55"/>
      <c r="F56" s="361"/>
      <c r="G56" s="15">
        <f>'Debt Service'!M23</f>
        <v>109148.2</v>
      </c>
      <c r="H56" s="55"/>
      <c r="I56" s="353" t="s">
        <v>277</v>
      </c>
      <c r="J56" s="275"/>
      <c r="K56" s="275"/>
      <c r="L56" s="15" t="s">
        <v>312</v>
      </c>
      <c r="M56" s="15"/>
    </row>
    <row r="57" spans="1:13" x14ac:dyDescent="0.35">
      <c r="A57" s="62" t="s">
        <v>65</v>
      </c>
      <c r="B57" s="55"/>
      <c r="C57" s="55"/>
      <c r="D57" s="66"/>
      <c r="E57" s="55"/>
      <c r="F57" s="63"/>
      <c r="G57" s="7">
        <f>G55+G56</f>
        <v>2667865.2538143722</v>
      </c>
      <c r="H57" s="55"/>
      <c r="I57" s="360"/>
      <c r="J57" s="55"/>
      <c r="K57" s="55"/>
    </row>
    <row r="58" spans="1:13" x14ac:dyDescent="0.35">
      <c r="A58" s="55" t="s">
        <v>23</v>
      </c>
      <c r="B58" s="55"/>
      <c r="C58" s="55" t="s">
        <v>24</v>
      </c>
      <c r="D58" s="66"/>
      <c r="E58" s="55"/>
      <c r="F58" s="63"/>
      <c r="G58" s="7">
        <f>SUM(G12:G14)</f>
        <v>31925.78</v>
      </c>
      <c r="H58" s="55"/>
      <c r="J58" s="55"/>
      <c r="K58" s="55"/>
    </row>
    <row r="59" spans="1:13" x14ac:dyDescent="0.35">
      <c r="A59" s="55"/>
      <c r="B59" s="55"/>
      <c r="C59" s="55" t="s">
        <v>11</v>
      </c>
      <c r="D59" s="66"/>
      <c r="E59" s="55"/>
      <c r="F59" s="63"/>
      <c r="G59" s="32">
        <v>10761</v>
      </c>
      <c r="H59" s="55"/>
      <c r="I59" s="322" t="s">
        <v>396</v>
      </c>
      <c r="J59" s="55"/>
      <c r="K59" s="55"/>
    </row>
    <row r="60" spans="1:13" x14ac:dyDescent="0.35">
      <c r="A60" s="62" t="s">
        <v>63</v>
      </c>
      <c r="B60" s="55"/>
      <c r="C60" s="55"/>
      <c r="D60" s="66"/>
      <c r="E60" s="55"/>
      <c r="F60" s="63"/>
      <c r="G60" s="7">
        <f>G57-G58-G59</f>
        <v>2625178.4738143724</v>
      </c>
      <c r="H60" s="55"/>
      <c r="J60" s="55"/>
      <c r="K60" s="55"/>
    </row>
    <row r="61" spans="1:13" ht="16" x14ac:dyDescent="0.5">
      <c r="A61" s="55" t="s">
        <v>23</v>
      </c>
      <c r="B61" s="55"/>
      <c r="C61" s="55" t="s">
        <v>64</v>
      </c>
      <c r="D61" s="66"/>
      <c r="E61" s="55"/>
      <c r="F61" s="63"/>
      <c r="G61" s="23">
        <f>SUM(G6:G10)</f>
        <v>2384587.9397</v>
      </c>
      <c r="H61" s="55"/>
      <c r="I61" s="327"/>
      <c r="J61" s="55"/>
      <c r="K61" s="55"/>
    </row>
    <row r="62" spans="1:13" x14ac:dyDescent="0.35">
      <c r="A62" s="62" t="s">
        <v>66</v>
      </c>
      <c r="B62" s="55"/>
      <c r="C62" s="55"/>
      <c r="D62" s="66"/>
      <c r="E62" s="55"/>
      <c r="F62" s="63"/>
      <c r="G62" s="55">
        <f>G60-G61</f>
        <v>240590.53411437245</v>
      </c>
      <c r="H62" s="55"/>
      <c r="J62" s="55"/>
      <c r="K62" s="55"/>
    </row>
    <row r="63" spans="1:13" x14ac:dyDescent="0.35">
      <c r="A63" s="55"/>
      <c r="B63" s="55"/>
      <c r="C63" s="55"/>
      <c r="D63" s="66"/>
      <c r="E63" s="55"/>
      <c r="F63" s="63"/>
      <c r="G63" s="55"/>
      <c r="H63" s="55"/>
      <c r="J63" s="55"/>
      <c r="K63" s="55"/>
    </row>
    <row r="64" spans="1:13" x14ac:dyDescent="0.35">
      <c r="A64" s="62" t="s">
        <v>67</v>
      </c>
      <c r="B64" s="55"/>
      <c r="C64" s="55"/>
      <c r="D64" s="66"/>
      <c r="E64" s="55"/>
      <c r="F64" s="63"/>
      <c r="G64" s="230">
        <f>G62/G61</f>
        <v>0.10089396583320834</v>
      </c>
      <c r="H64" s="55"/>
      <c r="J64" s="55"/>
      <c r="K64" s="55"/>
    </row>
    <row r="66" spans="1:13" ht="16" x14ac:dyDescent="0.5">
      <c r="A66" s="276"/>
      <c r="B66" s="276"/>
      <c r="C66" s="276"/>
      <c r="D66" s="277"/>
      <c r="E66" s="275"/>
      <c r="F66" s="298"/>
      <c r="G66" s="279"/>
      <c r="H66" s="15"/>
      <c r="I66" s="325"/>
      <c r="J66" s="275"/>
      <c r="K66" s="275"/>
      <c r="L66" s="15"/>
      <c r="M66" s="15"/>
    </row>
    <row r="67" spans="1:13" x14ac:dyDescent="0.35">
      <c r="A67" s="302" t="s">
        <v>310</v>
      </c>
      <c r="B67" s="303"/>
      <c r="C67" s="303" t="s">
        <v>311</v>
      </c>
      <c r="D67" s="277"/>
      <c r="E67" s="275"/>
      <c r="F67" s="68"/>
      <c r="G67" s="20"/>
      <c r="H67" s="15"/>
      <c r="I67" s="325"/>
      <c r="J67" s="15"/>
      <c r="K67" s="15"/>
      <c r="L67" s="15"/>
      <c r="M67" s="15"/>
    </row>
    <row r="68" spans="1:13" ht="18.5" x14ac:dyDescent="0.35">
      <c r="A68" s="465" t="s">
        <v>21</v>
      </c>
      <c r="B68" s="465"/>
      <c r="C68" s="465"/>
      <c r="D68" s="465"/>
      <c r="E68" s="465"/>
      <c r="F68" s="465"/>
      <c r="G68" s="465"/>
      <c r="H68" s="15"/>
      <c r="I68" s="325"/>
      <c r="J68" s="15"/>
      <c r="K68" s="15"/>
      <c r="L68" s="15"/>
      <c r="M68" s="15"/>
    </row>
    <row r="69" spans="1:13" ht="18.5" x14ac:dyDescent="0.35">
      <c r="A69" s="465" t="s">
        <v>309</v>
      </c>
      <c r="B69" s="465"/>
      <c r="C69" s="465"/>
      <c r="D69" s="465"/>
      <c r="E69" s="465"/>
      <c r="F69" s="465"/>
      <c r="G69" s="465"/>
      <c r="H69" s="15"/>
      <c r="I69" s="325"/>
      <c r="J69" s="15"/>
      <c r="K69" s="15"/>
      <c r="L69" s="15"/>
      <c r="M69" s="15"/>
    </row>
    <row r="70" spans="1:13" x14ac:dyDescent="0.35">
      <c r="A70" s="62" t="s">
        <v>39</v>
      </c>
      <c r="B70" s="55"/>
      <c r="C70" s="55"/>
      <c r="D70" s="66"/>
      <c r="E70" s="55"/>
      <c r="F70" s="63"/>
      <c r="G70" s="7">
        <f>G48</f>
        <v>2251671.0073566474</v>
      </c>
      <c r="H70" s="15"/>
      <c r="I70" s="325"/>
      <c r="J70" s="15"/>
      <c r="K70" s="15"/>
      <c r="L70" s="15"/>
      <c r="M70" s="15"/>
    </row>
    <row r="71" spans="1:13" x14ac:dyDescent="0.35">
      <c r="A71" s="55" t="s">
        <v>22</v>
      </c>
      <c r="B71" s="55"/>
      <c r="C71" s="55" t="s">
        <v>99</v>
      </c>
      <c r="E71" s="55"/>
      <c r="F71" s="63"/>
      <c r="G71" s="296">
        <f>'Debt Service'!M19</f>
        <v>236313.2</v>
      </c>
      <c r="H71" s="15"/>
      <c r="I71" s="325"/>
      <c r="J71" s="15"/>
      <c r="K71" s="15"/>
      <c r="L71" s="15" t="s">
        <v>389</v>
      </c>
      <c r="M71" s="15"/>
    </row>
    <row r="72" spans="1:13" ht="16" x14ac:dyDescent="0.5">
      <c r="A72" s="55"/>
      <c r="B72" s="55"/>
      <c r="C72" s="55" t="s">
        <v>100</v>
      </c>
      <c r="E72" s="55"/>
      <c r="F72" s="63"/>
      <c r="G72" s="297">
        <f>'Debt Service'!M21</f>
        <v>47262.640000000007</v>
      </c>
      <c r="H72" s="15"/>
      <c r="I72" s="325"/>
      <c r="J72" s="15"/>
      <c r="K72" s="15"/>
      <c r="L72" s="15" t="s">
        <v>390</v>
      </c>
      <c r="M72" s="15"/>
    </row>
    <row r="73" spans="1:13" x14ac:dyDescent="0.35">
      <c r="A73" s="62" t="s">
        <v>65</v>
      </c>
      <c r="B73" s="55"/>
      <c r="C73" s="55"/>
      <c r="D73" s="66"/>
      <c r="E73" s="55"/>
      <c r="F73" s="63"/>
      <c r="G73" s="7">
        <f>G70+G71+G72</f>
        <v>2535246.8473566477</v>
      </c>
      <c r="H73" s="15"/>
      <c r="I73" s="325"/>
      <c r="J73" s="15"/>
      <c r="K73" s="15"/>
      <c r="L73" s="15"/>
      <c r="M73" s="15"/>
    </row>
    <row r="74" spans="1:13" x14ac:dyDescent="0.35">
      <c r="A74" s="55" t="s">
        <v>23</v>
      </c>
      <c r="B74" s="55"/>
      <c r="C74" s="55" t="s">
        <v>24</v>
      </c>
      <c r="D74" s="66"/>
      <c r="E74" s="55"/>
      <c r="F74" s="63"/>
      <c r="G74" s="7">
        <f>SUM(G12:G14)</f>
        <v>31925.78</v>
      </c>
      <c r="H74" s="15"/>
      <c r="I74" s="328"/>
      <c r="J74" s="15"/>
      <c r="K74" s="15"/>
      <c r="L74" s="15"/>
      <c r="M74" s="15"/>
    </row>
    <row r="75" spans="1:13" x14ac:dyDescent="0.35">
      <c r="A75" s="55"/>
      <c r="B75" s="55"/>
      <c r="C75" s="55" t="s">
        <v>59</v>
      </c>
      <c r="D75" s="66"/>
      <c r="E75" s="55"/>
      <c r="F75" s="63"/>
    </row>
    <row r="76" spans="1:13" x14ac:dyDescent="0.35">
      <c r="A76" s="55"/>
      <c r="B76" s="55"/>
      <c r="C76" s="55" t="s">
        <v>11</v>
      </c>
      <c r="D76" s="66"/>
      <c r="E76" s="55"/>
      <c r="F76" s="63"/>
      <c r="G76" s="32">
        <f>G59</f>
        <v>10761</v>
      </c>
    </row>
    <row r="77" spans="1:13" x14ac:dyDescent="0.35">
      <c r="A77" s="62" t="s">
        <v>63</v>
      </c>
      <c r="B77" s="55"/>
      <c r="C77" s="55"/>
      <c r="D77" s="66"/>
      <c r="E77" s="55"/>
      <c r="F77" s="63"/>
      <c r="G77" s="7">
        <f>G73-G74-G75-G76</f>
        <v>2492560.0673566479</v>
      </c>
    </row>
    <row r="78" spans="1:13" ht="16" x14ac:dyDescent="0.5">
      <c r="A78" s="55" t="s">
        <v>23</v>
      </c>
      <c r="B78" s="55"/>
      <c r="C78" s="55" t="s">
        <v>64</v>
      </c>
      <c r="D78" s="66"/>
      <c r="E78" s="55"/>
      <c r="F78" s="63"/>
      <c r="G78" s="23">
        <f>SUM(G6:G10)</f>
        <v>2384587.9397</v>
      </c>
    </row>
    <row r="79" spans="1:13" x14ac:dyDescent="0.35">
      <c r="A79" s="62" t="s">
        <v>66</v>
      </c>
      <c r="B79" s="55"/>
      <c r="C79" s="55"/>
      <c r="D79" s="66"/>
      <c r="E79" s="55"/>
      <c r="F79" s="63"/>
      <c r="G79" s="55">
        <f>G77-G78</f>
        <v>107972.12765664794</v>
      </c>
    </row>
    <row r="80" spans="1:13" x14ac:dyDescent="0.35">
      <c r="A80" s="55"/>
      <c r="B80" s="55"/>
      <c r="C80" s="55"/>
      <c r="D80" s="66"/>
      <c r="E80" s="55"/>
      <c r="F80" s="63"/>
      <c r="G80" s="55"/>
    </row>
    <row r="81" spans="1:7" x14ac:dyDescent="0.35">
      <c r="A81" s="62" t="s">
        <v>67</v>
      </c>
      <c r="B81" s="55"/>
      <c r="C81" s="55"/>
      <c r="D81" s="66"/>
      <c r="E81" s="55"/>
      <c r="F81" s="63"/>
      <c r="G81" s="230">
        <f>G79/G78</f>
        <v>4.5279155303549715E-2</v>
      </c>
    </row>
    <row r="85" spans="1:7" ht="16" x14ac:dyDescent="0.5">
      <c r="C85" s="23" t="s">
        <v>441</v>
      </c>
    </row>
    <row r="86" spans="1:7" x14ac:dyDescent="0.35">
      <c r="C86" s="7" t="s">
        <v>436</v>
      </c>
      <c r="D86" s="12">
        <v>1684.5</v>
      </c>
    </row>
    <row r="87" spans="1:7" x14ac:dyDescent="0.35">
      <c r="C87" s="7" t="s">
        <v>430</v>
      </c>
      <c r="D87" s="12">
        <v>296.60000000000002</v>
      </c>
    </row>
    <row r="88" spans="1:7" x14ac:dyDescent="0.35">
      <c r="C88" s="7" t="s">
        <v>431</v>
      </c>
      <c r="D88" s="12">
        <v>158</v>
      </c>
    </row>
    <row r="89" spans="1:7" x14ac:dyDescent="0.35">
      <c r="C89" s="7" t="s">
        <v>432</v>
      </c>
      <c r="D89" s="12">
        <v>4733.5</v>
      </c>
    </row>
    <row r="90" spans="1:7" x14ac:dyDescent="0.35">
      <c r="C90" s="7" t="s">
        <v>433</v>
      </c>
      <c r="D90" s="12">
        <v>157.75</v>
      </c>
    </row>
    <row r="91" spans="1:7" x14ac:dyDescent="0.35">
      <c r="C91" s="7" t="s">
        <v>434</v>
      </c>
      <c r="D91" s="12">
        <v>0</v>
      </c>
    </row>
    <row r="92" spans="1:7" ht="16" x14ac:dyDescent="0.5">
      <c r="C92" s="7" t="s">
        <v>435</v>
      </c>
      <c r="D92" s="415">
        <v>1189.43</v>
      </c>
    </row>
    <row r="93" spans="1:7" x14ac:dyDescent="0.35">
      <c r="C93" s="414" t="s">
        <v>54</v>
      </c>
      <c r="D93" s="12">
        <f>SUM(D86:D92)</f>
        <v>8219.7800000000007</v>
      </c>
    </row>
    <row r="94" spans="1:7" x14ac:dyDescent="0.35">
      <c r="D94" s="12"/>
    </row>
  </sheetData>
  <mergeCells count="4">
    <mergeCell ref="A52:G52"/>
    <mergeCell ref="A1:G1"/>
    <mergeCell ref="A68:G68"/>
    <mergeCell ref="A69:G69"/>
  </mergeCells>
  <printOptions horizontalCentered="1"/>
  <pageMargins left="0.45" right="0.25" top="0.5" bottom="0.5" header="0.3" footer="0.3"/>
  <pageSetup scale="83" orientation="portrait" horizontalDpi="4294967293" r:id="rId1"/>
  <rowBreaks count="2" manualBreakCount="2">
    <brk id="50" max="16383" man="1"/>
    <brk id="5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V55"/>
  <sheetViews>
    <sheetView showGridLines="0" workbookViewId="0">
      <selection activeCell="K8" sqref="K8"/>
    </sheetView>
  </sheetViews>
  <sheetFormatPr defaultColWidth="8.84375" defaultRowHeight="14.5" x14ac:dyDescent="0.35"/>
  <cols>
    <col min="1" max="1" width="3.07421875" style="7" customWidth="1"/>
    <col min="2" max="2" width="1.765625" style="7" customWidth="1"/>
    <col min="3" max="8" width="9.765625" style="7" customWidth="1"/>
    <col min="9" max="9" width="1.765625" style="7" customWidth="1"/>
    <col min="10" max="10" width="2.84375" style="7" customWidth="1"/>
    <col min="11" max="13" width="8.84375" style="7"/>
    <col min="14" max="14" width="14.3046875" style="7" bestFit="1" customWidth="1"/>
    <col min="15" max="17" width="8.84375" style="7"/>
    <col min="18" max="18" width="10.61328125" style="7" bestFit="1" customWidth="1"/>
    <col min="19" max="19" width="8.84375" style="7"/>
    <col min="20" max="20" width="11.15234375" style="7" bestFit="1" customWidth="1"/>
    <col min="21" max="16384" width="8.84375" style="7"/>
  </cols>
  <sheetData>
    <row r="1" spans="2:22" x14ac:dyDescent="0.35">
      <c r="B1" s="6"/>
      <c r="C1" s="6"/>
      <c r="D1" s="6"/>
      <c r="E1" s="6" t="s">
        <v>448</v>
      </c>
      <c r="F1" s="6"/>
      <c r="G1" s="6"/>
      <c r="H1" s="6"/>
      <c r="I1" s="6"/>
    </row>
    <row r="2" spans="2:22" ht="18.5" x14ac:dyDescent="0.45">
      <c r="B2" s="500" t="s">
        <v>187</v>
      </c>
      <c r="C2" s="501"/>
      <c r="D2" s="501"/>
      <c r="E2" s="501"/>
      <c r="F2" s="501"/>
      <c r="G2" s="501"/>
      <c r="H2" s="501"/>
      <c r="I2" s="502"/>
    </row>
    <row r="3" spans="2:22" ht="18.5" x14ac:dyDescent="0.45">
      <c r="B3" s="503" t="s">
        <v>189</v>
      </c>
      <c r="C3" s="504"/>
      <c r="D3" s="504"/>
      <c r="E3" s="504"/>
      <c r="F3" s="504"/>
      <c r="G3" s="504"/>
      <c r="H3" s="504"/>
      <c r="I3" s="505"/>
    </row>
    <row r="4" spans="2:22" ht="15.5" x14ac:dyDescent="0.35">
      <c r="B4" s="506" t="s">
        <v>209</v>
      </c>
      <c r="C4" s="473"/>
      <c r="D4" s="473"/>
      <c r="E4" s="473"/>
      <c r="F4" s="473"/>
      <c r="G4" s="473"/>
      <c r="H4" s="473"/>
      <c r="I4" s="507"/>
    </row>
    <row r="5" spans="2:22" x14ac:dyDescent="0.35">
      <c r="B5" s="10"/>
      <c r="C5" s="5"/>
      <c r="D5" s="5"/>
      <c r="E5" s="5"/>
      <c r="F5" s="5"/>
      <c r="G5" s="5"/>
      <c r="H5" s="5"/>
      <c r="I5" s="11"/>
    </row>
    <row r="6" spans="2:22" ht="6" customHeight="1" x14ac:dyDescent="0.35">
      <c r="B6" s="8"/>
      <c r="C6" s="6"/>
      <c r="D6" s="9"/>
      <c r="E6" s="35"/>
      <c r="F6" s="36"/>
      <c r="G6" s="36"/>
      <c r="H6" s="36"/>
      <c r="I6" s="37"/>
      <c r="J6" s="34"/>
      <c r="K6" s="34"/>
    </row>
    <row r="7" spans="2:22" ht="17" x14ac:dyDescent="0.6">
      <c r="B7" s="8"/>
      <c r="C7" s="13" t="s">
        <v>13</v>
      </c>
      <c r="D7" s="33" t="s">
        <v>68</v>
      </c>
      <c r="E7" s="38" t="s">
        <v>25</v>
      </c>
      <c r="F7" s="13" t="s">
        <v>10</v>
      </c>
      <c r="G7" s="13"/>
      <c r="H7" s="13"/>
      <c r="I7" s="33"/>
      <c r="M7" s="432" t="s">
        <v>393</v>
      </c>
      <c r="N7" s="443"/>
      <c r="O7" s="434" t="s">
        <v>25</v>
      </c>
      <c r="P7" s="435" t="s">
        <v>443</v>
      </c>
      <c r="Q7" s="433" t="s">
        <v>444</v>
      </c>
      <c r="R7" s="436" t="s">
        <v>71</v>
      </c>
      <c r="S7" s="423"/>
      <c r="T7" s="423"/>
      <c r="U7" s="421"/>
      <c r="V7" s="421"/>
    </row>
    <row r="8" spans="2:22" ht="17" x14ac:dyDescent="0.6">
      <c r="B8" s="8"/>
      <c r="C8" s="13" t="s">
        <v>75</v>
      </c>
      <c r="D8" s="33" t="s">
        <v>72</v>
      </c>
      <c r="E8" s="38" t="s">
        <v>70</v>
      </c>
      <c r="F8" s="13" t="s">
        <v>70</v>
      </c>
      <c r="G8" s="13" t="s">
        <v>26</v>
      </c>
      <c r="H8" s="13" t="s">
        <v>71</v>
      </c>
      <c r="I8" s="33"/>
      <c r="M8" s="437" t="s">
        <v>72</v>
      </c>
      <c r="N8" s="421" t="s">
        <v>442</v>
      </c>
      <c r="O8" s="422" t="s">
        <v>70</v>
      </c>
      <c r="P8" s="421" t="s">
        <v>70</v>
      </c>
      <c r="Q8" s="423" t="s">
        <v>26</v>
      </c>
      <c r="R8" s="438" t="s">
        <v>445</v>
      </c>
      <c r="S8" s="423"/>
      <c r="T8" s="423"/>
      <c r="U8" s="423"/>
      <c r="V8" s="421"/>
    </row>
    <row r="9" spans="2:22" x14ac:dyDescent="0.35">
      <c r="B9" s="8"/>
      <c r="C9" s="14">
        <v>0</v>
      </c>
      <c r="D9" s="39" t="s">
        <v>73</v>
      </c>
      <c r="E9" s="27">
        <f>Rates!$D$11</f>
        <v>27.5</v>
      </c>
      <c r="F9" s="27">
        <f>Rates!$E$11</f>
        <v>30.27</v>
      </c>
      <c r="G9" s="50">
        <f>F9-E9</f>
        <v>2.7699999999999996</v>
      </c>
      <c r="H9" s="462">
        <f>G9/E9</f>
        <v>0.10072727272727271</v>
      </c>
      <c r="I9" s="43"/>
      <c r="M9" s="439"/>
      <c r="N9" s="139"/>
      <c r="O9" s="139"/>
      <c r="P9" s="139"/>
      <c r="Q9" s="139"/>
      <c r="R9" s="440"/>
      <c r="S9" s="139"/>
      <c r="T9" s="139"/>
      <c r="U9" s="139"/>
      <c r="V9" s="139"/>
    </row>
    <row r="10" spans="2:22" ht="17" x14ac:dyDescent="0.6">
      <c r="B10" s="8"/>
      <c r="C10" s="6">
        <v>2000</v>
      </c>
      <c r="D10" s="39" t="s">
        <v>73</v>
      </c>
      <c r="E10" s="27">
        <f>Rates!$D$11+(C10*Rates!$D$20)</f>
        <v>35.159999999999997</v>
      </c>
      <c r="F10" s="27">
        <f>Rates!$E$11+(C10*Rates!$E$20)</f>
        <v>38.71</v>
      </c>
      <c r="G10" s="14">
        <f t="shared" ref="G10:G17" si="0">F10-E10</f>
        <v>3.5500000000000043</v>
      </c>
      <c r="H10" s="462">
        <f t="shared" ref="H10:H24" si="1">G10/E10</f>
        <v>0.10096700796359513</v>
      </c>
      <c r="I10" s="43"/>
      <c r="M10" s="439"/>
      <c r="N10" s="498" t="s">
        <v>450</v>
      </c>
      <c r="O10" s="498"/>
      <c r="P10" s="498"/>
      <c r="Q10" s="498"/>
      <c r="R10" s="509"/>
      <c r="S10" s="139"/>
      <c r="T10" s="139"/>
      <c r="U10" s="139"/>
      <c r="V10" s="139"/>
    </row>
    <row r="11" spans="2:22" x14ac:dyDescent="0.35">
      <c r="B11" s="8"/>
      <c r="C11" s="44">
        <v>4000</v>
      </c>
      <c r="D11" s="45" t="s">
        <v>73</v>
      </c>
      <c r="E11" s="431">
        <f>Rates!$D$11+(C11*Rates!$D$20)</f>
        <v>42.82</v>
      </c>
      <c r="F11" s="431">
        <f>Rates!$E$11+(C11*Rates!$E$20)</f>
        <v>47.15</v>
      </c>
      <c r="G11" s="46">
        <f t="shared" si="0"/>
        <v>4.3299999999999983</v>
      </c>
      <c r="H11" s="463">
        <f t="shared" si="1"/>
        <v>0.10112097150864079</v>
      </c>
      <c r="I11" s="47"/>
      <c r="M11" s="441" t="s">
        <v>394</v>
      </c>
      <c r="N11" s="416">
        <v>8000</v>
      </c>
      <c r="O11" s="424">
        <f>E13</f>
        <v>58.14</v>
      </c>
      <c r="P11" s="425">
        <f>F13</f>
        <v>64.03</v>
      </c>
      <c r="Q11" s="425">
        <f>P11-O11</f>
        <v>5.8900000000000006</v>
      </c>
      <c r="R11" s="444">
        <f>Q11/O11</f>
        <v>0.10130718954248367</v>
      </c>
      <c r="S11" s="429"/>
      <c r="T11" s="429"/>
      <c r="U11" s="429"/>
      <c r="V11" s="420"/>
    </row>
    <row r="12" spans="2:22" x14ac:dyDescent="0.35">
      <c r="B12" s="8"/>
      <c r="C12" s="6">
        <v>6000</v>
      </c>
      <c r="D12" s="39" t="s">
        <v>73</v>
      </c>
      <c r="E12" s="27">
        <f>Rates!$D$11+(C12*Rates!$D$20)</f>
        <v>50.480000000000004</v>
      </c>
      <c r="F12" s="27">
        <f>Rates!$E$11+(C12*Rates!$E$20)</f>
        <v>55.59</v>
      </c>
      <c r="G12" s="14">
        <f t="shared" si="0"/>
        <v>5.1099999999999994</v>
      </c>
      <c r="H12" s="462">
        <f t="shared" si="1"/>
        <v>0.10122820919175909</v>
      </c>
      <c r="I12" s="43"/>
      <c r="M12" s="441" t="s">
        <v>27</v>
      </c>
      <c r="N12" s="416">
        <v>30000</v>
      </c>
      <c r="O12" s="417">
        <f>E18</f>
        <v>153.28</v>
      </c>
      <c r="P12" s="418">
        <f>F18</f>
        <v>168.85</v>
      </c>
      <c r="Q12" s="419">
        <f t="shared" ref="Q12:Q13" si="2">P12-O12</f>
        <v>15.569999999999993</v>
      </c>
      <c r="R12" s="444">
        <f t="shared" ref="R12:R13" si="3">Q12/O12</f>
        <v>0.10157881002087678</v>
      </c>
      <c r="S12" s="429"/>
      <c r="T12" s="429"/>
      <c r="U12" s="429"/>
      <c r="V12" s="420"/>
    </row>
    <row r="13" spans="2:22" x14ac:dyDescent="0.35">
      <c r="B13" s="8"/>
      <c r="C13" s="6">
        <v>8000</v>
      </c>
      <c r="D13" s="39" t="s">
        <v>73</v>
      </c>
      <c r="E13" s="27">
        <f>Rates!$D$11+(C13*Rates!$D$20)</f>
        <v>58.14</v>
      </c>
      <c r="F13" s="27">
        <f>Rates!$E$11+(C13*Rates!$E$20)</f>
        <v>64.03</v>
      </c>
      <c r="G13" s="14">
        <f t="shared" si="0"/>
        <v>5.8900000000000006</v>
      </c>
      <c r="H13" s="462">
        <f t="shared" si="1"/>
        <v>0.10130718954248367</v>
      </c>
      <c r="I13" s="43"/>
      <c r="M13" s="441" t="s">
        <v>213</v>
      </c>
      <c r="N13" s="416">
        <v>50000</v>
      </c>
      <c r="O13" s="417">
        <f>E20</f>
        <v>248.04</v>
      </c>
      <c r="P13" s="426">
        <f>F20</f>
        <v>273.24</v>
      </c>
      <c r="Q13" s="419">
        <f t="shared" si="2"/>
        <v>25.200000000000017</v>
      </c>
      <c r="R13" s="444">
        <f t="shared" si="3"/>
        <v>0.10159651669085638</v>
      </c>
      <c r="S13" s="429"/>
      <c r="T13" s="429"/>
      <c r="U13" s="429"/>
      <c r="V13" s="420"/>
    </row>
    <row r="14" spans="2:22" x14ac:dyDescent="0.35">
      <c r="B14" s="8"/>
      <c r="C14" s="6">
        <v>10000</v>
      </c>
      <c r="D14" s="39" t="s">
        <v>73</v>
      </c>
      <c r="E14" s="27">
        <f>Rates!$D$11+(C14*Rates!$D$20)</f>
        <v>65.8</v>
      </c>
      <c r="F14" s="27">
        <f>Rates!$E$11+(C14*Rates!$E$20)</f>
        <v>72.47</v>
      </c>
      <c r="G14" s="14">
        <f t="shared" si="0"/>
        <v>6.6700000000000017</v>
      </c>
      <c r="H14" s="462">
        <f t="shared" si="1"/>
        <v>0.10136778115501523</v>
      </c>
      <c r="I14" s="43"/>
      <c r="M14" s="441" t="s">
        <v>28</v>
      </c>
      <c r="N14" s="416">
        <v>75000</v>
      </c>
      <c r="O14" s="417">
        <f t="shared" ref="O14" si="4">E22</f>
        <v>512.24</v>
      </c>
      <c r="P14" s="426">
        <f t="shared" ref="P14" si="5">F22</f>
        <v>564.28</v>
      </c>
      <c r="Q14" s="419">
        <f t="shared" ref="Q14:Q17" si="6">P14-O14</f>
        <v>52.039999999999964</v>
      </c>
      <c r="R14" s="444">
        <f t="shared" ref="R14:R17" si="7">Q14/O14</f>
        <v>0.10159300327971256</v>
      </c>
      <c r="S14" s="429"/>
      <c r="T14" s="429"/>
      <c r="U14" s="429"/>
      <c r="V14" s="420"/>
    </row>
    <row r="15" spans="2:22" x14ac:dyDescent="0.35">
      <c r="B15" s="8"/>
      <c r="C15" s="6">
        <v>15000</v>
      </c>
      <c r="D15" s="39" t="s">
        <v>73</v>
      </c>
      <c r="E15" s="27">
        <f>Rates!$D$11+(C15*Rates!$D$20)</f>
        <v>84.95</v>
      </c>
      <c r="F15" s="27">
        <f>Rates!$E$11+(C15*Rates!$E$20)</f>
        <v>93.57</v>
      </c>
      <c r="G15" s="14">
        <f t="shared" si="0"/>
        <v>8.6199999999999903</v>
      </c>
      <c r="H15" s="462">
        <f t="shared" si="1"/>
        <v>0.10147145379635068</v>
      </c>
      <c r="I15" s="43"/>
      <c r="M15" s="446" t="s">
        <v>212</v>
      </c>
      <c r="N15" s="447">
        <v>100000</v>
      </c>
      <c r="O15" s="448">
        <f t="shared" ref="O15:P17" si="8">E22</f>
        <v>512.24</v>
      </c>
      <c r="P15" s="449">
        <f t="shared" si="8"/>
        <v>564.28</v>
      </c>
      <c r="Q15" s="419">
        <f t="shared" si="6"/>
        <v>52.039999999999964</v>
      </c>
      <c r="R15" s="444">
        <f t="shared" si="7"/>
        <v>0.10159300327971256</v>
      </c>
      <c r="S15" s="429"/>
      <c r="T15" s="429"/>
      <c r="U15" s="429"/>
      <c r="V15" s="420"/>
    </row>
    <row r="16" spans="2:22" x14ac:dyDescent="0.35">
      <c r="B16" s="8"/>
      <c r="C16" s="6">
        <v>20000</v>
      </c>
      <c r="D16" s="39" t="s">
        <v>73</v>
      </c>
      <c r="E16" s="27">
        <f>Rates!$D$11+(C16*Rates!$D$20)</f>
        <v>104.1</v>
      </c>
      <c r="F16" s="27">
        <f>Rates!$E$11+(C16*Rates!$E$20)</f>
        <v>114.66999999999999</v>
      </c>
      <c r="G16" s="14">
        <f t="shared" si="0"/>
        <v>10.569999999999993</v>
      </c>
      <c r="H16" s="462">
        <f t="shared" si="1"/>
        <v>0.10153698366954846</v>
      </c>
      <c r="I16" s="43"/>
      <c r="M16" s="446" t="s">
        <v>211</v>
      </c>
      <c r="N16" s="447">
        <v>200000</v>
      </c>
      <c r="O16" s="448">
        <f t="shared" si="8"/>
        <v>967.94</v>
      </c>
      <c r="P16" s="449">
        <f t="shared" si="8"/>
        <v>1066.31</v>
      </c>
      <c r="Q16" s="419">
        <f t="shared" si="6"/>
        <v>98.369999999999891</v>
      </c>
      <c r="R16" s="444">
        <f t="shared" si="7"/>
        <v>0.1016282000950471</v>
      </c>
      <c r="S16" s="429"/>
      <c r="T16" s="429"/>
      <c r="U16" s="429"/>
      <c r="V16" s="420"/>
    </row>
    <row r="17" spans="2:18" x14ac:dyDescent="0.35">
      <c r="B17" s="8"/>
      <c r="C17" s="6">
        <v>25000</v>
      </c>
      <c r="D17" s="40" t="s">
        <v>27</v>
      </c>
      <c r="E17" s="27">
        <f>Rates!$D$12+(C17*Rates!$D$20)</f>
        <v>134.13</v>
      </c>
      <c r="F17" s="27">
        <f>Rates!$E$12+(C17*Rates!$E$20)</f>
        <v>147.75</v>
      </c>
      <c r="G17" s="14">
        <f t="shared" si="0"/>
        <v>13.620000000000005</v>
      </c>
      <c r="H17" s="462">
        <f t="shared" si="1"/>
        <v>0.10154327890852162</v>
      </c>
      <c r="I17" s="43"/>
      <c r="M17" s="450" t="s">
        <v>210</v>
      </c>
      <c r="N17" s="451">
        <v>500000</v>
      </c>
      <c r="O17" s="452">
        <f t="shared" si="8"/>
        <v>2298.65</v>
      </c>
      <c r="P17" s="453">
        <f t="shared" si="8"/>
        <v>2532.36</v>
      </c>
      <c r="Q17" s="442">
        <f t="shared" si="6"/>
        <v>233.71000000000004</v>
      </c>
      <c r="R17" s="445">
        <f t="shared" si="7"/>
        <v>0.10167272094490246</v>
      </c>
    </row>
    <row r="18" spans="2:18" x14ac:dyDescent="0.35">
      <c r="B18" s="8"/>
      <c r="C18" s="6">
        <v>30000</v>
      </c>
      <c r="D18" s="40" t="s">
        <v>27</v>
      </c>
      <c r="E18" s="27">
        <f>Rates!$D$12+(C18*Rates!$D$20)</f>
        <v>153.28</v>
      </c>
      <c r="F18" s="27">
        <f>Rates!$E$12+(C18*Rates!$E$20)</f>
        <v>168.85</v>
      </c>
      <c r="G18" s="14">
        <f t="shared" ref="G18:G24" si="9">F18-E18</f>
        <v>15.569999999999993</v>
      </c>
      <c r="H18" s="462">
        <f t="shared" si="1"/>
        <v>0.10157881002087678</v>
      </c>
      <c r="I18" s="43"/>
    </row>
    <row r="19" spans="2:18" x14ac:dyDescent="0.35">
      <c r="B19" s="8"/>
      <c r="C19" s="6">
        <v>40000</v>
      </c>
      <c r="D19" s="40" t="s">
        <v>27</v>
      </c>
      <c r="E19" s="27">
        <f>Rates!$D$12+(C19*Rates!$D$20)</f>
        <v>191.57999999999998</v>
      </c>
      <c r="F19" s="27">
        <f>Rates!$E$12+(C19*Rates!$E$20)</f>
        <v>211.04999999999998</v>
      </c>
      <c r="G19" s="14">
        <f t="shared" si="9"/>
        <v>19.47</v>
      </c>
      <c r="H19" s="462">
        <f t="shared" si="1"/>
        <v>0.10162856248042594</v>
      </c>
      <c r="I19" s="43"/>
      <c r="M19" s="7" t="s">
        <v>446</v>
      </c>
    </row>
    <row r="20" spans="2:18" x14ac:dyDescent="0.35">
      <c r="B20" s="8"/>
      <c r="C20" s="6">
        <v>50000</v>
      </c>
      <c r="D20" s="40" t="s">
        <v>213</v>
      </c>
      <c r="E20" s="27">
        <f>Rates!$D$13+(C20*Rates!$D$20)</f>
        <v>248.04</v>
      </c>
      <c r="F20" s="27">
        <f>Rates!$E$13+(C20*Rates!$E$20)</f>
        <v>273.24</v>
      </c>
      <c r="G20" s="14">
        <f t="shared" si="9"/>
        <v>25.200000000000017</v>
      </c>
      <c r="H20" s="462">
        <f t="shared" si="1"/>
        <v>0.10159651669085638</v>
      </c>
      <c r="I20" s="43"/>
    </row>
    <row r="21" spans="2:18" x14ac:dyDescent="0.35">
      <c r="B21" s="8"/>
      <c r="C21" s="6">
        <v>75000</v>
      </c>
      <c r="D21" s="40" t="s">
        <v>28</v>
      </c>
      <c r="E21" s="27">
        <f>Rates!$D$14+(C21*Rates!$D$20)</f>
        <v>365.62</v>
      </c>
      <c r="F21" s="27">
        <f>Rates!$E$14+(C21*Rates!$E$20)</f>
        <v>402.78</v>
      </c>
      <c r="G21" s="14">
        <f t="shared" si="9"/>
        <v>37.159999999999968</v>
      </c>
      <c r="H21" s="462">
        <f t="shared" si="1"/>
        <v>0.10163557792243304</v>
      </c>
      <c r="I21" s="43"/>
    </row>
    <row r="22" spans="2:18" x14ac:dyDescent="0.35">
      <c r="B22" s="8"/>
      <c r="C22" s="6">
        <v>100000</v>
      </c>
      <c r="D22" s="40" t="s">
        <v>212</v>
      </c>
      <c r="E22" s="27">
        <f>Rates!$D$15+(C22*Rates!$D$20)</f>
        <v>512.24</v>
      </c>
      <c r="F22" s="27">
        <f>Rates!$E$15+(C22*Rates!$E$20)</f>
        <v>564.28</v>
      </c>
      <c r="G22" s="14">
        <f t="shared" si="9"/>
        <v>52.039999999999964</v>
      </c>
      <c r="H22" s="462">
        <f t="shared" si="1"/>
        <v>0.10159300327971256</v>
      </c>
      <c r="I22" s="43"/>
    </row>
    <row r="23" spans="2:18" x14ac:dyDescent="0.35">
      <c r="B23" s="8"/>
      <c r="C23" s="6">
        <v>200000</v>
      </c>
      <c r="D23" s="40" t="s">
        <v>211</v>
      </c>
      <c r="E23" s="27">
        <f>Rates!$D$16+(C23*Rates!$D$20)</f>
        <v>967.94</v>
      </c>
      <c r="F23" s="27">
        <f>Rates!$E$16+(C23*Rates!$E$20)</f>
        <v>1066.31</v>
      </c>
      <c r="G23" s="14">
        <f t="shared" si="9"/>
        <v>98.369999999999891</v>
      </c>
      <c r="H23" s="462">
        <f t="shared" si="1"/>
        <v>0.1016282000950471</v>
      </c>
      <c r="I23" s="43"/>
    </row>
    <row r="24" spans="2:18" x14ac:dyDescent="0.35">
      <c r="B24" s="8"/>
      <c r="C24" s="6">
        <v>500000</v>
      </c>
      <c r="D24" s="40" t="s">
        <v>210</v>
      </c>
      <c r="E24" s="27">
        <f>Rates!$D$17+(C24*Rates!$D$20)</f>
        <v>2298.65</v>
      </c>
      <c r="F24" s="27">
        <f>Rates!$E$17+(C24*Rates!$E$20)</f>
        <v>2532.36</v>
      </c>
      <c r="G24" s="14">
        <f t="shared" si="9"/>
        <v>233.71000000000004</v>
      </c>
      <c r="H24" s="462">
        <f t="shared" si="1"/>
        <v>0.10167272094490246</v>
      </c>
      <c r="I24" s="43"/>
    </row>
    <row r="25" spans="2:18" ht="6" customHeight="1" x14ac:dyDescent="0.35">
      <c r="B25" s="10"/>
      <c r="C25" s="5"/>
      <c r="D25" s="4"/>
      <c r="E25" s="42"/>
      <c r="F25" s="41"/>
      <c r="G25" s="41"/>
      <c r="H25" s="5"/>
      <c r="I25" s="11"/>
    </row>
    <row r="27" spans="2:18" x14ac:dyDescent="0.35">
      <c r="D27" s="51" t="s">
        <v>76</v>
      </c>
    </row>
    <row r="29" spans="2:18" x14ac:dyDescent="0.35">
      <c r="B29" s="6"/>
      <c r="C29" s="6"/>
      <c r="D29" s="6"/>
      <c r="E29" s="6"/>
      <c r="F29" s="6"/>
      <c r="G29" s="6"/>
      <c r="H29" s="6"/>
      <c r="I29" s="6"/>
      <c r="J29" s="6"/>
      <c r="K29" s="6"/>
      <c r="L29" s="6"/>
      <c r="M29" s="6"/>
      <c r="N29" s="6"/>
      <c r="O29" s="6"/>
      <c r="P29" s="6"/>
      <c r="Q29" s="6"/>
      <c r="R29" s="6"/>
    </row>
    <row r="30" spans="2:18" ht="18.5" x14ac:dyDescent="0.45">
      <c r="B30" s="508"/>
      <c r="C30" s="508"/>
      <c r="D30" s="508"/>
      <c r="E30" s="508"/>
      <c r="F30" s="508"/>
      <c r="G30" s="508"/>
      <c r="H30" s="508"/>
      <c r="I30" s="508"/>
      <c r="J30" s="6"/>
      <c r="K30" s="6"/>
      <c r="L30" s="6"/>
      <c r="M30" s="6"/>
      <c r="N30" s="6"/>
      <c r="O30" s="6"/>
      <c r="P30" s="6"/>
      <c r="Q30" s="6"/>
      <c r="R30" s="6"/>
    </row>
    <row r="31" spans="2:18" ht="18.5" x14ac:dyDescent="0.45">
      <c r="B31" s="504"/>
      <c r="C31" s="504"/>
      <c r="D31" s="504"/>
      <c r="E31" s="504"/>
      <c r="F31" s="504"/>
      <c r="G31" s="504"/>
      <c r="H31" s="504"/>
      <c r="I31" s="504"/>
      <c r="J31" s="6"/>
      <c r="K31" s="6"/>
      <c r="L31" s="6"/>
      <c r="M31" s="6"/>
      <c r="N31" s="6"/>
      <c r="O31" s="6"/>
      <c r="P31" s="6"/>
      <c r="Q31" s="6"/>
      <c r="R31" s="6"/>
    </row>
    <row r="32" spans="2:18" ht="15.5" x14ac:dyDescent="0.35">
      <c r="B32" s="473"/>
      <c r="C32" s="473"/>
      <c r="D32" s="473"/>
      <c r="E32" s="473"/>
      <c r="F32" s="473"/>
      <c r="G32" s="473"/>
      <c r="H32" s="473"/>
      <c r="I32" s="473"/>
      <c r="J32" s="6"/>
      <c r="K32" s="6"/>
      <c r="L32" s="6"/>
      <c r="M32" s="6"/>
      <c r="N32" s="6"/>
      <c r="O32" s="6"/>
      <c r="P32" s="6"/>
      <c r="Q32" s="6"/>
      <c r="R32" s="6"/>
    </row>
    <row r="33" spans="2:22" x14ac:dyDescent="0.35">
      <c r="B33" s="6"/>
      <c r="C33" s="6"/>
      <c r="D33" s="6"/>
      <c r="E33" s="6"/>
      <c r="F33" s="6"/>
      <c r="G33" s="6"/>
      <c r="H33" s="6"/>
      <c r="I33" s="6"/>
      <c r="J33" s="6"/>
      <c r="K33" s="6"/>
      <c r="L33" s="6"/>
      <c r="M33" s="6"/>
      <c r="N33" s="6"/>
      <c r="O33" s="6"/>
      <c r="P33" s="6"/>
      <c r="Q33" s="6"/>
      <c r="R33" s="6"/>
    </row>
    <row r="34" spans="2:22" ht="15.5" x14ac:dyDescent="0.35">
      <c r="B34" s="6"/>
      <c r="C34" s="6"/>
      <c r="D34" s="6"/>
      <c r="E34" s="36"/>
      <c r="F34" s="36"/>
      <c r="G34" s="36"/>
      <c r="H34" s="36"/>
      <c r="I34" s="36"/>
      <c r="J34" s="6"/>
      <c r="K34" s="6"/>
      <c r="L34" s="6"/>
      <c r="M34" s="6"/>
      <c r="N34" s="6"/>
      <c r="O34" s="6"/>
      <c r="P34" s="6"/>
      <c r="Q34" s="6"/>
      <c r="R34" s="6"/>
    </row>
    <row r="35" spans="2:22" ht="17" x14ac:dyDescent="0.6">
      <c r="B35" s="6"/>
      <c r="C35" s="13"/>
      <c r="D35" s="13"/>
      <c r="E35" s="13"/>
      <c r="F35" s="13"/>
      <c r="G35" s="13"/>
      <c r="H35" s="13"/>
      <c r="I35" s="13"/>
      <c r="J35" s="6"/>
      <c r="K35" s="6"/>
      <c r="L35" s="6"/>
      <c r="M35" s="220"/>
      <c r="N35" s="421"/>
      <c r="O35" s="423"/>
      <c r="P35" s="427"/>
      <c r="Q35" s="421"/>
      <c r="R35" s="421"/>
      <c r="S35" s="423"/>
      <c r="T35" s="423"/>
      <c r="U35" s="421"/>
      <c r="V35" s="421"/>
    </row>
    <row r="36" spans="2:22" ht="17" x14ac:dyDescent="0.6">
      <c r="B36" s="6"/>
      <c r="C36" s="13"/>
      <c r="D36" s="13"/>
      <c r="E36" s="13"/>
      <c r="F36" s="13"/>
      <c r="G36" s="13"/>
      <c r="H36" s="13"/>
      <c r="I36" s="13"/>
      <c r="J36" s="6"/>
      <c r="K36" s="6"/>
      <c r="L36" s="6"/>
      <c r="M36" s="456"/>
      <c r="N36" s="421"/>
      <c r="O36" s="423"/>
      <c r="P36" s="421"/>
      <c r="Q36" s="423"/>
      <c r="R36" s="421"/>
      <c r="S36" s="423"/>
      <c r="T36" s="423"/>
      <c r="U36" s="423"/>
      <c r="V36" s="421"/>
    </row>
    <row r="37" spans="2:22" x14ac:dyDescent="0.35">
      <c r="B37" s="6"/>
      <c r="C37" s="14"/>
      <c r="D37" s="457"/>
      <c r="E37" s="14"/>
      <c r="F37" s="14"/>
      <c r="G37" s="50"/>
      <c r="H37" s="69"/>
      <c r="I37" s="458"/>
      <c r="J37" s="6"/>
      <c r="K37" s="6"/>
      <c r="L37" s="6"/>
      <c r="M37" s="139"/>
      <c r="N37" s="139"/>
      <c r="O37" s="139"/>
      <c r="P37" s="139"/>
      <c r="Q37" s="139"/>
      <c r="R37" s="139"/>
      <c r="S37" s="139"/>
      <c r="T37" s="139"/>
      <c r="U37" s="139"/>
      <c r="V37" s="139"/>
    </row>
    <row r="38" spans="2:22" ht="17" x14ac:dyDescent="0.6">
      <c r="B38" s="6"/>
      <c r="C38" s="6"/>
      <c r="D38" s="457"/>
      <c r="E38" s="14"/>
      <c r="F38" s="14"/>
      <c r="G38" s="14"/>
      <c r="H38" s="69"/>
      <c r="I38" s="458"/>
      <c r="J38" s="6"/>
      <c r="K38" s="6"/>
      <c r="L38" s="6"/>
      <c r="M38" s="139"/>
      <c r="N38" s="498"/>
      <c r="O38" s="498"/>
      <c r="P38" s="498"/>
      <c r="Q38" s="498"/>
      <c r="R38" s="499"/>
      <c r="S38" s="139"/>
      <c r="T38" s="139"/>
      <c r="U38" s="139"/>
      <c r="V38" s="139"/>
    </row>
    <row r="39" spans="2:22" x14ac:dyDescent="0.35">
      <c r="B39" s="6"/>
      <c r="C39" s="44"/>
      <c r="D39" s="459"/>
      <c r="E39" s="46"/>
      <c r="F39" s="46"/>
      <c r="G39" s="46"/>
      <c r="H39" s="70"/>
      <c r="I39" s="460"/>
      <c r="J39" s="6"/>
      <c r="K39" s="6"/>
      <c r="L39" s="6"/>
      <c r="M39" s="428"/>
      <c r="N39" s="416"/>
      <c r="O39" s="425"/>
      <c r="P39" s="425"/>
      <c r="Q39" s="425"/>
      <c r="R39" s="420"/>
      <c r="S39" s="429"/>
      <c r="T39" s="429"/>
      <c r="U39" s="429"/>
      <c r="V39" s="420"/>
    </row>
    <row r="40" spans="2:22" x14ac:dyDescent="0.35">
      <c r="B40" s="6"/>
      <c r="C40" s="6"/>
      <c r="D40" s="457"/>
      <c r="E40" s="14"/>
      <c r="F40" s="14"/>
      <c r="G40" s="14"/>
      <c r="H40" s="69"/>
      <c r="I40" s="458"/>
      <c r="J40" s="6"/>
      <c r="K40" s="6"/>
      <c r="L40" s="6"/>
      <c r="M40" s="428"/>
      <c r="N40" s="416"/>
      <c r="O40" s="418"/>
      <c r="P40" s="418"/>
      <c r="Q40" s="419"/>
      <c r="R40" s="420"/>
      <c r="S40" s="429"/>
      <c r="T40" s="429"/>
      <c r="U40" s="429"/>
      <c r="V40" s="420"/>
    </row>
    <row r="41" spans="2:22" x14ac:dyDescent="0.35">
      <c r="B41" s="6"/>
      <c r="C41" s="6"/>
      <c r="D41" s="457"/>
      <c r="E41" s="14"/>
      <c r="F41" s="14"/>
      <c r="G41" s="14"/>
      <c r="H41" s="69"/>
      <c r="I41" s="458"/>
      <c r="J41" s="6"/>
      <c r="K41" s="6"/>
      <c r="L41" s="6"/>
      <c r="M41" s="428"/>
      <c r="N41" s="416"/>
      <c r="O41" s="447"/>
      <c r="P41" s="447"/>
      <c r="Q41" s="419"/>
      <c r="R41" s="420"/>
      <c r="S41" s="429"/>
      <c r="T41" s="429"/>
      <c r="U41" s="429"/>
      <c r="V41" s="420"/>
    </row>
    <row r="42" spans="2:22" x14ac:dyDescent="0.35">
      <c r="B42" s="6"/>
      <c r="C42" s="6"/>
      <c r="D42" s="457"/>
      <c r="E42" s="14"/>
      <c r="F42" s="14"/>
      <c r="G42" s="14"/>
      <c r="H42" s="69"/>
      <c r="I42" s="458"/>
      <c r="J42" s="6"/>
      <c r="K42" s="6"/>
      <c r="L42" s="6"/>
      <c r="M42" s="428"/>
      <c r="N42" s="416"/>
      <c r="O42" s="418"/>
      <c r="P42" s="426"/>
      <c r="Q42" s="419"/>
      <c r="R42" s="420"/>
      <c r="S42" s="429"/>
      <c r="T42" s="429"/>
      <c r="U42" s="429"/>
      <c r="V42" s="420"/>
    </row>
    <row r="43" spans="2:22" x14ac:dyDescent="0.35">
      <c r="B43" s="6"/>
      <c r="C43" s="6"/>
      <c r="D43" s="457"/>
      <c r="E43" s="14"/>
      <c r="F43" s="14"/>
      <c r="G43" s="14"/>
      <c r="H43" s="69"/>
      <c r="I43" s="458"/>
      <c r="J43" s="6"/>
      <c r="K43" s="6"/>
      <c r="L43" s="6"/>
      <c r="M43" s="18"/>
      <c r="N43" s="6"/>
      <c r="O43" s="14"/>
      <c r="P43" s="14"/>
      <c r="Q43" s="419"/>
      <c r="R43" s="420"/>
      <c r="S43" s="429"/>
      <c r="T43" s="429"/>
      <c r="U43" s="429"/>
      <c r="V43" s="420"/>
    </row>
    <row r="44" spans="2:22" x14ac:dyDescent="0.35">
      <c r="B44" s="6"/>
      <c r="C44" s="6"/>
      <c r="D44" s="457"/>
      <c r="E44" s="14"/>
      <c r="F44" s="14"/>
      <c r="G44" s="14"/>
      <c r="H44" s="69"/>
      <c r="I44" s="458"/>
      <c r="J44" s="6"/>
      <c r="K44" s="6"/>
      <c r="L44" s="6"/>
      <c r="M44" s="18"/>
      <c r="N44" s="6"/>
      <c r="O44" s="14"/>
      <c r="P44" s="14"/>
      <c r="Q44" s="419"/>
      <c r="R44" s="420"/>
      <c r="S44" s="429"/>
      <c r="T44" s="429"/>
      <c r="U44" s="429"/>
      <c r="V44" s="420"/>
    </row>
    <row r="45" spans="2:22" x14ac:dyDescent="0.35">
      <c r="B45" s="6"/>
      <c r="C45" s="6"/>
      <c r="D45" s="18"/>
      <c r="E45" s="14"/>
      <c r="F45" s="14"/>
      <c r="G45" s="14"/>
      <c r="H45" s="69"/>
      <c r="I45" s="458"/>
      <c r="J45" s="6"/>
      <c r="K45" s="6"/>
      <c r="L45" s="6"/>
      <c r="M45" s="18"/>
      <c r="N45" s="6"/>
      <c r="O45" s="14"/>
      <c r="P45" s="14"/>
      <c r="Q45" s="419"/>
      <c r="R45" s="420"/>
    </row>
    <row r="46" spans="2:22" x14ac:dyDescent="0.35">
      <c r="B46" s="6"/>
      <c r="C46" s="6"/>
      <c r="D46" s="18"/>
      <c r="E46" s="14"/>
      <c r="F46" s="14"/>
      <c r="G46" s="14"/>
      <c r="H46" s="69"/>
      <c r="I46" s="458"/>
      <c r="J46" s="6"/>
      <c r="K46" s="6"/>
      <c r="L46" s="6"/>
      <c r="M46" s="6"/>
      <c r="N46" s="6"/>
      <c r="O46" s="6"/>
      <c r="P46" s="6"/>
      <c r="Q46" s="6"/>
      <c r="R46" s="6"/>
    </row>
    <row r="47" spans="2:22" x14ac:dyDescent="0.35">
      <c r="B47" s="6"/>
      <c r="C47" s="6"/>
      <c r="D47" s="18"/>
      <c r="E47" s="14"/>
      <c r="F47" s="14"/>
      <c r="G47" s="14"/>
      <c r="H47" s="69"/>
      <c r="I47" s="458"/>
      <c r="J47" s="6"/>
      <c r="K47" s="6"/>
      <c r="L47" s="6"/>
      <c r="M47" s="6"/>
      <c r="N47" s="6"/>
      <c r="O47" s="6"/>
      <c r="P47" s="6"/>
      <c r="Q47" s="6"/>
      <c r="R47" s="6"/>
    </row>
    <row r="48" spans="2:22" x14ac:dyDescent="0.35">
      <c r="B48" s="6"/>
      <c r="C48" s="6"/>
      <c r="D48" s="18"/>
      <c r="E48" s="14"/>
      <c r="F48" s="14"/>
      <c r="G48" s="14"/>
      <c r="H48" s="69"/>
      <c r="I48" s="458"/>
      <c r="J48" s="6"/>
      <c r="K48" s="6"/>
      <c r="L48" s="6"/>
      <c r="M48" s="6"/>
      <c r="N48" s="6"/>
      <c r="O48" s="6"/>
      <c r="P48" s="6"/>
      <c r="Q48" s="6"/>
      <c r="R48" s="6"/>
    </row>
    <row r="49" spans="2:18" x14ac:dyDescent="0.35">
      <c r="B49" s="6"/>
      <c r="C49" s="6"/>
      <c r="D49" s="18"/>
      <c r="E49" s="14"/>
      <c r="F49" s="14"/>
      <c r="G49" s="14"/>
      <c r="H49" s="69"/>
      <c r="I49" s="458"/>
      <c r="J49" s="6"/>
      <c r="K49" s="6"/>
      <c r="L49" s="6"/>
      <c r="M49" s="6"/>
      <c r="N49" s="6"/>
      <c r="O49" s="6"/>
      <c r="P49" s="6"/>
      <c r="Q49" s="6"/>
      <c r="R49" s="6"/>
    </row>
    <row r="50" spans="2:18" x14ac:dyDescent="0.35">
      <c r="B50" s="6"/>
      <c r="C50" s="6"/>
      <c r="D50" s="18"/>
      <c r="E50" s="14"/>
      <c r="F50" s="14"/>
      <c r="G50" s="14"/>
      <c r="H50" s="69"/>
      <c r="I50" s="458"/>
      <c r="J50" s="6"/>
      <c r="K50" s="6"/>
      <c r="L50" s="6"/>
      <c r="M50" s="6"/>
      <c r="N50" s="6"/>
      <c r="O50" s="6"/>
      <c r="P50" s="6"/>
      <c r="Q50" s="6"/>
      <c r="R50" s="6"/>
    </row>
    <row r="51" spans="2:18" x14ac:dyDescent="0.35">
      <c r="B51" s="6"/>
      <c r="C51" s="6"/>
      <c r="D51" s="18"/>
      <c r="E51" s="14"/>
      <c r="F51" s="14"/>
      <c r="G51" s="14"/>
      <c r="H51" s="69"/>
      <c r="I51" s="458"/>
      <c r="J51" s="6"/>
      <c r="K51" s="6"/>
      <c r="L51" s="6"/>
      <c r="M51" s="6"/>
      <c r="N51" s="6"/>
      <c r="O51" s="6"/>
      <c r="P51" s="6"/>
      <c r="Q51" s="6"/>
      <c r="R51" s="6"/>
    </row>
    <row r="52" spans="2:18" x14ac:dyDescent="0.35">
      <c r="B52" s="6"/>
      <c r="C52" s="6"/>
      <c r="D52" s="18"/>
      <c r="E52" s="14"/>
      <c r="F52" s="14"/>
      <c r="G52" s="14"/>
      <c r="H52" s="69"/>
      <c r="I52" s="458"/>
      <c r="J52" s="6"/>
      <c r="K52" s="6"/>
      <c r="L52" s="6"/>
      <c r="M52" s="6"/>
      <c r="N52" s="6"/>
      <c r="O52" s="6"/>
      <c r="P52" s="6"/>
      <c r="Q52" s="6"/>
      <c r="R52" s="6"/>
    </row>
    <row r="53" spans="2:18" ht="15.5" x14ac:dyDescent="0.35">
      <c r="B53" s="6"/>
      <c r="C53" s="6"/>
      <c r="D53"/>
      <c r="E53" s="14"/>
      <c r="F53" s="14"/>
      <c r="G53" s="14"/>
      <c r="H53" s="6"/>
      <c r="I53" s="6"/>
      <c r="J53" s="6"/>
      <c r="K53" s="6"/>
      <c r="L53" s="6"/>
      <c r="M53" s="6"/>
      <c r="N53" s="6"/>
      <c r="O53" s="6"/>
      <c r="P53" s="6"/>
      <c r="Q53" s="6"/>
      <c r="R53" s="6"/>
    </row>
    <row r="54" spans="2:18" x14ac:dyDescent="0.35">
      <c r="B54" s="6"/>
      <c r="C54" s="6"/>
      <c r="D54" s="6"/>
      <c r="E54" s="6"/>
      <c r="F54" s="6"/>
      <c r="G54" s="6"/>
      <c r="H54" s="6"/>
      <c r="I54" s="6"/>
      <c r="J54" s="6"/>
      <c r="K54" s="6"/>
      <c r="L54" s="6"/>
      <c r="M54" s="6"/>
      <c r="N54" s="6"/>
      <c r="O54" s="6"/>
      <c r="P54" s="6"/>
      <c r="Q54" s="6"/>
      <c r="R54" s="6"/>
    </row>
    <row r="55" spans="2:18" x14ac:dyDescent="0.35">
      <c r="B55" s="6"/>
      <c r="C55" s="6"/>
      <c r="D55" s="461"/>
      <c r="E55" s="6"/>
      <c r="F55" s="6"/>
      <c r="G55" s="6"/>
      <c r="H55" s="6"/>
      <c r="I55" s="6"/>
      <c r="J55" s="6"/>
      <c r="K55" s="6"/>
      <c r="L55" s="6"/>
      <c r="M55" s="6"/>
      <c r="N55" s="6"/>
      <c r="O55" s="6"/>
      <c r="P55" s="6"/>
      <c r="Q55" s="6"/>
      <c r="R55" s="6"/>
    </row>
  </sheetData>
  <mergeCells count="8">
    <mergeCell ref="N38:R38"/>
    <mergeCell ref="B32:I32"/>
    <mergeCell ref="B2:I2"/>
    <mergeCell ref="B3:I3"/>
    <mergeCell ref="B4:I4"/>
    <mergeCell ref="B30:I30"/>
    <mergeCell ref="B31:I31"/>
    <mergeCell ref="N10:R10"/>
  </mergeCells>
  <printOptions horizontalCentered="1"/>
  <pageMargins left="0.7" right="0.7" top="1.1000000000000001"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EF004-73BD-4C2A-85DA-B682B48EA656}">
  <sheetPr>
    <tabColor rgb="FF92D050"/>
    <pageSetUpPr fitToPage="1"/>
  </sheetPr>
  <dimension ref="A1:N42"/>
  <sheetViews>
    <sheetView showGridLines="0" topLeftCell="A20" workbookViewId="0">
      <selection sqref="A1:F37"/>
    </sheetView>
  </sheetViews>
  <sheetFormatPr defaultColWidth="8.84375" defaultRowHeight="15.5" x14ac:dyDescent="0.35"/>
  <cols>
    <col min="1" max="1" width="12.69140625" style="133" customWidth="1"/>
    <col min="2" max="2" width="9.15234375" style="133" customWidth="1"/>
    <col min="3" max="3" width="19.3046875" style="133" customWidth="1"/>
    <col min="4" max="4" width="10.4609375" style="133" customWidth="1"/>
    <col min="5" max="5" width="12.4609375" style="133" bestFit="1" customWidth="1"/>
    <col min="6" max="6" width="11.15234375" style="133" customWidth="1"/>
    <col min="7" max="7" width="22.4609375" style="133" customWidth="1"/>
    <col min="8" max="8" width="33.53515625" style="133" customWidth="1"/>
    <col min="9" max="13" width="10.4609375" style="133" customWidth="1"/>
    <col min="14" max="14" width="13.07421875" style="133" customWidth="1"/>
    <col min="15" max="16384" width="8.84375" style="133"/>
  </cols>
  <sheetData>
    <row r="1" spans="1:14" ht="21" x14ac:dyDescent="0.5">
      <c r="A1" s="510" t="s">
        <v>331</v>
      </c>
      <c r="B1" s="510"/>
      <c r="C1" s="510"/>
      <c r="D1" s="510"/>
      <c r="E1" s="510"/>
      <c r="F1" s="510"/>
      <c r="G1" s="454"/>
      <c r="H1" s="454"/>
    </row>
    <row r="2" spans="1:14" ht="18.5" x14ac:dyDescent="0.35">
      <c r="A2" s="482" t="s">
        <v>208</v>
      </c>
      <c r="B2" s="482"/>
      <c r="C2" s="482"/>
      <c r="D2" s="482"/>
      <c r="E2" s="482"/>
      <c r="F2" s="482"/>
      <c r="G2" s="34"/>
      <c r="H2" s="34"/>
    </row>
    <row r="3" spans="1:14" x14ac:dyDescent="0.35">
      <c r="A3" s="21"/>
      <c r="B3" s="22"/>
      <c r="C3" s="22"/>
      <c r="D3" s="22"/>
      <c r="E3" s="22"/>
      <c r="F3" s="22"/>
      <c r="G3" s="22"/>
      <c r="H3" s="22"/>
    </row>
    <row r="4" spans="1:14" x14ac:dyDescent="0.35">
      <c r="A4" s="233"/>
      <c r="B4" s="231"/>
      <c r="C4" s="513" t="s">
        <v>50</v>
      </c>
      <c r="D4" s="513"/>
      <c r="E4" s="513"/>
      <c r="F4" s="513"/>
      <c r="G4" s="238"/>
      <c r="H4" s="1"/>
    </row>
    <row r="5" spans="1:14" x14ac:dyDescent="0.35">
      <c r="A5" s="233"/>
      <c r="B5" s="233"/>
      <c r="C5" s="232" t="s">
        <v>159</v>
      </c>
      <c r="D5" s="239" t="s">
        <v>52</v>
      </c>
      <c r="E5" s="239" t="s">
        <v>53</v>
      </c>
      <c r="F5" s="240" t="s">
        <v>56</v>
      </c>
      <c r="G5" s="241"/>
      <c r="H5" s="18"/>
      <c r="I5" s="138"/>
    </row>
    <row r="6" spans="1:14" x14ac:dyDescent="0.35">
      <c r="A6" s="233"/>
      <c r="B6" s="233"/>
      <c r="C6" s="233" t="s">
        <v>229</v>
      </c>
      <c r="D6" s="242">
        <f>C23</f>
        <v>34044</v>
      </c>
      <c r="E6" s="243"/>
      <c r="F6" s="244">
        <f>E23</f>
        <v>973271.88000000012</v>
      </c>
      <c r="G6" s="244"/>
      <c r="H6" s="148"/>
      <c r="I6" s="149"/>
      <c r="J6" s="150"/>
      <c r="L6" s="134"/>
      <c r="M6" s="134"/>
      <c r="N6" s="134"/>
    </row>
    <row r="7" spans="1:14" x14ac:dyDescent="0.35">
      <c r="A7" s="233"/>
      <c r="B7" s="233"/>
      <c r="C7" s="233" t="s">
        <v>51</v>
      </c>
      <c r="D7" s="242"/>
      <c r="E7" s="243">
        <f>C34</f>
        <v>369352590</v>
      </c>
      <c r="F7" s="244">
        <f>E34</f>
        <v>1414620.4196999997</v>
      </c>
      <c r="G7" s="244"/>
      <c r="H7" s="148"/>
      <c r="I7" s="149"/>
      <c r="J7" s="150"/>
      <c r="L7" s="134"/>
      <c r="M7" s="134"/>
      <c r="N7" s="134"/>
    </row>
    <row r="8" spans="1:14" s="252" customFormat="1" ht="15" customHeight="1" x14ac:dyDescent="0.35">
      <c r="A8" s="248"/>
      <c r="B8" s="248"/>
      <c r="C8" s="248" t="s">
        <v>160</v>
      </c>
      <c r="D8" s="249"/>
      <c r="E8" s="249"/>
      <c r="F8" s="250">
        <f>-(1366.87+1937.49)</f>
        <v>-3304.3599999999997</v>
      </c>
      <c r="G8" s="250"/>
      <c r="I8" s="251" t="s">
        <v>255</v>
      </c>
      <c r="L8" s="253"/>
      <c r="M8" s="253"/>
      <c r="N8" s="253"/>
    </row>
    <row r="9" spans="1:14" x14ac:dyDescent="0.35">
      <c r="A9" s="233"/>
      <c r="B9" s="233"/>
      <c r="C9" s="245" t="s">
        <v>199</v>
      </c>
      <c r="D9" s="243"/>
      <c r="E9" s="243"/>
      <c r="F9" s="246">
        <f>SUM(F6:F8)</f>
        <v>2384587.9397</v>
      </c>
      <c r="G9" s="413"/>
      <c r="H9" s="1"/>
    </row>
    <row r="10" spans="1:14" ht="18.5" x14ac:dyDescent="0.65">
      <c r="A10" s="233"/>
      <c r="B10" s="233"/>
      <c r="C10" s="245" t="s">
        <v>161</v>
      </c>
      <c r="D10" s="243"/>
      <c r="E10" s="243"/>
      <c r="F10" s="247">
        <f>SUM(SAO!D6:D10)</f>
        <v>1989807</v>
      </c>
      <c r="G10" s="247"/>
      <c r="H10" s="1"/>
    </row>
    <row r="11" spans="1:14" x14ac:dyDescent="0.35">
      <c r="A11" s="233"/>
      <c r="B11" s="233"/>
      <c r="C11" s="245" t="s">
        <v>162</v>
      </c>
      <c r="D11" s="243"/>
      <c r="E11" s="243"/>
      <c r="F11" s="246">
        <f>F9-F10</f>
        <v>394780.93969999999</v>
      </c>
      <c r="H11" s="300" t="s">
        <v>258</v>
      </c>
      <c r="I11" s="1" t="s">
        <v>163</v>
      </c>
      <c r="K11" s="210"/>
    </row>
    <row r="12" spans="1:14" x14ac:dyDescent="0.35">
      <c r="A12" s="1"/>
      <c r="B12" s="1"/>
      <c r="C12" s="16"/>
      <c r="D12" s="147"/>
      <c r="E12" s="1"/>
      <c r="F12" s="1"/>
      <c r="G12" s="1"/>
      <c r="H12" s="1"/>
    </row>
    <row r="13" spans="1:14" x14ac:dyDescent="0.35">
      <c r="A13" s="236" t="s">
        <v>249</v>
      </c>
      <c r="B13" s="233"/>
      <c r="C13" s="233"/>
      <c r="D13" s="233"/>
      <c r="E13" s="233"/>
      <c r="F13" s="1"/>
      <c r="G13" s="1"/>
      <c r="H13" s="1"/>
    </row>
    <row r="14" spans="1:14" x14ac:dyDescent="0.35">
      <c r="A14" s="233"/>
      <c r="B14" s="233"/>
      <c r="C14" s="237" t="s">
        <v>196</v>
      </c>
      <c r="D14" s="237" t="s">
        <v>225</v>
      </c>
      <c r="E14" s="237"/>
      <c r="F14" s="18"/>
      <c r="G14" s="18"/>
      <c r="H14" s="18"/>
      <c r="I14" s="1"/>
    </row>
    <row r="15" spans="1:14" ht="18.5" x14ac:dyDescent="0.65">
      <c r="A15" s="511" t="s">
        <v>227</v>
      </c>
      <c r="B15" s="512"/>
      <c r="C15" s="254" t="s">
        <v>52</v>
      </c>
      <c r="D15" s="255" t="s">
        <v>226</v>
      </c>
      <c r="E15" s="254" t="s">
        <v>12</v>
      </c>
      <c r="F15" s="145"/>
      <c r="G15" s="145"/>
      <c r="H15" s="145"/>
      <c r="I15" s="18"/>
    </row>
    <row r="16" spans="1:14" x14ac:dyDescent="0.35">
      <c r="A16" s="493" t="s">
        <v>217</v>
      </c>
      <c r="B16" s="494"/>
      <c r="C16" s="145">
        <f>(154+5294)*6</f>
        <v>32688</v>
      </c>
      <c r="D16" s="357">
        <f>Rates!D11</f>
        <v>27.5</v>
      </c>
      <c r="E16" s="145">
        <f>C16*D16</f>
        <v>898920</v>
      </c>
      <c r="F16" s="145"/>
      <c r="G16" s="145"/>
      <c r="H16" s="145"/>
      <c r="I16" s="18"/>
      <c r="J16" s="133">
        <v>154</v>
      </c>
    </row>
    <row r="17" spans="1:11" x14ac:dyDescent="0.35">
      <c r="A17" s="228"/>
      <c r="B17" s="227" t="s">
        <v>218</v>
      </c>
      <c r="C17" s="145">
        <f>(106+45)*6</f>
        <v>906</v>
      </c>
      <c r="D17" s="357">
        <f>Rates!D12</f>
        <v>38.380000000000003</v>
      </c>
      <c r="E17" s="145">
        <f t="shared" ref="E17:E22" si="0">C17*D17</f>
        <v>34772.28</v>
      </c>
      <c r="F17" s="145"/>
      <c r="G17" s="145"/>
      <c r="H17" s="145"/>
      <c r="I17" s="18"/>
      <c r="J17" s="133">
        <v>106</v>
      </c>
    </row>
    <row r="18" spans="1:11" x14ac:dyDescent="0.35">
      <c r="A18" s="228"/>
      <c r="B18" s="227" t="s">
        <v>219</v>
      </c>
      <c r="C18" s="145">
        <f>(17+10)*6</f>
        <v>162</v>
      </c>
      <c r="D18" s="357">
        <f>Rates!D13</f>
        <v>56.54</v>
      </c>
      <c r="E18" s="145">
        <f t="shared" si="0"/>
        <v>9159.48</v>
      </c>
      <c r="F18" s="145"/>
      <c r="G18" s="145"/>
      <c r="H18" s="145"/>
      <c r="I18" s="18"/>
      <c r="J18" s="133">
        <v>17</v>
      </c>
    </row>
    <row r="19" spans="1:11" x14ac:dyDescent="0.35">
      <c r="A19" s="228"/>
      <c r="B19" s="227" t="s">
        <v>220</v>
      </c>
      <c r="C19" s="145">
        <f>(31+2)*6</f>
        <v>198</v>
      </c>
      <c r="D19" s="357">
        <f>Rates!D14</f>
        <v>78.37</v>
      </c>
      <c r="E19" s="145">
        <f t="shared" si="0"/>
        <v>15517.26</v>
      </c>
      <c r="F19" s="20"/>
      <c r="G19" s="20"/>
      <c r="H19" s="20"/>
      <c r="I19" s="20"/>
      <c r="J19" s="133">
        <v>31</v>
      </c>
    </row>
    <row r="20" spans="1:11" x14ac:dyDescent="0.35">
      <c r="A20" s="228"/>
      <c r="B20" s="227" t="s">
        <v>221</v>
      </c>
      <c r="C20" s="145">
        <f>10*6</f>
        <v>60</v>
      </c>
      <c r="D20" s="357">
        <f>Rates!D15</f>
        <v>129.24</v>
      </c>
      <c r="E20" s="145">
        <f t="shared" si="0"/>
        <v>7754.4000000000005</v>
      </c>
      <c r="F20" s="20"/>
      <c r="G20" s="20"/>
      <c r="H20" s="20"/>
      <c r="I20" s="20"/>
      <c r="J20" s="133">
        <v>10</v>
      </c>
    </row>
    <row r="21" spans="1:11" x14ac:dyDescent="0.35">
      <c r="A21" s="228"/>
      <c r="B21" s="227" t="s">
        <v>222</v>
      </c>
      <c r="C21" s="145">
        <f>(1+2+1)*6</f>
        <v>24</v>
      </c>
      <c r="D21" s="357">
        <f>Rates!D16</f>
        <v>201.94</v>
      </c>
      <c r="E21" s="145">
        <f t="shared" si="0"/>
        <v>4846.5599999999995</v>
      </c>
      <c r="F21" s="20"/>
      <c r="G21" s="20"/>
      <c r="H21" s="20"/>
      <c r="I21" s="20"/>
      <c r="J21" s="133">
        <v>1</v>
      </c>
    </row>
    <row r="22" spans="1:11" x14ac:dyDescent="0.35">
      <c r="A22" s="228"/>
      <c r="B22" s="227" t="s">
        <v>223</v>
      </c>
      <c r="C22" s="266">
        <f>1*6</f>
        <v>6</v>
      </c>
      <c r="D22" s="358">
        <f>Rates!D17</f>
        <v>383.65</v>
      </c>
      <c r="E22" s="359">
        <f t="shared" si="0"/>
        <v>2301.8999999999996</v>
      </c>
      <c r="F22" s="20"/>
      <c r="G22" s="20"/>
      <c r="H22" s="20"/>
      <c r="I22" s="20"/>
      <c r="J22" s="133">
        <v>1</v>
      </c>
    </row>
    <row r="23" spans="1:11" x14ac:dyDescent="0.35">
      <c r="A23" s="19"/>
      <c r="B23" s="154" t="s">
        <v>54</v>
      </c>
      <c r="C23" s="145">
        <f>SUM(C16:C22)</f>
        <v>34044</v>
      </c>
      <c r="D23" s="20"/>
      <c r="E23" s="50">
        <f>SUM(E16:E22)</f>
        <v>973271.88000000012</v>
      </c>
      <c r="F23" s="20"/>
      <c r="G23" s="20"/>
      <c r="H23" s="20"/>
      <c r="I23" s="20"/>
      <c r="J23" s="364">
        <v>1</v>
      </c>
      <c r="K23" s="364" t="s">
        <v>352</v>
      </c>
    </row>
    <row r="24" spans="1:11" x14ac:dyDescent="0.35">
      <c r="A24" s="19"/>
      <c r="B24" s="152"/>
      <c r="C24" s="1"/>
      <c r="D24" s="152"/>
      <c r="E24" s="152"/>
      <c r="F24" s="152"/>
      <c r="G24" s="152"/>
      <c r="H24" s="152"/>
      <c r="J24" s="133">
        <v>1</v>
      </c>
    </row>
    <row r="25" spans="1:11" x14ac:dyDescent="0.35">
      <c r="A25" s="232" t="s">
        <v>228</v>
      </c>
      <c r="B25" s="232"/>
      <c r="C25" s="233"/>
      <c r="D25" s="234" t="s">
        <v>55</v>
      </c>
      <c r="E25" s="235"/>
      <c r="F25" s="152"/>
      <c r="G25" s="152"/>
      <c r="H25" s="152"/>
      <c r="J25" s="133">
        <v>5294</v>
      </c>
    </row>
    <row r="26" spans="1:11" ht="18.5" x14ac:dyDescent="0.65">
      <c r="A26" s="511" t="s">
        <v>227</v>
      </c>
      <c r="B26" s="512"/>
      <c r="C26" s="256" t="s">
        <v>13</v>
      </c>
      <c r="D26" s="257" t="s">
        <v>230</v>
      </c>
      <c r="E26" s="258" t="s">
        <v>56</v>
      </c>
      <c r="G26" s="153"/>
      <c r="H26" s="1"/>
      <c r="J26" s="133">
        <v>45</v>
      </c>
    </row>
    <row r="27" spans="1:11" x14ac:dyDescent="0.35">
      <c r="A27" s="493" t="s">
        <v>217</v>
      </c>
      <c r="B27" s="494"/>
      <c r="C27" s="145">
        <f>12433870+216630420+26682600</f>
        <v>255746890</v>
      </c>
      <c r="D27" s="153">
        <f>Rates!D20</f>
        <v>3.8300000000000001E-3</v>
      </c>
      <c r="E27" s="265">
        <f>C27*D27</f>
        <v>979510.58869999996</v>
      </c>
      <c r="F27" s="153"/>
      <c r="G27" s="153"/>
      <c r="H27" s="1"/>
      <c r="J27" s="133">
        <v>10</v>
      </c>
    </row>
    <row r="28" spans="1:11" x14ac:dyDescent="0.35">
      <c r="A28" s="228"/>
      <c r="B28" s="227" t="s">
        <v>218</v>
      </c>
      <c r="C28" s="145">
        <f>12090800+5373400+539400</f>
        <v>18003600</v>
      </c>
      <c r="D28" s="153">
        <f>D27</f>
        <v>3.8300000000000001E-3</v>
      </c>
      <c r="E28" s="402">
        <f t="shared" ref="E28:E33" si="1">C28*D28</f>
        <v>68953.788</v>
      </c>
      <c r="F28" s="153"/>
      <c r="G28" s="153"/>
      <c r="H28" s="1"/>
      <c r="J28" s="133">
        <v>2</v>
      </c>
    </row>
    <row r="29" spans="1:11" x14ac:dyDescent="0.35">
      <c r="A29" s="228"/>
      <c r="B29" s="227" t="s">
        <v>219</v>
      </c>
      <c r="C29" s="145">
        <f>6404400+1023600+424300</f>
        <v>7852300</v>
      </c>
      <c r="D29" s="153">
        <f t="shared" ref="D29:D33" si="2">D28</f>
        <v>3.8300000000000001E-3</v>
      </c>
      <c r="E29" s="402">
        <f t="shared" si="1"/>
        <v>30074.309000000001</v>
      </c>
      <c r="F29" s="153"/>
      <c r="G29" s="153"/>
      <c r="H29" s="1"/>
      <c r="J29" s="133">
        <f>SUM(J16:J28)</f>
        <v>5673</v>
      </c>
    </row>
    <row r="30" spans="1:11" x14ac:dyDescent="0.35">
      <c r="A30" s="228"/>
      <c r="B30" s="227" t="s">
        <v>220</v>
      </c>
      <c r="C30" s="145">
        <f>16196600+193000</f>
        <v>16389600</v>
      </c>
      <c r="D30" s="153">
        <f t="shared" si="2"/>
        <v>3.8300000000000001E-3</v>
      </c>
      <c r="E30" s="402">
        <f t="shared" si="1"/>
        <v>62772.167999999998</v>
      </c>
      <c r="F30" s="29"/>
      <c r="G30" s="29"/>
      <c r="H30" s="1"/>
      <c r="J30" s="133">
        <f>J29*6</f>
        <v>34038</v>
      </c>
    </row>
    <row r="31" spans="1:11" x14ac:dyDescent="0.35">
      <c r="A31" s="228"/>
      <c r="B31" s="227" t="s">
        <v>221</v>
      </c>
      <c r="C31" s="145">
        <v>17260100</v>
      </c>
      <c r="D31" s="153">
        <f t="shared" si="2"/>
        <v>3.8300000000000001E-3</v>
      </c>
      <c r="E31" s="402">
        <f t="shared" si="1"/>
        <v>66106.183000000005</v>
      </c>
      <c r="F31" s="29"/>
      <c r="G31" s="29"/>
      <c r="H31" s="1"/>
    </row>
    <row r="32" spans="1:11" x14ac:dyDescent="0.35">
      <c r="A32" s="228"/>
      <c r="B32" s="227" t="s">
        <v>222</v>
      </c>
      <c r="C32" s="145">
        <f>4997100+15632400+21042000</f>
        <v>41671500</v>
      </c>
      <c r="D32" s="153">
        <f t="shared" si="2"/>
        <v>3.8300000000000001E-3</v>
      </c>
      <c r="E32" s="402">
        <f t="shared" si="1"/>
        <v>159601.845</v>
      </c>
      <c r="F32" s="29"/>
      <c r="G32" s="29"/>
      <c r="H32" s="1"/>
    </row>
    <row r="33" spans="1:9" x14ac:dyDescent="0.35">
      <c r="A33" s="228"/>
      <c r="B33" s="227" t="s">
        <v>223</v>
      </c>
      <c r="C33" s="266">
        <v>12428600</v>
      </c>
      <c r="D33" s="153">
        <f t="shared" si="2"/>
        <v>3.8300000000000001E-3</v>
      </c>
      <c r="E33" s="403">
        <f t="shared" si="1"/>
        <v>47601.538</v>
      </c>
      <c r="F33" s="29"/>
      <c r="G33" s="29"/>
      <c r="H33" s="1"/>
    </row>
    <row r="34" spans="1:9" x14ac:dyDescent="0.35">
      <c r="A34" s="19"/>
      <c r="B34" s="154" t="s">
        <v>54</v>
      </c>
      <c r="C34" s="145">
        <f>SUM(C27:C33)</f>
        <v>369352590</v>
      </c>
      <c r="D34" s="50"/>
      <c r="E34" s="50">
        <f>SUM(E27:E33)</f>
        <v>1414620.4196999997</v>
      </c>
      <c r="F34" s="157"/>
      <c r="G34" s="157"/>
      <c r="H34" s="1"/>
    </row>
    <row r="35" spans="1:9" x14ac:dyDescent="0.35">
      <c r="A35" s="1"/>
      <c r="B35" s="1"/>
      <c r="C35" s="1"/>
      <c r="D35" s="1"/>
      <c r="E35" s="1"/>
      <c r="F35" s="1"/>
      <c r="G35" s="1"/>
      <c r="H35" s="1"/>
    </row>
    <row r="36" spans="1:9" x14ac:dyDescent="0.35">
      <c r="A36" s="136"/>
      <c r="B36" s="1"/>
      <c r="C36" s="1"/>
      <c r="D36" s="1"/>
      <c r="E36" s="1"/>
      <c r="F36" s="1"/>
      <c r="G36" s="1"/>
      <c r="H36" s="1"/>
    </row>
    <row r="37" spans="1:9" x14ac:dyDescent="0.35">
      <c r="A37" s="1"/>
      <c r="B37" s="1"/>
      <c r="C37" s="1" t="s">
        <v>254</v>
      </c>
      <c r="D37" s="1"/>
      <c r="E37" s="185">
        <f>E23+E34</f>
        <v>2387892.2996999999</v>
      </c>
      <c r="F37" s="1"/>
      <c r="G37" s="1"/>
      <c r="H37" s="1"/>
    </row>
    <row r="38" spans="1:9" x14ac:dyDescent="0.35">
      <c r="A38" s="1"/>
      <c r="B38" s="144"/>
      <c r="C38" s="146"/>
      <c r="D38" s="146"/>
      <c r="E38" s="267"/>
      <c r="F38" s="145"/>
      <c r="G38" s="145"/>
      <c r="H38" s="1"/>
      <c r="I38" s="1"/>
    </row>
    <row r="39" spans="1:9" s="137" customFormat="1" x14ac:dyDescent="0.35">
      <c r="B39" s="144"/>
      <c r="C39" s="133"/>
      <c r="D39" s="146"/>
      <c r="E39" s="146"/>
      <c r="F39" s="158"/>
      <c r="G39" s="158"/>
    </row>
    <row r="40" spans="1:9" ht="16" x14ac:dyDescent="0.5">
      <c r="A40" s="362" t="s">
        <v>351</v>
      </c>
      <c r="B40" s="144"/>
      <c r="C40" s="146"/>
      <c r="D40" s="146"/>
      <c r="E40" s="159"/>
    </row>
    <row r="41" spans="1:9" x14ac:dyDescent="0.35">
      <c r="B41" s="144"/>
      <c r="C41" s="146"/>
      <c r="D41" s="146"/>
      <c r="E41" s="151"/>
    </row>
    <row r="42" spans="1:9" x14ac:dyDescent="0.35">
      <c r="B42" s="144"/>
      <c r="C42" s="146"/>
      <c r="D42" s="146"/>
      <c r="E42" s="222"/>
    </row>
  </sheetData>
  <mergeCells count="7">
    <mergeCell ref="A1:F1"/>
    <mergeCell ref="A2:F2"/>
    <mergeCell ref="A26:B26"/>
    <mergeCell ref="A27:B27"/>
    <mergeCell ref="C4:F4"/>
    <mergeCell ref="A15:B15"/>
    <mergeCell ref="A16:B16"/>
  </mergeCells>
  <pageMargins left="0.7" right="0.7" top="0.75" bottom="0.75" header="0.3" footer="0.3"/>
  <pageSetup scale="88" orientation="landscape"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B1388-AB01-4CAE-A21B-D2708C228A39}">
  <sheetPr>
    <tabColor rgb="FF92D050"/>
    <pageSetUpPr fitToPage="1"/>
  </sheetPr>
  <dimension ref="A1:M45"/>
  <sheetViews>
    <sheetView showGridLines="0" topLeftCell="A12" workbookViewId="0">
      <selection activeCell="J15" sqref="J15"/>
    </sheetView>
  </sheetViews>
  <sheetFormatPr defaultColWidth="8.84375" defaultRowHeight="15.5" x14ac:dyDescent="0.35"/>
  <cols>
    <col min="1" max="1" width="7.765625" style="133" customWidth="1"/>
    <col min="2" max="2" width="8.23046875" style="133" customWidth="1"/>
    <col min="3" max="3" width="25.84375" style="133" customWidth="1"/>
    <col min="4" max="4" width="10.4609375" style="133" customWidth="1"/>
    <col min="5" max="5" width="14.07421875" style="133" bestFit="1" customWidth="1"/>
    <col min="6" max="6" width="11.765625" style="133" bestFit="1" customWidth="1"/>
    <col min="7" max="7" width="11.15234375" style="133" customWidth="1"/>
    <col min="8" max="10" width="10.4609375" style="133" customWidth="1"/>
    <col min="11" max="11" width="11.61328125" style="133" bestFit="1" customWidth="1"/>
    <col min="12" max="12" width="10.4609375" style="133" customWidth="1"/>
    <col min="13" max="13" width="13.07421875" style="133" customWidth="1"/>
    <col min="14" max="16384" width="8.84375" style="133"/>
  </cols>
  <sheetData>
    <row r="1" spans="1:13" ht="21" x14ac:dyDescent="0.5">
      <c r="A1" s="510" t="s">
        <v>451</v>
      </c>
      <c r="B1" s="510"/>
      <c r="C1" s="510"/>
      <c r="D1" s="510"/>
      <c r="E1" s="510"/>
      <c r="F1" s="510"/>
      <c r="G1" s="510"/>
      <c r="H1" s="454"/>
    </row>
    <row r="2" spans="1:13" ht="18.5" x14ac:dyDescent="0.35">
      <c r="A2" s="482" t="s">
        <v>208</v>
      </c>
      <c r="B2" s="482"/>
      <c r="C2" s="482"/>
      <c r="D2" s="482"/>
      <c r="E2" s="482"/>
      <c r="F2" s="482"/>
      <c r="G2" s="482"/>
      <c r="H2" s="34"/>
    </row>
    <row r="3" spans="1:13" x14ac:dyDescent="0.35">
      <c r="A3" s="21"/>
      <c r="B3" s="22"/>
      <c r="C3" s="22"/>
      <c r="D3" s="18"/>
      <c r="E3" s="22"/>
      <c r="F3" s="22"/>
      <c r="G3" s="22"/>
      <c r="H3" s="22"/>
    </row>
    <row r="4" spans="1:13" x14ac:dyDescent="0.35">
      <c r="A4" s="233"/>
      <c r="B4" s="231"/>
      <c r="C4" s="513" t="s">
        <v>50</v>
      </c>
      <c r="D4" s="513"/>
      <c r="E4" s="513"/>
      <c r="F4" s="513"/>
      <c r="G4" s="238"/>
      <c r="H4" s="1"/>
    </row>
    <row r="5" spans="1:13" x14ac:dyDescent="0.35">
      <c r="A5" s="233"/>
      <c r="B5" s="233"/>
      <c r="C5" s="232" t="s">
        <v>159</v>
      </c>
      <c r="D5" s="239" t="s">
        <v>52</v>
      </c>
      <c r="E5" s="239" t="s">
        <v>53</v>
      </c>
      <c r="F5" s="240" t="s">
        <v>56</v>
      </c>
      <c r="G5" s="241"/>
      <c r="H5" s="18"/>
      <c r="I5" s="138"/>
    </row>
    <row r="6" spans="1:13" x14ac:dyDescent="0.35">
      <c r="A6" s="233"/>
      <c r="B6" s="233"/>
      <c r="C6" s="248" t="s">
        <v>229</v>
      </c>
      <c r="D6" s="242">
        <f>C24</f>
        <v>34044</v>
      </c>
      <c r="E6" s="243">
        <f>C35</f>
        <v>369352590</v>
      </c>
      <c r="F6" s="244">
        <f>E24</f>
        <v>1071316.98</v>
      </c>
      <c r="G6" s="244"/>
      <c r="H6" s="148"/>
      <c r="I6" s="149"/>
      <c r="J6" s="150"/>
      <c r="K6" s="134"/>
      <c r="L6" s="134"/>
      <c r="M6" s="134"/>
    </row>
    <row r="7" spans="1:13" x14ac:dyDescent="0.35">
      <c r="A7" s="233"/>
      <c r="B7" s="233"/>
      <c r="C7" s="248" t="s">
        <v>51</v>
      </c>
      <c r="D7" s="242"/>
      <c r="E7" s="243"/>
      <c r="F7" s="244">
        <f>E35</f>
        <v>1558667.9298</v>
      </c>
      <c r="G7" s="244"/>
      <c r="H7" s="148"/>
      <c r="I7" s="149"/>
      <c r="J7" s="150"/>
      <c r="K7" s="134"/>
      <c r="L7" s="134"/>
      <c r="M7" s="135"/>
    </row>
    <row r="8" spans="1:13" ht="15.75" customHeight="1" x14ac:dyDescent="0.35">
      <c r="A8" s="248"/>
      <c r="B8" s="248"/>
      <c r="C8" s="248" t="s">
        <v>160</v>
      </c>
      <c r="D8" s="249"/>
      <c r="E8" s="249"/>
      <c r="F8" s="250">
        <f>ExBA!F8</f>
        <v>-3304.3599999999997</v>
      </c>
      <c r="G8" s="250"/>
      <c r="I8" s="251" t="s">
        <v>255</v>
      </c>
      <c r="J8" s="252"/>
      <c r="K8" s="134"/>
      <c r="L8" s="134"/>
      <c r="M8" s="134"/>
    </row>
    <row r="9" spans="1:13" ht="15.75" customHeight="1" x14ac:dyDescent="0.35">
      <c r="A9" s="233"/>
      <c r="B9" s="233"/>
      <c r="C9" s="268" t="s">
        <v>199</v>
      </c>
      <c r="D9" s="243"/>
      <c r="E9" s="243"/>
      <c r="F9" s="246">
        <f>SUM(F6:F8)</f>
        <v>2626680.5498000002</v>
      </c>
      <c r="G9" s="246"/>
      <c r="H9" s="1"/>
      <c r="K9" s="134"/>
      <c r="L9" s="134"/>
      <c r="M9" s="134"/>
    </row>
    <row r="10" spans="1:13" ht="15.75" customHeight="1" x14ac:dyDescent="0.65">
      <c r="A10" s="233"/>
      <c r="B10" s="233"/>
      <c r="C10" s="268" t="s">
        <v>313</v>
      </c>
      <c r="D10" s="243"/>
      <c r="E10" s="243"/>
      <c r="F10" s="247">
        <f>ExBA!F9</f>
        <v>2384587.9397</v>
      </c>
      <c r="G10" s="247"/>
      <c r="H10" s="1"/>
      <c r="K10" s="201"/>
      <c r="L10" s="202"/>
      <c r="M10" s="134"/>
    </row>
    <row r="11" spans="1:13" ht="15.75" customHeight="1" x14ac:dyDescent="0.35">
      <c r="A11" s="233"/>
      <c r="B11" s="233"/>
      <c r="C11" s="268" t="s">
        <v>162</v>
      </c>
      <c r="D11" s="243"/>
      <c r="E11" s="243"/>
      <c r="F11" s="246">
        <f>F9-F10</f>
        <v>242092.61010000017</v>
      </c>
      <c r="G11" s="246"/>
      <c r="H11" s="1"/>
      <c r="K11" s="134"/>
      <c r="L11" s="134"/>
      <c r="M11" s="134"/>
    </row>
    <row r="12" spans="1:13" ht="15.75" customHeight="1" x14ac:dyDescent="0.35">
      <c r="A12" s="233"/>
      <c r="B12" s="233"/>
      <c r="C12" s="268" t="s">
        <v>316</v>
      </c>
      <c r="D12" s="243"/>
      <c r="E12" s="243"/>
      <c r="F12" s="269">
        <f>F11/F10</f>
        <v>0.10152387591562563</v>
      </c>
      <c r="G12" s="246"/>
      <c r="H12" s="1"/>
      <c r="K12" s="134"/>
      <c r="L12" s="134"/>
      <c r="M12" s="134"/>
    </row>
    <row r="13" spans="1:13" ht="15.75" customHeight="1" x14ac:dyDescent="0.35">
      <c r="A13" s="1"/>
      <c r="B13" s="1"/>
      <c r="C13" s="16"/>
      <c r="D13" s="147"/>
      <c r="E13" s="1"/>
      <c r="F13" s="1"/>
      <c r="G13" s="1"/>
      <c r="H13" s="1"/>
      <c r="K13" s="134"/>
      <c r="L13" s="134"/>
      <c r="M13" s="134"/>
    </row>
    <row r="14" spans="1:13" ht="15.75" customHeight="1" x14ac:dyDescent="0.35">
      <c r="A14" s="236" t="s">
        <v>418</v>
      </c>
      <c r="B14" s="233"/>
      <c r="C14" s="233"/>
      <c r="D14" s="233"/>
      <c r="E14" s="233"/>
      <c r="F14" s="139"/>
      <c r="G14" s="1"/>
      <c r="H14" s="1"/>
      <c r="K14" s="134"/>
      <c r="L14" s="134"/>
      <c r="M14" s="134"/>
    </row>
    <row r="15" spans="1:13" x14ac:dyDescent="0.35">
      <c r="A15" s="233"/>
      <c r="B15" s="233"/>
      <c r="C15" s="237" t="s">
        <v>196</v>
      </c>
      <c r="D15" s="237" t="s">
        <v>225</v>
      </c>
      <c r="E15" s="237"/>
      <c r="F15" s="220"/>
      <c r="G15" s="18"/>
      <c r="H15" s="18"/>
      <c r="I15" s="1"/>
    </row>
    <row r="16" spans="1:13" ht="18.5" x14ac:dyDescent="0.65">
      <c r="A16" s="511" t="s">
        <v>227</v>
      </c>
      <c r="B16" s="512"/>
      <c r="C16" s="254" t="s">
        <v>52</v>
      </c>
      <c r="D16" s="255" t="s">
        <v>226</v>
      </c>
      <c r="E16" s="254" t="s">
        <v>12</v>
      </c>
      <c r="F16" s="305"/>
      <c r="G16" s="145"/>
      <c r="H16" s="145"/>
      <c r="I16" s="18"/>
    </row>
    <row r="17" spans="1:9" x14ac:dyDescent="0.35">
      <c r="A17" s="514" t="s">
        <v>217</v>
      </c>
      <c r="B17" s="515"/>
      <c r="C17" s="145">
        <f>(154+5294)*6</f>
        <v>32688</v>
      </c>
      <c r="D17" s="307">
        <f>Rates!E11</f>
        <v>30.27</v>
      </c>
      <c r="E17" s="318">
        <f>C17*D17</f>
        <v>989465.76</v>
      </c>
      <c r="F17" s="305"/>
      <c r="G17" s="145"/>
      <c r="H17" s="145"/>
      <c r="I17" s="18"/>
    </row>
    <row r="18" spans="1:9" x14ac:dyDescent="0.35">
      <c r="A18" s="308"/>
      <c r="B18" s="306" t="s">
        <v>218</v>
      </c>
      <c r="C18" s="145">
        <f>(106+45)*6</f>
        <v>906</v>
      </c>
      <c r="D18" s="307">
        <f>Rates!E12</f>
        <v>42.25</v>
      </c>
      <c r="E18" s="318">
        <f t="shared" ref="E18:E23" si="0">C18*D18</f>
        <v>38278.5</v>
      </c>
      <c r="F18" s="305"/>
      <c r="G18" s="145"/>
      <c r="H18" s="145"/>
      <c r="I18" s="18"/>
    </row>
    <row r="19" spans="1:9" x14ac:dyDescent="0.35">
      <c r="A19" s="308"/>
      <c r="B19" s="306" t="s">
        <v>219</v>
      </c>
      <c r="C19" s="145">
        <f>(17+10)*6</f>
        <v>162</v>
      </c>
      <c r="D19" s="307">
        <f>Rates!E13</f>
        <v>62.24</v>
      </c>
      <c r="E19" s="318">
        <f t="shared" si="0"/>
        <v>10082.880000000001</v>
      </c>
      <c r="F19" s="305"/>
      <c r="G19" s="145"/>
      <c r="H19" s="145"/>
      <c r="I19" s="18"/>
    </row>
    <row r="20" spans="1:9" x14ac:dyDescent="0.35">
      <c r="A20" s="308"/>
      <c r="B20" s="306" t="s">
        <v>220</v>
      </c>
      <c r="C20" s="145">
        <f>(31+2)*6</f>
        <v>198</v>
      </c>
      <c r="D20" s="307">
        <f>Rates!E14</f>
        <v>86.28</v>
      </c>
      <c r="E20" s="318">
        <f t="shared" si="0"/>
        <v>17083.439999999999</v>
      </c>
      <c r="F20" s="309"/>
      <c r="G20" s="20"/>
      <c r="H20" s="20"/>
      <c r="I20" s="20"/>
    </row>
    <row r="21" spans="1:9" x14ac:dyDescent="0.35">
      <c r="A21" s="308"/>
      <c r="B21" s="306" t="s">
        <v>221</v>
      </c>
      <c r="C21" s="145">
        <f>10*6</f>
        <v>60</v>
      </c>
      <c r="D21" s="307">
        <f>Rates!E15</f>
        <v>142.28</v>
      </c>
      <c r="E21" s="318">
        <f t="shared" si="0"/>
        <v>8536.7999999999993</v>
      </c>
      <c r="F21" s="309"/>
      <c r="G21" s="20"/>
      <c r="H21" s="20"/>
      <c r="I21" s="20"/>
    </row>
    <row r="22" spans="1:9" x14ac:dyDescent="0.35">
      <c r="A22" s="308"/>
      <c r="B22" s="306" t="s">
        <v>222</v>
      </c>
      <c r="C22" s="145">
        <f>(1+2+1)*6</f>
        <v>24</v>
      </c>
      <c r="D22" s="307">
        <f>Rates!E16</f>
        <v>222.31</v>
      </c>
      <c r="E22" s="318">
        <f t="shared" si="0"/>
        <v>5335.4400000000005</v>
      </c>
      <c r="F22" s="309"/>
      <c r="G22" s="20"/>
      <c r="H22" s="20"/>
      <c r="I22" s="20"/>
    </row>
    <row r="23" spans="1:9" x14ac:dyDescent="0.35">
      <c r="A23" s="308"/>
      <c r="B23" s="306" t="s">
        <v>223</v>
      </c>
      <c r="C23" s="266">
        <f>1*6</f>
        <v>6</v>
      </c>
      <c r="D23" s="307">
        <f>Rates!E17</f>
        <v>422.36</v>
      </c>
      <c r="E23" s="318">
        <f t="shared" si="0"/>
        <v>2534.16</v>
      </c>
      <c r="F23" s="309"/>
      <c r="G23" s="20"/>
      <c r="H23" s="20"/>
      <c r="I23" s="20"/>
    </row>
    <row r="24" spans="1:9" x14ac:dyDescent="0.35">
      <c r="A24" s="310"/>
      <c r="B24" s="311" t="s">
        <v>54</v>
      </c>
      <c r="C24" s="305">
        <f>SUM(C17:C23)</f>
        <v>34044</v>
      </c>
      <c r="D24" s="309"/>
      <c r="E24" s="312">
        <f>SUM(E17:E23)</f>
        <v>1071316.98</v>
      </c>
      <c r="F24" s="309"/>
      <c r="G24" s="20"/>
      <c r="H24" s="20"/>
      <c r="I24" s="20"/>
    </row>
    <row r="25" spans="1:9" x14ac:dyDescent="0.35">
      <c r="A25" s="310"/>
      <c r="B25" s="313"/>
      <c r="C25" s="139"/>
      <c r="D25" s="313"/>
      <c r="E25" s="313"/>
      <c r="F25" s="313"/>
      <c r="G25" s="152"/>
      <c r="H25" s="152"/>
    </row>
    <row r="26" spans="1:9" x14ac:dyDescent="0.35">
      <c r="A26" s="232" t="s">
        <v>228</v>
      </c>
      <c r="B26" s="232"/>
      <c r="C26" s="233"/>
      <c r="D26" s="234" t="s">
        <v>55</v>
      </c>
      <c r="E26" s="235"/>
      <c r="F26" s="313"/>
      <c r="G26" s="152"/>
      <c r="H26" s="152"/>
    </row>
    <row r="27" spans="1:9" ht="18.5" x14ac:dyDescent="0.65">
      <c r="A27" s="511" t="s">
        <v>227</v>
      </c>
      <c r="B27" s="512"/>
      <c r="C27" s="256" t="s">
        <v>13</v>
      </c>
      <c r="D27" s="257" t="s">
        <v>230</v>
      </c>
      <c r="E27" s="258" t="s">
        <v>56</v>
      </c>
      <c r="F27" s="231"/>
      <c r="G27" s="153"/>
      <c r="H27" s="1"/>
    </row>
    <row r="28" spans="1:9" x14ac:dyDescent="0.35">
      <c r="A28" s="514" t="s">
        <v>217</v>
      </c>
      <c r="B28" s="515"/>
      <c r="C28" s="145">
        <f>12433870+216630420+26682600</f>
        <v>255746890</v>
      </c>
      <c r="D28" s="314">
        <f>Rates!E20</f>
        <v>4.2199999999999998E-3</v>
      </c>
      <c r="E28" s="307">
        <f>C28*D28</f>
        <v>1079251.8758</v>
      </c>
      <c r="F28" s="314"/>
      <c r="G28" s="153"/>
      <c r="H28" s="1"/>
    </row>
    <row r="29" spans="1:9" x14ac:dyDescent="0.35">
      <c r="A29" s="308"/>
      <c r="B29" s="306" t="s">
        <v>218</v>
      </c>
      <c r="C29" s="145">
        <f>12090800+5373400+539400</f>
        <v>18003600</v>
      </c>
      <c r="D29" s="314">
        <f>D28</f>
        <v>4.2199999999999998E-3</v>
      </c>
      <c r="E29" s="307">
        <f t="shared" ref="E29:E34" si="1">C29*D29</f>
        <v>75975.191999999995</v>
      </c>
      <c r="F29" s="314"/>
      <c r="G29" s="153"/>
      <c r="H29" s="1"/>
    </row>
    <row r="30" spans="1:9" x14ac:dyDescent="0.35">
      <c r="A30" s="308"/>
      <c r="B30" s="306" t="s">
        <v>219</v>
      </c>
      <c r="C30" s="145">
        <f>6404400+1023600+424300</f>
        <v>7852300</v>
      </c>
      <c r="D30" s="314">
        <f t="shared" ref="D30:D34" si="2">D29</f>
        <v>4.2199999999999998E-3</v>
      </c>
      <c r="E30" s="307">
        <f t="shared" si="1"/>
        <v>33136.705999999998</v>
      </c>
      <c r="F30" s="314"/>
      <c r="G30" s="153"/>
      <c r="H30" s="1"/>
    </row>
    <row r="31" spans="1:9" x14ac:dyDescent="0.35">
      <c r="A31" s="308"/>
      <c r="B31" s="306" t="s">
        <v>220</v>
      </c>
      <c r="C31" s="145">
        <f>16196600+193000</f>
        <v>16389600</v>
      </c>
      <c r="D31" s="314">
        <f t="shared" si="2"/>
        <v>4.2199999999999998E-3</v>
      </c>
      <c r="E31" s="307">
        <f t="shared" si="1"/>
        <v>69164.111999999994</v>
      </c>
      <c r="F31" s="315"/>
      <c r="G31" s="29"/>
      <c r="H31" s="1"/>
    </row>
    <row r="32" spans="1:9" x14ac:dyDescent="0.35">
      <c r="A32" s="308"/>
      <c r="B32" s="306" t="s">
        <v>221</v>
      </c>
      <c r="C32" s="145">
        <v>17260100</v>
      </c>
      <c r="D32" s="314">
        <f t="shared" si="2"/>
        <v>4.2199999999999998E-3</v>
      </c>
      <c r="E32" s="307">
        <f t="shared" si="1"/>
        <v>72837.622000000003</v>
      </c>
      <c r="F32" s="315"/>
      <c r="G32" s="29"/>
      <c r="H32" s="1"/>
    </row>
    <row r="33" spans="1:10" x14ac:dyDescent="0.35">
      <c r="A33" s="308"/>
      <c r="B33" s="306" t="s">
        <v>222</v>
      </c>
      <c r="C33" s="145">
        <f>4997100+15632400+21042000</f>
        <v>41671500</v>
      </c>
      <c r="D33" s="314">
        <f t="shared" si="2"/>
        <v>4.2199999999999998E-3</v>
      </c>
      <c r="E33" s="307">
        <f t="shared" si="1"/>
        <v>175853.72999999998</v>
      </c>
      <c r="F33" s="315"/>
      <c r="G33" s="29"/>
      <c r="H33" s="1"/>
    </row>
    <row r="34" spans="1:10" x14ac:dyDescent="0.35">
      <c r="A34" s="308"/>
      <c r="B34" s="306" t="s">
        <v>223</v>
      </c>
      <c r="C34" s="266">
        <v>12428600</v>
      </c>
      <c r="D34" s="314">
        <f t="shared" si="2"/>
        <v>4.2199999999999998E-3</v>
      </c>
      <c r="E34" s="319">
        <f t="shared" si="1"/>
        <v>52448.691999999995</v>
      </c>
      <c r="F34" s="315"/>
      <c r="G34" s="29"/>
      <c r="H34" s="1"/>
    </row>
    <row r="35" spans="1:10" x14ac:dyDescent="0.35">
      <c r="A35" s="310"/>
      <c r="B35" s="311" t="s">
        <v>54</v>
      </c>
      <c r="C35" s="305">
        <f>SUM(C28:C34)</f>
        <v>369352590</v>
      </c>
      <c r="D35" s="312"/>
      <c r="E35" s="312">
        <f>SUM(E28:E34)</f>
        <v>1558667.9298</v>
      </c>
      <c r="F35" s="316"/>
      <c r="G35" s="157"/>
      <c r="H35" s="1"/>
    </row>
    <row r="36" spans="1:10" x14ac:dyDescent="0.35">
      <c r="A36" s="139"/>
      <c r="B36" s="139"/>
      <c r="C36" s="139"/>
      <c r="D36" s="139"/>
      <c r="E36" s="139"/>
      <c r="F36" s="139"/>
      <c r="G36" s="1"/>
      <c r="H36" s="1"/>
    </row>
    <row r="37" spans="1:10" s="137" customFormat="1" x14ac:dyDescent="0.35">
      <c r="A37" s="317"/>
      <c r="B37" s="139"/>
      <c r="C37" s="139"/>
      <c r="D37" s="139"/>
      <c r="E37" s="139"/>
      <c r="F37" s="139"/>
      <c r="G37" s="1"/>
      <c r="H37" s="1"/>
      <c r="I37" s="133"/>
      <c r="J37" s="133"/>
    </row>
    <row r="38" spans="1:10" x14ac:dyDescent="0.35">
      <c r="A38" s="139"/>
      <c r="B38" s="320" t="s">
        <v>317</v>
      </c>
      <c r="D38" s="233"/>
      <c r="E38" s="321">
        <f>E24+E35</f>
        <v>2629984.9098</v>
      </c>
      <c r="F38" s="139"/>
      <c r="G38" s="1"/>
      <c r="H38" s="1"/>
    </row>
    <row r="39" spans="1:10" x14ac:dyDescent="0.35">
      <c r="A39" s="231"/>
      <c r="B39" s="231"/>
      <c r="D39" s="231"/>
      <c r="E39" s="231"/>
      <c r="F39" s="231"/>
    </row>
    <row r="40" spans="1:10" x14ac:dyDescent="0.35">
      <c r="A40" s="231"/>
      <c r="B40" s="406" t="s">
        <v>63</v>
      </c>
      <c r="C40" s="407"/>
      <c r="D40" s="408"/>
      <c r="E40" s="409">
        <f>SAO!G60</f>
        <v>2625178.4738143724</v>
      </c>
      <c r="F40" s="408"/>
      <c r="G40" s="408" t="s">
        <v>419</v>
      </c>
    </row>
    <row r="41" spans="1:10" x14ac:dyDescent="0.35">
      <c r="B41" s="407"/>
      <c r="C41" s="407"/>
      <c r="D41" s="407"/>
      <c r="E41" s="407"/>
      <c r="F41" s="407"/>
      <c r="G41" s="407"/>
    </row>
    <row r="42" spans="1:10" x14ac:dyDescent="0.35">
      <c r="B42" s="407"/>
      <c r="C42" s="407"/>
      <c r="D42" s="407"/>
      <c r="E42" s="407"/>
      <c r="F42" s="407"/>
      <c r="G42" s="407"/>
    </row>
    <row r="43" spans="1:10" x14ac:dyDescent="0.35">
      <c r="B43" s="407"/>
      <c r="C43" s="407"/>
      <c r="D43" s="407"/>
      <c r="E43" s="410">
        <f>E38-E40</f>
        <v>4806.4359856275842</v>
      </c>
      <c r="F43" s="408" t="s">
        <v>318</v>
      </c>
      <c r="G43" s="407"/>
    </row>
    <row r="44" spans="1:10" x14ac:dyDescent="0.35">
      <c r="B44" s="407"/>
      <c r="C44" s="407"/>
      <c r="D44" s="407"/>
      <c r="E44" s="407"/>
      <c r="F44" s="407"/>
      <c r="G44" s="407"/>
    </row>
    <row r="45" spans="1:10" x14ac:dyDescent="0.35">
      <c r="B45" s="407"/>
      <c r="C45" s="407"/>
      <c r="D45" s="407"/>
      <c r="E45" s="411">
        <f>E43/E40</f>
        <v>1.8308987497691364E-3</v>
      </c>
      <c r="F45" s="407"/>
      <c r="G45" s="407"/>
    </row>
  </sheetData>
  <mergeCells count="7">
    <mergeCell ref="A1:G1"/>
    <mergeCell ref="A2:G2"/>
    <mergeCell ref="A27:B27"/>
    <mergeCell ref="A28:B28"/>
    <mergeCell ref="C4:F4"/>
    <mergeCell ref="A16:B16"/>
    <mergeCell ref="A17:B17"/>
  </mergeCells>
  <pageMargins left="0.7" right="0.7" top="0.75" bottom="0.75" header="0.3" footer="0.3"/>
  <pageSetup scale="81"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8D28C-15E1-481B-8A61-C5CBD4A3EE8F}">
  <sheetPr>
    <tabColor rgb="FF92D050"/>
  </sheetPr>
  <dimension ref="B1:G32"/>
  <sheetViews>
    <sheetView topLeftCell="A18" workbookViewId="0">
      <selection activeCell="C10" sqref="C10"/>
    </sheetView>
  </sheetViews>
  <sheetFormatPr defaultRowHeight="15.5" x14ac:dyDescent="0.35"/>
  <cols>
    <col min="2" max="2" width="4.07421875" customWidth="1"/>
    <col min="3" max="3" width="86.3828125" customWidth="1"/>
    <col min="4" max="4" width="2" bestFit="1" customWidth="1"/>
  </cols>
  <sheetData>
    <row r="1" spans="2:4" ht="18" x14ac:dyDescent="0.4">
      <c r="B1" s="292"/>
      <c r="C1" s="293"/>
    </row>
    <row r="2" spans="2:4" ht="18" x14ac:dyDescent="0.4">
      <c r="B2" s="292"/>
      <c r="C2" s="293" t="s">
        <v>287</v>
      </c>
    </row>
    <row r="3" spans="2:4" ht="17.5" x14ac:dyDescent="0.35">
      <c r="B3" s="292"/>
      <c r="C3" s="294"/>
    </row>
    <row r="4" spans="2:4" x14ac:dyDescent="0.35">
      <c r="B4" s="295" t="s">
        <v>288</v>
      </c>
      <c r="C4" s="356" t="s">
        <v>420</v>
      </c>
      <c r="D4" s="233"/>
    </row>
    <row r="5" spans="2:4" x14ac:dyDescent="0.35">
      <c r="B5" s="295"/>
      <c r="C5" s="356"/>
      <c r="D5" s="233"/>
    </row>
    <row r="6" spans="2:4" ht="31" x14ac:dyDescent="0.35">
      <c r="B6" s="295" t="s">
        <v>289</v>
      </c>
      <c r="C6" s="356" t="s">
        <v>439</v>
      </c>
      <c r="D6" s="233"/>
    </row>
    <row r="7" spans="2:4" x14ac:dyDescent="0.35">
      <c r="B7" s="295"/>
      <c r="C7" s="356"/>
      <c r="D7" s="233"/>
    </row>
    <row r="8" spans="2:4" ht="31" x14ac:dyDescent="0.35">
      <c r="B8" s="295" t="s">
        <v>290</v>
      </c>
      <c r="C8" s="356" t="s">
        <v>423</v>
      </c>
    </row>
    <row r="9" spans="2:4" x14ac:dyDescent="0.35">
      <c r="B9" s="295"/>
      <c r="C9" s="356"/>
    </row>
    <row r="10" spans="2:4" ht="62" x14ac:dyDescent="0.35">
      <c r="B10" s="295" t="s">
        <v>291</v>
      </c>
      <c r="C10" s="356" t="s">
        <v>421</v>
      </c>
    </row>
    <row r="11" spans="2:4" x14ac:dyDescent="0.35">
      <c r="B11" s="295"/>
      <c r="C11" s="356"/>
    </row>
    <row r="12" spans="2:4" x14ac:dyDescent="0.35">
      <c r="B12" s="295" t="s">
        <v>292</v>
      </c>
      <c r="C12" s="356" t="s">
        <v>422</v>
      </c>
    </row>
    <row r="13" spans="2:4" x14ac:dyDescent="0.35">
      <c r="B13" s="295"/>
      <c r="C13" s="356"/>
    </row>
    <row r="14" spans="2:4" x14ac:dyDescent="0.35">
      <c r="B14" s="295" t="s">
        <v>293</v>
      </c>
      <c r="C14" s="356" t="s">
        <v>424</v>
      </c>
    </row>
    <row r="15" spans="2:4" x14ac:dyDescent="0.35">
      <c r="B15" s="292"/>
      <c r="C15" s="400"/>
    </row>
    <row r="16" spans="2:4" ht="62" x14ac:dyDescent="0.35">
      <c r="B16" s="295" t="s">
        <v>294</v>
      </c>
      <c r="C16" s="356" t="s">
        <v>425</v>
      </c>
    </row>
    <row r="17" spans="2:7" x14ac:dyDescent="0.35">
      <c r="B17" s="292"/>
      <c r="C17" s="400"/>
    </row>
    <row r="18" spans="2:7" ht="77.5" x14ac:dyDescent="0.35">
      <c r="B18" s="295" t="s">
        <v>295</v>
      </c>
      <c r="C18" s="356" t="s">
        <v>426</v>
      </c>
    </row>
    <row r="19" spans="2:7" x14ac:dyDescent="0.35">
      <c r="B19" s="292"/>
      <c r="C19" s="400"/>
      <c r="G19" t="s">
        <v>427</v>
      </c>
    </row>
    <row r="20" spans="2:7" ht="62" x14ac:dyDescent="0.35">
      <c r="B20" s="295" t="s">
        <v>296</v>
      </c>
      <c r="C20" s="356" t="s">
        <v>428</v>
      </c>
      <c r="F20">
        <f>7954/3</f>
        <v>2651.3333333333335</v>
      </c>
      <c r="G20">
        <f>15350/3</f>
        <v>5116.666666666667</v>
      </c>
    </row>
    <row r="21" spans="2:7" x14ac:dyDescent="0.35">
      <c r="B21" s="292"/>
      <c r="C21" s="400"/>
    </row>
    <row r="22" spans="2:7" x14ac:dyDescent="0.35">
      <c r="B22" s="295" t="s">
        <v>297</v>
      </c>
      <c r="C22" s="356" t="s">
        <v>315</v>
      </c>
    </row>
    <row r="23" spans="2:7" x14ac:dyDescent="0.35">
      <c r="B23" s="292"/>
      <c r="C23" s="400"/>
    </row>
    <row r="24" spans="2:7" ht="31" x14ac:dyDescent="0.35">
      <c r="B24" s="295" t="s">
        <v>437</v>
      </c>
      <c r="C24" s="356" t="s">
        <v>298</v>
      </c>
    </row>
    <row r="25" spans="2:7" x14ac:dyDescent="0.35">
      <c r="B25" s="292"/>
      <c r="C25" s="400"/>
    </row>
    <row r="26" spans="2:7" x14ac:dyDescent="0.35">
      <c r="B26" s="295"/>
      <c r="C26" s="356"/>
    </row>
    <row r="27" spans="2:7" x14ac:dyDescent="0.35">
      <c r="B27" s="292"/>
      <c r="C27" s="400"/>
    </row>
    <row r="28" spans="2:7" x14ac:dyDescent="0.35">
      <c r="B28" s="295"/>
      <c r="C28" s="356"/>
    </row>
    <row r="29" spans="2:7" x14ac:dyDescent="0.35">
      <c r="B29" s="292"/>
      <c r="C29" s="400"/>
    </row>
    <row r="30" spans="2:7" x14ac:dyDescent="0.35">
      <c r="B30" s="295"/>
      <c r="C30" s="356"/>
    </row>
    <row r="31" spans="2:7" x14ac:dyDescent="0.35">
      <c r="B31" s="292"/>
      <c r="C31" s="400"/>
    </row>
    <row r="32" spans="2:7" x14ac:dyDescent="0.35">
      <c r="B32" s="295"/>
      <c r="C32" s="35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A01C-7852-4E95-BD91-257134D74ABD}">
  <sheetPr>
    <tabColor rgb="FF92D050"/>
  </sheetPr>
  <dimension ref="A1:Q116"/>
  <sheetViews>
    <sheetView topLeftCell="B12" workbookViewId="0">
      <selection activeCell="I56" sqref="I56"/>
    </sheetView>
  </sheetViews>
  <sheetFormatPr defaultColWidth="8.84375" defaultRowHeight="14.5" x14ac:dyDescent="0.35"/>
  <cols>
    <col min="1" max="2" width="13.23046875" style="1" customWidth="1"/>
    <col min="3" max="3" width="20.61328125" style="1" customWidth="1"/>
    <col min="4" max="4" width="10.765625" style="12" customWidth="1"/>
    <col min="5" max="5" width="14.61328125" style="12" bestFit="1" customWidth="1"/>
    <col min="6" max="6" width="12.15234375" style="12" bestFit="1" customWidth="1"/>
    <col min="7" max="7" width="12.765625" style="12" customWidth="1"/>
    <col min="8" max="8" width="12.07421875" style="12" customWidth="1"/>
    <col min="9" max="9" width="11.23046875" style="12" customWidth="1"/>
    <col min="10" max="10" width="10.765625" style="12" customWidth="1"/>
    <col min="11" max="11" width="12.61328125" style="12" customWidth="1"/>
    <col min="12" max="12" width="10.921875" style="19" customWidth="1"/>
    <col min="13" max="14" width="9.3828125" style="1" bestFit="1" customWidth="1"/>
    <col min="15" max="15" width="8.84375" style="1"/>
    <col min="16" max="16" width="10.921875" style="1" customWidth="1"/>
    <col min="17" max="17" width="11.4609375" style="1" bestFit="1" customWidth="1"/>
    <col min="18" max="16384" width="8.84375" style="1"/>
  </cols>
  <sheetData>
    <row r="1" spans="1:17" x14ac:dyDescent="0.35">
      <c r="C1" s="1" t="s">
        <v>78</v>
      </c>
    </row>
    <row r="2" spans="1:17" x14ac:dyDescent="0.35">
      <c r="C2" s="212"/>
      <c r="D2" s="270"/>
      <c r="E2" s="271"/>
      <c r="F2" s="271"/>
      <c r="G2" s="271"/>
      <c r="H2" s="270"/>
      <c r="I2" s="270"/>
      <c r="J2" s="270"/>
      <c r="K2" s="270" t="s">
        <v>12</v>
      </c>
      <c r="L2" s="18" t="s">
        <v>202</v>
      </c>
      <c r="M2" s="270" t="s">
        <v>79</v>
      </c>
      <c r="N2" s="18"/>
    </row>
    <row r="3" spans="1:17" x14ac:dyDescent="0.35">
      <c r="D3" s="349" t="s">
        <v>325</v>
      </c>
      <c r="E3" s="270"/>
      <c r="F3" s="270"/>
      <c r="G3" s="348" t="s">
        <v>341</v>
      </c>
      <c r="H3" s="270"/>
      <c r="I3" s="270"/>
      <c r="J3" s="270"/>
      <c r="K3" s="270" t="s">
        <v>79</v>
      </c>
      <c r="L3" s="18" t="s">
        <v>186</v>
      </c>
      <c r="M3" s="18" t="s">
        <v>186</v>
      </c>
      <c r="N3" s="18"/>
      <c r="P3" s="18" t="s">
        <v>202</v>
      </c>
    </row>
    <row r="4" spans="1:17" ht="15.5" customHeight="1" x14ac:dyDescent="0.35">
      <c r="B4" s="468" t="s">
        <v>80</v>
      </c>
      <c r="C4" s="468"/>
      <c r="D4" s="288" t="s">
        <v>81</v>
      </c>
      <c r="E4" s="288" t="s">
        <v>256</v>
      </c>
      <c r="F4" s="288" t="s">
        <v>82</v>
      </c>
      <c r="G4" s="288" t="s">
        <v>83</v>
      </c>
      <c r="H4" s="288" t="s">
        <v>84</v>
      </c>
      <c r="I4" s="288" t="s">
        <v>257</v>
      </c>
      <c r="J4" s="288" t="s">
        <v>85</v>
      </c>
      <c r="K4" s="288" t="s">
        <v>86</v>
      </c>
      <c r="L4" s="287" t="s">
        <v>281</v>
      </c>
      <c r="M4" s="287" t="s">
        <v>319</v>
      </c>
      <c r="N4" s="287"/>
      <c r="P4" s="287" t="s">
        <v>284</v>
      </c>
      <c r="Q4" s="287" t="s">
        <v>285</v>
      </c>
    </row>
    <row r="5" spans="1:17" x14ac:dyDescent="0.35">
      <c r="B5" s="1" t="s">
        <v>356</v>
      </c>
      <c r="G5" s="200"/>
      <c r="H5" s="12">
        <f>D5*G5</f>
        <v>0</v>
      </c>
      <c r="J5" s="12">
        <f>F5*G5*1.5</f>
        <v>0</v>
      </c>
      <c r="K5" s="12">
        <v>95000</v>
      </c>
      <c r="L5" s="286">
        <f>K5</f>
        <v>95000</v>
      </c>
      <c r="P5" s="1" t="s">
        <v>408</v>
      </c>
      <c r="Q5" s="1">
        <v>19.71</v>
      </c>
    </row>
    <row r="6" spans="1:17" x14ac:dyDescent="0.35">
      <c r="B6" s="1" t="s">
        <v>357</v>
      </c>
      <c r="D6" s="216">
        <v>2108</v>
      </c>
      <c r="F6" s="12">
        <v>186</v>
      </c>
      <c r="G6" s="12">
        <v>28.25</v>
      </c>
      <c r="H6" s="12">
        <f>D6*G6</f>
        <v>59551</v>
      </c>
      <c r="I6" s="12">
        <f>E6*G6</f>
        <v>0</v>
      </c>
      <c r="J6" s="12">
        <f t="shared" ref="J6:J15" si="0">F6*G6*1.5</f>
        <v>7881.75</v>
      </c>
      <c r="K6" s="12">
        <f>H6++I6+J6</f>
        <v>67432.75</v>
      </c>
      <c r="L6" s="286">
        <f>K6</f>
        <v>67432.75</v>
      </c>
      <c r="P6" s="1" t="s">
        <v>409</v>
      </c>
      <c r="Q6" s="1">
        <v>18.62</v>
      </c>
    </row>
    <row r="7" spans="1:17" x14ac:dyDescent="0.35">
      <c r="A7" s="1" t="s">
        <v>354</v>
      </c>
      <c r="B7" s="1" t="s">
        <v>358</v>
      </c>
      <c r="D7" s="216">
        <v>2097.5</v>
      </c>
      <c r="F7" s="12">
        <v>133.5</v>
      </c>
      <c r="G7" s="12">
        <v>22</v>
      </c>
      <c r="H7" s="12">
        <f t="shared" ref="H7:H16" si="1">D7*G7</f>
        <v>46145</v>
      </c>
      <c r="I7" s="12">
        <f t="shared" ref="I7:I16" si="2">E7*G7</f>
        <v>0</v>
      </c>
      <c r="J7" s="12">
        <f t="shared" ref="J7:J9" si="3">F7*G7*1.5</f>
        <v>4405.5</v>
      </c>
      <c r="K7" s="12">
        <f t="shared" ref="K7:K16" si="4">H7++I7+J7</f>
        <v>50550.5</v>
      </c>
      <c r="L7" s="286">
        <f t="shared" ref="L7:L13" si="5">K7</f>
        <v>50550.5</v>
      </c>
      <c r="P7" s="299"/>
      <c r="Q7" s="299"/>
    </row>
    <row r="8" spans="1:17" x14ac:dyDescent="0.35">
      <c r="B8" s="1" t="s">
        <v>359</v>
      </c>
      <c r="D8" s="216">
        <v>2128</v>
      </c>
      <c r="F8" s="12">
        <v>308.5</v>
      </c>
      <c r="G8" s="12">
        <v>29.75</v>
      </c>
      <c r="H8" s="12">
        <f t="shared" si="1"/>
        <v>63308</v>
      </c>
      <c r="I8" s="12">
        <f t="shared" si="2"/>
        <v>0</v>
      </c>
      <c r="J8" s="12">
        <f>F8*G8*1.5</f>
        <v>13766.8125</v>
      </c>
      <c r="K8" s="12">
        <f t="shared" si="4"/>
        <v>77074.8125</v>
      </c>
      <c r="L8" s="286">
        <f t="shared" si="5"/>
        <v>77074.8125</v>
      </c>
      <c r="P8" s="1" t="s">
        <v>314</v>
      </c>
      <c r="Q8" s="1">
        <f>(Q5+Q6)/2</f>
        <v>19.164999999999999</v>
      </c>
    </row>
    <row r="9" spans="1:17" x14ac:dyDescent="0.35">
      <c r="B9" s="1" t="s">
        <v>360</v>
      </c>
      <c r="D9" s="216">
        <v>2080</v>
      </c>
      <c r="G9" s="12">
        <v>24.5</v>
      </c>
      <c r="H9" s="12">
        <f t="shared" si="1"/>
        <v>50960</v>
      </c>
      <c r="I9" s="12">
        <f t="shared" si="2"/>
        <v>0</v>
      </c>
      <c r="J9" s="12">
        <f t="shared" si="3"/>
        <v>0</v>
      </c>
      <c r="K9" s="12">
        <f t="shared" si="4"/>
        <v>50960</v>
      </c>
      <c r="L9" s="286">
        <f t="shared" si="5"/>
        <v>50960</v>
      </c>
    </row>
    <row r="10" spans="1:17" x14ac:dyDescent="0.35">
      <c r="A10" s="1" t="s">
        <v>354</v>
      </c>
      <c r="B10" s="1" t="s">
        <v>361</v>
      </c>
      <c r="D10" s="216">
        <v>2100</v>
      </c>
      <c r="F10" s="216">
        <v>147.5</v>
      </c>
      <c r="G10" s="12">
        <v>20.5</v>
      </c>
      <c r="H10" s="12">
        <f t="shared" si="1"/>
        <v>43050</v>
      </c>
      <c r="I10" s="12">
        <f t="shared" si="2"/>
        <v>0</v>
      </c>
      <c r="J10" s="12">
        <f t="shared" si="0"/>
        <v>4535.625</v>
      </c>
      <c r="K10" s="12">
        <f t="shared" si="4"/>
        <v>47585.625</v>
      </c>
      <c r="L10" s="286">
        <f t="shared" si="5"/>
        <v>47585.625</v>
      </c>
    </row>
    <row r="11" spans="1:17" x14ac:dyDescent="0.35">
      <c r="B11" s="1" t="s">
        <v>362</v>
      </c>
      <c r="D11" s="216">
        <v>2100</v>
      </c>
      <c r="F11" s="216">
        <v>148.5</v>
      </c>
      <c r="G11" s="12">
        <v>38</v>
      </c>
      <c r="H11" s="12">
        <f t="shared" si="1"/>
        <v>79800</v>
      </c>
      <c r="I11" s="12">
        <f t="shared" si="2"/>
        <v>0</v>
      </c>
      <c r="J11" s="12">
        <f t="shared" si="0"/>
        <v>8464.5</v>
      </c>
      <c r="K11" s="12">
        <f t="shared" si="4"/>
        <v>88264.5</v>
      </c>
      <c r="L11" s="286">
        <f t="shared" si="5"/>
        <v>88264.5</v>
      </c>
      <c r="N11" s="143"/>
      <c r="Q11" s="290"/>
    </row>
    <row r="12" spans="1:17" x14ac:dyDescent="0.35">
      <c r="B12" s="1" t="s">
        <v>363</v>
      </c>
      <c r="D12" s="216">
        <v>2128</v>
      </c>
      <c r="F12" s="216"/>
      <c r="G12" s="12">
        <v>36</v>
      </c>
      <c r="H12" s="12">
        <f t="shared" si="1"/>
        <v>76608</v>
      </c>
      <c r="I12" s="12">
        <f t="shared" si="2"/>
        <v>0</v>
      </c>
      <c r="J12" s="12">
        <f t="shared" si="0"/>
        <v>0</v>
      </c>
      <c r="K12" s="12">
        <f t="shared" si="4"/>
        <v>76608</v>
      </c>
      <c r="L12" s="286">
        <f t="shared" si="5"/>
        <v>76608</v>
      </c>
    </row>
    <row r="13" spans="1:17" x14ac:dyDescent="0.35">
      <c r="A13" s="1" t="s">
        <v>354</v>
      </c>
      <c r="B13" s="1" t="s">
        <v>364</v>
      </c>
      <c r="D13" s="216">
        <v>2080</v>
      </c>
      <c r="F13" s="216"/>
      <c r="G13" s="12">
        <v>21.45</v>
      </c>
      <c r="H13" s="12">
        <f t="shared" si="1"/>
        <v>44616</v>
      </c>
      <c r="I13" s="12">
        <f t="shared" si="2"/>
        <v>0</v>
      </c>
      <c r="J13" s="12">
        <f t="shared" si="0"/>
        <v>0</v>
      </c>
      <c r="K13" s="12">
        <f t="shared" si="4"/>
        <v>44616</v>
      </c>
      <c r="L13" s="286">
        <f t="shared" si="5"/>
        <v>44616</v>
      </c>
    </row>
    <row r="14" spans="1:17" x14ac:dyDescent="0.35">
      <c r="B14" s="1" t="s">
        <v>365</v>
      </c>
      <c r="D14" s="216">
        <v>1753.5</v>
      </c>
      <c r="F14" s="217"/>
      <c r="G14" s="14">
        <v>26.6</v>
      </c>
      <c r="H14" s="12">
        <f t="shared" si="1"/>
        <v>46643.100000000006</v>
      </c>
      <c r="I14" s="12">
        <f t="shared" si="2"/>
        <v>0</v>
      </c>
      <c r="J14" s="14">
        <f t="shared" si="0"/>
        <v>0</v>
      </c>
      <c r="K14" s="12">
        <f t="shared" si="4"/>
        <v>46643.100000000006</v>
      </c>
      <c r="L14" s="286">
        <f t="shared" ref="L14:L16" si="6">K14</f>
        <v>46643.100000000006</v>
      </c>
    </row>
    <row r="15" spans="1:17" x14ac:dyDescent="0.35">
      <c r="B15" s="1" t="s">
        <v>366</v>
      </c>
      <c r="D15" s="216">
        <v>2090</v>
      </c>
      <c r="F15" s="12">
        <v>126</v>
      </c>
      <c r="G15" s="12">
        <v>30</v>
      </c>
      <c r="H15" s="12">
        <f t="shared" ref="H15" si="7">D15*G15</f>
        <v>62700</v>
      </c>
      <c r="I15" s="14">
        <f t="shared" ref="I15" si="8">E15*G15</f>
        <v>0</v>
      </c>
      <c r="J15" s="14">
        <f t="shared" si="0"/>
        <v>5670</v>
      </c>
      <c r="K15" s="12">
        <f t="shared" ref="K15" si="9">H15++I15+J15</f>
        <v>68370</v>
      </c>
      <c r="L15" s="286">
        <f t="shared" ref="L15" si="10">K15</f>
        <v>68370</v>
      </c>
    </row>
    <row r="16" spans="1:17" x14ac:dyDescent="0.35">
      <c r="A16" s="1" t="s">
        <v>350</v>
      </c>
      <c r="B16" s="1" t="s">
        <v>367</v>
      </c>
      <c r="D16" s="216">
        <f>20*52</f>
        <v>1040</v>
      </c>
      <c r="G16" s="12">
        <v>18</v>
      </c>
      <c r="H16" s="12">
        <f t="shared" si="1"/>
        <v>18720</v>
      </c>
      <c r="I16" s="14">
        <f t="shared" si="2"/>
        <v>0</v>
      </c>
      <c r="J16" s="14">
        <f t="shared" ref="J16" si="11">F16*G16*1.5</f>
        <v>0</v>
      </c>
      <c r="K16" s="12">
        <f t="shared" si="4"/>
        <v>18720</v>
      </c>
      <c r="L16" s="286">
        <f t="shared" si="6"/>
        <v>18720</v>
      </c>
    </row>
    <row r="17" spans="1:14" x14ac:dyDescent="0.35">
      <c r="A17" s="1" t="s">
        <v>350</v>
      </c>
      <c r="B17" s="1" t="s">
        <v>368</v>
      </c>
      <c r="D17" s="216">
        <v>2080</v>
      </c>
      <c r="G17" s="12">
        <v>18</v>
      </c>
      <c r="H17" s="12">
        <f t="shared" ref="H17" si="12">D17*G17</f>
        <v>37440</v>
      </c>
      <c r="I17" s="14">
        <f t="shared" ref="I17" si="13">E17*G17</f>
        <v>0</v>
      </c>
      <c r="J17" s="14">
        <f t="shared" ref="J17" si="14">F17*G17*1.5</f>
        <v>0</v>
      </c>
      <c r="K17" s="12">
        <f t="shared" ref="K17" si="15">H17++I17+J17</f>
        <v>37440</v>
      </c>
      <c r="L17" s="286">
        <f t="shared" ref="L17" si="16">K17</f>
        <v>37440</v>
      </c>
    </row>
    <row r="18" spans="1:14" x14ac:dyDescent="0.35">
      <c r="A18" s="1" t="s">
        <v>350</v>
      </c>
      <c r="B18" s="1" t="s">
        <v>369</v>
      </c>
      <c r="D18" s="290">
        <v>2080</v>
      </c>
      <c r="F18" s="1"/>
      <c r="G18" s="12">
        <v>18</v>
      </c>
      <c r="H18" s="12">
        <f t="shared" ref="H18" si="17">D18*G18</f>
        <v>37440</v>
      </c>
      <c r="I18" s="14">
        <f t="shared" ref="I18" si="18">E18*G18</f>
        <v>0</v>
      </c>
      <c r="J18" s="14">
        <f t="shared" ref="J18" si="19">F18*G18*1.5</f>
        <v>0</v>
      </c>
      <c r="K18" s="12">
        <f t="shared" ref="K18" si="20">H18++I18+J18</f>
        <v>37440</v>
      </c>
      <c r="L18" s="286">
        <f t="shared" ref="L18" si="21">K18</f>
        <v>37440</v>
      </c>
    </row>
    <row r="19" spans="1:14" x14ac:dyDescent="0.35">
      <c r="H19" s="12">
        <f t="shared" ref="H19" si="22">D19*G19</f>
        <v>0</v>
      </c>
      <c r="I19" s="14">
        <f t="shared" ref="I19" si="23">E19*G19</f>
        <v>0</v>
      </c>
      <c r="J19" s="14">
        <f t="shared" ref="J19" si="24">F19*G19*1.5</f>
        <v>0</v>
      </c>
      <c r="K19" s="12">
        <f t="shared" ref="K19" si="25">H19++I19+J19</f>
        <v>0</v>
      </c>
      <c r="L19" s="286">
        <f t="shared" ref="L19" si="26">K19</f>
        <v>0</v>
      </c>
    </row>
    <row r="20" spans="1:14" x14ac:dyDescent="0.35">
      <c r="C20" s="1" t="s">
        <v>158</v>
      </c>
      <c r="D20" s="12">
        <f>SUM(D5:D19)</f>
        <v>25865</v>
      </c>
      <c r="F20" s="12">
        <f>SUM(F5:F19)</f>
        <v>1050</v>
      </c>
      <c r="G20" s="200"/>
      <c r="H20" s="221">
        <f>SUM(H5:H19)</f>
        <v>666981.1</v>
      </c>
      <c r="I20" s="221">
        <f t="shared" ref="I20:J20" si="27">SUM(I5:I19)</f>
        <v>0</v>
      </c>
      <c r="J20" s="221">
        <f t="shared" si="27"/>
        <v>44724.1875</v>
      </c>
      <c r="K20" s="221">
        <f>SUM(K5:K19)</f>
        <v>806705.28749999998</v>
      </c>
      <c r="L20" s="221">
        <f>SUM(L5:L19)</f>
        <v>806705.28749999998</v>
      </c>
      <c r="M20" s="286">
        <f>L20*((0.1971+0.1862)/2)</f>
        <v>154605.06834937498</v>
      </c>
      <c r="N20" s="290" t="s">
        <v>407</v>
      </c>
    </row>
    <row r="22" spans="1:14" x14ac:dyDescent="0.35">
      <c r="K22" s="12">
        <v>0</v>
      </c>
    </row>
    <row r="24" spans="1:14" x14ac:dyDescent="0.35">
      <c r="K24" s="141" t="s">
        <v>32</v>
      </c>
    </row>
    <row r="25" spans="1:14" x14ac:dyDescent="0.35">
      <c r="G25" s="12" t="s">
        <v>87</v>
      </c>
      <c r="K25" s="12">
        <f>K20</f>
        <v>806705.28749999998</v>
      </c>
    </row>
    <row r="26" spans="1:14" x14ac:dyDescent="0.35">
      <c r="G26" s="12" t="s">
        <v>88</v>
      </c>
      <c r="K26" s="41">
        <f>-SAO!D19</f>
        <v>-670301</v>
      </c>
      <c r="L26" s="144" t="s">
        <v>323</v>
      </c>
    </row>
    <row r="27" spans="1:14" x14ac:dyDescent="0.35">
      <c r="A27" s="200"/>
      <c r="B27" s="200"/>
      <c r="G27" s="12" t="s">
        <v>89</v>
      </c>
      <c r="K27" s="12">
        <f>K25+K26</f>
        <v>136404.28749999998</v>
      </c>
      <c r="L27" s="18" t="s">
        <v>300</v>
      </c>
    </row>
    <row r="28" spans="1:14" x14ac:dyDescent="0.35">
      <c r="K28" s="12" t="s">
        <v>90</v>
      </c>
      <c r="L28" s="18"/>
    </row>
    <row r="29" spans="1:14" x14ac:dyDescent="0.35">
      <c r="G29" s="12" t="s">
        <v>91</v>
      </c>
      <c r="K29" s="12">
        <f>K20</f>
        <v>806705.28749999998</v>
      </c>
      <c r="L29" s="18"/>
    </row>
    <row r="30" spans="1:14" x14ac:dyDescent="0.35">
      <c r="G30" s="12" t="s">
        <v>260</v>
      </c>
      <c r="K30" s="41">
        <v>30200</v>
      </c>
      <c r="L30" s="144" t="s">
        <v>323</v>
      </c>
    </row>
    <row r="31" spans="1:14" x14ac:dyDescent="0.35">
      <c r="H31" s="12" t="s">
        <v>259</v>
      </c>
      <c r="K31" s="12">
        <f>SUM(K29:K30)</f>
        <v>836905.28749999998</v>
      </c>
      <c r="L31" s="18"/>
    </row>
    <row r="32" spans="1:14" x14ac:dyDescent="0.35">
      <c r="G32" s="12" t="s">
        <v>92</v>
      </c>
      <c r="K32" s="142">
        <v>7.6499999999999999E-2</v>
      </c>
      <c r="L32" s="18"/>
    </row>
    <row r="33" spans="3:12" x14ac:dyDescent="0.35">
      <c r="G33" s="12" t="s">
        <v>93</v>
      </c>
      <c r="K33" s="12">
        <f>K31*K32</f>
        <v>64023.254493749999</v>
      </c>
      <c r="L33" s="18"/>
    </row>
    <row r="34" spans="3:12" x14ac:dyDescent="0.35">
      <c r="G34" s="12" t="s">
        <v>94</v>
      </c>
      <c r="K34" s="396">
        <v>55179</v>
      </c>
      <c r="L34" s="144" t="s">
        <v>410</v>
      </c>
    </row>
    <row r="35" spans="3:12" x14ac:dyDescent="0.35">
      <c r="G35" s="12" t="s">
        <v>95</v>
      </c>
      <c r="K35" s="12">
        <f>K33-K34</f>
        <v>8844.2544937499988</v>
      </c>
      <c r="L35" s="18" t="s">
        <v>206</v>
      </c>
    </row>
    <row r="36" spans="3:12" x14ac:dyDescent="0.35">
      <c r="L36" s="18"/>
    </row>
    <row r="37" spans="3:12" x14ac:dyDescent="0.35">
      <c r="D37" s="1"/>
      <c r="E37" s="1"/>
      <c r="F37" s="1"/>
      <c r="G37" s="12" t="s">
        <v>96</v>
      </c>
      <c r="K37" s="12">
        <f>M20</f>
        <v>154605.06834937498</v>
      </c>
      <c r="L37" s="18"/>
    </row>
    <row r="38" spans="3:12" x14ac:dyDescent="0.35">
      <c r="D38" s="1"/>
      <c r="E38" s="1"/>
      <c r="F38" s="1"/>
      <c r="G38" s="12" t="s">
        <v>97</v>
      </c>
      <c r="K38" s="396">
        <v>-178864</v>
      </c>
      <c r="L38" s="144" t="s">
        <v>412</v>
      </c>
    </row>
    <row r="39" spans="3:12" x14ac:dyDescent="0.35">
      <c r="D39" s="1"/>
      <c r="E39" s="1"/>
      <c r="F39" s="1"/>
      <c r="G39" s="12" t="s">
        <v>98</v>
      </c>
      <c r="K39" s="12">
        <f>K37+K38</f>
        <v>-24258.931650625018</v>
      </c>
      <c r="L39" s="18" t="s">
        <v>303</v>
      </c>
    </row>
    <row r="40" spans="3:12" x14ac:dyDescent="0.35">
      <c r="D40" s="1"/>
      <c r="E40" s="1"/>
      <c r="F40" s="1"/>
      <c r="K40" s="396"/>
      <c r="L40" s="144"/>
    </row>
    <row r="41" spans="3:12" x14ac:dyDescent="0.35">
      <c r="D41" s="291"/>
      <c r="E41" s="1"/>
      <c r="F41" s="291"/>
    </row>
    <row r="46" spans="3:12" ht="21" x14ac:dyDescent="0.5">
      <c r="C46" s="260" t="s">
        <v>324</v>
      </c>
      <c r="D46" s="261"/>
      <c r="E46" s="261"/>
    </row>
    <row r="47" spans="3:12" ht="18.5" x14ac:dyDescent="0.65">
      <c r="C47"/>
      <c r="D47" s="285"/>
      <c r="E47" s="263" t="s">
        <v>325</v>
      </c>
      <c r="F47" s="263"/>
      <c r="G47" s="263"/>
      <c r="H47" s="41" t="s">
        <v>283</v>
      </c>
    </row>
    <row r="48" spans="3:12" ht="18.5" x14ac:dyDescent="0.45">
      <c r="C48" s="262" t="s">
        <v>245</v>
      </c>
      <c r="D48" s="285"/>
      <c r="E48" s="284">
        <v>113026</v>
      </c>
      <c r="F48" s="284"/>
      <c r="G48" s="285"/>
      <c r="J48" s="12" t="s">
        <v>286</v>
      </c>
    </row>
    <row r="49" spans="1:11" ht="18.5" x14ac:dyDescent="0.45">
      <c r="C49" s="262" t="s">
        <v>246</v>
      </c>
      <c r="D49" s="285"/>
      <c r="E49" s="284">
        <v>178864</v>
      </c>
      <c r="F49" s="284"/>
      <c r="G49" s="285"/>
    </row>
    <row r="50" spans="1:11" ht="18.5" x14ac:dyDescent="0.45">
      <c r="C50" s="262"/>
      <c r="D50" s="285" t="s">
        <v>186</v>
      </c>
      <c r="E50" s="284"/>
      <c r="F50" s="284"/>
      <c r="G50" s="285">
        <f>M20</f>
        <v>154605.06834937498</v>
      </c>
      <c r="H50" s="285">
        <f>G50-E49</f>
        <v>-24258.931650625018</v>
      </c>
      <c r="I50" s="270" t="s">
        <v>303</v>
      </c>
      <c r="J50" s="216" t="s">
        <v>416</v>
      </c>
    </row>
    <row r="51" spans="1:11" ht="18.5" x14ac:dyDescent="0.45">
      <c r="C51" s="262"/>
      <c r="D51" s="285" t="s">
        <v>282</v>
      </c>
      <c r="E51" s="284"/>
      <c r="F51" s="284"/>
      <c r="G51" s="285"/>
      <c r="H51" s="285"/>
      <c r="I51" s="270"/>
      <c r="J51" s="216"/>
      <c r="K51" s="216"/>
    </row>
    <row r="52" spans="1:11" ht="18.5" x14ac:dyDescent="0.45">
      <c r="C52" s="262" t="s">
        <v>253</v>
      </c>
      <c r="D52" s="285"/>
      <c r="E52" s="284">
        <v>12634</v>
      </c>
      <c r="F52" s="284"/>
      <c r="G52" s="285"/>
      <c r="H52" s="285"/>
      <c r="I52" s="270"/>
      <c r="J52" s="216"/>
      <c r="K52" s="216"/>
    </row>
    <row r="53" spans="1:11" ht="18.5" x14ac:dyDescent="0.45">
      <c r="C53" s="262" t="s">
        <v>247</v>
      </c>
      <c r="D53" s="285"/>
      <c r="E53" s="284">
        <v>10798</v>
      </c>
      <c r="F53" s="284"/>
      <c r="G53" s="285"/>
      <c r="H53" s="285"/>
      <c r="I53" s="270"/>
      <c r="J53" s="216"/>
      <c r="K53" s="216"/>
    </row>
    <row r="54" spans="1:11" ht="18.5" x14ac:dyDescent="0.45">
      <c r="A54" s="347" t="s">
        <v>376</v>
      </c>
      <c r="C54" s="262" t="s">
        <v>248</v>
      </c>
      <c r="D54" s="285"/>
      <c r="E54" s="284">
        <v>15447</v>
      </c>
      <c r="F54" s="284"/>
      <c r="G54" s="285"/>
      <c r="H54" s="285"/>
      <c r="I54" s="270"/>
      <c r="J54" s="216"/>
      <c r="K54" s="216"/>
    </row>
    <row r="55" spans="1:11" ht="18.5" x14ac:dyDescent="0.45">
      <c r="A55" s="1" t="s">
        <v>377</v>
      </c>
      <c r="C55" s="262"/>
      <c r="D55" s="285"/>
      <c r="E55" s="284"/>
      <c r="F55" s="284"/>
      <c r="G55" s="285"/>
    </row>
    <row r="56" spans="1:11" ht="18.5" x14ac:dyDescent="0.45">
      <c r="A56" s="1" t="s">
        <v>378</v>
      </c>
      <c r="C56" s="264" t="s">
        <v>12</v>
      </c>
      <c r="D56" s="285"/>
      <c r="E56" s="284">
        <f>SUM(E48:E54)</f>
        <v>330769</v>
      </c>
      <c r="F56" s="284"/>
      <c r="G56" s="285"/>
    </row>
    <row r="57" spans="1:11" ht="15.5" x14ac:dyDescent="0.35">
      <c r="A57" s="1" t="s">
        <v>379</v>
      </c>
      <c r="D57" s="285"/>
      <c r="E57" s="285" t="s">
        <v>406</v>
      </c>
      <c r="F57" s="285"/>
      <c r="G57" s="285"/>
    </row>
    <row r="58" spans="1:11" ht="15.5" x14ac:dyDescent="0.35">
      <c r="A58" s="1" t="s">
        <v>380</v>
      </c>
      <c r="D58" s="285"/>
      <c r="E58" s="285"/>
      <c r="F58" s="285"/>
      <c r="G58" s="285"/>
    </row>
    <row r="59" spans="1:11" ht="15.5" x14ac:dyDescent="0.35">
      <c r="A59" s="1" t="s">
        <v>381</v>
      </c>
      <c r="C59" s="1" t="s">
        <v>403</v>
      </c>
      <c r="D59" s="285">
        <v>30000</v>
      </c>
      <c r="E59" s="285"/>
      <c r="F59" s="285"/>
      <c r="G59" s="285"/>
    </row>
    <row r="60" spans="1:11" ht="15.5" x14ac:dyDescent="0.35">
      <c r="C60" s="1" t="s">
        <v>250</v>
      </c>
      <c r="D60" s="285">
        <v>200</v>
      </c>
      <c r="E60" s="285"/>
      <c r="F60" s="285"/>
      <c r="G60" s="285"/>
    </row>
    <row r="61" spans="1:11" ht="15.5" x14ac:dyDescent="0.35">
      <c r="D61" s="285">
        <f>SUM(D59:D60)</f>
        <v>30200</v>
      </c>
      <c r="E61" s="285"/>
      <c r="F61" s="285"/>
      <c r="G61" s="285"/>
    </row>
    <row r="63" spans="1:11" ht="15.5" x14ac:dyDescent="0.35">
      <c r="C63" s="466"/>
      <c r="D63" s="466"/>
      <c r="E63" s="467"/>
    </row>
    <row r="64" spans="1:11" ht="15.5" x14ac:dyDescent="0.35">
      <c r="C64" s="466"/>
      <c r="D64" s="466"/>
      <c r="E64" s="467"/>
    </row>
    <row r="65" spans="3:5" ht="15.5" x14ac:dyDescent="0.35">
      <c r="C65" s="392"/>
      <c r="D65" s="216"/>
      <c r="E65" s="393"/>
    </row>
    <row r="66" spans="3:5" ht="15.5" x14ac:dyDescent="0.35">
      <c r="C66" s="392"/>
      <c r="D66" s="216"/>
      <c r="E66" s="393"/>
    </row>
    <row r="67" spans="3:5" ht="15.5" x14ac:dyDescent="0.35">
      <c r="C67" s="392"/>
      <c r="D67" s="216"/>
      <c r="E67" s="393"/>
    </row>
    <row r="68" spans="3:5" ht="15.5" x14ac:dyDescent="0.35">
      <c r="C68" s="392"/>
      <c r="D68" s="216"/>
      <c r="E68" s="393"/>
    </row>
    <row r="69" spans="3:5" ht="15.5" x14ac:dyDescent="0.35">
      <c r="C69" s="392"/>
      <c r="D69" s="216"/>
      <c r="E69" s="393"/>
    </row>
    <row r="70" spans="3:5" ht="15.5" x14ac:dyDescent="0.35">
      <c r="C70" s="392"/>
      <c r="D70" s="216"/>
      <c r="E70" s="393"/>
    </row>
    <row r="71" spans="3:5" ht="15.5" x14ac:dyDescent="0.35">
      <c r="C71" s="392"/>
      <c r="D71" s="216"/>
      <c r="E71" s="393"/>
    </row>
    <row r="72" spans="3:5" ht="15.5" x14ac:dyDescent="0.35">
      <c r="C72" s="392"/>
      <c r="D72" s="216"/>
      <c r="E72" s="393"/>
    </row>
    <row r="73" spans="3:5" ht="15.5" x14ac:dyDescent="0.35">
      <c r="C73" s="392"/>
      <c r="D73" s="216"/>
      <c r="E73" s="393"/>
    </row>
    <row r="74" spans="3:5" ht="15.5" x14ac:dyDescent="0.35">
      <c r="C74" s="392"/>
      <c r="D74" s="216"/>
      <c r="E74" s="394"/>
    </row>
    <row r="75" spans="3:5" ht="15.5" x14ac:dyDescent="0.35">
      <c r="C75" s="233"/>
      <c r="D75" s="216"/>
      <c r="E75" s="395"/>
    </row>
    <row r="100" spans="2:8" x14ac:dyDescent="0.35">
      <c r="B100" s="344"/>
      <c r="C100" s="384" t="s">
        <v>80</v>
      </c>
      <c r="D100" s="385" t="s">
        <v>397</v>
      </c>
      <c r="E100" s="385" t="s">
        <v>398</v>
      </c>
      <c r="F100" s="385" t="s">
        <v>399</v>
      </c>
      <c r="G100" s="289"/>
      <c r="H100" s="289"/>
    </row>
    <row r="101" spans="2:8" x14ac:dyDescent="0.35">
      <c r="B101" s="344"/>
      <c r="C101" s="344" t="s">
        <v>344</v>
      </c>
      <c r="D101" s="289"/>
      <c r="E101" s="289"/>
      <c r="F101" s="289">
        <f>G101</f>
        <v>95000</v>
      </c>
      <c r="G101" s="343">
        <v>95000</v>
      </c>
      <c r="H101" s="289"/>
    </row>
    <row r="102" spans="2:8" x14ac:dyDescent="0.35">
      <c r="B102" s="344"/>
      <c r="C102" s="344" t="s">
        <v>237</v>
      </c>
      <c r="D102" s="289"/>
      <c r="E102" s="289">
        <f t="shared" ref="E102:E103" si="28">G102</f>
        <v>67432.75</v>
      </c>
      <c r="F102" s="289"/>
      <c r="G102" s="343">
        <v>67432.75</v>
      </c>
      <c r="H102" s="289"/>
    </row>
    <row r="103" spans="2:8" x14ac:dyDescent="0.35">
      <c r="B103" s="344"/>
      <c r="C103" s="344" t="s">
        <v>345</v>
      </c>
      <c r="D103" s="289"/>
      <c r="E103" s="289">
        <f t="shared" si="28"/>
        <v>50550.5</v>
      </c>
      <c r="F103" s="289"/>
      <c r="G103" s="343">
        <v>50550.5</v>
      </c>
      <c r="H103" s="289"/>
    </row>
    <row r="104" spans="2:8" ht="18.5" x14ac:dyDescent="0.45">
      <c r="B104" s="386" t="s">
        <v>400</v>
      </c>
      <c r="C104" s="344" t="s">
        <v>231</v>
      </c>
      <c r="D104" s="289">
        <f>G104</f>
        <v>77074.8125</v>
      </c>
      <c r="E104" s="289"/>
      <c r="F104" s="289"/>
      <c r="G104" s="343">
        <v>77074.8125</v>
      </c>
      <c r="H104" s="289"/>
    </row>
    <row r="105" spans="2:8" x14ac:dyDescent="0.35">
      <c r="B105" s="344"/>
      <c r="C105" s="344" t="s">
        <v>232</v>
      </c>
      <c r="D105" s="289"/>
      <c r="E105" s="289"/>
      <c r="F105" s="289">
        <f>G105</f>
        <v>50960</v>
      </c>
      <c r="G105" s="343">
        <v>50960</v>
      </c>
      <c r="H105" s="289"/>
    </row>
    <row r="106" spans="2:8" x14ac:dyDescent="0.35">
      <c r="B106" s="344"/>
      <c r="C106" s="344" t="s">
        <v>343</v>
      </c>
      <c r="D106" s="289"/>
      <c r="E106" s="289">
        <f t="shared" ref="E106" si="29">G106</f>
        <v>47585.625</v>
      </c>
      <c r="F106" s="289"/>
      <c r="G106" s="343">
        <v>47585.625</v>
      </c>
      <c r="H106" s="289"/>
    </row>
    <row r="107" spans="2:8" ht="18.5" x14ac:dyDescent="0.45">
      <c r="B107" s="386" t="s">
        <v>400</v>
      </c>
      <c r="C107" s="344" t="s">
        <v>233</v>
      </c>
      <c r="D107" s="289">
        <f t="shared" ref="D107:D108" si="30">G107</f>
        <v>88264.5</v>
      </c>
      <c r="E107" s="289"/>
      <c r="F107" s="289"/>
      <c r="G107" s="343">
        <v>88264.5</v>
      </c>
      <c r="H107" s="289"/>
    </row>
    <row r="108" spans="2:8" ht="18.5" x14ac:dyDescent="0.45">
      <c r="B108" s="386" t="s">
        <v>400</v>
      </c>
      <c r="C108" s="344" t="s">
        <v>234</v>
      </c>
      <c r="D108" s="289">
        <f t="shared" si="30"/>
        <v>76608</v>
      </c>
      <c r="E108" s="289"/>
      <c r="F108" s="289"/>
      <c r="G108" s="343">
        <v>76608</v>
      </c>
      <c r="H108" s="289"/>
    </row>
    <row r="109" spans="2:8" x14ac:dyDescent="0.35">
      <c r="B109" s="344"/>
      <c r="C109" s="344" t="s">
        <v>342</v>
      </c>
      <c r="D109" s="289"/>
      <c r="E109" s="289"/>
      <c r="F109" s="289">
        <f>G109</f>
        <v>44616</v>
      </c>
      <c r="G109" s="343">
        <v>44616</v>
      </c>
      <c r="H109" s="289"/>
    </row>
    <row r="110" spans="2:8" x14ac:dyDescent="0.35">
      <c r="B110" s="344"/>
      <c r="C110" s="344" t="s">
        <v>235</v>
      </c>
      <c r="D110" s="289"/>
      <c r="E110" s="289"/>
      <c r="F110" s="289">
        <f>G110</f>
        <v>46643.100000000006</v>
      </c>
      <c r="G110" s="343">
        <v>46643.100000000006</v>
      </c>
      <c r="H110" s="289"/>
    </row>
    <row r="111" spans="2:8" ht="18.5" x14ac:dyDescent="0.45">
      <c r="B111" s="386" t="s">
        <v>400</v>
      </c>
      <c r="C111" s="344" t="s">
        <v>236</v>
      </c>
      <c r="D111" s="289">
        <f>G111</f>
        <v>68370</v>
      </c>
      <c r="E111" s="289"/>
      <c r="F111" s="289"/>
      <c r="G111" s="343">
        <v>68370</v>
      </c>
      <c r="H111" s="289"/>
    </row>
    <row r="112" spans="2:8" x14ac:dyDescent="0.35">
      <c r="B112" s="344"/>
      <c r="C112" s="344" t="s">
        <v>370</v>
      </c>
      <c r="D112" s="289"/>
      <c r="E112" s="289">
        <f>G112</f>
        <v>18720</v>
      </c>
      <c r="F112" s="289"/>
      <c r="G112" s="343">
        <v>18720</v>
      </c>
      <c r="H112" s="289"/>
    </row>
    <row r="113" spans="2:8" x14ac:dyDescent="0.35">
      <c r="B113" s="344"/>
      <c r="C113" s="344" t="s">
        <v>371</v>
      </c>
      <c r="D113" s="289"/>
      <c r="E113" s="289">
        <f t="shared" ref="E113:E114" si="31">G113</f>
        <v>37440</v>
      </c>
      <c r="F113" s="289"/>
      <c r="G113" s="343">
        <v>37440</v>
      </c>
      <c r="H113" s="289"/>
    </row>
    <row r="114" spans="2:8" x14ac:dyDescent="0.35">
      <c r="B114" s="344"/>
      <c r="C114" s="344" t="s">
        <v>372</v>
      </c>
      <c r="D114" s="289"/>
      <c r="E114" s="289">
        <f t="shared" si="31"/>
        <v>37440</v>
      </c>
      <c r="F114" s="289"/>
      <c r="G114" s="343">
        <v>37440</v>
      </c>
      <c r="H114" s="289"/>
    </row>
    <row r="115" spans="2:8" x14ac:dyDescent="0.35">
      <c r="B115" s="344"/>
      <c r="C115" s="344"/>
      <c r="D115" s="289">
        <f t="shared" ref="D115:F115" si="32">SUM(D101:D114)</f>
        <v>310317.3125</v>
      </c>
      <c r="E115" s="289">
        <f t="shared" si="32"/>
        <v>259168.875</v>
      </c>
      <c r="F115" s="289">
        <f t="shared" si="32"/>
        <v>237219.1</v>
      </c>
      <c r="G115" s="289">
        <f>SUM(G101:G114)</f>
        <v>806705.28749999998</v>
      </c>
      <c r="H115" s="289"/>
    </row>
    <row r="116" spans="2:8" x14ac:dyDescent="0.35">
      <c r="B116" s="344"/>
      <c r="C116" s="344"/>
      <c r="D116" s="289"/>
      <c r="E116" s="387">
        <f>E115/SUM(E101:F114)</f>
        <v>0.52210949509806315</v>
      </c>
      <c r="F116" s="387">
        <f>F115/SUM(E101:F114)</f>
        <v>0.47789050490193685</v>
      </c>
      <c r="G116" s="289"/>
      <c r="H116" s="289"/>
    </row>
  </sheetData>
  <mergeCells count="3">
    <mergeCell ref="C63:E63"/>
    <mergeCell ref="C64:E64"/>
    <mergeCell ref="B4:C4"/>
  </mergeCells>
  <phoneticPr fontId="43" type="noConversion"/>
  <pageMargins left="0.7" right="0.7" top="0.75" bottom="0.75" header="0.3" footer="0.3"/>
  <pageSetup orientation="portrait" horizontalDpi="4294967293" r:id="rId1"/>
  <ignoredErrors>
    <ignoredError sqref="G3 D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630B1-5320-458A-B984-AF0BD6A9981A}">
  <sheetPr>
    <tabColor rgb="FF92D050"/>
    <pageSetUpPr fitToPage="1"/>
  </sheetPr>
  <dimension ref="B1:R24"/>
  <sheetViews>
    <sheetView showGridLines="0" topLeftCell="A6" workbookViewId="0">
      <selection activeCell="O6" sqref="O6"/>
    </sheetView>
  </sheetViews>
  <sheetFormatPr defaultRowHeight="15.5" x14ac:dyDescent="0.35"/>
  <cols>
    <col min="1" max="1" width="1.765625" customWidth="1"/>
    <col min="2" max="2" width="17.765625" customWidth="1"/>
    <col min="3" max="12" width="7.765625" customWidth="1"/>
    <col min="13" max="13" width="10.69140625" customWidth="1"/>
    <col min="14" max="14" width="1.15234375" customWidth="1"/>
    <col min="15" max="15" width="14.07421875" customWidth="1"/>
    <col min="16" max="16" width="12.84375" customWidth="1"/>
  </cols>
  <sheetData>
    <row r="1" spans="2:18" x14ac:dyDescent="0.35">
      <c r="B1" s="15"/>
      <c r="C1" s="15"/>
      <c r="D1" s="15"/>
      <c r="E1" s="15"/>
      <c r="F1" s="15"/>
      <c r="G1" s="15"/>
      <c r="H1" s="15"/>
      <c r="I1" s="15"/>
      <c r="J1" s="15"/>
      <c r="K1" s="15"/>
      <c r="L1" s="15"/>
      <c r="M1" s="15"/>
      <c r="N1" s="15"/>
      <c r="O1" s="15"/>
      <c r="P1" s="381" t="s">
        <v>391</v>
      </c>
      <c r="Q1" s="381"/>
      <c r="R1" s="381"/>
    </row>
    <row r="2" spans="2:18" x14ac:dyDescent="0.35">
      <c r="B2" s="76"/>
      <c r="C2" s="77"/>
      <c r="D2" s="77"/>
      <c r="E2" s="77"/>
      <c r="F2" s="77"/>
      <c r="G2" s="77"/>
      <c r="H2" s="77"/>
      <c r="I2" s="77"/>
      <c r="J2" s="77"/>
      <c r="K2" s="77"/>
      <c r="L2" s="77"/>
      <c r="M2" s="77"/>
      <c r="N2" s="78"/>
      <c r="O2" s="15"/>
      <c r="P2" s="382" t="s">
        <v>392</v>
      </c>
      <c r="Q2" s="381"/>
      <c r="R2" s="381"/>
    </row>
    <row r="3" spans="2:18" ht="18.5" x14ac:dyDescent="0.45">
      <c r="B3" s="79" t="s">
        <v>101</v>
      </c>
      <c r="C3" s="80"/>
      <c r="D3" s="80"/>
      <c r="E3" s="80"/>
      <c r="F3" s="80"/>
      <c r="G3" s="80"/>
      <c r="H3" s="80"/>
      <c r="I3" s="80"/>
      <c r="J3" s="80"/>
      <c r="K3" s="80"/>
      <c r="L3" s="80"/>
      <c r="M3" s="80"/>
      <c r="N3" s="71"/>
      <c r="O3" s="15"/>
      <c r="P3" s="15"/>
    </row>
    <row r="4" spans="2:18" ht="18.5" x14ac:dyDescent="0.45">
      <c r="B4" s="81" t="s">
        <v>102</v>
      </c>
      <c r="C4" s="82"/>
      <c r="D4" s="82"/>
      <c r="E4" s="82"/>
      <c r="F4" s="82"/>
      <c r="G4" s="82"/>
      <c r="H4" s="82"/>
      <c r="I4" s="82"/>
      <c r="J4" s="82"/>
      <c r="K4" s="82"/>
      <c r="L4" s="82"/>
      <c r="M4" s="82"/>
      <c r="N4" s="71"/>
      <c r="O4" s="15"/>
      <c r="P4" s="15"/>
    </row>
    <row r="5" spans="2:18" x14ac:dyDescent="0.35">
      <c r="B5" s="83" t="s">
        <v>208</v>
      </c>
      <c r="C5" s="80"/>
      <c r="D5" s="80"/>
      <c r="E5" s="80"/>
      <c r="F5" s="80"/>
      <c r="G5" s="80"/>
      <c r="H5" s="80"/>
      <c r="I5" s="80"/>
      <c r="J5" s="80"/>
      <c r="K5" s="80"/>
      <c r="L5" s="80"/>
      <c r="M5" s="80"/>
      <c r="N5" s="71"/>
      <c r="O5" s="15"/>
      <c r="P5" s="15"/>
    </row>
    <row r="6" spans="2:18" x14ac:dyDescent="0.35">
      <c r="B6" s="84" t="s">
        <v>328</v>
      </c>
      <c r="C6" s="85"/>
      <c r="D6" s="85"/>
      <c r="E6" s="85"/>
      <c r="F6" s="85"/>
      <c r="G6" s="85"/>
      <c r="H6" s="85"/>
      <c r="I6" s="85"/>
      <c r="J6" s="85"/>
      <c r="K6" s="85"/>
      <c r="L6" s="85"/>
      <c r="M6" s="85"/>
      <c r="N6" s="71"/>
      <c r="O6" s="15"/>
      <c r="P6" s="15"/>
    </row>
    <row r="7" spans="2:18" x14ac:dyDescent="0.35">
      <c r="B7" s="86"/>
      <c r="C7" s="85"/>
      <c r="D7" s="85"/>
      <c r="E7" s="85"/>
      <c r="F7" s="85"/>
      <c r="G7" s="85"/>
      <c r="H7" s="85"/>
      <c r="I7" s="85"/>
      <c r="J7" s="85"/>
      <c r="K7" s="85"/>
      <c r="L7" s="85"/>
      <c r="M7" s="85"/>
      <c r="N7" s="71"/>
      <c r="O7" s="15"/>
      <c r="P7" s="15"/>
    </row>
    <row r="8" spans="2:18" x14ac:dyDescent="0.35">
      <c r="B8" s="87"/>
      <c r="C8" s="88"/>
      <c r="D8" s="89"/>
      <c r="E8" s="88"/>
      <c r="F8" s="90"/>
      <c r="G8" s="88"/>
      <c r="H8" s="90"/>
      <c r="I8" s="88"/>
      <c r="J8" s="90"/>
      <c r="K8" s="88"/>
      <c r="L8" s="90"/>
      <c r="M8" s="89"/>
      <c r="N8" s="78"/>
      <c r="O8" s="15"/>
      <c r="P8" s="15"/>
    </row>
    <row r="9" spans="2:18" ht="16" x14ac:dyDescent="0.35">
      <c r="B9" s="91"/>
      <c r="C9" s="469" t="s">
        <v>103</v>
      </c>
      <c r="D9" s="470"/>
      <c r="E9" s="469" t="s">
        <v>104</v>
      </c>
      <c r="F9" s="470"/>
      <c r="G9" s="469" t="s">
        <v>224</v>
      </c>
      <c r="H9" s="470"/>
      <c r="I9" s="469" t="s">
        <v>326</v>
      </c>
      <c r="J9" s="470"/>
      <c r="K9" s="469" t="s">
        <v>327</v>
      </c>
      <c r="L9" s="470"/>
      <c r="M9" s="15"/>
      <c r="N9" s="71"/>
      <c r="O9" s="15"/>
      <c r="P9" s="15"/>
    </row>
    <row r="10" spans="2:18" ht="16" x14ac:dyDescent="0.35">
      <c r="B10" s="91"/>
      <c r="C10" s="92"/>
      <c r="D10" s="93" t="s">
        <v>105</v>
      </c>
      <c r="E10" s="94"/>
      <c r="F10" s="93" t="s">
        <v>105</v>
      </c>
      <c r="G10" s="94"/>
      <c r="H10" s="93" t="s">
        <v>105</v>
      </c>
      <c r="I10" s="94"/>
      <c r="J10" s="93" t="s">
        <v>105</v>
      </c>
      <c r="K10" s="94"/>
      <c r="L10" s="93" t="s">
        <v>105</v>
      </c>
      <c r="M10" s="15"/>
      <c r="N10" s="71"/>
      <c r="O10" s="15"/>
      <c r="P10" s="15"/>
    </row>
    <row r="11" spans="2:18" ht="16" x14ac:dyDescent="0.35">
      <c r="B11" s="91"/>
      <c r="C11" s="92" t="s">
        <v>106</v>
      </c>
      <c r="D11" s="95" t="s">
        <v>107</v>
      </c>
      <c r="E11" s="92" t="s">
        <v>106</v>
      </c>
      <c r="F11" s="95" t="s">
        <v>107</v>
      </c>
      <c r="G11" s="92" t="s">
        <v>106</v>
      </c>
      <c r="H11" s="95" t="s">
        <v>107</v>
      </c>
      <c r="I11" s="92" t="s">
        <v>106</v>
      </c>
      <c r="J11" s="95" t="s">
        <v>107</v>
      </c>
      <c r="K11" s="92" t="s">
        <v>106</v>
      </c>
      <c r="L11" s="95" t="s">
        <v>107</v>
      </c>
      <c r="M11" s="96" t="s">
        <v>74</v>
      </c>
      <c r="N11" s="71"/>
      <c r="O11" s="15"/>
      <c r="P11" s="15"/>
    </row>
    <row r="12" spans="2:18" ht="15.4" customHeight="1" x14ac:dyDescent="0.35">
      <c r="B12" s="91" t="s">
        <v>274</v>
      </c>
      <c r="C12" s="329">
        <v>71000</v>
      </c>
      <c r="D12" s="330">
        <v>75792</v>
      </c>
      <c r="E12" s="329">
        <v>73000</v>
      </c>
      <c r="F12" s="330">
        <v>74172</v>
      </c>
      <c r="G12" s="379">
        <f>55500+19500</f>
        <v>75000</v>
      </c>
      <c r="H12" s="380">
        <v>72506</v>
      </c>
      <c r="I12" s="379">
        <f>57000+20000</f>
        <v>77000</v>
      </c>
      <c r="J12" s="380">
        <v>70796</v>
      </c>
      <c r="K12" s="379">
        <f>58500+20500</f>
        <v>79000</v>
      </c>
      <c r="L12" s="380">
        <v>69042</v>
      </c>
      <c r="M12" s="331">
        <f>SUM(C12:L12)</f>
        <v>737308</v>
      </c>
      <c r="N12" s="71"/>
      <c r="O12" s="15" t="s">
        <v>387</v>
      </c>
      <c r="P12" s="15"/>
      <c r="Q12" t="s">
        <v>275</v>
      </c>
    </row>
    <row r="13" spans="2:18" ht="15.4" customHeight="1" x14ac:dyDescent="0.35">
      <c r="B13" s="97" t="s">
        <v>388</v>
      </c>
      <c r="C13" s="332">
        <v>50613</v>
      </c>
      <c r="D13" s="334">
        <v>38239</v>
      </c>
      <c r="E13" s="332">
        <v>51377</v>
      </c>
      <c r="F13" s="334">
        <v>37474</v>
      </c>
      <c r="G13" s="332">
        <v>52153</v>
      </c>
      <c r="H13" s="334">
        <v>36698</v>
      </c>
      <c r="I13" s="332">
        <v>52941</v>
      </c>
      <c r="J13" s="334">
        <v>35911</v>
      </c>
      <c r="K13" s="332">
        <v>53741</v>
      </c>
      <c r="L13" s="334">
        <v>35111</v>
      </c>
      <c r="M13" s="331">
        <f t="shared" ref="M13:M14" si="0">SUM(C13:L13)</f>
        <v>444258</v>
      </c>
      <c r="N13" s="71"/>
      <c r="O13" s="15" t="s">
        <v>386</v>
      </c>
      <c r="P13" s="15"/>
      <c r="Q13" t="s">
        <v>276</v>
      </c>
    </row>
    <row r="14" spans="2:18" ht="15.4" customHeight="1" x14ac:dyDescent="0.35">
      <c r="B14" s="97"/>
      <c r="C14" s="332"/>
      <c r="D14" s="333"/>
      <c r="E14" s="332"/>
      <c r="F14" s="334"/>
      <c r="G14" s="332"/>
      <c r="H14" s="334"/>
      <c r="I14" s="332"/>
      <c r="J14" s="334"/>
      <c r="K14" s="332"/>
      <c r="L14" s="334"/>
      <c r="M14" s="331">
        <f t="shared" si="0"/>
        <v>0</v>
      </c>
      <c r="N14" s="71"/>
      <c r="O14" s="15"/>
      <c r="P14" s="15"/>
    </row>
    <row r="15" spans="2:18" x14ac:dyDescent="0.35">
      <c r="B15" s="98"/>
      <c r="C15" s="335"/>
      <c r="D15" s="336"/>
      <c r="E15" s="335"/>
      <c r="F15" s="336"/>
      <c r="G15" s="335"/>
      <c r="H15" s="336"/>
      <c r="I15" s="335"/>
      <c r="J15" s="336"/>
      <c r="K15" s="335"/>
      <c r="L15" s="337"/>
      <c r="M15" s="331"/>
      <c r="N15" s="71"/>
      <c r="O15" s="15"/>
      <c r="P15" s="15"/>
    </row>
    <row r="16" spans="2:18" x14ac:dyDescent="0.35">
      <c r="B16" s="72" t="s">
        <v>74</v>
      </c>
      <c r="C16" s="338">
        <f>SUM(C12:C14)</f>
        <v>121613</v>
      </c>
      <c r="D16" s="338">
        <f t="shared" ref="D16:M16" si="1">SUM(D12:D14)</f>
        <v>114031</v>
      </c>
      <c r="E16" s="338">
        <f t="shared" si="1"/>
        <v>124377</v>
      </c>
      <c r="F16" s="338">
        <f t="shared" si="1"/>
        <v>111646</v>
      </c>
      <c r="G16" s="338">
        <f t="shared" si="1"/>
        <v>127153</v>
      </c>
      <c r="H16" s="338">
        <f t="shared" si="1"/>
        <v>109204</v>
      </c>
      <c r="I16" s="338">
        <f t="shared" si="1"/>
        <v>129941</v>
      </c>
      <c r="J16" s="338">
        <f t="shared" si="1"/>
        <v>106707</v>
      </c>
      <c r="K16" s="338">
        <f>SUM(K12:K14)</f>
        <v>132741</v>
      </c>
      <c r="L16" s="338">
        <f>SUM(L12:L14)</f>
        <v>104153</v>
      </c>
      <c r="M16" s="338">
        <f t="shared" si="1"/>
        <v>1181566</v>
      </c>
      <c r="N16" s="71"/>
      <c r="O16" s="15"/>
      <c r="P16" s="15">
        <f>SUM(C16:L16)</f>
        <v>1181566</v>
      </c>
    </row>
    <row r="17" spans="2:16" x14ac:dyDescent="0.35">
      <c r="B17" s="99"/>
      <c r="C17" s="339"/>
      <c r="D17" s="340"/>
      <c r="E17" s="339"/>
      <c r="F17" s="341"/>
      <c r="G17" s="339"/>
      <c r="H17" s="341"/>
      <c r="I17" s="339"/>
      <c r="J17" s="342"/>
      <c r="K17" s="339"/>
      <c r="L17" s="341"/>
      <c r="M17" s="340"/>
      <c r="N17" s="67"/>
      <c r="O17" s="15"/>
      <c r="P17" s="15"/>
    </row>
    <row r="18" spans="2:16" x14ac:dyDescent="0.35">
      <c r="B18" s="100"/>
      <c r="C18" s="101"/>
      <c r="D18" s="101"/>
      <c r="E18" s="101"/>
      <c r="F18" s="101"/>
      <c r="G18" s="101"/>
      <c r="H18" s="101"/>
      <c r="I18" s="101"/>
      <c r="J18" s="102"/>
      <c r="K18" s="102"/>
      <c r="L18" s="102"/>
      <c r="M18" s="101"/>
      <c r="N18" s="71"/>
      <c r="O18" s="15"/>
      <c r="P18" s="15"/>
    </row>
    <row r="19" spans="2:16" x14ac:dyDescent="0.35">
      <c r="B19" s="103"/>
      <c r="C19" s="104"/>
      <c r="D19" s="105"/>
      <c r="E19" s="104"/>
      <c r="F19" s="104"/>
      <c r="G19" s="104"/>
      <c r="H19" s="104"/>
      <c r="I19" s="105" t="s">
        <v>108</v>
      </c>
      <c r="J19" s="15"/>
      <c r="K19" s="106"/>
      <c r="L19" s="107"/>
      <c r="M19" s="104">
        <f>M16/5</f>
        <v>236313.2</v>
      </c>
      <c r="N19" s="71"/>
      <c r="O19" s="15"/>
      <c r="P19" s="15"/>
    </row>
    <row r="20" spans="2:16" x14ac:dyDescent="0.35">
      <c r="B20" s="17"/>
      <c r="C20" s="105"/>
      <c r="D20" s="15"/>
      <c r="E20" s="105"/>
      <c r="F20" s="105"/>
      <c r="G20" s="105"/>
      <c r="H20" s="105"/>
      <c r="I20" s="105"/>
      <c r="J20" s="15"/>
      <c r="K20" s="20"/>
      <c r="L20" s="106"/>
      <c r="M20" s="31"/>
      <c r="N20" s="71"/>
      <c r="O20" s="15"/>
      <c r="P20" s="15"/>
    </row>
    <row r="21" spans="2:16" x14ac:dyDescent="0.35">
      <c r="B21" s="103"/>
      <c r="C21" s="105"/>
      <c r="D21" s="105"/>
      <c r="E21" s="105"/>
      <c r="F21" s="105"/>
      <c r="G21" s="105"/>
      <c r="H21" s="105"/>
      <c r="I21" s="105" t="s">
        <v>109</v>
      </c>
      <c r="J21" s="15"/>
      <c r="K21" s="106"/>
      <c r="L21" s="105"/>
      <c r="M21" s="104">
        <f>M19*0.2</f>
        <v>47262.640000000007</v>
      </c>
      <c r="N21" s="71"/>
      <c r="O21" s="15"/>
      <c r="P21" s="15">
        <f>M21+M19</f>
        <v>283575.84000000003</v>
      </c>
    </row>
    <row r="22" spans="2:16" x14ac:dyDescent="0.35">
      <c r="B22" s="103"/>
      <c r="C22" s="105"/>
      <c r="D22" s="105"/>
      <c r="E22" s="105"/>
      <c r="F22" s="105"/>
      <c r="G22" s="105"/>
      <c r="H22" s="105"/>
      <c r="I22" s="105"/>
      <c r="J22" s="15"/>
      <c r="K22" s="106"/>
      <c r="L22" s="105"/>
      <c r="M22" s="104"/>
      <c r="N22" s="71"/>
      <c r="O22" s="15"/>
      <c r="P22" s="15"/>
    </row>
    <row r="23" spans="2:16" x14ac:dyDescent="0.35">
      <c r="B23" s="103"/>
      <c r="C23" s="105"/>
      <c r="D23" s="105"/>
      <c r="E23" s="105"/>
      <c r="F23" s="105"/>
      <c r="G23" s="105"/>
      <c r="H23" s="105"/>
      <c r="I23" s="105" t="s">
        <v>273</v>
      </c>
      <c r="J23" s="15"/>
      <c r="K23" s="106"/>
      <c r="L23" s="105"/>
      <c r="M23" s="104">
        <f>(D16+F16+H16+J16+L16)/5</f>
        <v>109148.2</v>
      </c>
      <c r="N23" s="71"/>
      <c r="O23" s="15"/>
      <c r="P23" s="15"/>
    </row>
    <row r="24" spans="2:16" x14ac:dyDescent="0.35">
      <c r="B24" s="108"/>
      <c r="C24" s="109"/>
      <c r="D24" s="109"/>
      <c r="E24" s="109"/>
      <c r="F24" s="109"/>
      <c r="G24" s="109"/>
      <c r="H24" s="109"/>
      <c r="I24" s="109"/>
      <c r="J24" s="109"/>
      <c r="K24" s="109"/>
      <c r="L24" s="109"/>
      <c r="M24" s="109"/>
      <c r="N24" s="67"/>
      <c r="O24" s="15"/>
      <c r="P24" s="15"/>
    </row>
  </sheetData>
  <mergeCells count="5">
    <mergeCell ref="C9:D9"/>
    <mergeCell ref="E9:F9"/>
    <mergeCell ref="G9:H9"/>
    <mergeCell ref="I9:J9"/>
    <mergeCell ref="K9:L9"/>
  </mergeCells>
  <pageMargins left="0.7" right="0.7" top="0.75" bottom="0.75" header="0.3" footer="0.3"/>
  <pageSetup scale="9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590D3-A7C3-4727-A9D4-F5C014E94ADB}">
  <sheetPr>
    <tabColor rgb="FF92D050"/>
    <pageSetUpPr fitToPage="1"/>
  </sheetPr>
  <dimension ref="A1:R55"/>
  <sheetViews>
    <sheetView showGridLines="0" topLeftCell="A6" workbookViewId="0">
      <selection activeCell="B2" sqref="B2:L50"/>
    </sheetView>
  </sheetViews>
  <sheetFormatPr defaultRowHeight="15.5" x14ac:dyDescent="0.35"/>
  <cols>
    <col min="1" max="1" width="2" customWidth="1"/>
    <col min="2" max="2" width="1.84375" customWidth="1"/>
    <col min="3" max="3" width="1.765625" customWidth="1"/>
    <col min="4" max="4" width="27.4609375" style="1" customWidth="1"/>
    <col min="5" max="5" width="8.3046875" style="1" customWidth="1"/>
    <col min="6" max="6" width="10.69140625" style="175" customWidth="1"/>
    <col min="7" max="7" width="6.07421875" style="1" customWidth="1"/>
    <col min="8" max="8" width="9.3046875" style="171" customWidth="1"/>
    <col min="9" max="9" width="6.07421875" customWidth="1"/>
    <col min="10" max="10" width="9.3046875" style="171" customWidth="1"/>
    <col min="11" max="11" width="10.69140625" customWidth="1"/>
    <col min="12" max="12" width="1.84375" customWidth="1"/>
    <col min="13" max="13" width="2.4609375" customWidth="1"/>
    <col min="15" max="18" width="8.84375" style="1"/>
  </cols>
  <sheetData>
    <row r="1" spans="1:14" x14ac:dyDescent="0.35">
      <c r="A1" s="1"/>
      <c r="B1" s="1"/>
      <c r="C1" s="3"/>
      <c r="D1" s="3"/>
      <c r="E1" s="3"/>
      <c r="G1" s="120"/>
      <c r="H1" s="16"/>
      <c r="I1" s="120"/>
      <c r="J1" s="16"/>
      <c r="K1" s="3"/>
      <c r="L1" s="3"/>
      <c r="M1" s="3"/>
    </row>
    <row r="2" spans="1:14" x14ac:dyDescent="0.35">
      <c r="A2" s="1"/>
      <c r="B2" s="110"/>
      <c r="C2" s="112"/>
      <c r="D2" s="112"/>
      <c r="E2" s="112"/>
      <c r="F2" s="176"/>
      <c r="G2" s="121"/>
      <c r="H2" s="169"/>
      <c r="I2" s="121"/>
      <c r="J2" s="169"/>
      <c r="K2" s="112"/>
      <c r="L2" s="128"/>
      <c r="M2" s="131"/>
    </row>
    <row r="3" spans="1:14" ht="18.5" x14ac:dyDescent="0.45">
      <c r="A3" s="1"/>
      <c r="B3" s="53"/>
      <c r="C3" s="471" t="s">
        <v>29</v>
      </c>
      <c r="D3" s="471"/>
      <c r="E3" s="471"/>
      <c r="F3" s="471"/>
      <c r="G3" s="471"/>
      <c r="H3" s="471"/>
      <c r="I3" s="471"/>
      <c r="J3" s="471"/>
      <c r="K3" s="471"/>
      <c r="L3" s="129"/>
      <c r="M3" s="131"/>
    </row>
    <row r="4" spans="1:14" ht="18.5" x14ac:dyDescent="0.45">
      <c r="A4" s="1"/>
      <c r="B4" s="53"/>
      <c r="C4" s="472" t="s">
        <v>42</v>
      </c>
      <c r="D4" s="472"/>
      <c r="E4" s="472"/>
      <c r="F4" s="472"/>
      <c r="G4" s="472"/>
      <c r="H4" s="472"/>
      <c r="I4" s="472"/>
      <c r="J4" s="472"/>
      <c r="K4" s="472"/>
      <c r="L4" s="129"/>
      <c r="M4" s="131"/>
    </row>
    <row r="5" spans="1:14" x14ac:dyDescent="0.35">
      <c r="A5" s="1"/>
      <c r="B5" s="53"/>
      <c r="C5" s="473" t="s">
        <v>208</v>
      </c>
      <c r="D5" s="473"/>
      <c r="E5" s="473"/>
      <c r="F5" s="473"/>
      <c r="G5" s="473"/>
      <c r="H5" s="473"/>
      <c r="I5" s="473"/>
      <c r="J5" s="473"/>
      <c r="K5" s="473"/>
      <c r="L5" s="129"/>
      <c r="M5" s="131"/>
    </row>
    <row r="6" spans="1:14" x14ac:dyDescent="0.35">
      <c r="A6" s="1"/>
      <c r="B6" s="53"/>
      <c r="C6" s="3"/>
      <c r="D6" s="3"/>
      <c r="E6" s="3"/>
      <c r="G6" s="122"/>
      <c r="H6" s="16"/>
      <c r="I6" s="122"/>
      <c r="J6" s="16"/>
      <c r="K6" s="114" t="s">
        <v>43</v>
      </c>
      <c r="L6" s="129"/>
      <c r="M6" s="131"/>
    </row>
    <row r="7" spans="1:14" x14ac:dyDescent="0.35">
      <c r="A7" s="1"/>
      <c r="B7" s="53"/>
      <c r="C7" s="113"/>
      <c r="D7" s="113"/>
      <c r="E7" s="113" t="s">
        <v>44</v>
      </c>
      <c r="F7" s="177" t="s">
        <v>45</v>
      </c>
      <c r="G7" s="474" t="s">
        <v>136</v>
      </c>
      <c r="H7" s="474"/>
      <c r="I7" s="474" t="s">
        <v>34</v>
      </c>
      <c r="J7" s="474"/>
      <c r="K7" s="114" t="s">
        <v>46</v>
      </c>
      <c r="L7" s="129"/>
      <c r="M7" s="131"/>
    </row>
    <row r="8" spans="1:14" ht="17" x14ac:dyDescent="0.5">
      <c r="A8" s="1"/>
      <c r="B8" s="53"/>
      <c r="C8" s="114"/>
      <c r="D8" s="118" t="s">
        <v>115</v>
      </c>
      <c r="E8" s="114" t="s">
        <v>47</v>
      </c>
      <c r="F8" s="178" t="s">
        <v>135</v>
      </c>
      <c r="G8" s="24" t="s">
        <v>48</v>
      </c>
      <c r="H8" s="114" t="s">
        <v>49</v>
      </c>
      <c r="I8" s="24" t="s">
        <v>48</v>
      </c>
      <c r="J8" s="114" t="s">
        <v>49</v>
      </c>
      <c r="K8" s="114" t="s">
        <v>40</v>
      </c>
      <c r="L8" s="129"/>
      <c r="M8" s="131"/>
    </row>
    <row r="9" spans="1:14" x14ac:dyDescent="0.35">
      <c r="A9" s="1"/>
      <c r="B9" s="53"/>
      <c r="C9" s="115" t="s">
        <v>110</v>
      </c>
      <c r="D9" s="3"/>
      <c r="E9" s="119"/>
      <c r="G9" s="122"/>
      <c r="H9" s="156"/>
      <c r="I9" s="122"/>
      <c r="J9" s="156"/>
      <c r="K9" s="2"/>
      <c r="L9" s="129"/>
      <c r="M9" s="131"/>
    </row>
    <row r="10" spans="1:14" x14ac:dyDescent="0.35">
      <c r="A10" s="1"/>
      <c r="B10" s="53"/>
      <c r="C10" s="115"/>
      <c r="D10" s="3" t="s">
        <v>116</v>
      </c>
      <c r="E10" s="119" t="s">
        <v>268</v>
      </c>
      <c r="F10" s="180">
        <f>7446.91+11000+2700</f>
        <v>21146.91</v>
      </c>
      <c r="G10" s="123">
        <v>17.5</v>
      </c>
      <c r="H10" s="155">
        <f>F10/G10</f>
        <v>1208.3948571428571</v>
      </c>
      <c r="I10" s="122">
        <v>37.5</v>
      </c>
      <c r="J10" s="155">
        <f>F10/I10</f>
        <v>563.91759999999999</v>
      </c>
      <c r="K10" s="20">
        <f>J10-H10</f>
        <v>-644.47725714285707</v>
      </c>
      <c r="L10" s="129"/>
      <c r="M10" s="131"/>
      <c r="N10" s="383"/>
    </row>
    <row r="11" spans="1:14" hidden="1" x14ac:dyDescent="0.35">
      <c r="A11" s="1"/>
      <c r="B11" s="53"/>
      <c r="C11" s="115"/>
      <c r="D11" s="3" t="s">
        <v>117</v>
      </c>
      <c r="E11" s="119"/>
      <c r="F11" s="180"/>
      <c r="G11" s="68"/>
      <c r="H11" s="155"/>
      <c r="I11" s="122"/>
      <c r="J11" s="155"/>
      <c r="K11" s="20"/>
      <c r="L11" s="129"/>
      <c r="M11" s="131"/>
    </row>
    <row r="12" spans="1:14" hidden="1" x14ac:dyDescent="0.35">
      <c r="A12" s="1"/>
      <c r="B12" s="53"/>
      <c r="C12" s="3"/>
      <c r="D12" s="3" t="s">
        <v>118</v>
      </c>
      <c r="E12" s="119"/>
      <c r="F12" s="180"/>
      <c r="G12" s="68"/>
      <c r="H12" s="155"/>
      <c r="I12" s="122"/>
      <c r="J12" s="155"/>
      <c r="K12" s="20"/>
      <c r="L12" s="129"/>
      <c r="M12" s="131"/>
    </row>
    <row r="13" spans="1:14" hidden="1" x14ac:dyDescent="0.35">
      <c r="A13" s="1"/>
      <c r="B13" s="53"/>
      <c r="C13" s="3"/>
      <c r="D13" s="3" t="s">
        <v>119</v>
      </c>
      <c r="E13" s="119"/>
      <c r="F13" s="180"/>
      <c r="G13" s="68"/>
      <c r="H13" s="155"/>
      <c r="I13" s="122"/>
      <c r="J13" s="155"/>
      <c r="K13" s="20"/>
      <c r="L13" s="129"/>
      <c r="M13" s="131"/>
    </row>
    <row r="14" spans="1:14" hidden="1" x14ac:dyDescent="0.35">
      <c r="A14" s="1"/>
      <c r="B14" s="53"/>
      <c r="C14" s="3"/>
      <c r="D14" s="3" t="s">
        <v>120</v>
      </c>
      <c r="E14" s="119"/>
      <c r="F14" s="180"/>
      <c r="G14" s="68"/>
      <c r="H14" s="155"/>
      <c r="I14" s="122"/>
      <c r="J14" s="155"/>
      <c r="K14" s="20"/>
      <c r="L14" s="129"/>
      <c r="M14" s="131"/>
    </row>
    <row r="15" spans="1:14" hidden="1" x14ac:dyDescent="0.35">
      <c r="A15" s="1"/>
      <c r="B15" s="53"/>
      <c r="C15" s="3"/>
      <c r="D15" s="3" t="s">
        <v>121</v>
      </c>
      <c r="E15" s="119" t="s">
        <v>268</v>
      </c>
      <c r="F15" s="180"/>
      <c r="G15" s="68" t="s">
        <v>269</v>
      </c>
      <c r="H15" s="155"/>
      <c r="I15" s="122">
        <v>15</v>
      </c>
      <c r="J15" s="155">
        <f t="shared" ref="J15" si="0">F15/I15</f>
        <v>0</v>
      </c>
      <c r="K15" s="20">
        <f t="shared" ref="K15" si="1">J15-H15</f>
        <v>0</v>
      </c>
      <c r="L15" s="129"/>
      <c r="M15" s="131"/>
    </row>
    <row r="16" spans="1:14" x14ac:dyDescent="0.35">
      <c r="A16" s="1"/>
      <c r="B16" s="53"/>
      <c r="C16" s="3"/>
      <c r="D16" s="3"/>
      <c r="E16" s="119"/>
      <c r="F16" s="180"/>
      <c r="G16" s="68"/>
      <c r="H16" s="155"/>
      <c r="I16" s="122"/>
      <c r="J16" s="155"/>
      <c r="K16" s="20"/>
      <c r="L16" s="129"/>
      <c r="M16" s="131"/>
    </row>
    <row r="17" spans="1:13" hidden="1" x14ac:dyDescent="0.35">
      <c r="A17" s="1"/>
      <c r="B17" s="53"/>
      <c r="C17" s="115" t="s">
        <v>181</v>
      </c>
      <c r="D17" s="3"/>
      <c r="E17" s="119"/>
      <c r="F17" s="180"/>
      <c r="G17" s="68"/>
      <c r="H17" s="155"/>
      <c r="I17" s="122"/>
      <c r="J17" s="155"/>
      <c r="K17" s="20"/>
      <c r="L17" s="129"/>
      <c r="M17" s="131"/>
    </row>
    <row r="18" spans="1:13" hidden="1" x14ac:dyDescent="0.35">
      <c r="A18" s="1"/>
      <c r="B18" s="53"/>
      <c r="C18" s="3"/>
      <c r="D18" s="3" t="s">
        <v>182</v>
      </c>
      <c r="E18" s="119" t="s">
        <v>268</v>
      </c>
      <c r="F18" s="180"/>
      <c r="G18" s="68" t="s">
        <v>269</v>
      </c>
      <c r="H18" s="155"/>
      <c r="I18" s="122">
        <v>62.5</v>
      </c>
      <c r="J18" s="155">
        <f t="shared" ref="J18" si="2">F18/I18</f>
        <v>0</v>
      </c>
      <c r="K18" s="20">
        <f t="shared" ref="K18:K19" si="3">J18-H18</f>
        <v>0</v>
      </c>
      <c r="L18" s="129"/>
      <c r="M18" s="131"/>
    </row>
    <row r="19" spans="1:13" hidden="1" x14ac:dyDescent="0.35">
      <c r="A19" s="1"/>
      <c r="B19" s="53"/>
      <c r="C19" s="3"/>
      <c r="D19" s="3" t="s">
        <v>183</v>
      </c>
      <c r="E19" s="119"/>
      <c r="F19" s="180"/>
      <c r="G19" s="68"/>
      <c r="H19" s="155"/>
      <c r="I19" s="122"/>
      <c r="J19" s="155"/>
      <c r="K19" s="20">
        <f t="shared" si="3"/>
        <v>0</v>
      </c>
      <c r="L19" s="129"/>
      <c r="M19" s="131"/>
    </row>
    <row r="20" spans="1:13" hidden="1" x14ac:dyDescent="0.35">
      <c r="A20" s="1"/>
      <c r="B20" s="53"/>
      <c r="C20" s="114"/>
      <c r="D20" s="114"/>
      <c r="E20" s="114"/>
      <c r="F20" s="179"/>
      <c r="G20" s="24"/>
      <c r="H20" s="170"/>
      <c r="I20" s="24"/>
      <c r="J20" s="170"/>
      <c r="K20" s="114"/>
      <c r="L20" s="129"/>
      <c r="M20" s="131"/>
    </row>
    <row r="21" spans="1:13" hidden="1" x14ac:dyDescent="0.35">
      <c r="A21" s="1"/>
      <c r="B21" s="53"/>
      <c r="C21" s="115" t="s">
        <v>111</v>
      </c>
      <c r="D21" s="3"/>
      <c r="E21" s="119"/>
      <c r="G21" s="123"/>
      <c r="H21" s="156"/>
      <c r="I21" s="123"/>
      <c r="J21" s="156"/>
      <c r="K21" s="2"/>
      <c r="L21" s="129"/>
      <c r="M21" s="131"/>
    </row>
    <row r="22" spans="1:13" hidden="1" x14ac:dyDescent="0.35">
      <c r="A22" s="1"/>
      <c r="B22" s="53"/>
      <c r="C22" s="115"/>
      <c r="D22" s="3" t="s">
        <v>116</v>
      </c>
      <c r="E22" s="119"/>
      <c r="F22" s="180"/>
      <c r="G22" s="68"/>
      <c r="H22" s="155"/>
      <c r="I22" s="122"/>
      <c r="J22" s="155"/>
      <c r="K22" s="20">
        <f>J22-H22</f>
        <v>0</v>
      </c>
      <c r="L22" s="129"/>
      <c r="M22" s="131"/>
    </row>
    <row r="23" spans="1:13" hidden="1" x14ac:dyDescent="0.35">
      <c r="A23" s="1"/>
      <c r="B23" s="53"/>
      <c r="C23" s="3"/>
      <c r="D23" s="3" t="s">
        <v>122</v>
      </c>
      <c r="E23" s="119"/>
      <c r="G23" s="68"/>
      <c r="H23" s="155"/>
      <c r="I23" s="122"/>
      <c r="J23" s="156"/>
      <c r="K23" s="20">
        <f>J23-H23</f>
        <v>0</v>
      </c>
      <c r="L23" s="129"/>
      <c r="M23" s="131"/>
    </row>
    <row r="24" spans="1:13" hidden="1" x14ac:dyDescent="0.35">
      <c r="A24" s="1"/>
      <c r="B24" s="53"/>
      <c r="C24" s="3"/>
      <c r="D24" s="3" t="s">
        <v>123</v>
      </c>
      <c r="E24" s="119"/>
      <c r="G24" s="68"/>
      <c r="H24" s="155"/>
      <c r="I24" s="122"/>
      <c r="J24" s="156"/>
      <c r="K24" s="20">
        <f>J24-H24</f>
        <v>0</v>
      </c>
      <c r="L24" s="129"/>
      <c r="M24" s="131"/>
    </row>
    <row r="25" spans="1:13" hidden="1" x14ac:dyDescent="0.35">
      <c r="A25" s="1"/>
      <c r="B25" s="53"/>
      <c r="C25" s="114"/>
      <c r="D25" s="114"/>
      <c r="E25" s="114"/>
      <c r="G25" s="123"/>
      <c r="H25" s="156"/>
      <c r="I25" s="123"/>
      <c r="J25" s="156"/>
      <c r="K25" s="2"/>
      <c r="L25" s="129"/>
      <c r="M25" s="131"/>
    </row>
    <row r="26" spans="1:13" x14ac:dyDescent="0.35">
      <c r="A26" s="1"/>
      <c r="B26" s="53"/>
      <c r="C26" s="115" t="s">
        <v>112</v>
      </c>
      <c r="D26" s="3"/>
      <c r="E26" s="119"/>
      <c r="G26" s="122"/>
      <c r="H26" s="156"/>
      <c r="I26" s="122"/>
      <c r="J26" s="156"/>
      <c r="K26" s="2"/>
      <c r="L26" s="129"/>
      <c r="M26" s="131"/>
    </row>
    <row r="27" spans="1:13" hidden="1" x14ac:dyDescent="0.35">
      <c r="A27" s="1"/>
      <c r="B27" s="53"/>
      <c r="C27" s="115"/>
      <c r="D27" s="3" t="s">
        <v>124</v>
      </c>
      <c r="E27" s="119"/>
      <c r="F27" s="180"/>
      <c r="G27" s="68"/>
      <c r="H27" s="155"/>
      <c r="I27" s="122"/>
      <c r="J27" s="155"/>
      <c r="K27" s="20"/>
      <c r="L27" s="129"/>
      <c r="M27" s="131"/>
    </row>
    <row r="28" spans="1:13" x14ac:dyDescent="0.35">
      <c r="A28" s="1"/>
      <c r="B28" s="53"/>
      <c r="C28" s="115"/>
      <c r="D28" s="3" t="s">
        <v>125</v>
      </c>
      <c r="E28" s="119" t="s">
        <v>268</v>
      </c>
      <c r="F28" s="180">
        <v>3967.38</v>
      </c>
      <c r="G28" s="123">
        <v>62.5</v>
      </c>
      <c r="H28" s="391">
        <v>0</v>
      </c>
      <c r="I28" s="122">
        <v>62.5</v>
      </c>
      <c r="J28" s="174">
        <f t="shared" ref="J28:J35" si="4">F28/I28</f>
        <v>63.478079999999999</v>
      </c>
      <c r="K28" s="20">
        <f t="shared" ref="K28:K35" si="5">J28-H28</f>
        <v>63.478079999999999</v>
      </c>
      <c r="L28" s="129"/>
      <c r="M28" s="131"/>
    </row>
    <row r="29" spans="1:13" hidden="1" x14ac:dyDescent="0.35">
      <c r="A29" s="1"/>
      <c r="B29" s="53"/>
      <c r="C29" s="115"/>
      <c r="D29" s="3" t="s">
        <v>126</v>
      </c>
      <c r="E29" s="119"/>
      <c r="F29" s="180"/>
      <c r="G29" s="68"/>
      <c r="H29" s="391"/>
      <c r="I29" s="122"/>
      <c r="J29" s="155"/>
      <c r="K29" s="20"/>
      <c r="L29" s="129"/>
      <c r="M29" s="131"/>
    </row>
    <row r="30" spans="1:13" hidden="1" x14ac:dyDescent="0.35">
      <c r="A30" s="1"/>
      <c r="B30" s="53"/>
      <c r="C30" s="115"/>
      <c r="D30" s="3" t="s">
        <v>127</v>
      </c>
      <c r="E30" s="119"/>
      <c r="F30" s="180"/>
      <c r="G30" s="68"/>
      <c r="H30" s="391"/>
      <c r="I30" s="122"/>
      <c r="J30" s="155"/>
      <c r="K30" s="20"/>
      <c r="L30" s="129"/>
      <c r="M30" s="131"/>
    </row>
    <row r="31" spans="1:13" hidden="1" x14ac:dyDescent="0.35">
      <c r="A31" s="1"/>
      <c r="B31" s="53"/>
      <c r="C31" s="115"/>
      <c r="D31" s="3" t="s">
        <v>128</v>
      </c>
      <c r="E31" s="119"/>
      <c r="F31" s="180"/>
      <c r="G31" s="68"/>
      <c r="H31" s="391"/>
      <c r="I31" s="122"/>
      <c r="J31" s="155"/>
      <c r="K31" s="20"/>
      <c r="L31" s="129"/>
      <c r="M31" s="131"/>
    </row>
    <row r="32" spans="1:13" hidden="1" x14ac:dyDescent="0.35">
      <c r="A32" s="1"/>
      <c r="B32" s="53"/>
      <c r="C32" s="115"/>
      <c r="D32" s="3" t="s">
        <v>129</v>
      </c>
      <c r="E32" s="119"/>
      <c r="F32" s="180"/>
      <c r="G32" s="68"/>
      <c r="H32" s="391"/>
      <c r="I32" s="122"/>
      <c r="J32" s="155"/>
      <c r="K32" s="20"/>
      <c r="L32" s="129"/>
      <c r="M32" s="131"/>
    </row>
    <row r="33" spans="1:14" hidden="1" x14ac:dyDescent="0.35">
      <c r="A33" s="1"/>
      <c r="B33" s="53"/>
      <c r="C33" s="115"/>
      <c r="D33" s="3" t="s">
        <v>130</v>
      </c>
      <c r="E33" s="119"/>
      <c r="F33" s="180"/>
      <c r="G33" s="68"/>
      <c r="H33" s="391"/>
      <c r="I33" s="122"/>
      <c r="J33" s="155"/>
      <c r="K33" s="20"/>
      <c r="L33" s="129"/>
      <c r="M33" s="131"/>
    </row>
    <row r="34" spans="1:14" hidden="1" x14ac:dyDescent="0.35">
      <c r="A34" s="1"/>
      <c r="B34" s="53"/>
      <c r="C34" s="115"/>
      <c r="D34" s="3" t="s">
        <v>131</v>
      </c>
      <c r="E34" s="119"/>
      <c r="F34" s="180"/>
      <c r="G34" s="68"/>
      <c r="H34" s="391"/>
      <c r="I34" s="122"/>
      <c r="J34" s="155"/>
      <c r="K34" s="20"/>
      <c r="L34" s="129"/>
      <c r="M34" s="131"/>
    </row>
    <row r="35" spans="1:14" hidden="1" x14ac:dyDescent="0.35">
      <c r="A35" s="1"/>
      <c r="B35" s="53"/>
      <c r="C35" s="115"/>
      <c r="D35" s="3" t="s">
        <v>132</v>
      </c>
      <c r="E35" s="119" t="s">
        <v>268</v>
      </c>
      <c r="F35" s="180"/>
      <c r="G35" s="68" t="s">
        <v>269</v>
      </c>
      <c r="H35" s="391"/>
      <c r="I35" s="122">
        <v>15</v>
      </c>
      <c r="J35" s="155">
        <f t="shared" si="4"/>
        <v>0</v>
      </c>
      <c r="K35" s="20">
        <f t="shared" si="5"/>
        <v>0</v>
      </c>
      <c r="L35" s="129"/>
      <c r="M35" s="131"/>
    </row>
    <row r="36" spans="1:14" x14ac:dyDescent="0.35">
      <c r="A36" s="1"/>
      <c r="B36" s="53"/>
      <c r="C36" s="115"/>
      <c r="D36" s="390"/>
      <c r="E36" s="119"/>
      <c r="G36" s="123"/>
      <c r="H36" s="154"/>
      <c r="I36" s="123"/>
      <c r="J36" s="156"/>
      <c r="K36" s="20"/>
      <c r="L36" s="129"/>
      <c r="M36" s="131"/>
    </row>
    <row r="37" spans="1:14" hidden="1" x14ac:dyDescent="0.35">
      <c r="A37" s="1"/>
      <c r="B37" s="53"/>
      <c r="C37" s="115" t="s">
        <v>113</v>
      </c>
      <c r="E37" s="119"/>
      <c r="G37" s="122"/>
      <c r="H37" s="154"/>
      <c r="I37" s="127"/>
      <c r="J37" s="156"/>
      <c r="K37" s="2"/>
      <c r="L37" s="129"/>
      <c r="M37" s="131"/>
    </row>
    <row r="38" spans="1:14" hidden="1" x14ac:dyDescent="0.35">
      <c r="A38" s="1"/>
      <c r="B38" s="53"/>
      <c r="C38" s="3"/>
      <c r="D38" s="1" t="s">
        <v>133</v>
      </c>
      <c r="E38" s="119" t="s">
        <v>268</v>
      </c>
      <c r="G38" s="68" t="s">
        <v>269</v>
      </c>
      <c r="H38" s="154"/>
      <c r="I38" s="127">
        <v>7</v>
      </c>
      <c r="J38" s="156">
        <f>F38/I38</f>
        <v>0</v>
      </c>
      <c r="K38" s="2">
        <f>J38-H38</f>
        <v>0</v>
      </c>
      <c r="L38" s="129"/>
      <c r="M38" s="131"/>
    </row>
    <row r="39" spans="1:14" hidden="1" x14ac:dyDescent="0.35">
      <c r="A39" s="1"/>
      <c r="B39" s="53"/>
      <c r="C39" s="114"/>
      <c r="D39" s="114"/>
      <c r="E39" s="114"/>
      <c r="G39" s="123"/>
      <c r="H39" s="154"/>
      <c r="I39" s="123"/>
      <c r="J39" s="156"/>
      <c r="K39" s="2"/>
      <c r="L39" s="129"/>
      <c r="M39" s="131"/>
    </row>
    <row r="40" spans="1:14" x14ac:dyDescent="0.35">
      <c r="A40" s="1"/>
      <c r="B40" s="53"/>
      <c r="C40" s="115" t="s">
        <v>114</v>
      </c>
      <c r="D40" s="3"/>
      <c r="E40" s="119"/>
      <c r="G40" s="124"/>
      <c r="H40" s="154"/>
      <c r="I40" s="122"/>
      <c r="J40" s="156"/>
      <c r="K40" s="2"/>
      <c r="L40" s="129"/>
      <c r="M40" s="131"/>
    </row>
    <row r="41" spans="1:14" x14ac:dyDescent="0.35">
      <c r="A41" s="1"/>
      <c r="B41" s="53"/>
      <c r="C41" s="115"/>
      <c r="D41" s="1" t="s">
        <v>179</v>
      </c>
      <c r="E41" s="119" t="s">
        <v>268</v>
      </c>
      <c r="F41" s="175">
        <v>5800.12</v>
      </c>
      <c r="G41" s="388">
        <v>40</v>
      </c>
      <c r="H41" s="154">
        <v>0</v>
      </c>
      <c r="I41" s="389">
        <v>40</v>
      </c>
      <c r="J41" s="156">
        <f>F41/I41</f>
        <v>145.00299999999999</v>
      </c>
      <c r="K41" s="2">
        <f>J41-H41</f>
        <v>145.00299999999999</v>
      </c>
      <c r="L41" s="129"/>
      <c r="M41" s="131"/>
    </row>
    <row r="42" spans="1:14" x14ac:dyDescent="0.35">
      <c r="A42" s="1"/>
      <c r="B42" s="53"/>
      <c r="C42" s="115"/>
      <c r="D42" s="1" t="s">
        <v>180</v>
      </c>
      <c r="E42" s="119" t="s">
        <v>268</v>
      </c>
      <c r="F42" s="175">
        <f>7061.01+2759.85+2400.65+899.99+951.64</f>
        <v>14073.14</v>
      </c>
      <c r="G42" s="123">
        <v>27.5</v>
      </c>
      <c r="H42" s="156">
        <f>141.23+100.36+87.3+32.73+34.61</f>
        <v>396.23</v>
      </c>
      <c r="I42" s="127">
        <v>17.5</v>
      </c>
      <c r="J42" s="156">
        <f>F42/I42</f>
        <v>804.1794285714285</v>
      </c>
      <c r="K42" s="2">
        <f>J42-H42</f>
        <v>407.94942857142848</v>
      </c>
      <c r="L42" s="129"/>
      <c r="M42" s="131"/>
    </row>
    <row r="43" spans="1:14" x14ac:dyDescent="0.35">
      <c r="A43" s="1"/>
      <c r="B43" s="53"/>
      <c r="C43" s="3"/>
      <c r="D43" s="3"/>
      <c r="E43" s="3"/>
      <c r="G43" s="2"/>
      <c r="H43" s="155"/>
      <c r="I43" s="2"/>
      <c r="J43" s="174"/>
      <c r="K43" s="2"/>
      <c r="L43" s="129"/>
      <c r="M43" s="131"/>
    </row>
    <row r="44" spans="1:14" x14ac:dyDescent="0.35">
      <c r="A44" s="1"/>
      <c r="B44" s="53"/>
      <c r="C44" s="116" t="s">
        <v>447</v>
      </c>
      <c r="F44" s="172">
        <f>SUM(F10:F43)</f>
        <v>44987.55</v>
      </c>
      <c r="G44" s="125"/>
      <c r="H44" s="172">
        <f>SUM(H10:H43)</f>
        <v>1604.6248571428571</v>
      </c>
      <c r="I44" s="126"/>
      <c r="J44" s="172">
        <f>SUM(J10:J43)</f>
        <v>1576.5781085714284</v>
      </c>
      <c r="K44" s="126">
        <f>SUM(K10:K43)</f>
        <v>-28.046748571428623</v>
      </c>
      <c r="L44" s="129"/>
      <c r="M44" s="131"/>
      <c r="N44" s="18"/>
    </row>
    <row r="45" spans="1:14" x14ac:dyDescent="0.35">
      <c r="A45" s="1"/>
      <c r="B45" s="53"/>
      <c r="C45" s="116"/>
      <c r="F45" s="172"/>
      <c r="G45" s="125"/>
      <c r="H45" s="172"/>
      <c r="I45" s="126"/>
      <c r="J45" s="172"/>
      <c r="K45" s="126"/>
      <c r="L45" s="129"/>
      <c r="M45" s="131"/>
      <c r="N45" s="18"/>
    </row>
    <row r="46" spans="1:14" x14ac:dyDescent="0.35">
      <c r="A46" s="1"/>
      <c r="B46" s="53"/>
      <c r="C46" s="116"/>
      <c r="D46" s="1" t="s">
        <v>329</v>
      </c>
      <c r="F46" s="172"/>
      <c r="G46" s="125"/>
      <c r="H46" s="172">
        <f>SAO!D45</f>
        <v>412737</v>
      </c>
      <c r="I46" s="126"/>
      <c r="J46" s="172">
        <f>K44</f>
        <v>-28.046748571428623</v>
      </c>
      <c r="K46" s="126">
        <f>H46+J46</f>
        <v>412708.95325142855</v>
      </c>
      <c r="L46" s="129"/>
      <c r="M46" s="131"/>
      <c r="N46" s="18"/>
    </row>
    <row r="47" spans="1:14" x14ac:dyDescent="0.35">
      <c r="A47" s="1"/>
      <c r="B47" s="53"/>
      <c r="C47" s="116"/>
      <c r="F47" s="172"/>
      <c r="G47" s="125"/>
      <c r="H47" s="172"/>
      <c r="I47" s="126"/>
      <c r="J47" s="172"/>
      <c r="K47" s="126"/>
      <c r="L47" s="129"/>
      <c r="M47" s="131"/>
      <c r="N47" s="18"/>
    </row>
    <row r="48" spans="1:14" x14ac:dyDescent="0.35">
      <c r="A48" s="1"/>
      <c r="B48" s="111"/>
      <c r="C48" s="117"/>
      <c r="D48" s="117"/>
      <c r="E48" s="117"/>
      <c r="F48" s="181"/>
      <c r="G48" s="117"/>
      <c r="H48" s="173"/>
      <c r="I48" s="117"/>
      <c r="J48" s="173"/>
      <c r="K48" s="117"/>
      <c r="L48" s="130"/>
      <c r="M48" s="132"/>
    </row>
    <row r="49" spans="1:13" x14ac:dyDescent="0.35">
      <c r="A49" s="1"/>
      <c r="B49" s="1"/>
      <c r="C49" s="3"/>
      <c r="D49" s="3"/>
      <c r="E49" s="3"/>
      <c r="G49" s="3"/>
      <c r="H49" s="174"/>
      <c r="I49" s="3"/>
      <c r="J49" s="174"/>
      <c r="K49" s="3"/>
      <c r="L49" s="3"/>
      <c r="M49" s="3"/>
    </row>
    <row r="50" spans="1:13" x14ac:dyDescent="0.35">
      <c r="D50" s="3" t="s">
        <v>134</v>
      </c>
    </row>
    <row r="53" spans="1:13" x14ac:dyDescent="0.35">
      <c r="D53" s="1" t="s">
        <v>270</v>
      </c>
      <c r="F53" s="175">
        <f>K46</f>
        <v>412708.95325142855</v>
      </c>
    </row>
    <row r="54" spans="1:13" ht="17" x14ac:dyDescent="0.5">
      <c r="D54" s="1" t="s">
        <v>184</v>
      </c>
      <c r="E54"/>
      <c r="F54" s="182">
        <f>-SAO!D45</f>
        <v>-412737</v>
      </c>
    </row>
    <row r="55" spans="1:13" x14ac:dyDescent="0.35">
      <c r="D55" s="1" t="s">
        <v>185</v>
      </c>
      <c r="F55" s="175">
        <f>F53+F54</f>
        <v>-28.046748571447097</v>
      </c>
      <c r="G55" s="18" t="s">
        <v>164</v>
      </c>
    </row>
  </sheetData>
  <mergeCells count="5">
    <mergeCell ref="C3:K3"/>
    <mergeCell ref="C4:K4"/>
    <mergeCell ref="C5:K5"/>
    <mergeCell ref="G7:H7"/>
    <mergeCell ref="I7:J7"/>
  </mergeCells>
  <pageMargins left="0.7" right="0.7" top="0.75" bottom="0.75" header="0.3" footer="0.3"/>
  <pageSetup scale="80"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7B32F-4CA1-4F84-B54A-FE6CF749D13D}">
  <sheetPr>
    <tabColor rgb="FF92D050"/>
  </sheetPr>
  <dimension ref="A1:F17"/>
  <sheetViews>
    <sheetView workbookViewId="0">
      <selection activeCell="A2" sqref="A2"/>
    </sheetView>
  </sheetViews>
  <sheetFormatPr defaultRowHeight="15.5" x14ac:dyDescent="0.35"/>
  <cols>
    <col min="3" max="4" width="9.3828125" bestFit="1" customWidth="1"/>
  </cols>
  <sheetData>
    <row r="1" spans="1:6" x14ac:dyDescent="0.35">
      <c r="A1" s="1" t="s">
        <v>165</v>
      </c>
      <c r="B1" s="1"/>
      <c r="C1" s="1"/>
      <c r="D1" s="1"/>
    </row>
    <row r="2" spans="1:6" x14ac:dyDescent="0.35">
      <c r="A2" s="1"/>
      <c r="B2" s="1"/>
      <c r="C2" s="1"/>
      <c r="D2" s="1"/>
    </row>
    <row r="3" spans="1:6" x14ac:dyDescent="0.35">
      <c r="A3" s="347" t="s">
        <v>340</v>
      </c>
      <c r="B3" s="347" t="s">
        <v>338</v>
      </c>
      <c r="C3" s="347"/>
      <c r="D3" s="347" t="s">
        <v>339</v>
      </c>
    </row>
    <row r="4" spans="1:6" x14ac:dyDescent="0.35">
      <c r="A4" s="1" t="s">
        <v>336</v>
      </c>
      <c r="B4" s="1">
        <v>37</v>
      </c>
      <c r="C4" s="346">
        <v>1400</v>
      </c>
      <c r="D4" s="185">
        <f>B4*C4</f>
        <v>51800</v>
      </c>
    </row>
    <row r="5" spans="1:6" x14ac:dyDescent="0.35">
      <c r="A5" s="1" t="s">
        <v>27</v>
      </c>
      <c r="B5" s="1">
        <v>3</v>
      </c>
      <c r="C5" s="1" t="s">
        <v>337</v>
      </c>
      <c r="D5" s="12">
        <f>1750+1750+1750</f>
        <v>5250</v>
      </c>
      <c r="F5" t="s">
        <v>417</v>
      </c>
    </row>
    <row r="6" spans="1:6" x14ac:dyDescent="0.35">
      <c r="A6" s="1" t="s">
        <v>213</v>
      </c>
      <c r="B6" s="1">
        <v>1</v>
      </c>
      <c r="C6" s="1" t="s">
        <v>337</v>
      </c>
      <c r="D6" s="12">
        <v>5557</v>
      </c>
    </row>
    <row r="7" spans="1:6" x14ac:dyDescent="0.35">
      <c r="A7" s="1" t="s">
        <v>28</v>
      </c>
      <c r="B7" s="1">
        <v>1</v>
      </c>
      <c r="C7" s="1" t="s">
        <v>337</v>
      </c>
      <c r="D7" s="41">
        <v>3227.4</v>
      </c>
    </row>
    <row r="8" spans="1:6" x14ac:dyDescent="0.35">
      <c r="A8" s="1"/>
      <c r="B8" s="1" t="s">
        <v>12</v>
      </c>
      <c r="C8" s="1"/>
      <c r="D8" s="185">
        <f>SUM(D4:D7)</f>
        <v>65834.399999999994</v>
      </c>
    </row>
    <row r="9" spans="1:6" x14ac:dyDescent="0.35">
      <c r="A9" s="1"/>
      <c r="B9" s="1"/>
      <c r="C9" s="1"/>
      <c r="D9" s="1"/>
    </row>
    <row r="10" spans="1:6" x14ac:dyDescent="0.35">
      <c r="A10" s="1"/>
      <c r="B10" s="1" t="s">
        <v>330</v>
      </c>
      <c r="C10" s="1"/>
      <c r="D10" s="1"/>
    </row>
    <row r="11" spans="1:6" x14ac:dyDescent="0.35">
      <c r="A11" s="1" t="s">
        <v>168</v>
      </c>
      <c r="B11" s="1"/>
      <c r="C11" s="185">
        <f>D8</f>
        <v>65834.399999999994</v>
      </c>
      <c r="D11" s="1"/>
      <c r="E11" s="163"/>
    </row>
    <row r="12" spans="1:6" x14ac:dyDescent="0.35">
      <c r="A12" s="1"/>
      <c r="B12" s="1"/>
      <c r="C12" s="1"/>
      <c r="D12" s="1"/>
    </row>
    <row r="13" spans="1:6" x14ac:dyDescent="0.35">
      <c r="A13" s="1" t="s">
        <v>166</v>
      </c>
      <c r="B13" s="162">
        <v>0.3</v>
      </c>
      <c r="C13" s="161">
        <f>B13*C11</f>
        <v>19750.319999999996</v>
      </c>
      <c r="D13" s="18" t="s">
        <v>301</v>
      </c>
    </row>
    <row r="14" spans="1:6" x14ac:dyDescent="0.35">
      <c r="A14" s="1" t="s">
        <v>167</v>
      </c>
      <c r="B14" s="162">
        <v>0.7</v>
      </c>
      <c r="C14" s="161">
        <f>B14*C11</f>
        <v>46084.079999999994</v>
      </c>
      <c r="D14" s="18" t="s">
        <v>301</v>
      </c>
    </row>
    <row r="16" spans="1:6" x14ac:dyDescent="0.35">
      <c r="A16" s="1"/>
    </row>
    <row r="17" spans="1:1" x14ac:dyDescent="0.35">
      <c r="A17" s="1"/>
    </row>
  </sheetData>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P52"/>
  <sheetViews>
    <sheetView topLeftCell="A7" workbookViewId="0">
      <selection activeCell="M29" sqref="M29"/>
    </sheetView>
  </sheetViews>
  <sheetFormatPr defaultColWidth="8.84375" defaultRowHeight="14.5" x14ac:dyDescent="0.35"/>
  <cols>
    <col min="1" max="2" width="12.69140625" style="1" customWidth="1"/>
    <col min="3" max="3" width="11.53515625" style="204" bestFit="1" customWidth="1"/>
    <col min="4" max="5" width="11.53515625" style="204" customWidth="1"/>
    <col min="6" max="6" width="9.84375" style="204" customWidth="1"/>
    <col min="7" max="7" width="9.765625" style="166" customWidth="1"/>
    <col min="8" max="8" width="9.765625" style="165" customWidth="1"/>
    <col min="9" max="9" width="7" style="164" bestFit="1" customWidth="1"/>
    <col min="10" max="10" width="11.4609375" style="164" customWidth="1"/>
    <col min="11" max="11" width="10.69140625" style="204" customWidth="1"/>
    <col min="12" max="12" width="10.07421875" style="164" customWidth="1"/>
    <col min="13" max="13" width="10.53515625" style="204" customWidth="1"/>
    <col min="14" max="14" width="10.84375" style="19" bestFit="1" customWidth="1"/>
    <col min="15" max="15" width="8.84375" style="1"/>
    <col min="16" max="16" width="10.07421875" style="1" customWidth="1"/>
    <col min="17" max="17" width="9" style="1" bestFit="1" customWidth="1"/>
    <col min="18" max="18" width="9.765625" style="1" bestFit="1" customWidth="1"/>
    <col min="19" max="16384" width="8.84375" style="1"/>
  </cols>
  <sheetData>
    <row r="1" spans="1:14" x14ac:dyDescent="0.35">
      <c r="A1" s="212" t="s">
        <v>169</v>
      </c>
      <c r="B1" s="212"/>
    </row>
    <row r="2" spans="1:14" x14ac:dyDescent="0.35">
      <c r="C2" s="280">
        <v>2024</v>
      </c>
      <c r="D2" s="206"/>
      <c r="E2" s="206"/>
    </row>
    <row r="3" spans="1:14" x14ac:dyDescent="0.35">
      <c r="C3" s="354" t="s">
        <v>170</v>
      </c>
      <c r="D3" s="354" t="s">
        <v>170</v>
      </c>
      <c r="E3" s="354" t="s">
        <v>54</v>
      </c>
      <c r="F3" s="354" t="s">
        <v>170</v>
      </c>
      <c r="G3" s="370"/>
      <c r="H3" s="371"/>
      <c r="I3" s="372"/>
      <c r="J3" s="372" t="s">
        <v>12</v>
      </c>
      <c r="K3" s="354" t="s">
        <v>197</v>
      </c>
      <c r="L3" s="372" t="s">
        <v>171</v>
      </c>
      <c r="M3" s="354" t="s">
        <v>171</v>
      </c>
      <c r="N3" s="18" t="s">
        <v>198</v>
      </c>
    </row>
    <row r="4" spans="1:14" x14ac:dyDescent="0.35">
      <c r="C4" s="373" t="s">
        <v>261</v>
      </c>
      <c r="D4" s="374"/>
      <c r="E4" s="374" t="s">
        <v>170</v>
      </c>
      <c r="F4" s="354" t="s">
        <v>172</v>
      </c>
      <c r="G4" s="370" t="s">
        <v>172</v>
      </c>
      <c r="H4" s="371" t="s">
        <v>194</v>
      </c>
      <c r="I4" s="372" t="s">
        <v>192</v>
      </c>
      <c r="J4" s="372" t="s">
        <v>196</v>
      </c>
      <c r="K4" s="354" t="s">
        <v>196</v>
      </c>
      <c r="L4" s="372" t="s">
        <v>173</v>
      </c>
      <c r="M4" s="354" t="s">
        <v>173</v>
      </c>
      <c r="N4" s="18" t="s">
        <v>173</v>
      </c>
    </row>
    <row r="5" spans="1:14" x14ac:dyDescent="0.35">
      <c r="A5" s="212"/>
      <c r="B5" s="369">
        <v>2024</v>
      </c>
      <c r="C5" s="375" t="s">
        <v>174</v>
      </c>
      <c r="D5" s="375" t="s">
        <v>174</v>
      </c>
      <c r="E5" s="375" t="s">
        <v>174</v>
      </c>
      <c r="F5" s="375" t="s">
        <v>175</v>
      </c>
      <c r="G5" s="376" t="s">
        <v>176</v>
      </c>
      <c r="H5" s="377" t="s">
        <v>176</v>
      </c>
      <c r="I5" s="378" t="s">
        <v>320</v>
      </c>
      <c r="J5" s="378" t="s">
        <v>178</v>
      </c>
      <c r="K5" s="375" t="s">
        <v>178</v>
      </c>
      <c r="L5" s="378" t="s">
        <v>177</v>
      </c>
      <c r="M5" s="375" t="s">
        <v>178</v>
      </c>
      <c r="N5" s="347" t="s">
        <v>178</v>
      </c>
    </row>
    <row r="6" spans="1:14" x14ac:dyDescent="0.35">
      <c r="A6" s="1" t="s">
        <v>346</v>
      </c>
      <c r="B6" s="1">
        <v>1</v>
      </c>
      <c r="C6" s="204">
        <v>264.48</v>
      </c>
      <c r="E6" s="204">
        <f>C6+D6</f>
        <v>264.48</v>
      </c>
      <c r="F6" s="204">
        <v>0</v>
      </c>
      <c r="G6" s="166">
        <f t="shared" ref="G6:G11" si="0">F6/E6</f>
        <v>0</v>
      </c>
      <c r="H6" s="203">
        <f t="shared" ref="H6:H13" si="1">1-G6</f>
        <v>1</v>
      </c>
      <c r="I6" s="274">
        <v>1</v>
      </c>
      <c r="J6" s="164">
        <f>E6*12</f>
        <v>3173.76</v>
      </c>
      <c r="K6" s="204">
        <f t="shared" ref="K6:K13" si="2">E6*H6*I6*12</f>
        <v>3173.76</v>
      </c>
      <c r="L6" s="404">
        <v>0.78</v>
      </c>
      <c r="M6" s="204">
        <f t="shared" ref="M6:M13" si="3">E6*I6*12*L6</f>
        <v>2475.5328000000004</v>
      </c>
      <c r="N6" s="164">
        <f t="shared" ref="N6:N13" si="4">IF(K6&lt;M6,0,M6-K6)</f>
        <v>-698.22719999999981</v>
      </c>
    </row>
    <row r="7" spans="1:14" x14ac:dyDescent="0.35">
      <c r="A7" s="1" t="s">
        <v>347</v>
      </c>
      <c r="B7" s="1">
        <v>1</v>
      </c>
      <c r="C7" s="204">
        <v>923.69</v>
      </c>
      <c r="E7" s="204">
        <f t="shared" ref="E7:E13" si="5">C7+D7</f>
        <v>923.69</v>
      </c>
      <c r="F7" s="204">
        <f>E7*0.25</f>
        <v>230.92250000000001</v>
      </c>
      <c r="G7" s="166">
        <f t="shared" si="0"/>
        <v>0.25</v>
      </c>
      <c r="H7" s="203">
        <f t="shared" si="1"/>
        <v>0.75</v>
      </c>
      <c r="I7" s="274">
        <v>1</v>
      </c>
      <c r="J7" s="164">
        <f t="shared" ref="J7:J14" si="6">E7*12</f>
        <v>11084.28</v>
      </c>
      <c r="K7" s="204">
        <f t="shared" si="2"/>
        <v>8313.2100000000009</v>
      </c>
      <c r="L7" s="404">
        <v>0.67</v>
      </c>
      <c r="M7" s="204">
        <f t="shared" si="3"/>
        <v>7426.4676000000009</v>
      </c>
      <c r="N7" s="164">
        <f t="shared" si="4"/>
        <v>-886.74240000000009</v>
      </c>
    </row>
    <row r="8" spans="1:14" x14ac:dyDescent="0.35">
      <c r="A8" s="1" t="s">
        <v>266</v>
      </c>
      <c r="B8" s="1">
        <v>1</v>
      </c>
      <c r="C8" s="204">
        <v>470.47</v>
      </c>
      <c r="E8" s="204">
        <f t="shared" si="5"/>
        <v>470.47</v>
      </c>
      <c r="G8" s="166">
        <f t="shared" si="0"/>
        <v>0</v>
      </c>
      <c r="H8" s="203">
        <f t="shared" si="1"/>
        <v>1</v>
      </c>
      <c r="I8" s="274">
        <v>1</v>
      </c>
      <c r="J8" s="164">
        <f t="shared" si="6"/>
        <v>5645.64</v>
      </c>
      <c r="K8" s="204">
        <f t="shared" si="2"/>
        <v>5645.64</v>
      </c>
      <c r="L8" s="404">
        <v>0.78</v>
      </c>
      <c r="M8" s="204">
        <f t="shared" si="3"/>
        <v>4403.5992000000006</v>
      </c>
      <c r="N8" s="164">
        <f t="shared" si="4"/>
        <v>-1242.0407999999998</v>
      </c>
    </row>
    <row r="9" spans="1:14" x14ac:dyDescent="0.35">
      <c r="A9" s="1" t="s">
        <v>349</v>
      </c>
      <c r="B9" s="1">
        <v>1</v>
      </c>
      <c r="C9" s="204">
        <v>1065.9000000000001</v>
      </c>
      <c r="E9" s="204">
        <f t="shared" si="5"/>
        <v>1065.9000000000001</v>
      </c>
      <c r="G9" s="166">
        <v>0.25</v>
      </c>
      <c r="H9" s="203">
        <f t="shared" si="1"/>
        <v>0.75</v>
      </c>
      <c r="I9" s="274">
        <v>1</v>
      </c>
      <c r="J9" s="164">
        <f t="shared" si="6"/>
        <v>12790.800000000001</v>
      </c>
      <c r="K9" s="204">
        <f t="shared" si="2"/>
        <v>9593.1</v>
      </c>
      <c r="L9" s="404">
        <v>0.78</v>
      </c>
      <c r="M9" s="204">
        <f t="shared" si="3"/>
        <v>9976.8240000000005</v>
      </c>
      <c r="N9" s="164">
        <f t="shared" si="4"/>
        <v>0</v>
      </c>
    </row>
    <row r="10" spans="1:14" x14ac:dyDescent="0.35">
      <c r="A10" s="1" t="s">
        <v>266</v>
      </c>
      <c r="B10" s="1">
        <v>1</v>
      </c>
      <c r="C10" s="204">
        <v>766.23</v>
      </c>
      <c r="E10" s="204">
        <f t="shared" si="5"/>
        <v>766.23</v>
      </c>
      <c r="F10" s="204">
        <f>E10*0.25</f>
        <v>191.5575</v>
      </c>
      <c r="G10" s="166">
        <f t="shared" si="0"/>
        <v>0.25</v>
      </c>
      <c r="H10" s="203">
        <f t="shared" si="1"/>
        <v>0.75</v>
      </c>
      <c r="I10" s="274">
        <v>1</v>
      </c>
      <c r="J10" s="164">
        <f t="shared" si="6"/>
        <v>9194.76</v>
      </c>
      <c r="K10" s="204">
        <f t="shared" si="2"/>
        <v>6896.07</v>
      </c>
      <c r="L10" s="404">
        <v>0.67</v>
      </c>
      <c r="M10" s="204">
        <f t="shared" si="3"/>
        <v>6160.4892000000009</v>
      </c>
      <c r="N10" s="164">
        <f t="shared" si="4"/>
        <v>-735.58079999999882</v>
      </c>
    </row>
    <row r="11" spans="1:14" x14ac:dyDescent="0.35">
      <c r="A11" s="1" t="s">
        <v>348</v>
      </c>
      <c r="B11" s="1">
        <v>2</v>
      </c>
      <c r="C11" s="204">
        <v>3830.24</v>
      </c>
      <c r="E11" s="204">
        <f>C11+D11</f>
        <v>3830.24</v>
      </c>
      <c r="F11" s="204">
        <f t="shared" ref="F11:F12" si="7">E11*0.25</f>
        <v>957.56</v>
      </c>
      <c r="G11" s="166">
        <f t="shared" si="0"/>
        <v>0.25</v>
      </c>
      <c r="H11" s="203">
        <f t="shared" si="1"/>
        <v>0.75</v>
      </c>
      <c r="I11" s="274">
        <v>1</v>
      </c>
      <c r="J11" s="164">
        <f t="shared" si="6"/>
        <v>45962.879999999997</v>
      </c>
      <c r="K11" s="204">
        <f t="shared" si="2"/>
        <v>34472.159999999996</v>
      </c>
      <c r="L11" s="404">
        <v>0.67</v>
      </c>
      <c r="M11" s="204">
        <f t="shared" si="3"/>
        <v>30795.1296</v>
      </c>
      <c r="N11" s="164">
        <f t="shared" si="4"/>
        <v>-3677.030399999996</v>
      </c>
    </row>
    <row r="12" spans="1:14" x14ac:dyDescent="0.35">
      <c r="A12" s="1" t="s">
        <v>266</v>
      </c>
      <c r="B12" s="1">
        <v>1</v>
      </c>
      <c r="C12" s="204">
        <v>808.67</v>
      </c>
      <c r="E12" s="204">
        <f t="shared" si="5"/>
        <v>808.67</v>
      </c>
      <c r="F12" s="204">
        <f t="shared" si="7"/>
        <v>202.16749999999999</v>
      </c>
      <c r="G12" s="166">
        <v>0</v>
      </c>
      <c r="H12" s="203">
        <f t="shared" si="1"/>
        <v>1</v>
      </c>
      <c r="I12" s="274">
        <v>1</v>
      </c>
      <c r="J12" s="164">
        <f t="shared" si="6"/>
        <v>9704.0399999999991</v>
      </c>
      <c r="K12" s="204">
        <f t="shared" si="2"/>
        <v>9704.0399999999991</v>
      </c>
      <c r="L12" s="404">
        <v>0.67</v>
      </c>
      <c r="M12" s="204">
        <f t="shared" si="3"/>
        <v>6501.7067999999999</v>
      </c>
      <c r="N12" s="164">
        <f t="shared" si="4"/>
        <v>-3202.3331999999991</v>
      </c>
    </row>
    <row r="13" spans="1:14" x14ac:dyDescent="0.35">
      <c r="A13" s="1" t="s">
        <v>348</v>
      </c>
      <c r="B13" s="1">
        <v>1</v>
      </c>
      <c r="C13" s="272">
        <v>2154.12</v>
      </c>
      <c r="D13" s="272"/>
      <c r="E13" s="204">
        <f t="shared" si="5"/>
        <v>2154.12</v>
      </c>
      <c r="G13" s="166">
        <v>0.25</v>
      </c>
      <c r="H13" s="203">
        <f t="shared" si="1"/>
        <v>0.75</v>
      </c>
      <c r="I13" s="274">
        <v>1</v>
      </c>
      <c r="J13" s="164">
        <f t="shared" si="6"/>
        <v>25849.439999999999</v>
      </c>
      <c r="K13" s="204">
        <f t="shared" si="2"/>
        <v>19387.079999999998</v>
      </c>
      <c r="L13" s="404">
        <v>0.78</v>
      </c>
      <c r="M13" s="204">
        <f t="shared" si="3"/>
        <v>20162.563200000001</v>
      </c>
      <c r="N13" s="164">
        <f t="shared" si="4"/>
        <v>0</v>
      </c>
    </row>
    <row r="14" spans="1:14" x14ac:dyDescent="0.35">
      <c r="A14" s="1" t="s">
        <v>266</v>
      </c>
      <c r="B14" s="1">
        <v>1</v>
      </c>
      <c r="C14" s="273">
        <v>823.25</v>
      </c>
      <c r="D14" s="273"/>
      <c r="E14" s="204">
        <f>C14+D14</f>
        <v>823.25</v>
      </c>
      <c r="G14" s="166">
        <f t="shared" ref="G14" si="8">F14/E14</f>
        <v>0</v>
      </c>
      <c r="H14" s="203">
        <f t="shared" ref="H14" si="9">1-G14</f>
        <v>1</v>
      </c>
      <c r="I14" s="274">
        <v>1</v>
      </c>
      <c r="J14" s="164">
        <f t="shared" si="6"/>
        <v>9879</v>
      </c>
      <c r="K14" s="204">
        <f>E14*H14*I14*12</f>
        <v>9879</v>
      </c>
      <c r="L14" s="165">
        <v>0.78</v>
      </c>
      <c r="M14" s="204">
        <f>E14*I14*12*L14</f>
        <v>7705.62</v>
      </c>
      <c r="N14" s="164">
        <f>IF(K14&lt;M14,0,M14-K14)</f>
        <v>-2173.38</v>
      </c>
    </row>
    <row r="15" spans="1:14" x14ac:dyDescent="0.35">
      <c r="C15" s="273"/>
      <c r="D15" s="273"/>
      <c r="H15" s="203"/>
      <c r="I15" s="274"/>
      <c r="L15" s="165"/>
      <c r="N15" s="164"/>
    </row>
    <row r="16" spans="1:14" x14ac:dyDescent="0.35">
      <c r="C16" s="367"/>
      <c r="D16" s="367"/>
      <c r="E16" s="1"/>
      <c r="F16" s="1"/>
      <c r="H16" s="203"/>
      <c r="I16" s="211"/>
      <c r="L16" s="165"/>
      <c r="N16" s="164"/>
    </row>
    <row r="17" spans="1:16" x14ac:dyDescent="0.35">
      <c r="C17" s="366"/>
      <c r="D17" s="366"/>
      <c r="E17" s="207"/>
      <c r="F17" s="218"/>
      <c r="H17" s="203"/>
      <c r="I17" s="211"/>
      <c r="K17" s="207"/>
      <c r="L17" s="165"/>
      <c r="N17" s="209"/>
    </row>
    <row r="18" spans="1:16" x14ac:dyDescent="0.35">
      <c r="A18" s="1" t="s">
        <v>54</v>
      </c>
      <c r="B18" s="1">
        <f>SUM(B6:B17)</f>
        <v>10</v>
      </c>
      <c r="C18" s="204">
        <f>SUM(C6:C17)</f>
        <v>11107.05</v>
      </c>
      <c r="D18" s="204">
        <f t="shared" ref="D18:F18" si="10">SUM(D6:D17)</f>
        <v>0</v>
      </c>
      <c r="E18" s="204">
        <f t="shared" si="10"/>
        <v>11107.05</v>
      </c>
      <c r="F18" s="204">
        <f t="shared" si="10"/>
        <v>1582.2075</v>
      </c>
      <c r="H18" s="167"/>
      <c r="J18" s="204">
        <f t="shared" ref="J18" si="11">SUM(J6:J17)</f>
        <v>133284.59999999998</v>
      </c>
      <c r="K18" s="204">
        <f t="shared" ref="K18" si="12">SUM(K6:K17)</f>
        <v>107064.06</v>
      </c>
      <c r="L18" s="204"/>
      <c r="M18" s="204">
        <f t="shared" ref="M18" si="13">SUM(M6:M17)</f>
        <v>95607.932400000005</v>
      </c>
      <c r="N18" s="204">
        <f t="shared" ref="N18" si="14">SUM(N6:N17)</f>
        <v>-12615.334799999993</v>
      </c>
      <c r="O18" s="2"/>
      <c r="P18" s="163"/>
    </row>
    <row r="19" spans="1:16" x14ac:dyDescent="0.35">
      <c r="C19" s="204" t="s">
        <v>405</v>
      </c>
      <c r="H19" s="167"/>
    </row>
    <row r="20" spans="1:16" x14ac:dyDescent="0.35">
      <c r="A20" s="213" t="s">
        <v>200</v>
      </c>
      <c r="B20" s="213"/>
      <c r="C20" s="204" t="s">
        <v>200</v>
      </c>
      <c r="K20" s="205"/>
      <c r="L20" s="168"/>
      <c r="M20" s="205"/>
    </row>
    <row r="21" spans="1:16" x14ac:dyDescent="0.35">
      <c r="A21" s="208" t="s">
        <v>265</v>
      </c>
      <c r="B21" s="208">
        <v>1</v>
      </c>
      <c r="C21" s="204">
        <v>67.3</v>
      </c>
      <c r="E21" s="204">
        <f>C21*B21</f>
        <v>67.3</v>
      </c>
      <c r="F21" s="204">
        <v>0</v>
      </c>
      <c r="G21" s="166">
        <f t="shared" ref="G21:G23" si="15">F21/E21</f>
        <v>0</v>
      </c>
      <c r="H21" s="203">
        <f t="shared" ref="H21:H24" si="16">1-G21</f>
        <v>1</v>
      </c>
      <c r="I21" s="211">
        <v>1</v>
      </c>
      <c r="J21" s="164">
        <f>E21*I21*12</f>
        <v>807.59999999999991</v>
      </c>
      <c r="K21" s="204">
        <f>E21*H21*I21*12</f>
        <v>807.59999999999991</v>
      </c>
      <c r="L21" s="399">
        <v>0.6</v>
      </c>
      <c r="M21" s="204">
        <f>E21*I21*12*L21</f>
        <v>484.55999999999995</v>
      </c>
      <c r="N21" s="164">
        <f t="shared" ref="N21" si="17">IF(K21&lt;M21,0,M21-K21)</f>
        <v>-323.03999999999996</v>
      </c>
    </row>
    <row r="22" spans="1:16" x14ac:dyDescent="0.35">
      <c r="A22" s="208" t="s">
        <v>262</v>
      </c>
      <c r="B22" s="208">
        <v>2</v>
      </c>
      <c r="C22" s="204">
        <v>59.78</v>
      </c>
      <c r="E22" s="204">
        <f t="shared" ref="E22:E24" si="18">C22*B22</f>
        <v>119.56</v>
      </c>
      <c r="F22" s="204">
        <v>0</v>
      </c>
      <c r="G22" s="166">
        <f t="shared" ref="G22" si="19">F22/E22</f>
        <v>0</v>
      </c>
      <c r="H22" s="203">
        <f t="shared" ref="H22" si="20">1-G22</f>
        <v>1</v>
      </c>
      <c r="I22" s="211">
        <v>1</v>
      </c>
      <c r="J22" s="164">
        <f>E22*I22*12</f>
        <v>1434.72</v>
      </c>
      <c r="K22" s="204">
        <f>E22*H22*I22*12</f>
        <v>1434.72</v>
      </c>
      <c r="L22" s="399">
        <v>0.6</v>
      </c>
      <c r="M22" s="204">
        <f>E22*I22*12*L22</f>
        <v>860.83199999999999</v>
      </c>
      <c r="N22" s="164">
        <f t="shared" ref="N22" si="21">IF(K22&lt;M22,0,M22-K22)</f>
        <v>-573.88800000000003</v>
      </c>
    </row>
    <row r="23" spans="1:16" x14ac:dyDescent="0.35">
      <c r="A23" s="208" t="s">
        <v>263</v>
      </c>
      <c r="B23" s="208">
        <v>2</v>
      </c>
      <c r="C23" s="204">
        <v>118.62</v>
      </c>
      <c r="E23" s="204">
        <f t="shared" si="18"/>
        <v>237.24</v>
      </c>
      <c r="F23" s="204">
        <v>0</v>
      </c>
      <c r="G23" s="166">
        <f t="shared" si="15"/>
        <v>0</v>
      </c>
      <c r="H23" s="203">
        <f t="shared" si="16"/>
        <v>1</v>
      </c>
      <c r="I23" s="211">
        <v>1</v>
      </c>
      <c r="J23" s="164">
        <f>E23*I23*12</f>
        <v>2846.88</v>
      </c>
      <c r="K23" s="204">
        <f>E23*H23*I23*12</f>
        <v>2846.88</v>
      </c>
      <c r="L23" s="399">
        <v>0.6</v>
      </c>
      <c r="M23" s="204">
        <f>E23*I23*12*L23</f>
        <v>1708.1279999999999</v>
      </c>
      <c r="N23" s="164">
        <f t="shared" ref="N23" si="22">IF(K23&lt;M23,0,M23-K23)</f>
        <v>-1138.7520000000002</v>
      </c>
    </row>
    <row r="24" spans="1:16" x14ac:dyDescent="0.35">
      <c r="A24" s="1" t="s">
        <v>264</v>
      </c>
      <c r="B24" s="1">
        <v>5</v>
      </c>
      <c r="C24" s="207">
        <v>548.35</v>
      </c>
      <c r="D24" s="207"/>
      <c r="E24" s="207">
        <f t="shared" si="18"/>
        <v>2741.75</v>
      </c>
      <c r="F24" s="204">
        <v>0</v>
      </c>
      <c r="G24" s="166">
        <f>F24/E24</f>
        <v>0</v>
      </c>
      <c r="H24" s="203">
        <f t="shared" si="16"/>
        <v>1</v>
      </c>
      <c r="I24" s="211">
        <v>1</v>
      </c>
      <c r="J24" s="209">
        <f>E24*I24*12</f>
        <v>32901</v>
      </c>
      <c r="K24" s="207">
        <f>E24*H24*I24*12</f>
        <v>32901</v>
      </c>
      <c r="L24" s="167">
        <v>0.6</v>
      </c>
      <c r="M24" s="207">
        <f>E24*I24*12*L24</f>
        <v>19740.599999999999</v>
      </c>
      <c r="N24" s="209">
        <f>IF(K24&lt;M24,0,M24-K24)</f>
        <v>-13160.400000000001</v>
      </c>
    </row>
    <row r="25" spans="1:16" x14ac:dyDescent="0.35">
      <c r="A25" s="1" t="s">
        <v>195</v>
      </c>
      <c r="C25" s="204">
        <f>SUM(C21:C24)</f>
        <v>794.05</v>
      </c>
      <c r="E25" s="204">
        <f>SUM(E21:E24)</f>
        <v>3165.85</v>
      </c>
      <c r="J25" s="204">
        <f>SUM(J21:J24)</f>
        <v>37990.199999999997</v>
      </c>
      <c r="K25" s="204">
        <f>SUM(K21:K24)</f>
        <v>37990.199999999997</v>
      </c>
      <c r="M25" s="204">
        <f>SUM(M21:M24)</f>
        <v>22794.12</v>
      </c>
      <c r="N25" s="204">
        <f>SUM(N21:N24)</f>
        <v>-15196.080000000002</v>
      </c>
    </row>
    <row r="26" spans="1:16" x14ac:dyDescent="0.35">
      <c r="J26" s="204"/>
      <c r="N26" s="204"/>
    </row>
    <row r="27" spans="1:16" x14ac:dyDescent="0.35">
      <c r="A27" s="1" t="s">
        <v>267</v>
      </c>
      <c r="B27" s="1" t="s">
        <v>355</v>
      </c>
      <c r="C27" s="207">
        <v>60</v>
      </c>
      <c r="E27" s="207">
        <v>60</v>
      </c>
      <c r="J27" s="207">
        <f>C27*12</f>
        <v>720</v>
      </c>
      <c r="M27" s="207">
        <f>J27</f>
        <v>720</v>
      </c>
      <c r="N27" s="204"/>
    </row>
    <row r="28" spans="1:16" x14ac:dyDescent="0.35">
      <c r="A28" s="1" t="s">
        <v>278</v>
      </c>
      <c r="E28" s="204">
        <f>E18+E25+E27</f>
        <v>14332.9</v>
      </c>
      <c r="J28" s="164">
        <f>J18+J25+J27</f>
        <v>171994.8</v>
      </c>
      <c r="M28" s="164"/>
    </row>
    <row r="29" spans="1:16" x14ac:dyDescent="0.35">
      <c r="A29" s="212" t="s">
        <v>279</v>
      </c>
      <c r="B29" s="212"/>
      <c r="K29" s="215"/>
      <c r="L29" s="281"/>
      <c r="M29" s="215">
        <f>M18+M25+M27</f>
        <v>119122.0524</v>
      </c>
    </row>
    <row r="30" spans="1:16" x14ac:dyDescent="0.35">
      <c r="A30" s="212" t="s">
        <v>203</v>
      </c>
      <c r="B30" s="212"/>
      <c r="K30" s="219"/>
      <c r="L30" s="281"/>
      <c r="M30" s="283">
        <f>113026+10798</f>
        <v>123824</v>
      </c>
      <c r="O30" s="1" t="s">
        <v>404</v>
      </c>
    </row>
    <row r="31" spans="1:16" x14ac:dyDescent="0.35">
      <c r="A31" s="212" t="s">
        <v>204</v>
      </c>
      <c r="B31" s="212"/>
      <c r="K31" s="215"/>
      <c r="L31" s="282"/>
      <c r="M31" s="215">
        <f>M29-M30</f>
        <v>-4701.9475999999995</v>
      </c>
      <c r="N31" s="301" t="s">
        <v>302</v>
      </c>
    </row>
    <row r="34" spans="1:15" ht="15" thickBot="1" x14ac:dyDescent="0.4">
      <c r="A34" s="212" t="s">
        <v>201</v>
      </c>
      <c r="B34" s="212"/>
      <c r="N34" s="214">
        <f>N18+N25</f>
        <v>-27811.414799999995</v>
      </c>
      <c r="O34" s="18"/>
    </row>
    <row r="35" spans="1:15" ht="15" thickTop="1" x14ac:dyDescent="0.35"/>
    <row r="36" spans="1:15" x14ac:dyDescent="0.35">
      <c r="A36" s="1" t="s">
        <v>193</v>
      </c>
    </row>
    <row r="39" spans="1:15" x14ac:dyDescent="0.35">
      <c r="B39" s="344" t="s">
        <v>356</v>
      </c>
      <c r="C39" s="344"/>
      <c r="D39" s="289"/>
      <c r="E39" s="289"/>
    </row>
    <row r="40" spans="1:15" x14ac:dyDescent="0.35">
      <c r="B40" s="344" t="s">
        <v>357</v>
      </c>
      <c r="C40" s="344"/>
      <c r="D40" s="289"/>
      <c r="E40" s="289" t="s">
        <v>373</v>
      </c>
    </row>
    <row r="41" spans="1:15" x14ac:dyDescent="0.35">
      <c r="B41" s="344" t="s">
        <v>358</v>
      </c>
      <c r="C41" s="344"/>
      <c r="D41" s="289"/>
      <c r="E41" s="289" t="s">
        <v>374</v>
      </c>
    </row>
    <row r="42" spans="1:15" x14ac:dyDescent="0.35">
      <c r="B42" s="344" t="s">
        <v>359</v>
      </c>
      <c r="C42" s="344"/>
      <c r="D42" s="289"/>
      <c r="E42" s="289" t="s">
        <v>375</v>
      </c>
    </row>
    <row r="43" spans="1:15" x14ac:dyDescent="0.35">
      <c r="B43" s="344" t="s">
        <v>360</v>
      </c>
      <c r="C43" s="344"/>
      <c r="D43" s="289"/>
      <c r="E43" s="289" t="s">
        <v>374</v>
      </c>
    </row>
    <row r="44" spans="1:15" x14ac:dyDescent="0.35">
      <c r="B44" s="344" t="s">
        <v>361</v>
      </c>
      <c r="C44" s="344"/>
      <c r="D44" s="289"/>
      <c r="E44" s="289" t="s">
        <v>374</v>
      </c>
    </row>
    <row r="45" spans="1:15" x14ac:dyDescent="0.35">
      <c r="B45" s="344" t="s">
        <v>362</v>
      </c>
      <c r="C45" s="344"/>
      <c r="D45" s="289"/>
      <c r="E45" s="289" t="s">
        <v>348</v>
      </c>
    </row>
    <row r="46" spans="1:15" x14ac:dyDescent="0.35">
      <c r="B46" s="344" t="s">
        <v>363</v>
      </c>
      <c r="C46" s="344"/>
      <c r="D46" s="289"/>
      <c r="E46" s="289" t="s">
        <v>374</v>
      </c>
    </row>
    <row r="47" spans="1:15" x14ac:dyDescent="0.35">
      <c r="B47" s="344" t="s">
        <v>364</v>
      </c>
      <c r="C47" s="344"/>
      <c r="D47" s="289"/>
      <c r="E47" s="289" t="s">
        <v>348</v>
      </c>
    </row>
    <row r="48" spans="1:15" x14ac:dyDescent="0.35">
      <c r="B48" s="344" t="s">
        <v>365</v>
      </c>
      <c r="C48" s="344"/>
      <c r="D48" s="289"/>
      <c r="E48" s="289" t="s">
        <v>374</v>
      </c>
    </row>
    <row r="49" spans="2:5" x14ac:dyDescent="0.35">
      <c r="B49" s="344" t="s">
        <v>366</v>
      </c>
      <c r="C49" s="344"/>
      <c r="D49" s="289"/>
      <c r="E49" s="289" t="s">
        <v>348</v>
      </c>
    </row>
    <row r="50" spans="2:5" x14ac:dyDescent="0.35">
      <c r="B50" s="344" t="s">
        <v>367</v>
      </c>
      <c r="C50" s="344"/>
      <c r="D50" s="289"/>
      <c r="E50" s="289"/>
    </row>
    <row r="51" spans="2:5" x14ac:dyDescent="0.35">
      <c r="B51" s="344" t="s">
        <v>368</v>
      </c>
      <c r="C51" s="344"/>
      <c r="D51" s="289"/>
      <c r="E51" s="289"/>
    </row>
    <row r="52" spans="2:5" x14ac:dyDescent="0.35">
      <c r="B52" s="344" t="s">
        <v>369</v>
      </c>
      <c r="C52" s="344"/>
      <c r="D52" s="368"/>
      <c r="E52" s="289"/>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52889-0321-45D3-A9A4-AE60C9D6113F}">
  <sheetPr>
    <tabColor rgb="FF92D050"/>
  </sheetPr>
  <dimension ref="A1:G37"/>
  <sheetViews>
    <sheetView showGridLines="0" workbookViewId="0">
      <selection activeCell="H34" sqref="H34"/>
    </sheetView>
  </sheetViews>
  <sheetFormatPr defaultColWidth="8.84375" defaultRowHeight="14" x14ac:dyDescent="0.3"/>
  <cols>
    <col min="1" max="1" width="22.07421875" style="139" customWidth="1"/>
    <col min="2" max="3" width="10.15234375" style="140" bestFit="1" customWidth="1"/>
    <col min="4" max="4" width="10.61328125" style="139" customWidth="1"/>
    <col min="5" max="16384" width="8.84375" style="139"/>
  </cols>
  <sheetData>
    <row r="1" spans="1:7" ht="16" x14ac:dyDescent="0.5">
      <c r="A1" s="1" t="s">
        <v>137</v>
      </c>
      <c r="B1" s="7"/>
      <c r="C1" s="350" t="s">
        <v>325</v>
      </c>
      <c r="D1" s="1"/>
      <c r="E1" s="1"/>
      <c r="F1" s="1"/>
      <c r="G1" s="1"/>
    </row>
    <row r="2" spans="1:7" ht="14.5" x14ac:dyDescent="0.35">
      <c r="A2" s="1" t="s">
        <v>143</v>
      </c>
      <c r="B2" s="7"/>
      <c r="C2" s="351">
        <v>481193</v>
      </c>
      <c r="D2" s="1"/>
      <c r="E2" s="1"/>
      <c r="F2" s="1"/>
      <c r="G2" s="1"/>
    </row>
    <row r="3" spans="1:7" ht="14.5" x14ac:dyDescent="0.35">
      <c r="A3" s="1" t="s">
        <v>144</v>
      </c>
      <c r="B3" s="7"/>
      <c r="C3" s="352"/>
      <c r="D3" s="1"/>
      <c r="E3" s="1"/>
      <c r="F3" s="1"/>
      <c r="G3" s="1"/>
    </row>
    <row r="4" spans="1:7" ht="14.5" x14ac:dyDescent="0.35">
      <c r="A4" s="1" t="s">
        <v>145</v>
      </c>
      <c r="B4" s="7"/>
      <c r="C4" s="7">
        <f>C2+C3</f>
        <v>481193</v>
      </c>
      <c r="D4" s="1"/>
      <c r="E4" s="1"/>
      <c r="F4" s="1"/>
      <c r="G4" s="1"/>
    </row>
    <row r="5" spans="1:7" ht="14.5" x14ac:dyDescent="0.35">
      <c r="A5" s="1"/>
      <c r="B5" s="7"/>
      <c r="C5" s="7"/>
      <c r="D5" s="1"/>
      <c r="E5" s="1"/>
      <c r="F5" s="1"/>
      <c r="G5" s="1"/>
    </row>
    <row r="6" spans="1:7" ht="14.5" x14ac:dyDescent="0.35">
      <c r="A6" s="1" t="s">
        <v>138</v>
      </c>
      <c r="B6" s="7"/>
      <c r="C6" s="351">
        <v>372898</v>
      </c>
      <c r="D6" s="1"/>
      <c r="E6" s="1"/>
      <c r="F6" s="1"/>
      <c r="G6" s="1"/>
    </row>
    <row r="7" spans="1:7" ht="14.5" x14ac:dyDescent="0.35">
      <c r="A7" s="1"/>
      <c r="B7" s="7"/>
      <c r="C7" s="7"/>
      <c r="D7" s="1"/>
      <c r="E7" s="1"/>
      <c r="F7" s="1"/>
      <c r="G7" s="1"/>
    </row>
    <row r="8" spans="1:7" ht="14.5" x14ac:dyDescent="0.35">
      <c r="A8" s="1" t="s">
        <v>139</v>
      </c>
      <c r="B8" s="7"/>
      <c r="C8" s="7"/>
      <c r="D8" s="1"/>
      <c r="E8" s="1"/>
      <c r="F8" s="1"/>
      <c r="G8" s="1"/>
    </row>
    <row r="9" spans="1:7" ht="14.5" x14ac:dyDescent="0.35">
      <c r="A9" s="1" t="s">
        <v>148</v>
      </c>
      <c r="B9" s="351">
        <v>15344</v>
      </c>
      <c r="D9" s="1"/>
      <c r="E9" s="1"/>
      <c r="F9" s="1"/>
      <c r="G9" s="1"/>
    </row>
    <row r="10" spans="1:7" ht="14.5" x14ac:dyDescent="0.35">
      <c r="A10" s="1" t="s">
        <v>149</v>
      </c>
      <c r="B10" s="351">
        <v>2143</v>
      </c>
      <c r="D10" s="1"/>
      <c r="E10" s="1"/>
      <c r="F10" s="1"/>
      <c r="G10" s="1"/>
    </row>
    <row r="11" spans="1:7" ht="14.5" x14ac:dyDescent="0.35">
      <c r="A11" s="1" t="s">
        <v>150</v>
      </c>
      <c r="B11" s="351">
        <v>11</v>
      </c>
      <c r="D11" s="1"/>
      <c r="E11" s="1"/>
      <c r="F11" s="1"/>
      <c r="G11" s="1"/>
    </row>
    <row r="12" spans="1:7" ht="14.5" x14ac:dyDescent="0.35">
      <c r="A12" s="1" t="s">
        <v>151</v>
      </c>
      <c r="B12" s="7">
        <v>0</v>
      </c>
      <c r="C12" s="7"/>
      <c r="D12" s="1"/>
      <c r="E12" s="1"/>
      <c r="F12" s="1"/>
      <c r="G12" s="1"/>
    </row>
    <row r="13" spans="1:7" ht="14.5" x14ac:dyDescent="0.35">
      <c r="A13" s="1" t="s">
        <v>146</v>
      </c>
      <c r="B13" s="7"/>
      <c r="C13" s="7">
        <f>SUM(B9:B12)</f>
        <v>17498</v>
      </c>
      <c r="D13" s="1"/>
      <c r="E13" s="1"/>
      <c r="F13" s="1"/>
      <c r="G13" s="1"/>
    </row>
    <row r="14" spans="1:7" ht="14.5" x14ac:dyDescent="0.35">
      <c r="A14" s="1"/>
      <c r="B14" s="7"/>
      <c r="C14" s="7"/>
      <c r="D14" s="1"/>
      <c r="E14" s="1"/>
      <c r="F14" s="1"/>
      <c r="G14" s="1"/>
    </row>
    <row r="15" spans="1:7" ht="14.5" x14ac:dyDescent="0.35">
      <c r="A15" s="1" t="s">
        <v>147</v>
      </c>
      <c r="B15" s="7"/>
      <c r="C15" s="7"/>
      <c r="D15" s="1"/>
      <c r="E15" s="1"/>
      <c r="F15" s="1"/>
      <c r="G15" s="1"/>
    </row>
    <row r="16" spans="1:7" ht="14.5" x14ac:dyDescent="0.35">
      <c r="A16" s="1" t="s">
        <v>152</v>
      </c>
      <c r="B16" s="7">
        <v>591</v>
      </c>
      <c r="C16" s="7"/>
      <c r="D16" s="1"/>
      <c r="E16" s="1"/>
      <c r="F16" s="1"/>
      <c r="G16" s="1"/>
    </row>
    <row r="17" spans="1:7" ht="14.5" x14ac:dyDescent="0.35">
      <c r="A17" s="1" t="s">
        <v>153</v>
      </c>
      <c r="B17" s="351">
        <v>4789</v>
      </c>
      <c r="C17" s="7"/>
      <c r="D17" s="1"/>
      <c r="E17" s="1"/>
      <c r="F17" s="1"/>
      <c r="G17" s="1"/>
    </row>
    <row r="18" spans="1:7" ht="14.5" x14ac:dyDescent="0.35">
      <c r="A18" s="1" t="s">
        <v>154</v>
      </c>
      <c r="B18" s="351">
        <v>9906</v>
      </c>
      <c r="C18" s="7"/>
      <c r="D18" s="1"/>
      <c r="E18" s="1"/>
      <c r="F18" s="1"/>
      <c r="G18" s="1"/>
    </row>
    <row r="19" spans="1:7" ht="14.5" x14ac:dyDescent="0.35">
      <c r="A19" s="1" t="s">
        <v>190</v>
      </c>
      <c r="B19" s="351"/>
      <c r="C19" s="7"/>
      <c r="D19" s="1"/>
      <c r="E19" s="1"/>
      <c r="F19" s="1"/>
      <c r="G19" s="1"/>
    </row>
    <row r="20" spans="1:7" ht="14.5" x14ac:dyDescent="0.35">
      <c r="A20" s="1" t="s">
        <v>155</v>
      </c>
      <c r="B20" s="351">
        <v>75511</v>
      </c>
      <c r="C20" s="7"/>
    </row>
    <row r="21" spans="1:7" ht="14.5" x14ac:dyDescent="0.35">
      <c r="A21" s="1" t="s">
        <v>156</v>
      </c>
      <c r="B21" s="7"/>
      <c r="C21" s="5">
        <f>SUM(B16:B20)</f>
        <v>90797</v>
      </c>
    </row>
    <row r="22" spans="1:7" ht="14.5" x14ac:dyDescent="0.35">
      <c r="A22" s="1" t="s">
        <v>157</v>
      </c>
      <c r="B22" s="7"/>
      <c r="C22" s="7">
        <f>C6+C13+C21</f>
        <v>481193</v>
      </c>
    </row>
    <row r="23" spans="1:7" ht="14.5" x14ac:dyDescent="0.35">
      <c r="A23" s="1"/>
    </row>
    <row r="25" spans="1:7" ht="14.5" x14ac:dyDescent="0.35">
      <c r="D25" s="412">
        <f>C21/C4</f>
        <v>0.18869143981728745</v>
      </c>
      <c r="E25" s="1" t="s">
        <v>140</v>
      </c>
      <c r="F25" s="1"/>
      <c r="G25" s="1"/>
    </row>
    <row r="26" spans="1:7" ht="14.5" x14ac:dyDescent="0.35">
      <c r="D26" s="49">
        <v>0.15</v>
      </c>
      <c r="E26" s="1" t="s">
        <v>141</v>
      </c>
      <c r="F26" s="1"/>
      <c r="G26" s="1"/>
    </row>
    <row r="27" spans="1:7" ht="14.5" x14ac:dyDescent="0.35">
      <c r="D27" s="49">
        <f>D25-D26</f>
        <v>3.8691439817287454E-2</v>
      </c>
      <c r="E27" s="1" t="s">
        <v>142</v>
      </c>
      <c r="F27" s="1"/>
      <c r="G27" s="18"/>
    </row>
    <row r="29" spans="1:7" ht="14.5" x14ac:dyDescent="0.35">
      <c r="A29" s="1" t="s">
        <v>191</v>
      </c>
      <c r="B29" s="7"/>
      <c r="C29" s="7"/>
    </row>
    <row r="30" spans="1:7" ht="14.5" x14ac:dyDescent="0.35">
      <c r="A30" s="1" t="str">
        <f>SAO!C26</f>
        <v>Purchased Water</v>
      </c>
      <c r="B30" s="196">
        <f>SAO!D26</f>
        <v>0</v>
      </c>
      <c r="C30" s="197">
        <f>D27</f>
        <v>3.8691439817287454E-2</v>
      </c>
      <c r="D30" s="185">
        <f>B30*C30</f>
        <v>0</v>
      </c>
      <c r="E30" s="220"/>
    </row>
    <row r="31" spans="1:7" ht="14.5" x14ac:dyDescent="0.35">
      <c r="A31" s="1" t="str">
        <f>SAO!C27</f>
        <v>Purchased Power</v>
      </c>
      <c r="B31" s="196">
        <f>SAO!D27</f>
        <v>166835</v>
      </c>
      <c r="C31" s="197">
        <f>D27</f>
        <v>3.8691439817287454E-2</v>
      </c>
      <c r="D31" s="185">
        <f>-B31*C31</f>
        <v>-6455.0863619171523</v>
      </c>
      <c r="E31" s="220" t="s">
        <v>205</v>
      </c>
    </row>
    <row r="32" spans="1:7" ht="16" x14ac:dyDescent="0.5">
      <c r="A32" s="1" t="str">
        <f>SAO!C28</f>
        <v>Chemicals</v>
      </c>
      <c r="B32" s="196">
        <f>SAO!D28</f>
        <v>31147</v>
      </c>
      <c r="C32" s="198">
        <f>D27</f>
        <v>3.8691439817287454E-2</v>
      </c>
      <c r="D32" s="199">
        <f>-B32*C32</f>
        <v>-1205.1222759890522</v>
      </c>
      <c r="E32" s="220" t="s">
        <v>205</v>
      </c>
    </row>
    <row r="33" spans="1:4" ht="16" x14ac:dyDescent="0.5">
      <c r="A33" s="1"/>
      <c r="B33" s="196"/>
      <c r="C33" s="198"/>
      <c r="D33" s="199"/>
    </row>
    <row r="34" spans="1:4" ht="16" x14ac:dyDescent="0.5">
      <c r="A34" s="1"/>
      <c r="B34" s="196"/>
      <c r="C34" s="198"/>
      <c r="D34" s="199"/>
    </row>
    <row r="35" spans="1:4" ht="14.5" x14ac:dyDescent="0.35">
      <c r="A35" s="1" t="s">
        <v>188</v>
      </c>
      <c r="B35" s="7"/>
      <c r="C35" s="186"/>
      <c r="D35" s="185">
        <f>SUM(D30:D32)</f>
        <v>-7660.2086379062048</v>
      </c>
    </row>
    <row r="36" spans="1:4" ht="14.5" x14ac:dyDescent="0.35">
      <c r="A36" s="1"/>
      <c r="B36" s="7"/>
      <c r="C36" s="6"/>
      <c r="D36" s="2"/>
    </row>
    <row r="37" spans="1:4" ht="14.5" x14ac:dyDescent="0.35">
      <c r="A37" s="1"/>
      <c r="B37" s="7"/>
      <c r="C37" s="186"/>
      <c r="D37" s="185"/>
    </row>
  </sheetData>
  <pageMargins left="0.7" right="0.7" top="0.75" bottom="0.75" header="0.3" footer="0.3"/>
  <pageSetup orientation="portrait" horizontalDpi="4294967293" verticalDpi="0" r:id="rId1"/>
  <ignoredErrors>
    <ignoredError sqref="C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2:GH44"/>
  <sheetViews>
    <sheetView showGridLines="0" topLeftCell="A12" zoomScale="116" workbookViewId="0">
      <selection activeCell="K23" sqref="K23"/>
    </sheetView>
  </sheetViews>
  <sheetFormatPr defaultColWidth="8.84375" defaultRowHeight="14.5" x14ac:dyDescent="0.35"/>
  <cols>
    <col min="1" max="1" width="2.84375" style="25" customWidth="1"/>
    <col min="2" max="2" width="9.69140625" style="25" customWidth="1"/>
    <col min="3" max="3" width="11.69140625" style="25" customWidth="1"/>
    <col min="4" max="4" width="8.4609375" style="25" customWidth="1"/>
    <col min="5" max="5" width="9.69140625" style="25" customWidth="1"/>
    <col min="6" max="6" width="9.69140625" style="25" hidden="1" customWidth="1"/>
    <col min="7" max="8" width="9.69140625" style="52" customWidth="1"/>
    <col min="9" max="9" width="2.765625" style="25" customWidth="1"/>
    <col min="10" max="10" width="2" style="25" customWidth="1"/>
    <col min="11" max="11" width="9.69140625" style="183" customWidth="1"/>
    <col min="12" max="190" width="9.69140625" style="25" customWidth="1"/>
    <col min="191" max="16384" width="8.84375" style="14"/>
  </cols>
  <sheetData>
    <row r="2" spans="2:13" ht="18" customHeight="1" x14ac:dyDescent="0.45">
      <c r="B2" s="475"/>
      <c r="C2" s="476"/>
      <c r="D2" s="476"/>
      <c r="E2" s="476"/>
      <c r="F2" s="476"/>
      <c r="G2" s="476"/>
      <c r="H2" s="476"/>
      <c r="I2" s="477"/>
    </row>
    <row r="3" spans="2:13" ht="18" customHeight="1" x14ac:dyDescent="0.45">
      <c r="B3" s="490" t="s">
        <v>207</v>
      </c>
      <c r="C3" s="491"/>
      <c r="D3" s="491"/>
      <c r="E3" s="491"/>
      <c r="F3" s="491"/>
      <c r="G3" s="491"/>
      <c r="H3" s="491"/>
      <c r="I3" s="492"/>
    </row>
    <row r="4" spans="2:13" ht="21" x14ac:dyDescent="0.5">
      <c r="B4" s="478" t="s">
        <v>57</v>
      </c>
      <c r="C4" s="479"/>
      <c r="D4" s="479"/>
      <c r="E4" s="479"/>
      <c r="F4" s="479"/>
      <c r="G4" s="479"/>
      <c r="H4" s="479"/>
      <c r="I4" s="480"/>
    </row>
    <row r="5" spans="2:13" ht="18" customHeight="1" x14ac:dyDescent="0.35">
      <c r="B5" s="481" t="s">
        <v>209</v>
      </c>
      <c r="C5" s="482"/>
      <c r="D5" s="482"/>
      <c r="E5" s="482"/>
      <c r="F5" s="482"/>
      <c r="G5" s="482"/>
      <c r="H5" s="482"/>
      <c r="I5" s="483"/>
    </row>
    <row r="6" spans="2:13" ht="6" customHeight="1" x14ac:dyDescent="0.35">
      <c r="B6" s="187"/>
      <c r="I6" s="188"/>
    </row>
    <row r="7" spans="2:13" x14ac:dyDescent="0.35">
      <c r="B7" s="187"/>
      <c r="I7" s="188"/>
    </row>
    <row r="8" spans="2:13" ht="18.5" x14ac:dyDescent="0.45">
      <c r="B8" s="487" t="s">
        <v>216</v>
      </c>
      <c r="C8" s="488"/>
      <c r="D8" s="488"/>
      <c r="E8" s="488"/>
      <c r="F8" s="488"/>
      <c r="G8" s="488"/>
      <c r="H8" s="488"/>
      <c r="I8" s="489"/>
      <c r="K8" s="362" t="s">
        <v>351</v>
      </c>
      <c r="L8" s="363"/>
      <c r="M8" s="363"/>
    </row>
    <row r="9" spans="2:13" ht="8" customHeight="1" x14ac:dyDescent="0.45">
      <c r="B9" s="224"/>
      <c r="C9" s="225"/>
      <c r="D9" s="225"/>
      <c r="E9" s="225"/>
      <c r="F9" s="225"/>
      <c r="G9" s="225"/>
      <c r="H9" s="225"/>
      <c r="I9" s="226"/>
    </row>
    <row r="10" spans="2:13" ht="19" x14ac:dyDescent="0.5">
      <c r="B10" s="484" t="s">
        <v>449</v>
      </c>
      <c r="C10" s="485"/>
      <c r="D10" s="28" t="s">
        <v>58</v>
      </c>
      <c r="E10" s="28" t="s">
        <v>10</v>
      </c>
      <c r="F10" s="28"/>
      <c r="G10" s="486" t="s">
        <v>69</v>
      </c>
      <c r="H10" s="486"/>
      <c r="I10" s="226"/>
    </row>
    <row r="11" spans="2:13" ht="18.5" x14ac:dyDescent="0.45">
      <c r="B11" s="493" t="s">
        <v>217</v>
      </c>
      <c r="C11" s="494"/>
      <c r="D11" s="354">
        <v>27.5</v>
      </c>
      <c r="E11" s="30">
        <f>ROUND(D11*(1+SAO!$G$64),2)</f>
        <v>30.27</v>
      </c>
      <c r="F11" s="29" t="e">
        <f>#REF!*(1+#REF!)</f>
        <v>#REF!</v>
      </c>
      <c r="G11" s="193">
        <f t="shared" ref="G11:G17" si="0">E11-D11</f>
        <v>2.7699999999999996</v>
      </c>
      <c r="H11" s="455">
        <f t="shared" ref="H11:H17" si="1">G11/D11</f>
        <v>0.10072727272727271</v>
      </c>
      <c r="I11" s="226"/>
    </row>
    <row r="12" spans="2:13" ht="18.5" x14ac:dyDescent="0.45">
      <c r="B12" s="228"/>
      <c r="C12" s="227" t="s">
        <v>218</v>
      </c>
      <c r="D12" s="354">
        <v>38.380000000000003</v>
      </c>
      <c r="E12" s="30">
        <f>ROUND(D12*(1+SAO!$G$64),2)</f>
        <v>42.25</v>
      </c>
      <c r="F12" s="29" t="e">
        <f>#REF!*(1+#REF!)</f>
        <v>#REF!</v>
      </c>
      <c r="G12" s="193">
        <f t="shared" si="0"/>
        <v>3.8699999999999974</v>
      </c>
      <c r="H12" s="455">
        <f t="shared" si="1"/>
        <v>0.10083376758728498</v>
      </c>
      <c r="I12" s="226"/>
    </row>
    <row r="13" spans="2:13" ht="18.5" x14ac:dyDescent="0.45">
      <c r="B13" s="228"/>
      <c r="C13" s="227" t="s">
        <v>219</v>
      </c>
      <c r="D13" s="354">
        <v>56.54</v>
      </c>
      <c r="E13" s="30">
        <f>ROUND(D13*(1+SAO!$G$64),2)</f>
        <v>62.24</v>
      </c>
      <c r="F13" s="29" t="e">
        <f>#REF!*(1+#REF!)</f>
        <v>#REF!</v>
      </c>
      <c r="G13" s="193">
        <f t="shared" si="0"/>
        <v>5.7000000000000028</v>
      </c>
      <c r="H13" s="455">
        <f t="shared" si="1"/>
        <v>0.10081358330385573</v>
      </c>
      <c r="I13" s="226"/>
    </row>
    <row r="14" spans="2:13" ht="18.5" x14ac:dyDescent="0.45">
      <c r="B14" s="228"/>
      <c r="C14" s="227" t="s">
        <v>220</v>
      </c>
      <c r="D14" s="354">
        <v>78.37</v>
      </c>
      <c r="E14" s="30">
        <f>ROUND(D14*(1+SAO!$G$64),2)</f>
        <v>86.28</v>
      </c>
      <c r="F14" s="29" t="e">
        <f>#REF!*(1+#REF!)</f>
        <v>#REF!</v>
      </c>
      <c r="G14" s="193">
        <f t="shared" si="0"/>
        <v>7.9099999999999966</v>
      </c>
      <c r="H14" s="455">
        <f t="shared" si="1"/>
        <v>0.1009314788822253</v>
      </c>
      <c r="I14" s="226"/>
    </row>
    <row r="15" spans="2:13" ht="18.5" x14ac:dyDescent="0.45">
      <c r="B15" s="228"/>
      <c r="C15" s="227" t="s">
        <v>221</v>
      </c>
      <c r="D15" s="354">
        <v>129.24</v>
      </c>
      <c r="E15" s="30">
        <f>ROUND(D15*(1+SAO!$G$64),2)</f>
        <v>142.28</v>
      </c>
      <c r="F15" s="29" t="e">
        <f>#REF!*(1+#REF!)</f>
        <v>#REF!</v>
      </c>
      <c r="G15" s="193">
        <f t="shared" si="0"/>
        <v>13.039999999999992</v>
      </c>
      <c r="H15" s="455">
        <f t="shared" si="1"/>
        <v>0.10089755493655209</v>
      </c>
      <c r="I15" s="226"/>
    </row>
    <row r="16" spans="2:13" ht="18.5" x14ac:dyDescent="0.45">
      <c r="B16" s="228"/>
      <c r="C16" s="227" t="s">
        <v>222</v>
      </c>
      <c r="D16" s="354">
        <v>201.94</v>
      </c>
      <c r="E16" s="30">
        <f>ROUND(D16*(1+SAO!$G$64),2)</f>
        <v>222.31</v>
      </c>
      <c r="F16" s="29" t="e">
        <f>#REF!*(1+#REF!)</f>
        <v>#REF!</v>
      </c>
      <c r="G16" s="193">
        <f t="shared" si="0"/>
        <v>20.370000000000005</v>
      </c>
      <c r="H16" s="455">
        <f t="shared" si="1"/>
        <v>0.10087154600376352</v>
      </c>
      <c r="I16" s="226"/>
    </row>
    <row r="17" spans="2:13" ht="18.5" x14ac:dyDescent="0.45">
      <c r="B17" s="228"/>
      <c r="C17" s="227" t="s">
        <v>223</v>
      </c>
      <c r="D17" s="354">
        <v>383.65</v>
      </c>
      <c r="E17" s="30">
        <f>ROUND(D17*(1+SAO!$G$64),2)</f>
        <v>422.36</v>
      </c>
      <c r="F17" s="29" t="e">
        <f>#REF!*(1+#REF!)</f>
        <v>#REF!</v>
      </c>
      <c r="G17" s="193">
        <f t="shared" si="0"/>
        <v>38.710000000000036</v>
      </c>
      <c r="H17" s="455">
        <f t="shared" si="1"/>
        <v>0.10089925713540998</v>
      </c>
      <c r="I17" s="226"/>
    </row>
    <row r="18" spans="2:13" x14ac:dyDescent="0.35">
      <c r="B18" s="187"/>
      <c r="I18" s="188"/>
    </row>
    <row r="19" spans="2:13" ht="14.4" customHeight="1" x14ac:dyDescent="0.5">
      <c r="B19" s="484" t="s">
        <v>215</v>
      </c>
      <c r="C19" s="485"/>
      <c r="D19" s="28" t="s">
        <v>58</v>
      </c>
      <c r="E19" s="28" t="s">
        <v>10</v>
      </c>
      <c r="F19" s="28"/>
      <c r="G19" s="486" t="s">
        <v>69</v>
      </c>
      <c r="H19" s="486"/>
      <c r="I19" s="189"/>
    </row>
    <row r="20" spans="2:13" x14ac:dyDescent="0.35">
      <c r="B20" s="27"/>
      <c r="C20" s="26" t="s">
        <v>214</v>
      </c>
      <c r="D20" s="355">
        <v>3.8300000000000001E-3</v>
      </c>
      <c r="E20" s="229">
        <f>ROUND(D20*(1+SAO!$G$64),5)</f>
        <v>4.2199999999999998E-3</v>
      </c>
      <c r="F20" s="29" t="e">
        <f>#REF!*(1+#REF!)</f>
        <v>#REF!</v>
      </c>
      <c r="G20" s="259">
        <f>E20-D20</f>
        <v>3.8999999999999972E-4</v>
      </c>
      <c r="H20" s="455">
        <f>ROUND((G20/D20),4)</f>
        <v>0.1018</v>
      </c>
      <c r="I20" s="190"/>
      <c r="L20" s="184"/>
      <c r="M20" s="184"/>
    </row>
    <row r="21" spans="2:13" x14ac:dyDescent="0.35">
      <c r="B21" s="304"/>
      <c r="C21" s="191"/>
      <c r="D21" s="41"/>
      <c r="E21" s="191"/>
      <c r="F21" s="191"/>
      <c r="G21" s="288"/>
      <c r="H21" s="195"/>
      <c r="I21" s="192"/>
      <c r="L21" s="184"/>
      <c r="M21" s="184"/>
    </row>
    <row r="22" spans="2:13" x14ac:dyDescent="0.35">
      <c r="B22" s="25" t="s">
        <v>429</v>
      </c>
    </row>
    <row r="25" spans="2:13" ht="18.5" x14ac:dyDescent="0.45">
      <c r="B25" s="491"/>
      <c r="C25" s="491"/>
      <c r="D25" s="491"/>
      <c r="E25" s="491"/>
      <c r="F25" s="491"/>
      <c r="G25" s="491"/>
      <c r="H25" s="491"/>
      <c r="I25" s="491"/>
    </row>
    <row r="26" spans="2:13" ht="18.5" x14ac:dyDescent="0.45">
      <c r="B26" s="491"/>
      <c r="C26" s="491"/>
      <c r="D26" s="491"/>
      <c r="E26" s="491"/>
      <c r="F26" s="491"/>
      <c r="G26" s="491"/>
      <c r="H26" s="491"/>
      <c r="I26" s="491"/>
    </row>
    <row r="27" spans="2:13" ht="21" x14ac:dyDescent="0.5">
      <c r="B27" s="495"/>
      <c r="C27" s="495"/>
      <c r="D27" s="495"/>
      <c r="E27" s="495"/>
      <c r="F27" s="495"/>
      <c r="G27" s="495"/>
      <c r="H27" s="495"/>
      <c r="I27" s="495"/>
    </row>
    <row r="28" spans="2:13" ht="18.5" x14ac:dyDescent="0.35">
      <c r="B28" s="482"/>
      <c r="C28" s="482"/>
      <c r="D28" s="482"/>
      <c r="E28" s="482"/>
      <c r="F28" s="482"/>
      <c r="G28" s="482"/>
      <c r="H28" s="482"/>
      <c r="I28" s="482"/>
    </row>
    <row r="31" spans="2:13" ht="18.5" x14ac:dyDescent="0.45">
      <c r="B31" s="496"/>
      <c r="C31" s="496"/>
      <c r="D31" s="496"/>
      <c r="E31" s="496"/>
      <c r="F31" s="496"/>
      <c r="G31" s="496"/>
      <c r="H31" s="496"/>
      <c r="I31" s="496"/>
    </row>
    <row r="32" spans="2:13" ht="18.5" x14ac:dyDescent="0.45">
      <c r="B32" s="225"/>
      <c r="C32" s="225"/>
      <c r="D32" s="225"/>
      <c r="E32" s="225"/>
      <c r="F32" s="225"/>
      <c r="G32" s="225"/>
      <c r="H32" s="225"/>
      <c r="I32" s="225"/>
    </row>
    <row r="33" spans="2:9" ht="19" x14ac:dyDescent="0.5">
      <c r="B33" s="485"/>
      <c r="C33" s="485"/>
      <c r="D33" s="28"/>
      <c r="E33" s="28"/>
      <c r="F33" s="28"/>
      <c r="G33" s="486"/>
      <c r="H33" s="486"/>
      <c r="I33" s="225"/>
    </row>
    <row r="34" spans="2:9" ht="18.5" x14ac:dyDescent="0.45">
      <c r="B34" s="497"/>
      <c r="C34" s="494"/>
      <c r="D34" s="354"/>
      <c r="E34" s="30"/>
      <c r="F34" s="29"/>
      <c r="G34" s="193"/>
      <c r="H34" s="194"/>
      <c r="I34" s="225"/>
    </row>
    <row r="35" spans="2:9" ht="18.5" x14ac:dyDescent="0.45">
      <c r="B35" s="227"/>
      <c r="C35" s="227"/>
      <c r="D35" s="354"/>
      <c r="E35" s="30"/>
      <c r="F35" s="29"/>
      <c r="G35" s="193"/>
      <c r="H35" s="194"/>
      <c r="I35" s="225"/>
    </row>
    <row r="36" spans="2:9" ht="18.5" x14ac:dyDescent="0.45">
      <c r="B36" s="227"/>
      <c r="C36" s="227"/>
      <c r="D36" s="354"/>
      <c r="E36" s="30"/>
      <c r="F36" s="29"/>
      <c r="G36" s="193"/>
      <c r="H36" s="194"/>
      <c r="I36" s="225"/>
    </row>
    <row r="37" spans="2:9" ht="18.5" x14ac:dyDescent="0.45">
      <c r="B37" s="227"/>
      <c r="C37" s="227"/>
      <c r="D37" s="354"/>
      <c r="E37" s="30"/>
      <c r="F37" s="29"/>
      <c r="G37" s="193"/>
      <c r="H37" s="194"/>
      <c r="I37" s="225"/>
    </row>
    <row r="38" spans="2:9" ht="18.5" x14ac:dyDescent="0.45">
      <c r="B38" s="227"/>
      <c r="C38" s="227"/>
      <c r="D38" s="354"/>
      <c r="E38" s="30"/>
      <c r="F38" s="29"/>
      <c r="G38" s="193"/>
      <c r="H38" s="194"/>
      <c r="I38" s="225"/>
    </row>
    <row r="39" spans="2:9" ht="18.5" x14ac:dyDescent="0.45">
      <c r="B39" s="227"/>
      <c r="C39" s="227"/>
      <c r="D39" s="354"/>
      <c r="E39" s="30"/>
      <c r="F39" s="29"/>
      <c r="G39" s="193"/>
      <c r="H39" s="194"/>
      <c r="I39" s="225"/>
    </row>
    <row r="40" spans="2:9" ht="18.5" x14ac:dyDescent="0.45">
      <c r="B40" s="227"/>
      <c r="C40" s="227"/>
      <c r="D40" s="354"/>
      <c r="E40" s="30"/>
      <c r="F40" s="29"/>
      <c r="G40" s="193"/>
      <c r="H40" s="194"/>
      <c r="I40" s="225"/>
    </row>
    <row r="42" spans="2:9" ht="16" x14ac:dyDescent="0.5">
      <c r="B42" s="485"/>
      <c r="C42" s="485"/>
      <c r="D42" s="28"/>
      <c r="E42" s="28"/>
      <c r="F42" s="28"/>
      <c r="G42" s="486"/>
      <c r="H42" s="486"/>
      <c r="I42" s="28"/>
    </row>
    <row r="43" spans="2:9" x14ac:dyDescent="0.35">
      <c r="B43" s="14"/>
      <c r="C43" s="26"/>
      <c r="D43" s="355"/>
      <c r="E43" s="229"/>
      <c r="F43" s="29"/>
      <c r="G43" s="259"/>
      <c r="H43" s="194"/>
      <c r="I43" s="29"/>
    </row>
    <row r="44" spans="2:9" x14ac:dyDescent="0.35">
      <c r="B44" s="26"/>
      <c r="D44" s="14"/>
      <c r="H44" s="194"/>
    </row>
  </sheetData>
  <mergeCells count="20">
    <mergeCell ref="B33:C33"/>
    <mergeCell ref="G33:H33"/>
    <mergeCell ref="B34:C34"/>
    <mergeCell ref="B42:C42"/>
    <mergeCell ref="G42:H42"/>
    <mergeCell ref="B25:I25"/>
    <mergeCell ref="B26:I26"/>
    <mergeCell ref="B27:I27"/>
    <mergeCell ref="B28:I28"/>
    <mergeCell ref="B31:I31"/>
    <mergeCell ref="B2:I2"/>
    <mergeCell ref="B4:I4"/>
    <mergeCell ref="B5:I5"/>
    <mergeCell ref="B10:C10"/>
    <mergeCell ref="G19:H19"/>
    <mergeCell ref="B8:I8"/>
    <mergeCell ref="B3:I3"/>
    <mergeCell ref="G10:H10"/>
    <mergeCell ref="B19:C19"/>
    <mergeCell ref="B11:C11"/>
  </mergeCells>
  <printOptions horizontalCentered="1"/>
  <pageMargins left="0.55000000000000004" right="0.55000000000000004" top="1.6" bottom="0.5"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SAO</vt:lpstr>
      <vt:lpstr>References</vt:lpstr>
      <vt:lpstr>Wages</vt:lpstr>
      <vt:lpstr>Debt Service</vt:lpstr>
      <vt:lpstr>Depreciation</vt:lpstr>
      <vt:lpstr>Capital</vt:lpstr>
      <vt:lpstr>Medical</vt:lpstr>
      <vt:lpstr>Water Loss</vt:lpstr>
      <vt:lpstr>Rates</vt:lpstr>
      <vt:lpstr>Bills</vt:lpstr>
      <vt:lpstr>ExBA</vt:lpstr>
      <vt:lpstr>PrBA%</vt:lpstr>
      <vt:lpstr>Bills!Print_Area</vt:lpstr>
      <vt:lpstr>'Debt Service'!Print_Area</vt:lpstr>
      <vt:lpstr>Depreciation!Print_Area</vt:lpstr>
      <vt:lpstr>'PrBA%'!Print_Area</vt:lpstr>
      <vt:lpstr>Rates!Print_Area</vt:lpstr>
      <vt:lpstr>SAO!Print_Area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dc:creator>
  <cp:lastModifiedBy>Janet Reid</cp:lastModifiedBy>
  <cp:lastPrinted>2025-01-27T05:16:32Z</cp:lastPrinted>
  <dcterms:created xsi:type="dcterms:W3CDTF">2016-05-18T14:12:06Z</dcterms:created>
  <dcterms:modified xsi:type="dcterms:W3CDTF">2025-04-10T13:59:36Z</dcterms:modified>
</cp:coreProperties>
</file>